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Finance\Enw-core-finance\Investors &amp; Planning\Regulation\RIIO2\RIGs\RFPR\2024-25\Final Submission to Regulation\Website\"/>
    </mc:Choice>
  </mc:AlternateContent>
  <xr:revisionPtr revIDLastSave="0" documentId="13_ncr:1_{359F2C1E-E49A-4EE4-8515-B163DD8956F1}" xr6:coauthVersionLast="47" xr6:coauthVersionMax="47" xr10:uidLastSave="{00000000-0000-0000-0000-000000000000}"/>
  <bookViews>
    <workbookView xWindow="28680" yWindow="-120" windowWidth="29040" windowHeight="15840" tabRatio="804" xr2:uid="{96450545-04D2-4886-91E9-CEABFF6B5786}"/>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'[4]R4 Licence Condition Values'!$G$32:$N$32</definedName>
    <definedName name="ARtDR5" comment="Allowed distribution netwrok reveue in 2014/15">'[4]R5 Input Page'!$E$48:$F$48</definedName>
    <definedName name="asdas" hidden="1">{#N/A,#N/A,FALSE,"TMCOMP96";#N/A,#N/A,FALSE,"MAT96";#N/A,#N/A,FALSE,"FANDA96";#N/A,#N/A,FALSE,"INTRAN96";#N/A,#N/A,FALSE,"NAA9697";#N/A,#N/A,FALSE,"ECWEBB";#N/A,#N/A,FALSE,"MFT96";#N/A,#N/A,FALSE,"CTrecon"}</definedName>
    <definedName name="AUM">'[4]R5 Input Page'!$G$133:$N$133</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[5]Sheet2!#REF!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[5]Sheet2!#REF!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'[6]Risk-Free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'[6]Risk-Free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'[6]Risk-Free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'[6]Risk-Free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'[6]Risk-Free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'[6]Risk-Free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'[6]Risk-Free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'[6]Risk-Free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'[6]Risk-Free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'[6]Risk-Free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'[6]Risk-Free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'[6]Risk-Free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'[6]Risk-Free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'[6]Risk-Free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'[6]Risk-Free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[5]Sheet2!#REF!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'[4]R5 Input Page'!$E$65:$F$65</definedName>
    <definedName name="BPC">'[4]R5 Input Page'!$G$123:$N$123</definedName>
    <definedName name="Business_Plan_Incentive">'R1 - RoRE'!$D$71:$H$71</definedName>
    <definedName name="calendar_year">Data!$F$33:$L$33</definedName>
    <definedName name="CAS">'[4]R5 Input Page'!$G$70:$N$70</definedName>
    <definedName name="CGSPM">'[4]R5 Input Page'!$G$136:$N$136</definedName>
    <definedName name="CGSRA">'[4]R11 Connections Performance'!$G$18:$N$18</definedName>
    <definedName name="CIA">'[4]R5 Input Page'!$G$82:$N$82</definedName>
    <definedName name="CIB">'[4]R5 Input Page'!$G$83:$N$83</definedName>
    <definedName name="CIBt_2">'[4]R5 Input Page'!$G$87:$N$87</definedName>
    <definedName name="CIBt_3">'[4]R5 Input Page'!$G$88:$N$88</definedName>
    <definedName name="CIBt_4">'[4]R5 Input Page'!$G$89:$N$89</definedName>
    <definedName name="CIC">'[4]R5 Input Page'!$G$84:$N$84</definedName>
    <definedName name="CID">'[4]R5 Input Page'!$G$85:$N$85</definedName>
    <definedName name="CIE">'[4]R5 Input Page'!$G$86:$N$86</definedName>
    <definedName name="CIM">'[4]R5 Input Page'!$G$71:$N$71</definedName>
    <definedName name="CMLA">'[4]R5 Input Page'!$G$90:$N$90</definedName>
    <definedName name="CMLB">'[4]R5 Input Page'!$G$91:$N$91</definedName>
    <definedName name="CMLBt_2">'[4]R5 Input Page'!$G$95:$N$95</definedName>
    <definedName name="CMLBt_3">'[4]R5 Input Page'!$G$96:$N$96</definedName>
    <definedName name="CMLBt_4">'[4]R5 Input Page'!$G$97:$N$97</definedName>
    <definedName name="CMLC">'[4]R5 Input Page'!$G$92:$N$92</definedName>
    <definedName name="CMLD">'[4]R5 Input Page'!$G$93:$N$93</definedName>
    <definedName name="CMLE">'[4]R5 Input Page'!$G$94:$N$94</definedName>
    <definedName name="Combined_real_to_nominal_prices_conversion_factor__financial_year_end">Data!$F$36:$L$36</definedName>
    <definedName name="Corporate_Tax">Data!$C$13:$N$13</definedName>
    <definedName name="Cost_of_Equity">Data!$C$6</definedName>
    <definedName name="CPIRt">'[4]R4 Licence Condition Values'!$G$29:$N$29</definedName>
    <definedName name="CRC5B">'[4]R5 Input Page'!$G$139:$N$139</definedName>
    <definedName name="CRC5C">'[4]R5 Input Page'!$G$140:$N$140</definedName>
    <definedName name="CRC5E">'[4]R5 Input Page'!$G$141:$N$141</definedName>
    <definedName name="CRIRt">'[4]R4 Licence Condition Values'!$G$22:$N$22</definedName>
    <definedName name="CSADt">'[4]R4 Licence Condition Values'!$G$25:$N$25</definedName>
    <definedName name="CSAUt">'[4]R4 Licence Condition Values'!$G$19:$N$19</definedName>
    <definedName name="CSBDt">'[4]R4 Licence Condition Values'!$G$28:$N$28</definedName>
    <definedName name="CSBUt">'[4]R4 Licence Condition Values'!$G$21:$N$21</definedName>
    <definedName name="CSCDt">'[4]R4 Licence Condition Values'!$G$30:$N$30</definedName>
    <definedName name="CSCUt">'[4]R4 Licence Condition Values'!$G$23:$N$23</definedName>
    <definedName name="CT">'[4]R5 Input Page'!$G$35:$N$35</definedName>
    <definedName name="Cwvu.CapersView." hidden="1">[3]Sheet1!#REF!</definedName>
    <definedName name="Cwvu.Japan_Capers_Ed_Pub." hidden="1">[3]Sheet1!#REF!</definedName>
    <definedName name="Debt_performance___at_notional_gearing">'R1 - RoRE'!$D$90:$H$90</definedName>
    <definedName name="Debt_performance___impact_of_actual_gearing">'R1 - RoRE'!$D$91:$H$91</definedName>
    <definedName name="DecimalPlaces">'[7]Check Sheet'!$K$9</definedName>
    <definedName name="dgsgf" hidden="1">{#N/A,#N/A,FALSE,"TMCOMP96";#N/A,#N/A,FALSE,"MAT96";#N/A,#N/A,FALSE,"FANDA96";#N/A,#N/A,FALSE,"INTRAN96";#N/A,#N/A,FALSE,"NAA9697";#N/A,#N/A,FALSE,"ECWEBB";#N/A,#N/A,FALSE,"MFT96";#N/A,#N/A,FALSE,"CTrecon"}</definedName>
    <definedName name="Distribution" hidden="1">#REF!</definedName>
    <definedName name="DLGT">'[4]R12 DPCR4 Losses and Growth'!$G$9:$N$9</definedName>
    <definedName name="DNOName">'[7]Cover Sheet'!$D$20:$D$33</definedName>
    <definedName name="DR5Q">'[4]R5 Input Page'!$E$81:$F$81</definedName>
    <definedName name="ENIA">'[4]R5 Input Page'!$G$122:$N$122</definedName>
    <definedName name="Equity_RAV_based_on_actual_gearing">'R1 - RoRE'!$D$97:$H$97</definedName>
    <definedName name="Equity_Return_on_the_RAV">'R1 - RoRE'!$D$69:$H$69</definedName>
    <definedName name="ESTR">'[4]R4 Licence Condition Values'!$G$7:$N$7</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'[4]R5 Input Page'!$G$100:$N$100</definedName>
    <definedName name="GAS">'[4]R5 Input Page'!$G$72:$N$72</definedName>
    <definedName name="ghj" hidden="1">{#N/A,#N/A,FALSE,"TMCOMP96";#N/A,#N/A,FALSE,"MAT96";#N/A,#N/A,FALSE,"FANDA96";#N/A,#N/A,FALSE,"INTRAN96";#N/A,#N/A,FALSE,"NAA9697";#N/A,#N/A,FALSE,"ECWEBB";#N/A,#N/A,FALSE,"MFT96";#N/A,#N/A,FALSE,"CTrecon"}</definedName>
    <definedName name="GIM">'[4]R5 Input Page'!$G$73:$N$73</definedName>
    <definedName name="gjk" hidden="1">{#N/A,#N/A,FALSE,"DI 2 YEAR MASTER SCHEDULE"}</definedName>
    <definedName name="GPIRt">'[4]R4 Licence Condition Values'!$G$31:$N$31</definedName>
    <definedName name="GRIRt">'[4]R4 Licence Condition Values'!$G$24:$N$24</definedName>
    <definedName name="GTA">'[4]R12 DPCR4 Losses and Growth'!$G$15:$N$15</definedName>
    <definedName name="GTAA">'[4]R4 Licence Condition Values'!$F$62</definedName>
    <definedName name="gwge" hidden="1">#REF!</definedName>
    <definedName name="HB">'[4]R5 Input Page'!$G$62:$N$62</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'[4]R5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'[4]R4 Licence Condition Values'!$F$65</definedName>
    <definedName name="IRAt">'[4]R4 Licence Condition Values'!$G$37:$N$37</definedName>
    <definedName name="IRBt">'[4]R4 Licence Condition Values'!$G$40:$N$40</definedName>
    <definedName name="IRCMt">'[4]R4 Licence Condition Values'!$G$33:$N$33</definedName>
    <definedName name="It">'[4]R5 Input Page'!$D$50:$N$50</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'[4]R13 Correction Factor'!$G$14:$N$14</definedName>
    <definedName name="khkjk" hidden="1">{"staff",#N/A,FALSE,"Current Month"}</definedName>
    <definedName name="l" hidden="1">{#N/A,#N/A,FALSE,"DI 2 YEAR MASTER SCHEDULE"}</definedName>
    <definedName name="LCN1t">'[4]R5 Input Page'!$G$129:$N$129</definedName>
    <definedName name="LCN2t">'[4]R5 Input Page'!$G$128:$N$128</definedName>
    <definedName name="LDRO">'[4]R5 Input Page'!$G$119:$N$119</definedName>
    <definedName name="LF">'[4]R8 Pass-Through Items'!$G$26:$N$26</definedName>
    <definedName name="LFA">'[4]R5 Input Page'!$G$53:$N$53</definedName>
    <definedName name="LFE">'[4]R4 Licence Condition Values'!$G$10:$N$10</definedName>
    <definedName name="Licensee">'RFPR cover'!$C$7</definedName>
    <definedName name="ListOffset" hidden="1">1</definedName>
    <definedName name="lkl" hidden="1">{#N/A,#N/A,FALSE,"DI 2 YEAR MASTER SCHEDULE"}</definedName>
    <definedName name="LookupK">'[4]R13 Correction Factor'!$B$80:$H$93</definedName>
    <definedName name="LookupPPLD">'[4]R12 DPCR4 Losses and Growth'!$D$38:$N$51</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'[4]R5 Input Page'!$G$44:$N$44</definedName>
    <definedName name="N_A">'R8 - Tax'!$E$11:$H$11</definedName>
    <definedName name="Navigate">'RFPR cover'!$D$2</definedName>
    <definedName name="NCPD">'[4]R5 Input Page'!$G$102:$N$102</definedName>
    <definedName name="NCPM">'[4]R5 Input Page'!$G$101:$N$101</definedName>
    <definedName name="NIAR">'[4]R5 Input Page'!$G$124:$N$124</definedName>
    <definedName name="NIAV">'[4]R4 Licence Condition Values'!$F$56</definedName>
    <definedName name="nn" hidden="1">{#N/A,#N/A,FALSE,"PRJCTED QTRLY $'s"}</definedName>
    <definedName name="Notional_Gearing">Data!$C$8</definedName>
    <definedName name="NPV_neutral_equity_element_of_RAV">'R1 - RoRE'!$D$96:$H$96</definedName>
    <definedName name="odd" hidden="1">{"staff",#N/A,FALSE,"Current Month"}</definedName>
    <definedName name="ODI_1">'R1 - RoRE'!$D$72:$H$72</definedName>
    <definedName name="ODI_2">'R1 - RoRE'!$D$73:$H$73</definedName>
    <definedName name="ODI_3">'R1 - RoRE'!$D$74:$H$74</definedName>
    <definedName name="ODI_4">'R1 - RoRE'!$D$75:$H$75</definedName>
    <definedName name="ODI_5">'R1 - RoRE'!$D$76:$H$76</definedName>
    <definedName name="ODI_6">'R1 - RoRE'!$D$77:$H$77</definedName>
    <definedName name="ODI_7">'R1 - RoRE'!$D$78:$H$78</definedName>
    <definedName name="ODI_8">'R1 - RoRE'!$D$79:$H$79</definedName>
    <definedName name="OOEE">'[4]R5 Input Page'!$G$103:$N$103</definedName>
    <definedName name="Option2" hidden="1">{#N/A,#N/A,FALSE,"TMCOMP96";#N/A,#N/A,FALSE,"MAT96";#N/A,#N/A,FALSE,"FANDA96";#N/A,#N/A,FALSE,"INTRAN96";#N/A,#N/A,FALSE,"NAA9697";#N/A,#N/A,FALSE,"ECWEBB";#N/A,#N/A,FALSE,"MFT96";#N/A,#N/A,FALSE,"CTrecon"}</definedName>
    <definedName name="ORA_1">'R1 - RoRE'!$D$80:$H$80</definedName>
    <definedName name="ORA_2">'R1 - RoRE'!$D$81:$H$81</definedName>
    <definedName name="ORA_3">'R1 - RoRE'!$D$82:$H$82</definedName>
    <definedName name="ORA_4">'R1 - RoRE'!$D$83:$H$83</definedName>
    <definedName name="ORA_5">'R1 - RoRE'!$D$84:$H$84</definedName>
    <definedName name="ORA_6">'R1 - RoRE'!$D$85:$H$85</definedName>
    <definedName name="ORA_7">'R1 - RoRE'!$D$86:$H$86</definedName>
    <definedName name="ORA_8">'R1 - RoRE'!$D$87:$H$87</definedName>
    <definedName name="Pal_Workbook_GUID" hidden="1">"LJ9YVKRJVQ1A1KNUG7XIT5A9"</definedName>
    <definedName name="PCUDPO">'[4]R5 Input Page'!$G$74:$N$74</definedName>
    <definedName name="PCUDPT">'[4]R5 Input Page'!$G$75:$N$75</definedName>
    <definedName name="Penalties_and_fines">'R1 - RoRE'!$D$88:$H$88</definedName>
    <definedName name="POF">'[4]R5 Input Page'!$G$77:$N$77</definedName>
    <definedName name="Pop" hidden="1">[8]Population!#REF!</definedName>
    <definedName name="Population" hidden="1">#REF!</definedName>
    <definedName name="PPL">'[4]R12 DPCR4 Losses and Growth'!$G$34:$N$34</definedName>
    <definedName name="PRC">'[4]R5 Input Page'!$G$76:$N$76</definedName>
    <definedName name="Price_basis">Data!$C$9</definedName>
    <definedName name="_xlnm.Print_Area" localSheetId="3">'Change log'!$A$1:$E$31</definedName>
    <definedName name="_xlnm.Print_Area" localSheetId="2">'Content &amp; Version Control'!$A$1:$H$19</definedName>
    <definedName name="_xlnm.Print_Area" localSheetId="4">'R1 - RoRE'!$A$1:$L$68</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Governance'!$A$1:$I$18</definedName>
    <definedName name="_xlnm.Print_Area" localSheetId="0">'RFPR cover'!$A$2:$I$82</definedName>
    <definedName name="Profiles" hidden="1">#REF!</definedName>
    <definedName name="Projections" hidden="1">#REF!</definedName>
    <definedName name="PRtDir">'[4]R5 Input Page'!$F$49:$N$49</definedName>
    <definedName name="PT">'[4]R8 Pass-Through Items'!$G$15:$N$15</definedName>
    <definedName name="PTPA">'[4]R5 Input Page'!$G$55:$N$55</definedName>
    <definedName name="PTPE">'[4]R4 Licence Condition Values'!$G$12:$N$12</definedName>
    <definedName name="PTRA">'[4]R5 Input Page'!$G$125:$N$125</definedName>
    <definedName name="PU">'[4]R4 Licence Condition Values'!$G$6:$N$6</definedName>
    <definedName name="PUC">'[4]R5 Input Page'!$G$69:$N$69</definedName>
    <definedName name="PVF">'[4]R5 Input Page'!$F$39:$N$39</definedName>
    <definedName name="qs" hidden="1">{#N/A,#N/A,FALSE,"PRJCTED MNTHLY QTY's"}</definedName>
    <definedName name="RB">'[4]R8 Pass-Through Items'!$G$36:$N$36</definedName>
    <definedName name="RBA">'[4]R5 Input Page'!$G$54:$N$54</definedName>
    <definedName name="RBE">'[4]R4 Licence Condition Values'!$G$11:$N$11</definedName>
    <definedName name="RD">'[4]R5 Input Page'!$F$47:$N$47</definedName>
    <definedName name="real_to_nominal_CF">Data!$F$34:$L$34</definedName>
    <definedName name="Reporting_Year">'RFPR cover'!$C$9</definedName>
    <definedName name="Results" hidden="1">[9]UK99!$A$1:$A$1</definedName>
    <definedName name="RF">'[4]R8 Pass-Through Items'!$G$77:$N$77</definedName>
    <definedName name="RFA">'[4]R5 Input Page'!$G$59:$N$59</definedName>
    <definedName name="RFE">'[4]R4 Licence Condition Values'!$G$15:$N$15</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'[4]R4 Licence Condition Values'!$G$42:$N$42</definedName>
    <definedName name="RLGt">'[4]R4 Licence Condition Values'!$G$43:$N$43</definedName>
    <definedName name="RoRE___including_financing_and_tax">'R1 - RoRE'!$D$94:$H$94</definedName>
    <definedName name="RoRE___Operational_performance">'R1 - RoRE'!$D$89:$H$89</definedName>
    <definedName name="RPI">'[4]R5 Input Page'!$D$8:$N$8</definedName>
    <definedName name="RPIA">'[4]R5 Input Page'!$D$9:$N$9</definedName>
    <definedName name="RPIF">'[4]R5 Input Page'!$G$32:$N$32</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'[4]R5 Input Page'!$G$66:$N$66</definedName>
    <definedName name="SEC">'[4]R8 Pass-Through Items'!$G$87:$N$87</definedName>
    <definedName name="SECA">'[4]R5 Input Page'!$G$60:$N$60</definedName>
    <definedName name="SECE">'[4]R4 Licence Condition Values'!$G$16:$N$16</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'[4]R5 Input Page'!$G$67:$N$67</definedName>
    <definedName name="SIIM">'[4]R5 Input Page'!$G$68:$N$68</definedName>
    <definedName name="SIPIRt">'[4]R4 Licence Condition Values'!$G$26:$N$26</definedName>
    <definedName name="SIRIRt">'[4]R4 Licence Condition Values'!$G$20:$N$20</definedName>
    <definedName name="SLC29_4">'[4]R5 Input Page'!$G$143:$N$143</definedName>
    <definedName name="SLC29_6">'[4]R5 Input Page'!$G$142:$N$142</definedName>
    <definedName name="SMC">'[4]R8 Pass-Through Items'!$G$56:$N$56</definedName>
    <definedName name="SMCA">'[4]R5 Input Page'!$G$56:$N$56</definedName>
    <definedName name="SMCE">'[4]R4 Licence Condition Values'!$G$13:$N$13</definedName>
    <definedName name="SMIA">'[4]R5 Input Page'!$G$57:$N$57</definedName>
    <definedName name="SMIE">'[4]R4 Licence Condition Values'!$G$14:$N$14</definedName>
    <definedName name="SMIT">'[4]R8 Pass-Through Items'!$G$67:$N$67</definedName>
    <definedName name="SMITR">'[4]R5 Input Page'!$G$58:$N$58</definedName>
    <definedName name="Submitted_Date">'RFPR cover'!$C$11</definedName>
    <definedName name="SWPD">'[4]R5 Input Page'!$G$99:$N$99</definedName>
    <definedName name="SWPM">'[4]R5 Input Page'!$G$98:$N$98</definedName>
    <definedName name="Swvu.CapersView." hidden="1">[3]Sheet1!#REF!</definedName>
    <definedName name="Swvu.Japan_Capers_Ed_Pub." hidden="1">#REF!</definedName>
    <definedName name="Swvu.KJP_CC." hidden="1">#REF!</definedName>
    <definedName name="TAUt">'[4]R4 Licence Condition Values'!$G$36:$N$36</definedName>
    <definedName name="Tax_liability_per_latest_submitted_CT600____Reporting_Year">'R8 - Tax'!$E$11:$I$11</definedName>
    <definedName name="Tax_performance___at_notional_gearing">'R1 - RoRE'!$D$92:$H$92</definedName>
    <definedName name="Tax_performance___impact_of_actual_gearing">'R1 - RoRE'!$D$93:$H$93</definedName>
    <definedName name="TB">'[4]R8 Pass-Through Items'!$G$46:$N$46</definedName>
    <definedName name="TBUt">'[4]R4 Licence Condition Values'!$G$39:$N$39</definedName>
    <definedName name="TCAIt">'[4]R4 Licence Condition Values'!$G$51:$N$51</definedName>
    <definedName name="TCAP">'[4]R5 Input Page'!$G$113:$N$113</definedName>
    <definedName name="TCAREt">'[4]R4 Licence Condition Values'!$G$50:$N$50</definedName>
    <definedName name="TCAT">'[4]R5 Input Page'!$G$114:$N$114</definedName>
    <definedName name="TCBIt">'[4]R4 Licence Condition Values'!$G$53:$N$53</definedName>
    <definedName name="TCBP">'[4]R5 Input Page'!$G$115:$N$115</definedName>
    <definedName name="TCBREt">'[4]R4 Licence Condition Values'!$G$52:$N$52</definedName>
    <definedName name="TCBTt">'[4]R5 Input Page'!$G$116:$N$116</definedName>
    <definedName name="TCGSR">'[4]R4 Licence Condition Values'!$F$59</definedName>
    <definedName name="TCM">'[4]R5 Input Page'!$G$78:$N$78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RoRE'!$D$70:$H$70</definedName>
    <definedName name="TQAIt">'[4]R4 Licence Condition Values'!$G$47:$N$47</definedName>
    <definedName name="TQAP">'[4]R5 Input Page'!$G$109:$N$109</definedName>
    <definedName name="TQAREt">'[4]R4 Licence Condition Values'!$G$46:$N$46</definedName>
    <definedName name="TQAT">'[4]R5 Input Page'!$G$110:$N$110</definedName>
    <definedName name="TQBIt">'[4]R4 Licence Condition Values'!$G$49:$N$49</definedName>
    <definedName name="TQBP">'[4]R5 Input Page'!$G$111:$N$111</definedName>
    <definedName name="TQBREt">'[4]R4 Licence Condition Values'!$G$48:$N$48</definedName>
    <definedName name="TQBT">'[4]R5 Input Page'!$G$112:$N$112</definedName>
    <definedName name="trggh" hidden="1">{#N/A,#N/A,FALSE,"TMCOMP96";#N/A,#N/A,FALSE,"MAT96";#N/A,#N/A,FALSE,"FANDA96";#N/A,#N/A,FALSE,"INTRAN96";#N/A,#N/A,FALSE,"NAA9697";#N/A,#N/A,FALSE,"ECWEBB";#N/A,#N/A,FALSE,"MFT96";#N/A,#N/A,FALSE,"CTrecon"}</definedName>
    <definedName name="TRIISt">'[4]R4 Licence Condition Values'!$G$41:$N$41</definedName>
    <definedName name="TRIMt">'[4]R4 Licence Condition Values'!$G$38:$N$38</definedName>
    <definedName name="u" hidden="1">{#VALUE!,#N/A,FALSE,0}</definedName>
    <definedName name="UAG" hidden="1">{#N/A,#N/A,FALSE,"DI 2 YEAR MASTER SCHEDULE"}</definedName>
    <definedName name="UCPIR">'[4]R4 Licence Condition Values'!$G$27:$N$27</definedName>
    <definedName name="UNC">'[4]R5 Input Page'!$G$61:$N$61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'[10]Pension Pack cover'!$B$80:$B$99</definedName>
    <definedName name="YEFactor">Data!$F$36:$L$36</definedName>
    <definedName name="YEFactor_change">Data!$F$35:$L$35</definedName>
    <definedName name="z" hidden="1">{#N/A,#N/A,FALSE,"DI 2 YEAR MASTER SCHEDULE"}</definedName>
    <definedName name="Z_9A428CE1_B4D9_11D0_A8AA_0000C071AEE7_.wvu.Cols" hidden="1">[3]Sheet1!$A$1:$Q$65536,[3]Sheet1!$Y$1:$Z$65536</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9" i="28" l="1"/>
  <c r="R89" i="28"/>
  <c r="Q89" i="28"/>
  <c r="P89" i="28"/>
  <c r="O89" i="28"/>
  <c r="L89" i="28"/>
  <c r="K89" i="28"/>
  <c r="J89" i="28"/>
  <c r="I89" i="28"/>
  <c r="H89" i="28"/>
  <c r="F89" i="28"/>
  <c r="D22" i="5" l="1"/>
  <c r="B3" i="1"/>
  <c r="F201" i="28"/>
  <c r="E78" i="1"/>
  <c r="F78" i="1"/>
  <c r="E79" i="1"/>
  <c r="F79" i="1"/>
  <c r="D78" i="1"/>
  <c r="G78" i="1"/>
  <c r="H78" i="1"/>
  <c r="D79" i="1"/>
  <c r="G79" i="1"/>
  <c r="H79" i="1"/>
  <c r="E77" i="1"/>
  <c r="F77" i="1"/>
  <c r="G77" i="1"/>
  <c r="H77" i="1"/>
  <c r="D77" i="1"/>
  <c r="G19" i="4"/>
  <c r="H19" i="4"/>
  <c r="I19" i="4"/>
  <c r="K78" i="1" l="1"/>
  <c r="K79" i="1"/>
  <c r="G134" i="28"/>
  <c r="G136" i="28"/>
  <c r="M29" i="28" l="1"/>
  <c r="N29" i="28" s="1"/>
  <c r="M28" i="28"/>
  <c r="N28" i="28" s="1"/>
  <c r="N25" i="28"/>
  <c r="M25" i="28"/>
  <c r="L25" i="28"/>
  <c r="K25" i="28"/>
  <c r="J25" i="28"/>
  <c r="I25" i="28"/>
  <c r="H25" i="28"/>
  <c r="G25" i="28"/>
  <c r="F25" i="28"/>
  <c r="E25" i="28"/>
  <c r="D25" i="28"/>
  <c r="C25" i="28"/>
  <c r="J316" i="28"/>
  <c r="J317" i="28"/>
  <c r="J318" i="28"/>
  <c r="J319" i="28"/>
  <c r="J320" i="28"/>
  <c r="J321" i="28"/>
  <c r="J322" i="28"/>
  <c r="J323" i="28"/>
  <c r="J324" i="28"/>
  <c r="J325" i="28"/>
  <c r="J326" i="28"/>
  <c r="J327" i="28"/>
  <c r="J328" i="28"/>
  <c r="J329" i="28"/>
  <c r="J330" i="28"/>
  <c r="J331" i="28"/>
  <c r="J332" i="28"/>
  <c r="J333" i="28"/>
  <c r="J334" i="28"/>
  <c r="J335" i="28"/>
  <c r="J336" i="28"/>
  <c r="J337" i="28"/>
  <c r="J338" i="28"/>
  <c r="J339" i="28"/>
  <c r="J340" i="28"/>
  <c r="J341" i="28"/>
  <c r="J342" i="28"/>
  <c r="J343" i="28"/>
  <c r="J315" i="28"/>
  <c r="C6" i="13" l="1" a="1"/>
  <c r="C6" i="13" s="1"/>
  <c r="J19" i="5"/>
  <c r="J20" i="5"/>
  <c r="J67" i="5" l="1"/>
  <c r="J68" i="5"/>
  <c r="J69" i="5"/>
  <c r="J70" i="5"/>
  <c r="J66" i="5"/>
  <c r="J56" i="5"/>
  <c r="J57" i="5"/>
  <c r="J55" i="5"/>
  <c r="J42" i="5"/>
  <c r="J43" i="5"/>
  <c r="J41" i="5"/>
  <c r="J21" i="5"/>
  <c r="J18" i="5"/>
  <c r="J17" i="5"/>
  <c r="J16" i="5"/>
  <c r="J15" i="5"/>
  <c r="J14" i="5"/>
  <c r="N349" i="28" l="1"/>
  <c r="O349" i="28" s="1"/>
  <c r="P349" i="28" s="1"/>
  <c r="Q349" i="28" s="1"/>
  <c r="R349" i="28" s="1"/>
  <c r="S349" i="28" s="1"/>
  <c r="D339" i="28" l="1"/>
  <c r="E339" i="28"/>
  <c r="F339" i="28"/>
  <c r="G339" i="28"/>
  <c r="C339" i="28"/>
  <c r="N314" i="28" l="1"/>
  <c r="O314" i="28" s="1"/>
  <c r="P314" i="28" s="1"/>
  <c r="Q314" i="28" s="1"/>
  <c r="R314" i="28" s="1"/>
  <c r="S314" i="28" s="1"/>
  <c r="D314" i="28" l="1"/>
  <c r="E314" i="28" s="1"/>
  <c r="F314" i="28" s="1"/>
  <c r="G314" i="28" s="1"/>
  <c r="H314" i="28" s="1"/>
  <c r="I314" i="28" s="1"/>
  <c r="A3" i="29"/>
  <c r="D23" i="11"/>
  <c r="E86" i="1" l="1"/>
  <c r="F84" i="4"/>
  <c r="G84" i="4"/>
  <c r="H84" i="4"/>
  <c r="I84" i="4"/>
  <c r="E84" i="4"/>
  <c r="E129" i="2" l="1"/>
  <c r="F129" i="2"/>
  <c r="G129" i="2"/>
  <c r="H129" i="2"/>
  <c r="D150" i="2"/>
  <c r="E69" i="4" l="1"/>
  <c r="F69" i="4"/>
  <c r="E68" i="4"/>
  <c r="D129" i="2" l="1"/>
  <c r="E150" i="2"/>
  <c r="F150" i="2"/>
  <c r="G150" i="2"/>
  <c r="H150" i="2"/>
  <c r="J24" i="2" l="1"/>
  <c r="J25" i="2"/>
  <c r="J26" i="2"/>
  <c r="J27" i="2"/>
  <c r="J28" i="2"/>
  <c r="E195" i="2" l="1"/>
  <c r="F195" i="2"/>
  <c r="G195" i="2"/>
  <c r="H195" i="2"/>
  <c r="D195" i="2"/>
  <c r="D58" i="5" l="1"/>
  <c r="E6" i="29" l="1"/>
  <c r="E5" i="29" s="1"/>
  <c r="E7" i="29"/>
  <c r="G26" i="10"/>
  <c r="J26" i="10"/>
  <c r="I26" i="10"/>
  <c r="H26" i="10"/>
  <c r="F26" i="10"/>
  <c r="F203" i="28"/>
  <c r="F202" i="28"/>
  <c r="F87" i="28"/>
  <c r="H64" i="2"/>
  <c r="G64" i="2"/>
  <c r="F64" i="2"/>
  <c r="E64" i="2"/>
  <c r="D64" i="2"/>
  <c r="J63" i="2"/>
  <c r="J62" i="2"/>
  <c r="H35" i="2"/>
  <c r="G35" i="2"/>
  <c r="F35" i="2"/>
  <c r="E35" i="2"/>
  <c r="D35" i="2"/>
  <c r="J34" i="2"/>
  <c r="J33" i="2"/>
  <c r="D59" i="5"/>
  <c r="F102" i="4"/>
  <c r="G102" i="4"/>
  <c r="H102" i="4"/>
  <c r="I102" i="4"/>
  <c r="E102" i="4"/>
  <c r="D7" i="2"/>
  <c r="J64" i="2" l="1"/>
  <c r="J35" i="2"/>
  <c r="E59" i="11" l="1"/>
  <c r="F59" i="11"/>
  <c r="G59" i="11"/>
  <c r="H59" i="11"/>
  <c r="D59" i="11"/>
  <c r="F33" i="28" l="1"/>
  <c r="E59" i="5"/>
  <c r="F59" i="5"/>
  <c r="G59" i="5"/>
  <c r="H59" i="5"/>
  <c r="D52" i="5"/>
  <c r="E45" i="5"/>
  <c r="E80" i="1" s="1"/>
  <c r="F45" i="5"/>
  <c r="G45" i="5"/>
  <c r="H45" i="5"/>
  <c r="D45" i="5"/>
  <c r="J45" i="5" l="1"/>
  <c r="J59" i="5"/>
  <c r="E32" i="28"/>
  <c r="B82" i="1" l="1"/>
  <c r="B53" i="1" s="1"/>
  <c r="H58" i="5"/>
  <c r="G58" i="5"/>
  <c r="F58" i="5"/>
  <c r="E58" i="5"/>
  <c r="J58" i="5" l="1"/>
  <c r="B24" i="1"/>
  <c r="A3" i="4"/>
  <c r="D84" i="1" l="1"/>
  <c r="E84" i="1"/>
  <c r="F84" i="1"/>
  <c r="G84" i="1"/>
  <c r="H84" i="1"/>
  <c r="D85" i="1"/>
  <c r="E85" i="1"/>
  <c r="F85" i="1"/>
  <c r="G85" i="1"/>
  <c r="H85" i="1"/>
  <c r="D86" i="1"/>
  <c r="F86" i="1"/>
  <c r="G86" i="1"/>
  <c r="H86" i="1"/>
  <c r="D87" i="1"/>
  <c r="E87" i="1"/>
  <c r="F87" i="1"/>
  <c r="G87" i="1"/>
  <c r="H87" i="1"/>
  <c r="E83" i="1"/>
  <c r="F83" i="1"/>
  <c r="G83" i="1"/>
  <c r="H83" i="1"/>
  <c r="D83" i="1"/>
  <c r="E81" i="1"/>
  <c r="F81" i="1"/>
  <c r="G81" i="1"/>
  <c r="H81" i="1"/>
  <c r="B81" i="1"/>
  <c r="B80" i="1"/>
  <c r="D73" i="1" l="1"/>
  <c r="E73" i="1"/>
  <c r="F73" i="1"/>
  <c r="G73" i="1"/>
  <c r="H73" i="1"/>
  <c r="D74" i="1"/>
  <c r="E74" i="1"/>
  <c r="F74" i="1"/>
  <c r="G74" i="1"/>
  <c r="H74" i="1"/>
  <c r="D75" i="1"/>
  <c r="E75" i="1"/>
  <c r="F75" i="1"/>
  <c r="G75" i="1"/>
  <c r="H75" i="1"/>
  <c r="D76" i="1"/>
  <c r="E76" i="1"/>
  <c r="F76" i="1"/>
  <c r="G76" i="1"/>
  <c r="H76" i="1"/>
  <c r="E72" i="1"/>
  <c r="F72" i="1"/>
  <c r="G72" i="1"/>
  <c r="H72" i="1"/>
  <c r="D72" i="1"/>
  <c r="K77" i="1" l="1"/>
  <c r="E30" i="2"/>
  <c r="F30" i="2"/>
  <c r="G30" i="2"/>
  <c r="H30" i="2"/>
  <c r="G23" i="10" l="1"/>
  <c r="H23" i="10"/>
  <c r="I23" i="10"/>
  <c r="J23" i="10"/>
  <c r="F23" i="10"/>
  <c r="G20" i="10"/>
  <c r="H20" i="10"/>
  <c r="I20" i="10"/>
  <c r="J20" i="10"/>
  <c r="F20" i="10"/>
  <c r="E160" i="2" l="1"/>
  <c r="E161" i="2" s="1"/>
  <c r="F160" i="2"/>
  <c r="F161" i="2" s="1"/>
  <c r="G160" i="2"/>
  <c r="G161" i="2" s="1"/>
  <c r="H160" i="2"/>
  <c r="H161" i="2" s="1"/>
  <c r="F75" i="4"/>
  <c r="G75" i="4"/>
  <c r="E75" i="4"/>
  <c r="D160" i="2"/>
  <c r="D161" i="2" s="1"/>
  <c r="I75" i="4" l="1"/>
  <c r="H75" i="4"/>
  <c r="F89" i="4" l="1"/>
  <c r="F91" i="4" s="1"/>
  <c r="G89" i="4"/>
  <c r="G91" i="4" s="1"/>
  <c r="H89" i="4"/>
  <c r="H91" i="4" s="1"/>
  <c r="I89" i="4"/>
  <c r="I91" i="4" s="1"/>
  <c r="C43" i="19" l="1"/>
  <c r="C42" i="19"/>
  <c r="C40" i="19"/>
  <c r="C39" i="19"/>
  <c r="C37" i="19"/>
  <c r="C36" i="19"/>
  <c r="C34" i="19"/>
  <c r="C33" i="19"/>
  <c r="C14" i="4" l="1"/>
  <c r="C16" i="4"/>
  <c r="C17" i="4"/>
  <c r="C19" i="4"/>
  <c r="D30" i="2" l="1"/>
  <c r="H88" i="2" l="1"/>
  <c r="G88" i="2"/>
  <c r="F88" i="2"/>
  <c r="E88" i="2"/>
  <c r="D88" i="2"/>
  <c r="J87" i="2"/>
  <c r="J86" i="2"/>
  <c r="H59" i="2"/>
  <c r="G59" i="2"/>
  <c r="F59" i="2"/>
  <c r="E59" i="2"/>
  <c r="D59" i="2"/>
  <c r="J58" i="2"/>
  <c r="J57" i="2"/>
  <c r="J88" i="2" l="1"/>
  <c r="J59" i="2"/>
  <c r="J30" i="2"/>
  <c r="J29" i="2" l="1"/>
  <c r="J23" i="2"/>
  <c r="G69" i="4" l="1"/>
  <c r="H69" i="4"/>
  <c r="I69" i="4"/>
  <c r="E89" i="4"/>
  <c r="E91" i="4" s="1"/>
  <c r="D63" i="11" l="1"/>
  <c r="F68" i="4" l="1"/>
  <c r="G68" i="4"/>
  <c r="H68" i="4"/>
  <c r="I68"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D54" i="28"/>
  <c r="E54" i="28" s="1"/>
  <c r="F54" i="28" s="1"/>
  <c r="P62" i="28"/>
  <c r="H71" i="5"/>
  <c r="G71" i="5"/>
  <c r="F71" i="5"/>
  <c r="E71" i="5"/>
  <c r="D71" i="5"/>
  <c r="H22" i="5"/>
  <c r="G22" i="5"/>
  <c r="F22" i="5"/>
  <c r="E22" i="5"/>
  <c r="D41" i="28"/>
  <c r="E41" i="28" s="1"/>
  <c r="F41" i="28" s="1"/>
  <c r="F64" i="28"/>
  <c r="F65" i="28"/>
  <c r="F66" i="28"/>
  <c r="F67" i="28"/>
  <c r="F68" i="28"/>
  <c r="F69" i="28"/>
  <c r="F70" i="28"/>
  <c r="F71" i="28"/>
  <c r="F72" i="28"/>
  <c r="F73" i="28"/>
  <c r="F74" i="28"/>
  <c r="F75" i="28"/>
  <c r="F76" i="28"/>
  <c r="F77" i="28"/>
  <c r="F78" i="28"/>
  <c r="F79" i="28"/>
  <c r="F80" i="28"/>
  <c r="F81" i="28"/>
  <c r="C9" i="28" s="1"/>
  <c r="F82" i="28"/>
  <c r="F83" i="28"/>
  <c r="F84" i="28"/>
  <c r="F85" i="28"/>
  <c r="F86" i="28"/>
  <c r="F88" i="28"/>
  <c r="F90" i="28"/>
  <c r="F91" i="28"/>
  <c r="F63" i="28"/>
  <c r="K20" i="28"/>
  <c r="K19" i="28"/>
  <c r="L19" i="28" s="1"/>
  <c r="M19" i="28" s="1"/>
  <c r="N19" i="28" s="1"/>
  <c r="K21" i="28"/>
  <c r="L21" i="28" s="1"/>
  <c r="M21" i="28" s="1"/>
  <c r="N21"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3" i="11"/>
  <c r="F63" i="11"/>
  <c r="G63" i="11"/>
  <c r="H63" i="11"/>
  <c r="A3" i="21"/>
  <c r="A3" i="1"/>
  <c r="A3" i="14"/>
  <c r="A3" i="2"/>
  <c r="A3" i="5"/>
  <c r="A3" i="17"/>
  <c r="A3" i="27"/>
  <c r="A3" i="10"/>
  <c r="A3" i="11"/>
  <c r="A3" i="19"/>
  <c r="A3" i="28"/>
  <c r="D51" i="5"/>
  <c r="D44" i="5"/>
  <c r="D97" i="28"/>
  <c r="E97" i="28" s="1"/>
  <c r="F97" i="28" s="1"/>
  <c r="G97" i="28" s="1"/>
  <c r="H97" i="28" s="1"/>
  <c r="I97" i="28" s="1"/>
  <c r="I62" i="28"/>
  <c r="A2" i="14"/>
  <c r="A2" i="1"/>
  <c r="A2" i="4"/>
  <c r="A2" i="2"/>
  <c r="A2" i="5"/>
  <c r="A2" i="17"/>
  <c r="A2" i="27"/>
  <c r="A2" i="10"/>
  <c r="A2" i="29"/>
  <c r="A2" i="11"/>
  <c r="A2" i="19"/>
  <c r="A2" i="21"/>
  <c r="A2" i="28"/>
  <c r="F72" i="4"/>
  <c r="G72" i="4"/>
  <c r="H72" i="4"/>
  <c r="I72" i="4"/>
  <c r="E72" i="4"/>
  <c r="E81" i="4" s="1"/>
  <c r="E93" i="4" s="1"/>
  <c r="F196" i="28"/>
  <c r="F195" i="28"/>
  <c r="A3" i="13"/>
  <c r="D60" i="19"/>
  <c r="E60" i="19"/>
  <c r="F60" i="19"/>
  <c r="F62" i="19"/>
  <c r="G60" i="19"/>
  <c r="G62" i="19"/>
  <c r="H60" i="19"/>
  <c r="H62" i="19"/>
  <c r="D62" i="19"/>
  <c r="E62" i="19"/>
  <c r="D67" i="19"/>
  <c r="E67" i="19"/>
  <c r="F67" i="19"/>
  <c r="G67" i="19"/>
  <c r="H67" i="19"/>
  <c r="E48" i="11"/>
  <c r="E67" i="11" s="1"/>
  <c r="F48" i="11"/>
  <c r="F67" i="11" s="1"/>
  <c r="G48" i="11"/>
  <c r="G67" i="11" s="1"/>
  <c r="H48" i="11"/>
  <c r="H67" i="11" s="1"/>
  <c r="D48" i="11"/>
  <c r="D67" i="11" s="1"/>
  <c r="E36" i="11"/>
  <c r="F36" i="11"/>
  <c r="G36" i="11"/>
  <c r="H36" i="11"/>
  <c r="D36" i="11"/>
  <c r="E44" i="11"/>
  <c r="F44" i="11"/>
  <c r="G44" i="11"/>
  <c r="H44" i="11"/>
  <c r="D44" i="11"/>
  <c r="E44" i="5"/>
  <c r="F44" i="5"/>
  <c r="G44" i="5"/>
  <c r="H44" i="5"/>
  <c r="D122" i="2"/>
  <c r="D131" i="2" s="1"/>
  <c r="E122" i="2"/>
  <c r="E131" i="2" s="1"/>
  <c r="F122" i="2"/>
  <c r="F131" i="2" s="1"/>
  <c r="G122" i="2"/>
  <c r="G131" i="2" s="1"/>
  <c r="H122" i="2"/>
  <c r="H131" i="2" s="1"/>
  <c r="H78" i="2"/>
  <c r="G78" i="2"/>
  <c r="F78" i="2"/>
  <c r="E78" i="2"/>
  <c r="D78" i="2"/>
  <c r="J77" i="2"/>
  <c r="J76" i="2"/>
  <c r="B51" i="1"/>
  <c r="D16" i="28"/>
  <c r="E16" i="28"/>
  <c r="F16" i="28"/>
  <c r="G16" i="28"/>
  <c r="H16" i="28"/>
  <c r="I16" i="28"/>
  <c r="J16" i="28"/>
  <c r="K16" i="28"/>
  <c r="L16" i="28"/>
  <c r="M16" i="28"/>
  <c r="N16" i="28"/>
  <c r="C16" i="28"/>
  <c r="C7" i="28"/>
  <c r="D52" i="19"/>
  <c r="E52" i="19" s="1"/>
  <c r="F52" i="19" s="1"/>
  <c r="F51" i="19" s="1"/>
  <c r="D109" i="2"/>
  <c r="D108" i="2" s="1"/>
  <c r="F200" i="28"/>
  <c r="F199" i="28"/>
  <c r="E228" i="28"/>
  <c r="F198" i="28" s="1"/>
  <c r="B228" i="28"/>
  <c r="F197" i="28" s="1"/>
  <c r="G137" i="28"/>
  <c r="D15" i="2"/>
  <c r="B32" i="1"/>
  <c r="J48" i="17"/>
  <c r="D40" i="19"/>
  <c r="D39" i="19"/>
  <c r="H23" i="19"/>
  <c r="G23" i="19"/>
  <c r="F23" i="19"/>
  <c r="E23" i="19"/>
  <c r="D23" i="19"/>
  <c r="H16" i="11"/>
  <c r="G16" i="11"/>
  <c r="F16" i="11"/>
  <c r="E16" i="11"/>
  <c r="D16" i="11"/>
  <c r="I20" i="29"/>
  <c r="H20" i="29"/>
  <c r="G20" i="29"/>
  <c r="F20" i="29"/>
  <c r="E20" i="29"/>
  <c r="F17" i="10"/>
  <c r="H9" i="27"/>
  <c r="G9" i="27"/>
  <c r="H63" i="27"/>
  <c r="G63" i="27"/>
  <c r="F63" i="27"/>
  <c r="E63" i="27"/>
  <c r="D63" i="27"/>
  <c r="E9" i="27"/>
  <c r="J54" i="17"/>
  <c r="J53" i="17"/>
  <c r="J52" i="17"/>
  <c r="J51" i="17"/>
  <c r="J50" i="17"/>
  <c r="J49" i="17"/>
  <c r="F56" i="17"/>
  <c r="I6" i="17"/>
  <c r="I5" i="17" s="1"/>
  <c r="I6" i="5"/>
  <c r="I5" i="5" s="1"/>
  <c r="H49" i="2"/>
  <c r="G49" i="2"/>
  <c r="F49" i="2"/>
  <c r="E49" i="2"/>
  <c r="D49" i="2"/>
  <c r="J48" i="2"/>
  <c r="J47" i="2"/>
  <c r="H15" i="2"/>
  <c r="G15" i="2"/>
  <c r="F15" i="2"/>
  <c r="E15" i="2"/>
  <c r="J14" i="2"/>
  <c r="J13" i="2"/>
  <c r="I6" i="2"/>
  <c r="I56" i="4"/>
  <c r="H56" i="4"/>
  <c r="G56" i="4"/>
  <c r="F56" i="4"/>
  <c r="E56" i="4"/>
  <c r="I37" i="4"/>
  <c r="H37" i="4"/>
  <c r="G37" i="4"/>
  <c r="F37" i="4"/>
  <c r="E37" i="4"/>
  <c r="B63" i="1"/>
  <c r="B60" i="1"/>
  <c r="B59" i="1"/>
  <c r="B42" i="1"/>
  <c r="B41" i="1"/>
  <c r="B34" i="1"/>
  <c r="B33" i="1"/>
  <c r="B31" i="1"/>
  <c r="B30" i="1"/>
  <c r="B13" i="1"/>
  <c r="B12" i="1"/>
  <c r="J6" i="1"/>
  <c r="G135" i="28"/>
  <c r="G133" i="28"/>
  <c r="G132" i="28"/>
  <c r="G131" i="28"/>
  <c r="F9" i="27"/>
  <c r="H56" i="17"/>
  <c r="G56" i="17"/>
  <c r="J47" i="17"/>
  <c r="D6" i="17"/>
  <c r="D5" i="17" s="1"/>
  <c r="D6" i="19"/>
  <c r="D5" i="19" s="1"/>
  <c r="D6" i="2"/>
  <c r="D6" i="11"/>
  <c r="D5" i="11" s="1"/>
  <c r="D6" i="27"/>
  <c r="D5" i="27" s="1"/>
  <c r="F6" i="10"/>
  <c r="F5" i="10" s="1"/>
  <c r="B23" i="1"/>
  <c r="G21" i="4"/>
  <c r="H21" i="4"/>
  <c r="I21" i="4"/>
  <c r="E201" i="28" l="1"/>
  <c r="O87" i="28"/>
  <c r="C78" i="1"/>
  <c r="C79" i="1"/>
  <c r="E34" i="28"/>
  <c r="F34" i="28"/>
  <c r="D166" i="2" s="1"/>
  <c r="G34" i="28"/>
  <c r="H34" i="28"/>
  <c r="I34" i="28"/>
  <c r="J34" i="28"/>
  <c r="K34" i="28"/>
  <c r="L34" i="28"/>
  <c r="F30" i="10"/>
  <c r="E134" i="28"/>
  <c r="F134" i="28" s="1"/>
  <c r="C15" i="4"/>
  <c r="E58" i="4"/>
  <c r="E60" i="4" s="1"/>
  <c r="B15" i="4"/>
  <c r="C13" i="4"/>
  <c r="F36" i="28"/>
  <c r="F35" i="28"/>
  <c r="E35" i="28"/>
  <c r="E36" i="28"/>
  <c r="H87" i="28"/>
  <c r="D12" i="5"/>
  <c r="E6" i="27"/>
  <c r="F6" i="27" s="1"/>
  <c r="F5" i="27" s="1"/>
  <c r="J22" i="5"/>
  <c r="J71" i="5"/>
  <c r="E131" i="28"/>
  <c r="F131" i="28" s="1"/>
  <c r="D38" i="2"/>
  <c r="D19" i="2"/>
  <c r="J44" i="5"/>
  <c r="L20" i="28"/>
  <c r="F24" i="10"/>
  <c r="B45" i="2"/>
  <c r="B11" i="2"/>
  <c r="E6" i="19"/>
  <c r="E5" i="19" s="1"/>
  <c r="D51" i="19"/>
  <c r="D5" i="1"/>
  <c r="D5" i="2"/>
  <c r="E78" i="4"/>
  <c r="E79" i="4" s="1"/>
  <c r="E203" i="28"/>
  <c r="J62" i="28"/>
  <c r="I87" i="28"/>
  <c r="Q62" i="28"/>
  <c r="P87" i="28"/>
  <c r="E19" i="2"/>
  <c r="C164" i="2"/>
  <c r="H78" i="4"/>
  <c r="H79" i="4" s="1"/>
  <c r="I81" i="4"/>
  <c r="I93" i="4" s="1"/>
  <c r="I78" i="4"/>
  <c r="I79" i="4" s="1"/>
  <c r="G81" i="4"/>
  <c r="G93" i="4" s="1"/>
  <c r="G78" i="4"/>
  <c r="G79" i="4" s="1"/>
  <c r="F78" i="4"/>
  <c r="F79" i="4" s="1"/>
  <c r="E6" i="5"/>
  <c r="E12" i="5" s="1"/>
  <c r="E71" i="1" s="1"/>
  <c r="D5" i="5"/>
  <c r="D90" i="2"/>
  <c r="D91" i="2"/>
  <c r="G90" i="2"/>
  <c r="G91" i="2"/>
  <c r="E91" i="2"/>
  <c r="E90" i="2"/>
  <c r="H91" i="2"/>
  <c r="H90" i="2"/>
  <c r="F90" i="2"/>
  <c r="F91" i="2"/>
  <c r="D66" i="2"/>
  <c r="G66" i="2"/>
  <c r="E66" i="2"/>
  <c r="H66" i="2"/>
  <c r="F66" i="2"/>
  <c r="F37" i="2"/>
  <c r="H37" i="2"/>
  <c r="D37" i="2"/>
  <c r="G37" i="2"/>
  <c r="E37" i="2"/>
  <c r="F6" i="4"/>
  <c r="F66" i="4" s="1"/>
  <c r="H163" i="2"/>
  <c r="H197" i="2" s="1"/>
  <c r="F82" i="2"/>
  <c r="D56" i="17"/>
  <c r="E56" i="17"/>
  <c r="G47" i="11"/>
  <c r="G66" i="11" s="1"/>
  <c r="D47" i="11"/>
  <c r="D66" i="11" s="1"/>
  <c r="F47" i="11"/>
  <c r="F66" i="11" s="1"/>
  <c r="E47" i="11"/>
  <c r="E66" i="11" s="1"/>
  <c r="H47" i="11"/>
  <c r="H66" i="11" s="1"/>
  <c r="B22" i="1"/>
  <c r="H20" i="2"/>
  <c r="H42" i="2" s="1"/>
  <c r="J49" i="2"/>
  <c r="F19" i="2"/>
  <c r="H83" i="2"/>
  <c r="G83" i="2"/>
  <c r="E83" i="2"/>
  <c r="J15" i="2"/>
  <c r="J78" i="2"/>
  <c r="D163" i="2"/>
  <c r="D197" i="2" s="1"/>
  <c r="G20" i="2"/>
  <c r="G42" i="2" s="1"/>
  <c r="E20" i="2"/>
  <c r="E42" i="2" s="1"/>
  <c r="F83" i="2"/>
  <c r="H54" i="2"/>
  <c r="H71" i="2" s="1"/>
  <c r="F54" i="2"/>
  <c r="F6" i="29"/>
  <c r="F5" i="29" s="1"/>
  <c r="D54" i="2"/>
  <c r="D53" i="2"/>
  <c r="D82" i="2"/>
  <c r="G6" i="10"/>
  <c r="G5" i="10" s="1"/>
  <c r="E6" i="17"/>
  <c r="E5" i="17" s="1"/>
  <c r="E6" i="2"/>
  <c r="E6" i="11"/>
  <c r="E51" i="19"/>
  <c r="F32" i="28"/>
  <c r="E66" i="4"/>
  <c r="E5" i="4"/>
  <c r="G52" i="19"/>
  <c r="G33" i="28"/>
  <c r="G36" i="28" s="1"/>
  <c r="E109" i="2"/>
  <c r="E108" i="2" s="1"/>
  <c r="H45" i="29"/>
  <c r="G82" i="2"/>
  <c r="D69" i="27"/>
  <c r="F69" i="27"/>
  <c r="F45" i="29"/>
  <c r="E6" i="1"/>
  <c r="F6" i="1" s="1"/>
  <c r="F5" i="1" s="1"/>
  <c r="G54" i="28"/>
  <c r="H54" i="28" s="1"/>
  <c r="O79" i="28"/>
  <c r="P91" i="28"/>
  <c r="O85" i="28"/>
  <c r="P77" i="28"/>
  <c r="O77" i="28"/>
  <c r="O88" i="28"/>
  <c r="O82" i="28"/>
  <c r="O86" i="28"/>
  <c r="P78" i="28"/>
  <c r="P84" i="28"/>
  <c r="P90" i="28"/>
  <c r="O81" i="28"/>
  <c r="O91" i="28"/>
  <c r="P88" i="28"/>
  <c r="O84" i="28"/>
  <c r="O83" i="28"/>
  <c r="P85" i="28"/>
  <c r="O80" i="28"/>
  <c r="O78" i="28"/>
  <c r="P83" i="28"/>
  <c r="P86" i="28"/>
  <c r="P82" i="28"/>
  <c r="P81" i="28"/>
  <c r="P80" i="28"/>
  <c r="O90" i="28"/>
  <c r="P79" i="28"/>
  <c r="H77" i="28"/>
  <c r="H86" i="28"/>
  <c r="H78" i="28"/>
  <c r="I88" i="28"/>
  <c r="I79" i="28"/>
  <c r="H85" i="28"/>
  <c r="I86" i="28"/>
  <c r="I78" i="28"/>
  <c r="G41" i="28"/>
  <c r="H41" i="28" s="1"/>
  <c r="I41" i="28" s="1"/>
  <c r="H84" i="28"/>
  <c r="I85" i="28"/>
  <c r="H83" i="28"/>
  <c r="I84" i="28"/>
  <c r="H81" i="28"/>
  <c r="H91" i="28"/>
  <c r="H82" i="28"/>
  <c r="I77" i="28"/>
  <c r="I83" i="28"/>
  <c r="H90" i="28"/>
  <c r="I91" i="28"/>
  <c r="H80" i="28"/>
  <c r="I90" i="28"/>
  <c r="I81" i="28"/>
  <c r="H88" i="28"/>
  <c r="H79" i="28"/>
  <c r="I80" i="28"/>
  <c r="I82" i="28"/>
  <c r="H63" i="17"/>
  <c r="H58" i="4"/>
  <c r="H60" i="4" s="1"/>
  <c r="F58" i="4"/>
  <c r="F60" i="4" s="1"/>
  <c r="I58" i="4"/>
  <c r="I60" i="4" s="1"/>
  <c r="G58" i="4"/>
  <c r="G60" i="4" s="1"/>
  <c r="B52" i="1"/>
  <c r="G19" i="2"/>
  <c r="H82" i="2"/>
  <c r="E136" i="28"/>
  <c r="F136" i="28" s="1"/>
  <c r="D20" i="2"/>
  <c r="H19" i="2"/>
  <c r="E82" i="2"/>
  <c r="D83" i="2"/>
  <c r="H53" i="2"/>
  <c r="D63" i="17"/>
  <c r="G63" i="17"/>
  <c r="J36" i="10"/>
  <c r="I36" i="10"/>
  <c r="F53" i="2"/>
  <c r="E135" i="28"/>
  <c r="F135" i="28" s="1"/>
  <c r="E202" i="28"/>
  <c r="E199" i="28"/>
  <c r="E63" i="17"/>
  <c r="G36" i="10"/>
  <c r="F20" i="2"/>
  <c r="F42" i="2" s="1"/>
  <c r="G54" i="2"/>
  <c r="G71" i="2" s="1"/>
  <c r="G53" i="2"/>
  <c r="E196" i="28"/>
  <c r="B128" i="28"/>
  <c r="E195" i="28"/>
  <c r="E138" i="28"/>
  <c r="F138" i="28" s="1"/>
  <c r="E137" i="28"/>
  <c r="F137" i="28" s="1"/>
  <c r="E198" i="28"/>
  <c r="E200" i="28"/>
  <c r="E132" i="28"/>
  <c r="F132" i="28" s="1"/>
  <c r="E133" i="28"/>
  <c r="F133" i="28" s="1"/>
  <c r="E197" i="28"/>
  <c r="E54" i="2"/>
  <c r="E53" i="2"/>
  <c r="G45" i="29"/>
  <c r="D76" i="27"/>
  <c r="F36" i="10"/>
  <c r="G69" i="27"/>
  <c r="E69" i="27"/>
  <c r="G76" i="27"/>
  <c r="E76" i="27"/>
  <c r="F76" i="27"/>
  <c r="H69" i="27"/>
  <c r="I45" i="29"/>
  <c r="H76" i="27"/>
  <c r="E45" i="29"/>
  <c r="F63" i="17"/>
  <c r="Q76" i="28" l="1"/>
  <c r="J81" i="28"/>
  <c r="E166" i="2"/>
  <c r="D167" i="2"/>
  <c r="B135" i="28"/>
  <c r="B17" i="5" s="1"/>
  <c r="B75" i="1" s="1"/>
  <c r="B136" i="28"/>
  <c r="B18" i="5" s="1"/>
  <c r="B76" i="1" s="1"/>
  <c r="B137" i="28"/>
  <c r="B19" i="5" s="1"/>
  <c r="B77" i="1" s="1"/>
  <c r="B134" i="28"/>
  <c r="B16" i="5" s="1"/>
  <c r="B74" i="1" s="1"/>
  <c r="B138" i="28"/>
  <c r="B20" i="5" s="1"/>
  <c r="B78" i="1" s="1"/>
  <c r="B139" i="28"/>
  <c r="B21" i="5" s="1"/>
  <c r="B79" i="1" s="1"/>
  <c r="B132" i="28"/>
  <c r="B14" i="5" s="1"/>
  <c r="B72" i="1" s="1"/>
  <c r="B133" i="28"/>
  <c r="B15" i="5" s="1"/>
  <c r="B73" i="1" s="1"/>
  <c r="E5" i="27"/>
  <c r="G6" i="27"/>
  <c r="G35" i="28"/>
  <c r="F6" i="19"/>
  <c r="F5" i="19" s="1"/>
  <c r="D71" i="1"/>
  <c r="C19" i="5"/>
  <c r="C20" i="5"/>
  <c r="F6" i="5"/>
  <c r="J77" i="28"/>
  <c r="E26" i="10"/>
  <c r="C38" i="2"/>
  <c r="C67" i="2"/>
  <c r="C66" i="2"/>
  <c r="C24" i="2"/>
  <c r="C25" i="2"/>
  <c r="C26" i="2"/>
  <c r="C27" i="2"/>
  <c r="C28" i="2"/>
  <c r="C37" i="2"/>
  <c r="P331" i="28"/>
  <c r="P339" i="28"/>
  <c r="P321" i="28"/>
  <c r="P334" i="28"/>
  <c r="P342" i="28"/>
  <c r="P318" i="28"/>
  <c r="P326" i="28"/>
  <c r="P337" i="28"/>
  <c r="P323" i="28"/>
  <c r="P332" i="28"/>
  <c r="P340" i="28"/>
  <c r="P320" i="28"/>
  <c r="P328" i="28"/>
  <c r="P335" i="28"/>
  <c r="P343" i="28"/>
  <c r="P317" i="28"/>
  <c r="P325" i="28"/>
  <c r="P322" i="28"/>
  <c r="P341" i="28"/>
  <c r="P327" i="28"/>
  <c r="P336" i="28"/>
  <c r="P316" i="28"/>
  <c r="P315" i="28"/>
  <c r="P329" i="28"/>
  <c r="P338" i="28"/>
  <c r="P333" i="28"/>
  <c r="P319" i="28"/>
  <c r="P324" i="28"/>
  <c r="P330" i="28"/>
  <c r="O334" i="28"/>
  <c r="O342" i="28"/>
  <c r="O318" i="28"/>
  <c r="O326" i="28"/>
  <c r="O337" i="28"/>
  <c r="O323" i="28"/>
  <c r="O332" i="28"/>
  <c r="O340" i="28"/>
  <c r="O329" i="28"/>
  <c r="O320" i="28"/>
  <c r="O328" i="28"/>
  <c r="O335" i="28"/>
  <c r="O343" i="28"/>
  <c r="O317" i="28"/>
  <c r="O325" i="28"/>
  <c r="O315" i="28"/>
  <c r="O322" i="28"/>
  <c r="O333" i="28"/>
  <c r="O341" i="28"/>
  <c r="O319" i="28"/>
  <c r="O336" i="28"/>
  <c r="O324" i="28"/>
  <c r="O339" i="28"/>
  <c r="O338" i="28"/>
  <c r="O327" i="28"/>
  <c r="O316" i="28"/>
  <c r="O321" i="28"/>
  <c r="O330" i="28"/>
  <c r="O331" i="28"/>
  <c r="R319" i="28"/>
  <c r="R327" i="28"/>
  <c r="R316" i="28"/>
  <c r="R324" i="28"/>
  <c r="R315" i="28"/>
  <c r="R321" i="28"/>
  <c r="R318" i="28"/>
  <c r="R326" i="28"/>
  <c r="R328" i="28"/>
  <c r="R317" i="28"/>
  <c r="R322" i="28"/>
  <c r="R323" i="28"/>
  <c r="R320" i="28"/>
  <c r="R325" i="28"/>
  <c r="N334" i="28"/>
  <c r="N342" i="28"/>
  <c r="N335" i="28"/>
  <c r="N343" i="28"/>
  <c r="N336" i="28"/>
  <c r="N329" i="28"/>
  <c r="N337" i="28"/>
  <c r="N338" i="28"/>
  <c r="N339" i="28"/>
  <c r="N332" i="28"/>
  <c r="N341" i="28"/>
  <c r="N330" i="28"/>
  <c r="N331" i="28"/>
  <c r="N340" i="28"/>
  <c r="N333" i="28"/>
  <c r="M335" i="28"/>
  <c r="M343" i="28"/>
  <c r="M336" i="28"/>
  <c r="M329" i="28"/>
  <c r="M337" i="28"/>
  <c r="M330" i="28"/>
  <c r="M338" i="28"/>
  <c r="M339" i="28"/>
  <c r="M340" i="28"/>
  <c r="M333" i="28"/>
  <c r="M342" i="28"/>
  <c r="M331" i="28"/>
  <c r="M332" i="28"/>
  <c r="M341" i="28"/>
  <c r="M334" i="28"/>
  <c r="Q336" i="28"/>
  <c r="Q316" i="28"/>
  <c r="Q324" i="28"/>
  <c r="Q315" i="28"/>
  <c r="Q331" i="28"/>
  <c r="Q339" i="28"/>
  <c r="Q321" i="28"/>
  <c r="Q334" i="28"/>
  <c r="Q342" i="28"/>
  <c r="Q318" i="28"/>
  <c r="Q326" i="28"/>
  <c r="Q337" i="28"/>
  <c r="Q323" i="28"/>
  <c r="Q332" i="28"/>
  <c r="Q340" i="28"/>
  <c r="Q320" i="28"/>
  <c r="Q328" i="28"/>
  <c r="Q325" i="28"/>
  <c r="Q319" i="28"/>
  <c r="Q335" i="28"/>
  <c r="Q343" i="28"/>
  <c r="Q317" i="28"/>
  <c r="Q338" i="28"/>
  <c r="Q322" i="28"/>
  <c r="Q333" i="28"/>
  <c r="Q341" i="28"/>
  <c r="Q327" i="28"/>
  <c r="Q329" i="28"/>
  <c r="Q330" i="28"/>
  <c r="S322" i="28"/>
  <c r="S319" i="28"/>
  <c r="S327" i="28"/>
  <c r="S316" i="28"/>
  <c r="S324" i="28"/>
  <c r="S315" i="28"/>
  <c r="S321" i="28"/>
  <c r="S318" i="28"/>
  <c r="S320" i="28"/>
  <c r="S325" i="28"/>
  <c r="S326" i="28"/>
  <c r="S323" i="28"/>
  <c r="S328" i="28"/>
  <c r="S317" i="28"/>
  <c r="F27" i="10"/>
  <c r="M20" i="28"/>
  <c r="N20" i="28" s="1"/>
  <c r="G15" i="10"/>
  <c r="G17" i="10" s="1"/>
  <c r="G24" i="10" s="1"/>
  <c r="M371" i="28"/>
  <c r="M372" i="28"/>
  <c r="M373" i="28"/>
  <c r="M366" i="28"/>
  <c r="M375" i="28"/>
  <c r="M368" i="28"/>
  <c r="M376" i="28"/>
  <c r="M369" i="28"/>
  <c r="M377" i="28"/>
  <c r="M365" i="28"/>
  <c r="M367" i="28"/>
  <c r="M370" i="28"/>
  <c r="M378" i="28"/>
  <c r="M364" i="28"/>
  <c r="M374" i="28"/>
  <c r="Q355" i="28"/>
  <c r="Q371" i="28"/>
  <c r="Q354" i="28"/>
  <c r="Q358" i="28"/>
  <c r="Q362" i="28"/>
  <c r="Q366" i="28"/>
  <c r="Q370" i="28"/>
  <c r="Q378" i="28"/>
  <c r="Q363" i="28"/>
  <c r="Q375" i="28"/>
  <c r="Q352" i="28"/>
  <c r="Q356" i="28"/>
  <c r="Q360" i="28"/>
  <c r="Q364" i="28"/>
  <c r="Q368" i="28"/>
  <c r="Q372" i="28"/>
  <c r="Q376" i="28"/>
  <c r="Q367" i="28"/>
  <c r="Q351" i="28"/>
  <c r="Q359" i="28"/>
  <c r="Q350" i="28"/>
  <c r="Q353" i="28"/>
  <c r="Q357" i="28"/>
  <c r="Q361" i="28"/>
  <c r="Q365" i="28"/>
  <c r="Q369" i="28"/>
  <c r="Q373" i="28"/>
  <c r="Q377" i="28"/>
  <c r="Q374" i="28"/>
  <c r="P360" i="28"/>
  <c r="P351" i="28"/>
  <c r="P355" i="28"/>
  <c r="P359" i="28"/>
  <c r="P363" i="28"/>
  <c r="P367" i="28"/>
  <c r="P371" i="28"/>
  <c r="P350" i="28"/>
  <c r="P364" i="28"/>
  <c r="P372" i="28"/>
  <c r="P356" i="28"/>
  <c r="P353" i="28"/>
  <c r="P357" i="28"/>
  <c r="P361" i="28"/>
  <c r="P365" i="28"/>
  <c r="P369" i="28"/>
  <c r="P373" i="28"/>
  <c r="P377" i="28"/>
  <c r="P375" i="28"/>
  <c r="P376" i="28"/>
  <c r="P354" i="28"/>
  <c r="P358" i="28"/>
  <c r="P362" i="28"/>
  <c r="P366" i="28"/>
  <c r="P370" i="28"/>
  <c r="P378" i="28"/>
  <c r="P352" i="28"/>
  <c r="P368" i="28"/>
  <c r="P374" i="28"/>
  <c r="S351" i="28"/>
  <c r="S355" i="28"/>
  <c r="S359" i="28"/>
  <c r="S363" i="28"/>
  <c r="S360" i="28"/>
  <c r="S352" i="28"/>
  <c r="S353" i="28"/>
  <c r="S357" i="28"/>
  <c r="S361" i="28"/>
  <c r="S350" i="28"/>
  <c r="S356" i="28"/>
  <c r="S354" i="28"/>
  <c r="S358" i="28"/>
  <c r="S362" i="28"/>
  <c r="O356" i="28"/>
  <c r="O357" i="28"/>
  <c r="O354" i="28"/>
  <c r="O362" i="28"/>
  <c r="O370" i="28"/>
  <c r="O378" i="28"/>
  <c r="O363" i="28"/>
  <c r="O350" i="28"/>
  <c r="O364" i="28"/>
  <c r="O365" i="28"/>
  <c r="O358" i="28"/>
  <c r="O366" i="28"/>
  <c r="O372" i="28"/>
  <c r="O351" i="28"/>
  <c r="O359" i="28"/>
  <c r="O367" i="28"/>
  <c r="O375" i="28"/>
  <c r="O377" i="28"/>
  <c r="O352" i="28"/>
  <c r="O360" i="28"/>
  <c r="O368" i="28"/>
  <c r="O376" i="28"/>
  <c r="O353" i="28"/>
  <c r="O361" i="28"/>
  <c r="O369" i="28"/>
  <c r="O355" i="28"/>
  <c r="O371" i="28"/>
  <c r="O373" i="28"/>
  <c r="O374" i="28"/>
  <c r="N373" i="28"/>
  <c r="N371" i="28"/>
  <c r="N364" i="28"/>
  <c r="N367" i="28"/>
  <c r="N375" i="28"/>
  <c r="N366" i="28"/>
  <c r="N368" i="28"/>
  <c r="N376" i="28"/>
  <c r="N378" i="28"/>
  <c r="N365" i="28"/>
  <c r="N369" i="28"/>
  <c r="N377" i="28"/>
  <c r="N370" i="28"/>
  <c r="N372" i="28"/>
  <c r="N374" i="28"/>
  <c r="R351" i="28"/>
  <c r="R356" i="28"/>
  <c r="R360" i="28"/>
  <c r="R352" i="28"/>
  <c r="R361" i="28"/>
  <c r="R353" i="28"/>
  <c r="R350" i="28"/>
  <c r="R354" i="28"/>
  <c r="R358" i="28"/>
  <c r="R362" i="28"/>
  <c r="R357" i="28"/>
  <c r="R355" i="28"/>
  <c r="R359" i="28"/>
  <c r="R363" i="28"/>
  <c r="Q90" i="28"/>
  <c r="Q72" i="28"/>
  <c r="Q70" i="28"/>
  <c r="Q68" i="28"/>
  <c r="Q88" i="28"/>
  <c r="Q82" i="28"/>
  <c r="Q80" i="28"/>
  <c r="H6" i="10"/>
  <c r="H5" i="10" s="1"/>
  <c r="G27" i="10"/>
  <c r="Q78" i="28"/>
  <c r="Q75" i="28"/>
  <c r="Q64" i="28"/>
  <c r="Q81" i="28"/>
  <c r="Q67" i="28"/>
  <c r="Q77" i="28"/>
  <c r="Q79" i="28"/>
  <c r="Q73" i="28"/>
  <c r="Q83" i="28"/>
  <c r="Q66" i="28"/>
  <c r="Q74" i="28"/>
  <c r="Q63" i="28"/>
  <c r="Q71" i="28"/>
  <c r="Q65" i="28"/>
  <c r="Q86" i="28"/>
  <c r="Q91" i="28"/>
  <c r="Q69" i="28"/>
  <c r="Q85" i="28"/>
  <c r="Q84" i="28"/>
  <c r="J69" i="28"/>
  <c r="J63" i="28"/>
  <c r="J85" i="28"/>
  <c r="H41" i="2"/>
  <c r="E82" i="4"/>
  <c r="E94" i="4" s="1"/>
  <c r="G41" i="2"/>
  <c r="C35" i="2"/>
  <c r="J79" i="28"/>
  <c r="J82" i="28"/>
  <c r="J74" i="28"/>
  <c r="J90" i="28"/>
  <c r="J84" i="28"/>
  <c r="J86" i="28"/>
  <c r="H82" i="4"/>
  <c r="F82" i="4"/>
  <c r="G82" i="4"/>
  <c r="I82" i="4"/>
  <c r="F41" i="2"/>
  <c r="E41" i="2"/>
  <c r="E43" i="2" s="1"/>
  <c r="B198" i="28"/>
  <c r="B199" i="28"/>
  <c r="B200" i="28"/>
  <c r="B201" i="28"/>
  <c r="B202" i="28"/>
  <c r="B196" i="28"/>
  <c r="B197" i="28"/>
  <c r="B203" i="28"/>
  <c r="B70" i="5" s="1"/>
  <c r="J83" i="28"/>
  <c r="J68" i="28"/>
  <c r="J91" i="28"/>
  <c r="J70" i="28"/>
  <c r="J72" i="28"/>
  <c r="J65" i="28"/>
  <c r="J80" i="28"/>
  <c r="C89" i="1"/>
  <c r="C102" i="2"/>
  <c r="C87" i="1"/>
  <c r="J88" i="28"/>
  <c r="J67" i="28"/>
  <c r="J76" i="28"/>
  <c r="J64" i="28"/>
  <c r="J78" i="28"/>
  <c r="J66" i="28"/>
  <c r="J75" i="28"/>
  <c r="J73" i="28"/>
  <c r="J71" i="28"/>
  <c r="D67" i="29"/>
  <c r="D69" i="29"/>
  <c r="C23" i="19"/>
  <c r="C94" i="2"/>
  <c r="C66" i="5"/>
  <c r="C12" i="5"/>
  <c r="C15" i="2"/>
  <c r="E20" i="10"/>
  <c r="C103" i="2"/>
  <c r="C19" i="2"/>
  <c r="C22" i="5"/>
  <c r="C82" i="2"/>
  <c r="C14" i="5"/>
  <c r="C96" i="2"/>
  <c r="C93" i="1"/>
  <c r="E43" i="10"/>
  <c r="C48" i="2"/>
  <c r="C16" i="5"/>
  <c r="C71" i="5"/>
  <c r="C72" i="2"/>
  <c r="D64" i="29"/>
  <c r="E12" i="10"/>
  <c r="D70" i="29"/>
  <c r="C68" i="5"/>
  <c r="C86" i="1"/>
  <c r="C88" i="1"/>
  <c r="C14" i="2"/>
  <c r="C91" i="1"/>
  <c r="E19" i="10"/>
  <c r="C43" i="2"/>
  <c r="E40" i="10"/>
  <c r="E41" i="10"/>
  <c r="D62" i="29"/>
  <c r="E39" i="10"/>
  <c r="E44" i="10"/>
  <c r="C56" i="5"/>
  <c r="C74" i="1"/>
  <c r="D40" i="29"/>
  <c r="C85" i="1"/>
  <c r="C81" i="1"/>
  <c r="C54" i="2"/>
  <c r="C78" i="2"/>
  <c r="C70" i="1"/>
  <c r="C21" i="19"/>
  <c r="E21" i="10"/>
  <c r="C90" i="1"/>
  <c r="C88" i="2"/>
  <c r="C49" i="2"/>
  <c r="C69" i="5"/>
  <c r="E45" i="10"/>
  <c r="C76" i="2"/>
  <c r="E18" i="10"/>
  <c r="C77" i="2"/>
  <c r="C97" i="1"/>
  <c r="C20" i="2"/>
  <c r="C18" i="19"/>
  <c r="E23" i="10"/>
  <c r="C57" i="2"/>
  <c r="C15" i="5"/>
  <c r="C70" i="5"/>
  <c r="C83" i="1"/>
  <c r="C73" i="1"/>
  <c r="C96" i="1"/>
  <c r="C59" i="2"/>
  <c r="C17" i="5"/>
  <c r="C80" i="1"/>
  <c r="C45" i="5"/>
  <c r="D60" i="29"/>
  <c r="C71" i="1"/>
  <c r="E22" i="10"/>
  <c r="C94" i="1"/>
  <c r="E24" i="10"/>
  <c r="C72" i="1"/>
  <c r="C83" i="2"/>
  <c r="C53" i="2"/>
  <c r="C47" i="2"/>
  <c r="C87" i="2"/>
  <c r="B67" i="1"/>
  <c r="C77" i="1"/>
  <c r="C69" i="1"/>
  <c r="C18" i="5"/>
  <c r="E17" i="10"/>
  <c r="E15" i="10"/>
  <c r="D56" i="29"/>
  <c r="C92" i="1"/>
  <c r="D52" i="29"/>
  <c r="C76" i="1"/>
  <c r="E16" i="10"/>
  <c r="C101" i="2"/>
  <c r="C67" i="5"/>
  <c r="C13" i="2"/>
  <c r="C84" i="1"/>
  <c r="C22" i="19"/>
  <c r="C75" i="1"/>
  <c r="C54" i="19"/>
  <c r="R62" i="28"/>
  <c r="Q87" i="28"/>
  <c r="K62" i="28"/>
  <c r="J87" i="28"/>
  <c r="C58" i="2"/>
  <c r="C57" i="5"/>
  <c r="C42" i="2"/>
  <c r="C41" i="5"/>
  <c r="C70" i="2"/>
  <c r="C49" i="5"/>
  <c r="C30" i="2"/>
  <c r="C21" i="5"/>
  <c r="C42" i="5"/>
  <c r="C23" i="2"/>
  <c r="C86" i="2"/>
  <c r="C52" i="5"/>
  <c r="C71" i="2"/>
  <c r="C29" i="2"/>
  <c r="C43" i="5"/>
  <c r="C95" i="2"/>
  <c r="C41" i="2"/>
  <c r="C82" i="1"/>
  <c r="C58" i="5"/>
  <c r="C44" i="5"/>
  <c r="C63" i="2"/>
  <c r="C33" i="2"/>
  <c r="C34" i="2"/>
  <c r="C55" i="5"/>
  <c r="C50" i="5"/>
  <c r="C59" i="5"/>
  <c r="C64" i="2"/>
  <c r="C62" i="2"/>
  <c r="C48" i="5"/>
  <c r="C51" i="5"/>
  <c r="H95" i="2"/>
  <c r="H102" i="2" s="1"/>
  <c r="H70" i="1" s="1"/>
  <c r="H81" i="4"/>
  <c r="H93" i="4" s="1"/>
  <c r="F81" i="4"/>
  <c r="F93" i="4" s="1"/>
  <c r="J56" i="17"/>
  <c r="E95" i="2"/>
  <c r="F5" i="4"/>
  <c r="G6" i="4"/>
  <c r="E71" i="2"/>
  <c r="D41" i="2"/>
  <c r="F95" i="2"/>
  <c r="G95" i="2"/>
  <c r="G102" i="2" s="1"/>
  <c r="G70" i="1" s="1"/>
  <c r="D42" i="2"/>
  <c r="E82" i="1"/>
  <c r="D82" i="1"/>
  <c r="G6" i="1"/>
  <c r="G5" i="1" s="1"/>
  <c r="E5" i="1"/>
  <c r="E5" i="5"/>
  <c r="D95" i="2"/>
  <c r="D94" i="2"/>
  <c r="E94" i="2"/>
  <c r="F94" i="2"/>
  <c r="G94" i="2"/>
  <c r="H94" i="2"/>
  <c r="J91" i="2"/>
  <c r="F71" i="2"/>
  <c r="J90" i="2"/>
  <c r="J38" i="2"/>
  <c r="F70" i="2"/>
  <c r="E70" i="2"/>
  <c r="H70" i="2"/>
  <c r="G70" i="2"/>
  <c r="G72" i="2" s="1"/>
  <c r="D71" i="2"/>
  <c r="J67" i="2"/>
  <c r="D70" i="2"/>
  <c r="J66" i="2"/>
  <c r="J37" i="2"/>
  <c r="G163" i="2"/>
  <c r="G197" i="2" s="1"/>
  <c r="F163" i="2"/>
  <c r="F197" i="2" s="1"/>
  <c r="E163" i="2"/>
  <c r="E197" i="2" s="1"/>
  <c r="G6" i="29"/>
  <c r="G5" i="29" s="1"/>
  <c r="E5" i="2"/>
  <c r="F6" i="2"/>
  <c r="F6" i="17"/>
  <c r="G5" i="27"/>
  <c r="H6" i="27"/>
  <c r="H5" i="27" s="1"/>
  <c r="E5" i="11"/>
  <c r="F6" i="11"/>
  <c r="F109" i="2"/>
  <c r="G32" i="28"/>
  <c r="H33" i="28"/>
  <c r="H52" i="19"/>
  <c r="H51" i="19" s="1"/>
  <c r="G51" i="19"/>
  <c r="J82" i="2"/>
  <c r="J19" i="2"/>
  <c r="I54" i="28"/>
  <c r="J83" i="2"/>
  <c r="J20" i="2"/>
  <c r="H15" i="4"/>
  <c r="D81" i="1"/>
  <c r="D80" i="1"/>
  <c r="E15" i="4"/>
  <c r="E19" i="4" s="1"/>
  <c r="E21" i="4" s="1"/>
  <c r="J54" i="2"/>
  <c r="G15" i="4"/>
  <c r="F15" i="4"/>
  <c r="F19" i="4" s="1"/>
  <c r="F21" i="4" s="1"/>
  <c r="J53" i="2"/>
  <c r="I15" i="4"/>
  <c r="K85" i="28" l="1"/>
  <c r="E167" i="2"/>
  <c r="B50" i="1"/>
  <c r="B21" i="1"/>
  <c r="B20" i="1"/>
  <c r="B49" i="1"/>
  <c r="F166" i="2"/>
  <c r="G6" i="19"/>
  <c r="G5" i="19" s="1"/>
  <c r="H36" i="28"/>
  <c r="F32" i="10" s="1"/>
  <c r="H35" i="28"/>
  <c r="D199" i="2"/>
  <c r="D198" i="2"/>
  <c r="F12" i="5"/>
  <c r="F5" i="5"/>
  <c r="G6" i="5"/>
  <c r="F34" i="10"/>
  <c r="F35" i="10"/>
  <c r="H6" i="1"/>
  <c r="H5" i="1" s="1"/>
  <c r="C10" i="28"/>
  <c r="C11" i="28"/>
  <c r="H15" i="10"/>
  <c r="H17" i="10" s="1"/>
  <c r="H24" i="10" s="1"/>
  <c r="H27" i="10" s="1"/>
  <c r="I6" i="10"/>
  <c r="I5" i="10" s="1"/>
  <c r="K81" i="1"/>
  <c r="G5" i="4"/>
  <c r="K64" i="28"/>
  <c r="H6" i="4"/>
  <c r="H5" i="4" s="1"/>
  <c r="G66" i="4"/>
  <c r="K73" i="28"/>
  <c r="K67" i="28"/>
  <c r="K90" i="28"/>
  <c r="K70" i="28"/>
  <c r="K66" i="28"/>
  <c r="K88" i="28"/>
  <c r="K63" i="28"/>
  <c r="K80" i="28"/>
  <c r="K71" i="28"/>
  <c r="K65" i="28"/>
  <c r="K75" i="28"/>
  <c r="K84" i="28"/>
  <c r="K82" i="28"/>
  <c r="K74" i="28"/>
  <c r="K78" i="28"/>
  <c r="K91" i="28"/>
  <c r="K69" i="28"/>
  <c r="K79" i="28"/>
  <c r="K81" i="28"/>
  <c r="K72" i="28"/>
  <c r="K83" i="28"/>
  <c r="K68" i="28"/>
  <c r="K76" i="28"/>
  <c r="L62" i="28"/>
  <c r="K87" i="28"/>
  <c r="K86" i="28"/>
  <c r="K77" i="28"/>
  <c r="S62" i="28"/>
  <c r="R87" i="28"/>
  <c r="R69" i="28"/>
  <c r="R67" i="28"/>
  <c r="R81" i="28"/>
  <c r="R80" i="28"/>
  <c r="R82" i="28"/>
  <c r="R64" i="28"/>
  <c r="R79" i="28"/>
  <c r="R68" i="28"/>
  <c r="R71" i="28"/>
  <c r="R77" i="28"/>
  <c r="R90" i="28"/>
  <c r="R66" i="28"/>
  <c r="R65" i="28"/>
  <c r="R70" i="28"/>
  <c r="R83" i="28"/>
  <c r="R86" i="28"/>
  <c r="R84" i="28"/>
  <c r="R91" i="28"/>
  <c r="R75" i="28"/>
  <c r="R74" i="28"/>
  <c r="R63" i="28"/>
  <c r="R88" i="28"/>
  <c r="R78" i="28"/>
  <c r="R76" i="28"/>
  <c r="R72" i="28"/>
  <c r="R85" i="28"/>
  <c r="R73" i="28"/>
  <c r="H96" i="2"/>
  <c r="E102" i="2"/>
  <c r="E70" i="1" s="1"/>
  <c r="J41" i="2"/>
  <c r="E96" i="2"/>
  <c r="F101" i="2"/>
  <c r="F102" i="2"/>
  <c r="F70" i="1" s="1"/>
  <c r="H101" i="2"/>
  <c r="H103" i="2" s="1"/>
  <c r="D43" i="2"/>
  <c r="F96" i="2"/>
  <c r="D102" i="2"/>
  <c r="G96" i="2"/>
  <c r="B67" i="5"/>
  <c r="B84" i="1" s="1"/>
  <c r="B66" i="5"/>
  <c r="B83" i="1" s="1"/>
  <c r="B87" i="1"/>
  <c r="B69" i="5"/>
  <c r="B86" i="1" s="1"/>
  <c r="J42" i="2"/>
  <c r="B68" i="5"/>
  <c r="B85" i="1" s="1"/>
  <c r="J95" i="2"/>
  <c r="D96" i="2"/>
  <c r="D101" i="2"/>
  <c r="F82" i="1"/>
  <c r="B19" i="1"/>
  <c r="B48" i="1"/>
  <c r="J71" i="2"/>
  <c r="D72" i="2"/>
  <c r="F94" i="4"/>
  <c r="J70" i="2"/>
  <c r="F72" i="2"/>
  <c r="E101" i="2"/>
  <c r="G101" i="2"/>
  <c r="E72" i="2"/>
  <c r="H72" i="2"/>
  <c r="H43" i="2"/>
  <c r="J94" i="2"/>
  <c r="G43" i="2"/>
  <c r="F43" i="2"/>
  <c r="H6" i="29"/>
  <c r="H5" i="29" s="1"/>
  <c r="F5" i="2"/>
  <c r="G6" i="2"/>
  <c r="F5" i="17"/>
  <c r="G6" i="17"/>
  <c r="F5" i="11"/>
  <c r="G6" i="11"/>
  <c r="G109" i="2"/>
  <c r="F108" i="2"/>
  <c r="F80" i="1"/>
  <c r="H32" i="28"/>
  <c r="I33" i="28"/>
  <c r="E199" i="2" s="1"/>
  <c r="B44" i="1"/>
  <c r="B16" i="1"/>
  <c r="J76" i="1" l="1"/>
  <c r="J75" i="1"/>
  <c r="G166" i="2"/>
  <c r="C6" i="28"/>
  <c r="J78" i="1"/>
  <c r="J77" i="1"/>
  <c r="J79" i="1"/>
  <c r="J81" i="1"/>
  <c r="H6" i="19"/>
  <c r="H5" i="19" s="1"/>
  <c r="F167" i="2"/>
  <c r="D67" i="27"/>
  <c r="I15" i="10"/>
  <c r="I17" i="10" s="1"/>
  <c r="I24" i="10" s="1"/>
  <c r="I36" i="28"/>
  <c r="G32" i="10" s="1"/>
  <c r="I35" i="28"/>
  <c r="F38" i="29"/>
  <c r="F23" i="29" s="1"/>
  <c r="F33" i="29" s="1"/>
  <c r="E18" i="19"/>
  <c r="E42" i="17"/>
  <c r="E57" i="17" s="1"/>
  <c r="E54" i="19"/>
  <c r="E88" i="1" s="1"/>
  <c r="E198" i="2"/>
  <c r="F37" i="10"/>
  <c r="F41" i="10" s="1"/>
  <c r="H6" i="5"/>
  <c r="H12" i="5" s="1"/>
  <c r="H71" i="1" s="1"/>
  <c r="G12" i="5"/>
  <c r="G71" i="1" s="1"/>
  <c r="F71" i="1"/>
  <c r="G5" i="5"/>
  <c r="G35" i="10"/>
  <c r="H66" i="4"/>
  <c r="I6" i="4"/>
  <c r="I5" i="4" s="1"/>
  <c r="G34" i="10"/>
  <c r="I27" i="10"/>
  <c r="J6" i="10"/>
  <c r="J5" i="10" s="1"/>
  <c r="F199" i="2"/>
  <c r="T62" i="28"/>
  <c r="S87" i="28"/>
  <c r="S83" i="28"/>
  <c r="S79" i="28"/>
  <c r="S70" i="28"/>
  <c r="S75" i="28"/>
  <c r="S86" i="28"/>
  <c r="S77" i="28"/>
  <c r="S63" i="28"/>
  <c r="S88" i="28"/>
  <c r="S65" i="28"/>
  <c r="S91" i="28"/>
  <c r="S72" i="28"/>
  <c r="S80" i="28"/>
  <c r="S84" i="28"/>
  <c r="S85" i="28"/>
  <c r="S78" i="28"/>
  <c r="S69" i="28"/>
  <c r="S74" i="28"/>
  <c r="S67" i="28"/>
  <c r="S76" i="28"/>
  <c r="S90" i="28"/>
  <c r="S71" i="28"/>
  <c r="S66" i="28"/>
  <c r="S82" i="28"/>
  <c r="S73" i="28"/>
  <c r="S81" i="28"/>
  <c r="S68" i="28"/>
  <c r="S64" i="28"/>
  <c r="M62" i="28"/>
  <c r="L87" i="28"/>
  <c r="L81" i="28"/>
  <c r="L67" i="28"/>
  <c r="L85" i="28"/>
  <c r="L69" i="28"/>
  <c r="L83" i="28"/>
  <c r="L65" i="28"/>
  <c r="L88" i="28"/>
  <c r="L66" i="28"/>
  <c r="L79" i="28"/>
  <c r="L80" i="28"/>
  <c r="L74" i="28"/>
  <c r="L71" i="28"/>
  <c r="L78" i="28"/>
  <c r="L91" i="28"/>
  <c r="L70" i="28"/>
  <c r="L84" i="28"/>
  <c r="L77" i="28"/>
  <c r="L86" i="28"/>
  <c r="L75" i="28"/>
  <c r="L64" i="28"/>
  <c r="L90" i="28"/>
  <c r="L73" i="28"/>
  <c r="L63" i="28"/>
  <c r="L68" i="28"/>
  <c r="L76" i="28"/>
  <c r="L82" i="28"/>
  <c r="L72" i="28"/>
  <c r="E103" i="2"/>
  <c r="B28" i="1"/>
  <c r="B57" i="1"/>
  <c r="B25" i="1"/>
  <c r="B54" i="1"/>
  <c r="B26" i="1"/>
  <c r="B55" i="1"/>
  <c r="B29" i="1"/>
  <c r="B58" i="1"/>
  <c r="B56" i="1"/>
  <c r="B27" i="1"/>
  <c r="F103" i="2"/>
  <c r="J102" i="2"/>
  <c r="D70" i="1"/>
  <c r="J70" i="1" s="1"/>
  <c r="J96" i="2"/>
  <c r="D103" i="2"/>
  <c r="G82" i="1"/>
  <c r="J82" i="1" s="1"/>
  <c r="J72" i="2"/>
  <c r="G94" i="4"/>
  <c r="J101" i="2"/>
  <c r="G103" i="2"/>
  <c r="J43" i="2"/>
  <c r="I6" i="29"/>
  <c r="I5" i="29" s="1"/>
  <c r="H6" i="17"/>
  <c r="I54" i="17" s="1"/>
  <c r="G5" i="17"/>
  <c r="G80" i="1"/>
  <c r="J80" i="1" s="1"/>
  <c r="G5" i="2"/>
  <c r="H6" i="2"/>
  <c r="I67" i="2" s="1"/>
  <c r="H6" i="11"/>
  <c r="H5" i="11" s="1"/>
  <c r="G5" i="11"/>
  <c r="G108" i="2"/>
  <c r="G167" i="2" s="1"/>
  <c r="H109" i="2"/>
  <c r="J33" i="28"/>
  <c r="I32" i="28"/>
  <c r="B45" i="1"/>
  <c r="B15" i="1"/>
  <c r="J73" i="1"/>
  <c r="J87" i="1"/>
  <c r="J84" i="1"/>
  <c r="B46" i="1"/>
  <c r="B17" i="1"/>
  <c r="B47" i="1"/>
  <c r="B18" i="1"/>
  <c r="B43" i="1"/>
  <c r="B14" i="1"/>
  <c r="J74" i="1"/>
  <c r="I43" i="2" l="1"/>
  <c r="I72" i="2"/>
  <c r="I96" i="2"/>
  <c r="I101" i="2"/>
  <c r="I43" i="5"/>
  <c r="I42" i="2"/>
  <c r="I22" i="5"/>
  <c r="I19" i="5"/>
  <c r="I66" i="2"/>
  <c r="I30" i="2"/>
  <c r="I34" i="2"/>
  <c r="I20" i="5"/>
  <c r="I67" i="5"/>
  <c r="I14" i="5"/>
  <c r="I70" i="5"/>
  <c r="I17" i="5"/>
  <c r="I56" i="5"/>
  <c r="I66" i="5"/>
  <c r="I56" i="17"/>
  <c r="I102" i="2"/>
  <c r="I57" i="2"/>
  <c r="I86" i="2"/>
  <c r="I94" i="2"/>
  <c r="I59" i="5"/>
  <c r="I62" i="2"/>
  <c r="I87" i="2"/>
  <c r="I35" i="2"/>
  <c r="I27" i="2"/>
  <c r="I63" i="2"/>
  <c r="I64" i="2"/>
  <c r="I90" i="2"/>
  <c r="I37" i="2"/>
  <c r="I55" i="5"/>
  <c r="I95" i="2"/>
  <c r="I33" i="2"/>
  <c r="I69" i="5"/>
  <c r="I18" i="5"/>
  <c r="I58" i="5"/>
  <c r="I58" i="2"/>
  <c r="I45" i="5"/>
  <c r="I38" i="2"/>
  <c r="I88" i="2"/>
  <c r="I21" i="5"/>
  <c r="I59" i="2"/>
  <c r="I28" i="2"/>
  <c r="I29" i="2"/>
  <c r="I41" i="2"/>
  <c r="I23" i="2"/>
  <c r="I16" i="5"/>
  <c r="I71" i="5"/>
  <c r="I68" i="5"/>
  <c r="I42" i="5"/>
  <c r="I26" i="2"/>
  <c r="I24" i="2"/>
  <c r="I70" i="2"/>
  <c r="I25" i="2"/>
  <c r="I44" i="5"/>
  <c r="I71" i="2"/>
  <c r="I15" i="5"/>
  <c r="I57" i="5"/>
  <c r="I41" i="5"/>
  <c r="I12" i="5"/>
  <c r="E67" i="27"/>
  <c r="J15" i="10"/>
  <c r="J17" i="10" s="1"/>
  <c r="J24" i="10" s="1"/>
  <c r="I77" i="2"/>
  <c r="H166" i="2"/>
  <c r="H5" i="5"/>
  <c r="J27" i="10"/>
  <c r="J36" i="28"/>
  <c r="H32" i="10" s="1"/>
  <c r="J35" i="28"/>
  <c r="F198" i="2"/>
  <c r="F54" i="19"/>
  <c r="F88" i="1" s="1"/>
  <c r="F18" i="19"/>
  <c r="F42" i="17"/>
  <c r="F57" i="17" s="1"/>
  <c r="G38" i="29"/>
  <c r="G23" i="29" s="1"/>
  <c r="I66" i="4"/>
  <c r="J12" i="5"/>
  <c r="G37" i="10"/>
  <c r="G41" i="10" s="1"/>
  <c r="G40" i="10" s="1"/>
  <c r="G44" i="10" s="1"/>
  <c r="E69" i="1" s="1"/>
  <c r="H34" i="10"/>
  <c r="H35" i="10"/>
  <c r="F40" i="10"/>
  <c r="F39" i="10"/>
  <c r="F43" i="10" s="1"/>
  <c r="D77" i="17" s="1"/>
  <c r="D74" i="27"/>
  <c r="F36" i="29"/>
  <c r="F40" i="29" s="1"/>
  <c r="I103" i="2"/>
  <c r="G199" i="2"/>
  <c r="N62" i="28"/>
  <c r="M71" i="28"/>
  <c r="M72" i="28"/>
  <c r="M64" i="28"/>
  <c r="M76" i="28"/>
  <c r="M63" i="28"/>
  <c r="M70" i="28"/>
  <c r="M65" i="28"/>
  <c r="M75" i="28"/>
  <c r="M66" i="28"/>
  <c r="M69" i="28"/>
  <c r="M73" i="28"/>
  <c r="M68" i="28"/>
  <c r="M67" i="28"/>
  <c r="M74" i="28"/>
  <c r="U62" i="28"/>
  <c r="T63" i="28"/>
  <c r="T71" i="28"/>
  <c r="T74" i="28"/>
  <c r="T67" i="28"/>
  <c r="T66" i="28"/>
  <c r="T68" i="28"/>
  <c r="T76" i="28"/>
  <c r="T64" i="28"/>
  <c r="T70" i="28"/>
  <c r="T73" i="28"/>
  <c r="T69" i="28"/>
  <c r="T65" i="28"/>
  <c r="T72" i="28"/>
  <c r="T75" i="28"/>
  <c r="K70" i="1"/>
  <c r="J103" i="2"/>
  <c r="H82" i="1"/>
  <c r="K82" i="1" s="1"/>
  <c r="H94" i="4"/>
  <c r="K84" i="1"/>
  <c r="I54" i="2"/>
  <c r="H5" i="2"/>
  <c r="I48" i="2"/>
  <c r="I82" i="2"/>
  <c r="I14" i="2"/>
  <c r="I20" i="2"/>
  <c r="I13" i="2"/>
  <c r="I47" i="2"/>
  <c r="I76" i="2"/>
  <c r="I19" i="2"/>
  <c r="H5" i="17"/>
  <c r="I50" i="17"/>
  <c r="I48" i="17"/>
  <c r="I49" i="17"/>
  <c r="I47" i="17"/>
  <c r="I51" i="17"/>
  <c r="I52" i="17"/>
  <c r="I53" i="17"/>
  <c r="I53" i="2"/>
  <c r="I83" i="2"/>
  <c r="H108" i="2"/>
  <c r="J32" i="28"/>
  <c r="K33" i="28"/>
  <c r="H80" i="1"/>
  <c r="K80" i="1" s="1"/>
  <c r="J85" i="1"/>
  <c r="J86" i="1"/>
  <c r="H167" i="2" l="1"/>
  <c r="F67" i="27"/>
  <c r="I78" i="2"/>
  <c r="G198" i="2"/>
  <c r="K36" i="28"/>
  <c r="I32" i="10" s="1"/>
  <c r="K35" i="28"/>
  <c r="H38" i="29"/>
  <c r="H23" i="29" s="1"/>
  <c r="H33" i="29" s="1"/>
  <c r="G54" i="19"/>
  <c r="G88" i="1" s="1"/>
  <c r="G42" i="17"/>
  <c r="G57" i="17" s="1"/>
  <c r="G18" i="19"/>
  <c r="E96" i="1"/>
  <c r="E74" i="27"/>
  <c r="H37" i="10"/>
  <c r="H41" i="10" s="1"/>
  <c r="H39" i="10" s="1"/>
  <c r="H43" i="10" s="1"/>
  <c r="F77" i="17" s="1"/>
  <c r="I34" i="10"/>
  <c r="G39" i="10"/>
  <c r="G43" i="10" s="1"/>
  <c r="E77" i="17" s="1"/>
  <c r="I35" i="10"/>
  <c r="F44" i="10"/>
  <c r="D69" i="1" s="1"/>
  <c r="D96" i="1"/>
  <c r="F103" i="4"/>
  <c r="F104" i="4" s="1"/>
  <c r="H199" i="2"/>
  <c r="U71" i="28"/>
  <c r="U65" i="28"/>
  <c r="U74" i="28"/>
  <c r="U75" i="28"/>
  <c r="U76" i="28"/>
  <c r="U72" i="28"/>
  <c r="U69" i="28"/>
  <c r="U67" i="28"/>
  <c r="U63" i="28"/>
  <c r="U70" i="28"/>
  <c r="U64" i="28"/>
  <c r="U73" i="28"/>
  <c r="U68" i="28"/>
  <c r="U66" i="28"/>
  <c r="N64" i="28"/>
  <c r="N73" i="28"/>
  <c r="N74" i="28"/>
  <c r="N75" i="28"/>
  <c r="N76" i="28"/>
  <c r="N65" i="28"/>
  <c r="N72" i="28"/>
  <c r="N63" i="28"/>
  <c r="N68" i="28"/>
  <c r="N70" i="28"/>
  <c r="N71" i="28"/>
  <c r="N67" i="28"/>
  <c r="N69" i="28"/>
  <c r="N66" i="28"/>
  <c r="D54" i="19"/>
  <c r="D88" i="1" s="1"/>
  <c r="F60" i="29"/>
  <c r="F48" i="29"/>
  <c r="I94" i="4"/>
  <c r="I15" i="2"/>
  <c r="I49" i="2"/>
  <c r="K32" i="28"/>
  <c r="L33" i="28"/>
  <c r="G33" i="29"/>
  <c r="J83" i="1"/>
  <c r="J71" i="1"/>
  <c r="J72" i="1"/>
  <c r="E89" i="1"/>
  <c r="K73" i="1"/>
  <c r="D14" i="1" l="1"/>
  <c r="D20" i="1"/>
  <c r="D21" i="1"/>
  <c r="E25" i="1"/>
  <c r="E20" i="1"/>
  <c r="E21" i="1"/>
  <c r="G67" i="27"/>
  <c r="E11" i="1"/>
  <c r="E24" i="1"/>
  <c r="E13" i="1"/>
  <c r="E30" i="1"/>
  <c r="E17" i="1"/>
  <c r="E27" i="1"/>
  <c r="E15" i="1"/>
  <c r="E23" i="1"/>
  <c r="E14" i="1"/>
  <c r="E28" i="1"/>
  <c r="E26" i="1"/>
  <c r="E16" i="1"/>
  <c r="E19" i="1"/>
  <c r="E12" i="1"/>
  <c r="E18" i="1"/>
  <c r="E29" i="1"/>
  <c r="E22" i="1"/>
  <c r="L35" i="28"/>
  <c r="L36" i="28"/>
  <c r="J32" i="10" s="1"/>
  <c r="H54" i="19"/>
  <c r="H88" i="1" s="1"/>
  <c r="K88" i="1" s="1"/>
  <c r="H18" i="19"/>
  <c r="H198" i="2"/>
  <c r="H42" i="17"/>
  <c r="H57" i="17" s="1"/>
  <c r="I38" i="29"/>
  <c r="I23" i="29" s="1"/>
  <c r="I33" i="29" s="1"/>
  <c r="F74" i="27"/>
  <c r="H40" i="10"/>
  <c r="H44" i="10" s="1"/>
  <c r="F69" i="1" s="1"/>
  <c r="G45" i="10"/>
  <c r="I37" i="10"/>
  <c r="I41" i="10" s="1"/>
  <c r="I39" i="10" s="1"/>
  <c r="I43" i="10" s="1"/>
  <c r="G77" i="17" s="1"/>
  <c r="J34" i="10"/>
  <c r="J35" i="10"/>
  <c r="D13" i="1"/>
  <c r="D11" i="1"/>
  <c r="F45" i="10"/>
  <c r="D23" i="1"/>
  <c r="D18" i="1"/>
  <c r="D27" i="1"/>
  <c r="D26" i="1"/>
  <c r="D29" i="1"/>
  <c r="D12" i="1"/>
  <c r="D22" i="1"/>
  <c r="D24" i="1"/>
  <c r="D25" i="1"/>
  <c r="D28" i="1"/>
  <c r="D16" i="1"/>
  <c r="D17" i="1"/>
  <c r="D15" i="1"/>
  <c r="D19" i="1"/>
  <c r="G36" i="29"/>
  <c r="G40" i="29" s="1"/>
  <c r="H36" i="29"/>
  <c r="H40" i="29" s="1"/>
  <c r="D42" i="17"/>
  <c r="D89" i="1"/>
  <c r="D18" i="19"/>
  <c r="J88" i="1"/>
  <c r="D30" i="1"/>
  <c r="E38" i="29"/>
  <c r="E23" i="29" s="1"/>
  <c r="K87" i="1"/>
  <c r="L32" i="28"/>
  <c r="K86" i="1"/>
  <c r="K85" i="1"/>
  <c r="K76" i="1"/>
  <c r="K74" i="1"/>
  <c r="K75" i="1"/>
  <c r="H67" i="27" l="1"/>
  <c r="F89" i="1"/>
  <c r="E31" i="1"/>
  <c r="H45" i="10"/>
  <c r="F96" i="1"/>
  <c r="J37" i="10"/>
  <c r="J41" i="10" s="1"/>
  <c r="H74" i="27" s="1"/>
  <c r="G74" i="27"/>
  <c r="I40" i="10"/>
  <c r="G96" i="1" s="1"/>
  <c r="H103" i="4"/>
  <c r="H104" i="4" s="1"/>
  <c r="G103" i="4"/>
  <c r="G104" i="4" s="1"/>
  <c r="D31" i="1"/>
  <c r="E33" i="29"/>
  <c r="E36" i="29" s="1"/>
  <c r="E40" i="29" s="1"/>
  <c r="I36" i="29"/>
  <c r="I40" i="29" s="1"/>
  <c r="D57" i="17"/>
  <c r="K71" i="1"/>
  <c r="G60" i="29"/>
  <c r="H60" i="29"/>
  <c r="H48" i="29"/>
  <c r="G48" i="29"/>
  <c r="K83" i="1"/>
  <c r="K72" i="1"/>
  <c r="J20" i="1" l="1"/>
  <c r="J21" i="1"/>
  <c r="G23" i="1"/>
  <c r="G20" i="1"/>
  <c r="G21" i="1"/>
  <c r="F12" i="1"/>
  <c r="F20" i="1"/>
  <c r="F21" i="1"/>
  <c r="J28" i="1"/>
  <c r="F11" i="1"/>
  <c r="J23" i="1"/>
  <c r="J22" i="1"/>
  <c r="J27" i="1"/>
  <c r="J25" i="1"/>
  <c r="J14" i="1"/>
  <c r="F28" i="1"/>
  <c r="J19" i="1"/>
  <c r="F27" i="1"/>
  <c r="J18" i="1"/>
  <c r="J12" i="1"/>
  <c r="J17" i="1"/>
  <c r="F16" i="1"/>
  <c r="J29" i="1"/>
  <c r="G15" i="1"/>
  <c r="G25" i="1"/>
  <c r="J24" i="1"/>
  <c r="G12" i="1"/>
  <c r="F18" i="1"/>
  <c r="J15" i="1"/>
  <c r="F23" i="1"/>
  <c r="F22" i="1"/>
  <c r="F19" i="1"/>
  <c r="F14" i="1"/>
  <c r="F24" i="1"/>
  <c r="F15" i="1"/>
  <c r="J40" i="10"/>
  <c r="J44" i="10" s="1"/>
  <c r="H69" i="1" s="1"/>
  <c r="F13" i="1"/>
  <c r="F17" i="1"/>
  <c r="F25" i="1"/>
  <c r="F26" i="1"/>
  <c r="F29" i="1"/>
  <c r="G30" i="1"/>
  <c r="G14" i="1"/>
  <c r="J39" i="10"/>
  <c r="J43" i="10" s="1"/>
  <c r="H77" i="17" s="1"/>
  <c r="G16" i="1"/>
  <c r="G26" i="1"/>
  <c r="F30" i="1"/>
  <c r="J26" i="1"/>
  <c r="J13" i="1"/>
  <c r="J16" i="1"/>
  <c r="J30" i="1"/>
  <c r="G29" i="1"/>
  <c r="G17" i="1"/>
  <c r="G24" i="1"/>
  <c r="G28" i="1"/>
  <c r="G22" i="1"/>
  <c r="I44" i="10"/>
  <c r="G69" i="1" s="1"/>
  <c r="G27" i="1"/>
  <c r="G19" i="1"/>
  <c r="G13" i="1"/>
  <c r="G18" i="1"/>
  <c r="I57" i="17"/>
  <c r="I103" i="4"/>
  <c r="I104" i="4" s="1"/>
  <c r="E103" i="4"/>
  <c r="E104" i="4" s="1"/>
  <c r="E60" i="29"/>
  <c r="J57" i="17"/>
  <c r="I48" i="29"/>
  <c r="I60" i="29"/>
  <c r="G11" i="1" l="1"/>
  <c r="G31" i="1" s="1"/>
  <c r="J69" i="1"/>
  <c r="J89" i="1" s="1"/>
  <c r="J11" i="1"/>
  <c r="J31" i="1" s="1"/>
  <c r="H96" i="1"/>
  <c r="F31" i="1"/>
  <c r="I45" i="10"/>
  <c r="G89" i="1"/>
  <c r="H89" i="1"/>
  <c r="K69" i="1"/>
  <c r="K89" i="1" s="1"/>
  <c r="J45" i="10"/>
  <c r="K11" i="1" l="1"/>
  <c r="H20" i="1"/>
  <c r="H21" i="1"/>
  <c r="K21" i="1"/>
  <c r="K20" i="1"/>
  <c r="K14" i="1"/>
  <c r="H30" i="1"/>
  <c r="H25" i="1"/>
  <c r="H27" i="1"/>
  <c r="H12" i="1"/>
  <c r="H16" i="1"/>
  <c r="H11" i="1"/>
  <c r="K24" i="1"/>
  <c r="K26" i="1"/>
  <c r="K13" i="1"/>
  <c r="H14" i="1"/>
  <c r="H18" i="1"/>
  <c r="K30" i="1"/>
  <c r="H23" i="1"/>
  <c r="K16" i="1"/>
  <c r="K18" i="1"/>
  <c r="K15" i="1"/>
  <c r="H26" i="1"/>
  <c r="K28" i="1"/>
  <c r="H24" i="1"/>
  <c r="K25" i="1"/>
  <c r="H19" i="1"/>
  <c r="K19" i="1"/>
  <c r="H13" i="1"/>
  <c r="H28" i="1"/>
  <c r="K27" i="1"/>
  <c r="K22" i="1"/>
  <c r="K17" i="1"/>
  <c r="K12" i="1"/>
  <c r="H15" i="1"/>
  <c r="K29" i="1"/>
  <c r="H22" i="1"/>
  <c r="K23" i="1"/>
  <c r="H17" i="1"/>
  <c r="H29" i="1"/>
  <c r="K31" i="1" l="1"/>
  <c r="H31" i="1"/>
  <c r="E48" i="29" l="1"/>
  <c r="I96" i="4" l="1"/>
  <c r="I106" i="4" s="1"/>
  <c r="H29" i="17"/>
  <c r="E96" i="4"/>
  <c r="E106" i="4" s="1"/>
  <c r="D29" i="17"/>
  <c r="F96" i="4"/>
  <c r="E29" i="17"/>
  <c r="G96" i="4"/>
  <c r="G106" i="4" s="1"/>
  <c r="F29" i="17"/>
  <c r="D31" i="17" l="1"/>
  <c r="E97" i="4"/>
  <c r="H96" i="4"/>
  <c r="G29" i="17"/>
  <c r="F97" i="4"/>
  <c r="F107" i="4" s="1"/>
  <c r="E31" i="17"/>
  <c r="G97" i="4"/>
  <c r="F31" i="17"/>
  <c r="H31" i="17"/>
  <c r="I97" i="4"/>
  <c r="F106" i="4"/>
  <c r="F98" i="4" l="1"/>
  <c r="F108" i="4"/>
  <c r="F34" i="17"/>
  <c r="H106" i="4"/>
  <c r="G98" i="4"/>
  <c r="G107" i="4"/>
  <c r="G108" i="4" s="1"/>
  <c r="E34" i="17"/>
  <c r="H97" i="4"/>
  <c r="H107" i="4" s="1"/>
  <c r="G31" i="17"/>
  <c r="H34" i="17"/>
  <c r="E98" i="4"/>
  <c r="E107" i="4"/>
  <c r="E108" i="4" s="1"/>
  <c r="I98" i="4"/>
  <c r="I107" i="4"/>
  <c r="I108" i="4" s="1"/>
  <c r="D34" i="17"/>
  <c r="H108" i="4" l="1"/>
  <c r="G34" i="17"/>
  <c r="H98" i="4"/>
  <c r="D21" i="27" l="1"/>
  <c r="D40" i="27" l="1"/>
  <c r="E21" i="27"/>
  <c r="F21" i="27" l="1"/>
  <c r="F40" i="27" s="1"/>
  <c r="E40" i="27"/>
  <c r="D42" i="27"/>
  <c r="G21" i="27" l="1"/>
  <c r="E42" i="27"/>
  <c r="F42" i="27"/>
  <c r="D59" i="27"/>
  <c r="D46" i="27"/>
  <c r="F46" i="27" l="1"/>
  <c r="G45" i="27" s="1"/>
  <c r="F59" i="27"/>
  <c r="G40" i="27"/>
  <c r="D65" i="27"/>
  <c r="E45" i="27"/>
  <c r="H21" i="27"/>
  <c r="E59" i="27"/>
  <c r="E46" i="27"/>
  <c r="F45" i="27" s="1"/>
  <c r="F65" i="27" l="1"/>
  <c r="F66" i="27" s="1"/>
  <c r="E65" i="27"/>
  <c r="E66" i="27" s="1"/>
  <c r="D40" i="17"/>
  <c r="D68" i="27"/>
  <c r="D66" i="27"/>
  <c r="G42" i="27"/>
  <c r="H40" i="27"/>
  <c r="F40" i="17" l="1"/>
  <c r="F66" i="17" s="1"/>
  <c r="E68" i="27"/>
  <c r="E73" i="27" s="1"/>
  <c r="E97" i="1" s="1"/>
  <c r="E40" i="17"/>
  <c r="E66" i="17" s="1"/>
  <c r="F68" i="27"/>
  <c r="F72" i="27" s="1"/>
  <c r="F75" i="27" s="1"/>
  <c r="G46" i="27"/>
  <c r="G59" i="27"/>
  <c r="E46" i="29"/>
  <c r="D72" i="27"/>
  <c r="D75" i="27" s="1"/>
  <c r="D73" i="27"/>
  <c r="D97" i="1" s="1"/>
  <c r="D50" i="1" s="1"/>
  <c r="D70" i="27"/>
  <c r="D44" i="17"/>
  <c r="D66" i="17"/>
  <c r="H42" i="27"/>
  <c r="E72" i="27" l="1"/>
  <c r="E75" i="27" s="1"/>
  <c r="F46" i="29"/>
  <c r="E70" i="27"/>
  <c r="E48" i="1"/>
  <c r="E49" i="1"/>
  <c r="E50" i="1"/>
  <c r="D48" i="1"/>
  <c r="D49" i="1"/>
  <c r="F44" i="17"/>
  <c r="F83" i="17" s="1"/>
  <c r="G66" i="29" s="1"/>
  <c r="G67" i="29" s="1"/>
  <c r="F70" i="27"/>
  <c r="G46" i="29"/>
  <c r="E44" i="17"/>
  <c r="E83" i="17" s="1"/>
  <c r="F66" i="29" s="1"/>
  <c r="F73" i="27"/>
  <c r="F97" i="1" s="1"/>
  <c r="F43" i="1" s="1"/>
  <c r="D83" i="17"/>
  <c r="H46" i="27"/>
  <c r="H59" i="27"/>
  <c r="H45" i="27"/>
  <c r="G65" i="27"/>
  <c r="D55" i="1"/>
  <c r="D52" i="1"/>
  <c r="D41" i="1"/>
  <c r="D40" i="1"/>
  <c r="D42" i="1"/>
  <c r="D43" i="1"/>
  <c r="D47" i="1"/>
  <c r="D45" i="1"/>
  <c r="D46" i="1"/>
  <c r="D57" i="1"/>
  <c r="D58" i="1"/>
  <c r="D56" i="1"/>
  <c r="D51" i="1"/>
  <c r="D54" i="1"/>
  <c r="D44" i="1"/>
  <c r="D53" i="1"/>
  <c r="D59" i="1"/>
  <c r="E64" i="17"/>
  <c r="E77" i="27"/>
  <c r="D64" i="17"/>
  <c r="D77" i="27"/>
  <c r="E59" i="1"/>
  <c r="E54" i="1"/>
  <c r="E45" i="1"/>
  <c r="E41" i="1"/>
  <c r="E43" i="1"/>
  <c r="E44" i="1"/>
  <c r="E42" i="1"/>
  <c r="E55" i="1"/>
  <c r="E46" i="1"/>
  <c r="E56" i="1"/>
  <c r="E52" i="1"/>
  <c r="E47" i="1"/>
  <c r="E51" i="1"/>
  <c r="E58" i="1"/>
  <c r="E57" i="1"/>
  <c r="E53" i="1"/>
  <c r="E40" i="1"/>
  <c r="F77" i="27"/>
  <c r="F64" i="17"/>
  <c r="F42" i="1" l="1"/>
  <c r="F54" i="1"/>
  <c r="F44" i="1"/>
  <c r="F59" i="1"/>
  <c r="F55" i="1"/>
  <c r="F57" i="1"/>
  <c r="F56" i="1"/>
  <c r="F58" i="1"/>
  <c r="F52" i="1"/>
  <c r="F40" i="1"/>
  <c r="F49" i="1"/>
  <c r="F50" i="1"/>
  <c r="F53" i="1"/>
  <c r="F47" i="1"/>
  <c r="F48" i="1"/>
  <c r="F45" i="1"/>
  <c r="F46" i="1"/>
  <c r="F51" i="1"/>
  <c r="F41" i="1"/>
  <c r="D67" i="17"/>
  <c r="D68" i="17" s="1"/>
  <c r="D70" i="17" s="1"/>
  <c r="D71" i="17"/>
  <c r="F67" i="29"/>
  <c r="E60" i="1"/>
  <c r="G40" i="17"/>
  <c r="G66" i="27"/>
  <c r="G68" i="27"/>
  <c r="E67" i="17"/>
  <c r="E68" i="17" s="1"/>
  <c r="E70" i="17" s="1"/>
  <c r="E71" i="17"/>
  <c r="D60" i="1"/>
  <c r="H65" i="27"/>
  <c r="F67" i="17"/>
  <c r="F68" i="17" s="1"/>
  <c r="F70" i="17" s="1"/>
  <c r="F71" i="17"/>
  <c r="E66" i="29"/>
  <c r="I71" i="17" l="1"/>
  <c r="F60" i="1"/>
  <c r="E85" i="17"/>
  <c r="F85" i="17"/>
  <c r="D85" i="17"/>
  <c r="I70" i="17"/>
  <c r="H40" i="17"/>
  <c r="H68" i="27"/>
  <c r="H66" i="27"/>
  <c r="H46" i="29"/>
  <c r="G72" i="27"/>
  <c r="G75" i="27" s="1"/>
  <c r="G73" i="27"/>
  <c r="G97" i="1" s="1"/>
  <c r="G70" i="27"/>
  <c r="E67" i="29"/>
  <c r="G66" i="17"/>
  <c r="G44" i="17"/>
  <c r="G48" i="1" l="1"/>
  <c r="G49" i="1"/>
  <c r="G50" i="1"/>
  <c r="D90" i="1"/>
  <c r="I85" i="17"/>
  <c r="E68" i="29"/>
  <c r="D87" i="17"/>
  <c r="I46" i="29"/>
  <c r="H72" i="27"/>
  <c r="H75" i="27" s="1"/>
  <c r="H73" i="27"/>
  <c r="H97" i="1" s="1"/>
  <c r="H70" i="27"/>
  <c r="F90" i="1"/>
  <c r="G68" i="29"/>
  <c r="F87" i="17"/>
  <c r="F91" i="1" s="1"/>
  <c r="H66" i="17"/>
  <c r="H44" i="17"/>
  <c r="H83" i="17" s="1"/>
  <c r="E90" i="1"/>
  <c r="F68" i="29"/>
  <c r="E87" i="17"/>
  <c r="E91" i="1" s="1"/>
  <c r="G83" i="17"/>
  <c r="I44" i="17"/>
  <c r="J50" i="1"/>
  <c r="G54" i="1"/>
  <c r="G52" i="1"/>
  <c r="G43" i="1"/>
  <c r="G42" i="1"/>
  <c r="G56" i="1"/>
  <c r="G46" i="1"/>
  <c r="G45" i="1"/>
  <c r="G40" i="1"/>
  <c r="G41" i="1"/>
  <c r="G47" i="1"/>
  <c r="G44" i="1"/>
  <c r="G58" i="1"/>
  <c r="G51" i="1"/>
  <c r="G57" i="1"/>
  <c r="G55" i="1"/>
  <c r="G59" i="1"/>
  <c r="G53" i="1"/>
  <c r="J57" i="1"/>
  <c r="J58" i="1"/>
  <c r="J49" i="1"/>
  <c r="J44" i="1"/>
  <c r="J45" i="1"/>
  <c r="J56" i="1"/>
  <c r="J40" i="1"/>
  <c r="J47" i="1"/>
  <c r="J52" i="1"/>
  <c r="J41" i="1"/>
  <c r="J46" i="1"/>
  <c r="J59" i="1"/>
  <c r="J51" i="1"/>
  <c r="J54" i="1"/>
  <c r="J43" i="1"/>
  <c r="J48" i="1"/>
  <c r="J53" i="1"/>
  <c r="J42" i="1"/>
  <c r="J55" i="1"/>
  <c r="G64" i="17"/>
  <c r="G77" i="27"/>
  <c r="H49" i="1" l="1"/>
  <c r="H50" i="1"/>
  <c r="K41" i="1"/>
  <c r="H48" i="1"/>
  <c r="K49" i="1"/>
  <c r="J44" i="17"/>
  <c r="H46" i="1"/>
  <c r="H43" i="1"/>
  <c r="H58" i="1"/>
  <c r="H54" i="1"/>
  <c r="H47" i="1"/>
  <c r="H51" i="1"/>
  <c r="H56" i="1"/>
  <c r="H59" i="1"/>
  <c r="H55" i="1"/>
  <c r="H45" i="1"/>
  <c r="H57" i="1"/>
  <c r="H52" i="1"/>
  <c r="H44" i="1"/>
  <c r="H53" i="1"/>
  <c r="H40" i="1"/>
  <c r="H41" i="1"/>
  <c r="H42" i="1"/>
  <c r="K57" i="1"/>
  <c r="K58" i="1"/>
  <c r="K44" i="1"/>
  <c r="G60" i="1"/>
  <c r="E32" i="1"/>
  <c r="E61" i="1"/>
  <c r="H64" i="17"/>
  <c r="H77" i="27"/>
  <c r="F69" i="29"/>
  <c r="F70" i="29" s="1"/>
  <c r="F49" i="29"/>
  <c r="F50" i="29" s="1"/>
  <c r="F52" i="29" s="1"/>
  <c r="F62" i="29" s="1"/>
  <c r="K56" i="1"/>
  <c r="K53" i="1"/>
  <c r="K42" i="1"/>
  <c r="I66" i="29"/>
  <c r="K40" i="1"/>
  <c r="K51" i="1"/>
  <c r="D91" i="1"/>
  <c r="I87" i="17"/>
  <c r="K48" i="1"/>
  <c r="K47" i="1"/>
  <c r="K46" i="1"/>
  <c r="K54" i="1"/>
  <c r="E69" i="29"/>
  <c r="E70" i="29" s="1"/>
  <c r="E49" i="29"/>
  <c r="E50" i="29" s="1"/>
  <c r="E52" i="29" s="1"/>
  <c r="E62" i="29" s="1"/>
  <c r="K43" i="1"/>
  <c r="K50" i="1"/>
  <c r="K52" i="1"/>
  <c r="G49" i="29"/>
  <c r="G50" i="29" s="1"/>
  <c r="G52" i="29" s="1"/>
  <c r="G62" i="29" s="1"/>
  <c r="G69" i="29"/>
  <c r="G70" i="29" s="1"/>
  <c r="J60" i="1"/>
  <c r="K55" i="1"/>
  <c r="H66" i="29"/>
  <c r="I83" i="17"/>
  <c r="J83" i="17"/>
  <c r="F32" i="1"/>
  <c r="F61" i="1"/>
  <c r="K59" i="1"/>
  <c r="G71" i="17"/>
  <c r="G67" i="17"/>
  <c r="G68" i="17" s="1"/>
  <c r="G70" i="17" s="1"/>
  <c r="K45" i="1"/>
  <c r="D32" i="1"/>
  <c r="D61" i="1" l="1"/>
  <c r="G85" i="17"/>
  <c r="H67" i="29"/>
  <c r="D92" i="1"/>
  <c r="E64" i="29"/>
  <c r="D93" i="1" s="1"/>
  <c r="E92" i="1"/>
  <c r="F64" i="29"/>
  <c r="E93" i="1" s="1"/>
  <c r="K60" i="1"/>
  <c r="H71" i="17"/>
  <c r="J71" i="17" s="1"/>
  <c r="H67" i="17"/>
  <c r="H68" i="17" s="1"/>
  <c r="H70" i="17" s="1"/>
  <c r="J70" i="17" s="1"/>
  <c r="F92" i="1"/>
  <c r="G64" i="29"/>
  <c r="F93" i="1" s="1"/>
  <c r="I67" i="29"/>
  <c r="H60" i="1"/>
  <c r="F94" i="1" l="1"/>
  <c r="E94" i="1"/>
  <c r="D94" i="1"/>
  <c r="G90" i="1"/>
  <c r="G87" i="17"/>
  <c r="H68" i="29"/>
  <c r="H69" i="29" s="1"/>
  <c r="H70" i="29" s="1"/>
  <c r="F62" i="1"/>
  <c r="H85" i="17"/>
  <c r="H90" i="1" s="1"/>
  <c r="D33" i="1"/>
  <c r="D62" i="1"/>
  <c r="F33" i="1"/>
  <c r="E33" i="1"/>
  <c r="E62" i="1"/>
  <c r="J32" i="1"/>
  <c r="J90" i="1"/>
  <c r="F63" i="1" l="1"/>
  <c r="E63" i="1"/>
  <c r="E34" i="1"/>
  <c r="F34" i="1"/>
  <c r="D63" i="1"/>
  <c r="D34" i="1"/>
  <c r="G32" i="1"/>
  <c r="K90" i="1"/>
  <c r="G91" i="1"/>
  <c r="J85" i="17"/>
  <c r="J61" i="1"/>
  <c r="H49" i="29"/>
  <c r="H50" i="29" s="1"/>
  <c r="H52" i="29" s="1"/>
  <c r="H62" i="29" s="1"/>
  <c r="H64" i="29" s="1"/>
  <c r="G93" i="1" s="1"/>
  <c r="H87" i="17"/>
  <c r="H91" i="1" s="1"/>
  <c r="I68" i="29"/>
  <c r="I69" i="29" s="1"/>
  <c r="I70" i="29" s="1"/>
  <c r="K32" i="1"/>
  <c r="H32" i="1"/>
  <c r="J91" i="1" l="1"/>
  <c r="K91" i="1"/>
  <c r="G61" i="1"/>
  <c r="J87" i="17"/>
  <c r="H61" i="1"/>
  <c r="K61" i="1"/>
  <c r="G92" i="1"/>
  <c r="I49" i="29"/>
  <c r="I50" i="29" s="1"/>
  <c r="I52" i="29" s="1"/>
  <c r="I62" i="29" s="1"/>
  <c r="H92" i="1" s="1"/>
  <c r="J93" i="1"/>
  <c r="G33" i="1" l="1"/>
  <c r="G94" i="1"/>
  <c r="J92" i="1"/>
  <c r="J33" i="1"/>
  <c r="J62" i="1"/>
  <c r="G62" i="1"/>
  <c r="K92" i="1"/>
  <c r="I64" i="29"/>
  <c r="H93" i="1" s="1"/>
  <c r="K33" i="1"/>
  <c r="H33" i="1"/>
  <c r="J63" i="1" l="1"/>
  <c r="J34" i="1"/>
  <c r="J94" i="1"/>
  <c r="G63" i="1"/>
  <c r="H34" i="1"/>
  <c r="K34" i="1"/>
  <c r="K93" i="1"/>
  <c r="G34" i="1"/>
  <c r="H94" i="1"/>
  <c r="H62" i="1"/>
  <c r="K62" i="1"/>
  <c r="H63" i="1" l="1"/>
  <c r="K63" i="1"/>
  <c r="K9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<sst xmlns="http://schemas.openxmlformats.org/spreadsheetml/2006/main" count="2199" uniqueCount="981">
  <si>
    <t>Regulatory Financial Performance Report</t>
  </si>
  <si>
    <t xml:space="preserve">                           </t>
  </si>
  <si>
    <t>RIIO-2 start date (enter 2022 for 2021-22)</t>
  </si>
  <si>
    <t>Licensee</t>
  </si>
  <si>
    <t>NGN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</si>
  <si>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</si>
  <si>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</si>
  <si>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</si>
  <si>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</si>
  <si>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</si>
  <si>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</si>
  <si>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</si>
  <si>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</si>
  <si>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</si>
  <si>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</si>
  <si>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</si>
  <si>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</si>
  <si>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</si>
  <si>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</si>
  <si>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</si>
  <si>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</si>
  <si>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</si>
  <si>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</si>
  <si>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</si>
  <si>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</si>
  <si>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</si>
  <si>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</si>
  <si>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</si>
  <si>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</si>
  <si>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</si>
  <si>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</si>
  <si>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</si>
  <si>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</si>
  <si>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</si>
  <si>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</si>
  <si>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</si>
  <si>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</si>
  <si>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</si>
  <si>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</si>
  <si>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</si>
  <si>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</si>
  <si>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</si>
  <si>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</si>
  <si>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</si>
  <si>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</si>
  <si>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</si>
  <si>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</si>
  <si>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</si>
  <si>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</si>
  <si>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</si>
  <si>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</si>
  <si>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</si>
  <si>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</si>
  <si>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</si>
  <si>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</si>
  <si>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</si>
  <si>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</si>
  <si>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</si>
  <si>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</si>
  <si>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</si>
  <si>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</si>
  <si>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</si>
  <si>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</si>
  <si>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</si>
  <si>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</si>
  <si>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</si>
  <si>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</si>
  <si>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</si>
  <si>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</si>
  <si>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</si>
  <si>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</si>
  <si>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</si>
  <si>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</si>
  <si>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</si>
  <si>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</si>
  <si>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</si>
  <si>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</si>
  <si>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</si>
  <si>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</si>
  <si>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</si>
  <si>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</si>
  <si>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Cadent-EOE</t>
  </si>
  <si>
    <t>Cadent-London</t>
  </si>
  <si>
    <t>Cadent-WM</t>
  </si>
  <si>
    <t>Cadent-NW</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</si>
  <si>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</si>
  <si>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</si>
  <si>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</si>
  <si>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</si>
  <si>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</si>
  <si>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</si>
  <si>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</si>
  <si>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</si>
  <si>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</si>
  <si>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</si>
  <si>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</si>
  <si>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</si>
  <si>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</si>
  <si>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</si>
  <si>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</si>
  <si>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</si>
  <si>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</si>
  <si>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</si>
  <si>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</si>
  <si>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</si>
  <si>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</si>
  <si>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</si>
  <si>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</si>
  <si>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</si>
  <si>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</si>
  <si>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</si>
  <si>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</si>
  <si>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</si>
  <si>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</si>
  <si>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</si>
  <si>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</si>
  <si>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</si>
  <si>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</si>
  <si>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</si>
  <si>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</si>
  <si>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</si>
  <si>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</si>
  <si>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</si>
  <si>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</si>
  <si>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</si>
  <si>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</si>
  <si>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</si>
  <si>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</si>
  <si>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</si>
  <si>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</si>
  <si>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</si>
  <si>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</si>
  <si>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</si>
  <si>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</si>
  <si>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</si>
  <si>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</si>
  <si>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</si>
  <si>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</si>
  <si>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</si>
  <si>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</si>
  <si>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</si>
  <si>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</si>
  <si>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</si>
  <si>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</si>
  <si>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</si>
  <si>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</si>
  <si>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</si>
  <si>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</si>
  <si>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</si>
  <si>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</si>
  <si>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</si>
  <si>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</si>
  <si>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</si>
  <si>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</si>
  <si>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</si>
  <si>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</si>
  <si>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</si>
  <si>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</si>
  <si>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</si>
  <si>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</si>
  <si>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</si>
  <si>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</si>
  <si>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</si>
  <si>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</si>
  <si>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</si>
  <si>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</si>
  <si>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</si>
  <si>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</si>
  <si>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</si>
  <si>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</si>
  <si>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</si>
  <si>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</si>
  <si>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</si>
  <si>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</si>
  <si>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</si>
  <si>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</si>
  <si>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</si>
  <si>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</si>
  <si>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</si>
  <si>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</si>
  <si>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</si>
  <si>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</si>
  <si>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</si>
  <si>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</si>
  <si>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</si>
  <si>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</si>
  <si>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</si>
  <si>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</si>
  <si>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</si>
  <si>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</si>
  <si>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</si>
  <si>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</si>
  <si>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</si>
  <si>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</si>
  <si>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</si>
  <si>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</si>
  <si>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</si>
  <si>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</si>
  <si>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</si>
  <si>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</si>
  <si>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</si>
  <si>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</si>
  <si>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</si>
  <si>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</si>
  <si>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</si>
  <si>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</si>
  <si>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</si>
  <si>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</si>
  <si>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</si>
  <si>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</si>
  <si>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</si>
  <si>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</si>
  <si>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</si>
  <si>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</si>
  <si>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</si>
  <si>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</si>
  <si>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</si>
  <si>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</si>
  <si>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</si>
  <si>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</si>
  <si>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</si>
  <si>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</si>
  <si>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</si>
  <si>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</si>
  <si>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</si>
  <si>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</si>
  <si>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</si>
  <si>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</si>
  <si>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</si>
  <si>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</si>
  <si>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</si>
  <si>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</si>
  <si>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</si>
  <si>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</si>
  <si>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</si>
  <si>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</si>
  <si>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</si>
  <si>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</si>
  <si>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</si>
  <si>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</si>
  <si>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</si>
  <si>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</si>
  <si>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</si>
  <si>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Cash Allocation % (F5- Financing)</t>
  </si>
  <si>
    <t>SPM</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</si>
  <si>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</si>
  <si>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</si>
  <si>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</si>
  <si>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</si>
  <si>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</si>
  <si>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</si>
  <si>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</si>
  <si>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</si>
  <si>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</si>
  <si>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</si>
  <si>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</si>
  <si>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</si>
  <si>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</si>
  <si>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</si>
  <si>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</si>
  <si>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</si>
  <si>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</si>
  <si>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</si>
  <si>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</si>
  <si>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</si>
  <si>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</si>
  <si>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</si>
  <si>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</si>
  <si>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</si>
  <si>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</si>
  <si>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</si>
  <si>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</si>
  <si>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</si>
  <si>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</si>
  <si>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</si>
  <si>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</si>
  <si>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</si>
  <si>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</si>
  <si>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</si>
  <si>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</si>
  <si>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</si>
  <si>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</si>
  <si>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</si>
  <si>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</si>
  <si>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</si>
  <si>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</si>
  <si>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</si>
  <si>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</si>
  <si>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</si>
  <si>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</si>
  <si>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</si>
  <si>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</si>
  <si>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</si>
  <si>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</si>
  <si>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</si>
  <si>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</si>
  <si>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</si>
  <si>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</si>
  <si>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</si>
  <si>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</si>
  <si>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</si>
  <si>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</si>
  <si>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</si>
  <si>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</si>
  <si>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</si>
  <si>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</si>
  <si>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</si>
  <si>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</si>
  <si>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</si>
  <si>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</si>
  <si>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</si>
  <si>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</si>
  <si>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</si>
  <si>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</si>
  <si>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</si>
  <si>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</si>
  <si>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</si>
  <si>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</si>
  <si>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</si>
  <si>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</si>
  <si>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</si>
  <si>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</si>
  <si>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</si>
  <si>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</si>
  <si>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</si>
  <si>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</si>
  <si>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</si>
  <si>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</si>
  <si>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</si>
  <si>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</si>
  <si>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</si>
  <si>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</si>
  <si>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</si>
  <si>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</si>
  <si>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</si>
  <si>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</si>
  <si>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</si>
  <si>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</si>
  <si>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</si>
  <si>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</si>
  <si>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</si>
  <si>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</si>
  <si>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</si>
  <si>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</si>
  <si>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</si>
  <si>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</si>
  <si>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</si>
  <si>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</si>
  <si>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</si>
  <si>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</si>
  <si>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</si>
  <si>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</si>
  <si>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</si>
  <si>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</si>
  <si>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</si>
  <si>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</si>
  <si>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</si>
  <si>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</si>
  <si>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</si>
  <si>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</si>
  <si>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</si>
  <si>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</si>
  <si>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</si>
  <si>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</si>
  <si>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</si>
  <si>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</si>
  <si>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</si>
  <si>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</si>
  <si>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</si>
  <si>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</si>
  <si>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</si>
  <si>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</si>
  <si>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</si>
  <si>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</si>
  <si>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</si>
  <si>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</si>
  <si>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</si>
  <si>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</si>
  <si>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</si>
  <si>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</si>
  <si>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</si>
  <si>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</si>
  <si>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</si>
  <si>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</si>
  <si>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</si>
  <si>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</si>
  <si>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</si>
  <si>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</si>
  <si>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</si>
  <si>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</si>
  <si>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</si>
  <si>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</si>
  <si>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</si>
  <si>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</si>
  <si>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</si>
  <si>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</si>
  <si>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</si>
  <si>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</si>
  <si>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</si>
  <si>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</si>
  <si>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</si>
  <si>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</si>
  <si>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</si>
  <si>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</si>
  <si>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</si>
  <si>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</si>
  <si>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</si>
  <si>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</si>
  <si>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</si>
  <si>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</si>
  <si>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</si>
  <si>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</si>
  <si>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</si>
  <si>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</si>
  <si>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</si>
  <si>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</si>
  <si>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</si>
  <si>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</si>
  <si>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</si>
  <si>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</si>
  <si>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</si>
  <si>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</si>
  <si>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</si>
  <si>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</si>
  <si>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</si>
  <si>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</si>
  <si>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</si>
  <si>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</si>
  <si>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</si>
  <si>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</si>
  <si>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</si>
  <si>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</si>
  <si>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</si>
  <si>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</si>
  <si>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</si>
  <si>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</si>
  <si>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</si>
  <si>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</si>
  <si>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</si>
  <si>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</si>
  <si>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</si>
  <si>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</si>
  <si>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</si>
  <si>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</si>
  <si>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</si>
  <si>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</si>
  <si>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</si>
  <si>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</si>
  <si>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</si>
  <si>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</si>
  <si>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</si>
  <si>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</si>
  <si>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</si>
  <si>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</si>
  <si>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</si>
  <si>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</si>
  <si>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</si>
  <si>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</si>
  <si>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</si>
  <si>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Rows 19-21, 28-29</t>
  </si>
  <si>
    <t>Updated the values as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</si>
  <si>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</si>
  <si>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</si>
  <si>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</si>
  <si>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</si>
  <si>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</si>
  <si>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</si>
  <si>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</si>
  <si>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</si>
  <si>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</si>
  <si>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</si>
  <si>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</si>
  <si>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</si>
  <si>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</si>
  <si>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</si>
  <si>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</si>
  <si>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</si>
  <si>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</si>
  <si>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</si>
  <si>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</si>
  <si>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</si>
  <si>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</si>
  <si>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</si>
  <si>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v3.3</t>
  </si>
  <si>
    <t>R3 - row 165 ''checks''</t>
  </si>
  <si>
    <t>Amended the ‘error check’ formula to reflect the correct results.</t>
  </si>
  <si>
    <t>Ofgem/NGT</t>
  </si>
  <si>
    <t>R1 - rows 20-21, 49-50, 78-79</t>
  </si>
  <si>
    <t>Rows inserted and logic added to include missed ODIs from R4 tab on 'Collaborative streetworks' and 'Dig Fix Go' incentives</t>
  </si>
  <si>
    <t>Data tab- Rows 19-21, 28-29</t>
  </si>
  <si>
    <t>Updated the values as per the latest inflation data as per the PCFM published on 31 January 2025</t>
  </si>
  <si>
    <t>Data tab- Rows 42 - 59</t>
  </si>
  <si>
    <t>Updated the allowed Cost of debt &amp; Cost of equity data as per the PCFM published on 31 January 2025</t>
  </si>
  <si>
    <t>Updated "I1 - Universal Data" cells M15:O16 with the latest inflation data per the PCFM published on 31 January 2025</t>
  </si>
  <si>
    <t>Added "I2 - Monthly Inflation" cells C306:D308 with latest inflation data per the PCFM published on 31 January 2025</t>
  </si>
  <si>
    <t>v3.4</t>
  </si>
  <si>
    <t>F5 - Row 38</t>
  </si>
  <si>
    <t>Updated the formula in these cells to reflect the cash allocation % between companies where applicable. (currently applies to Cadent only)</t>
  </si>
  <si>
    <t>Ofgem/ Cadent</t>
  </si>
  <si>
    <t>Data tab - Rows 386 - 413</t>
  </si>
  <si>
    <t>Inserted a cash allocation table to accompany the change in F5- Row 38. (currently applies to Cadent only)</t>
  </si>
  <si>
    <t>F3 - Fixed Rate Debt - 211:610</t>
  </si>
  <si>
    <t>Extended dataset and formula to allow for 600 debt instruments</t>
  </si>
  <si>
    <t>F4 - Floating Rate Debt - 211:610</t>
  </si>
  <si>
    <t>F5 - Inflation Linked Debt - 211:610</t>
  </si>
  <si>
    <t>Extended dataset and formula to allow for 1800 debt instruments</t>
  </si>
  <si>
    <t xml:space="preserve">Updated the values as per the latest inflation data (March update) as per the PCFM </t>
  </si>
  <si>
    <t xml:space="preserve">Updated "I1 - Universal Data" cells M15:O16 with the latest inflation data (March update) as per the PCFM </t>
  </si>
  <si>
    <t xml:space="preserve">Added "I2 - Monthly Inflation" cells C309:D317 with latest inflation data (March update) as per the PCFM </t>
  </si>
  <si>
    <t>v4.0</t>
  </si>
  <si>
    <t>R1- rows 48, 49, 50</t>
  </si>
  <si>
    <t>Amended the formulae in rows 48, 49, and 50 to correctly interpret values from the R4 tab.</t>
  </si>
  <si>
    <t>Ofgem/UKPN</t>
  </si>
  <si>
    <t>Updated interest rates inpuit table (rows 26-30) - to note that LIBOR has been discontinued from 2024 onwards</t>
  </si>
  <si>
    <t>R1 - Return on Regulatory Equity (RoRE)</t>
  </si>
  <si>
    <t>RIIO-2 period</t>
  </si>
  <si>
    <t>RoRE based on Notional Gearing</t>
  </si>
  <si>
    <t>Allowed Equity Return</t>
  </si>
  <si>
    <t>%</t>
  </si>
  <si>
    <t>a</t>
  </si>
  <si>
    <t>b</t>
  </si>
  <si>
    <t>c</t>
  </si>
  <si>
    <t>d</t>
  </si>
  <si>
    <t>e</t>
  </si>
  <si>
    <t>f</t>
  </si>
  <si>
    <t>g</t>
  </si>
  <si>
    <t>h</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</si>
  <si>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</si>
  <si>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</si>
  <si>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</si>
  <si>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</si>
  <si>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</si>
  <si>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</si>
  <si>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</si>
  <si>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</si>
  <si>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</si>
  <si>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</si>
  <si>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</si>
  <si>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</si>
  <si>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</si>
  <si>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</si>
  <si>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</si>
  <si>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</si>
  <si>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</si>
  <si>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</si>
  <si>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</si>
  <si>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</si>
  <si>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</si>
  <si>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</si>
  <si>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</si>
  <si>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</si>
  <si>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</si>
  <si>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</si>
  <si>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</si>
  <si>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</si>
  <si>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</si>
  <si>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</si>
  <si>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</si>
  <si>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</si>
  <si>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</si>
  <si>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</si>
  <si>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</si>
  <si>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</si>
  <si>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</si>
  <si>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</si>
  <si>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</si>
  <si>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</si>
  <si>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</si>
  <si>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</si>
  <si>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</si>
  <si>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</si>
  <si>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</si>
  <si>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</si>
  <si>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</si>
  <si>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</si>
  <si>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</si>
  <si>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</si>
  <si>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</si>
  <si>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</si>
  <si>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</si>
  <si>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</si>
  <si>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</si>
  <si>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</si>
  <si>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</si>
  <si>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</si>
  <si>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</si>
  <si>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</si>
  <si>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</si>
  <si>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</si>
  <si>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</si>
  <si>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</si>
  <si>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</si>
  <si>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</si>
  <si>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</si>
  <si>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</si>
  <si>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</si>
  <si>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</si>
  <si>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</si>
  <si>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</si>
  <si>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</si>
  <si>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</si>
  <si>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</si>
  <si>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</si>
  <si>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</si>
  <si>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</si>
  <si>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</si>
  <si>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</si>
  <si>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</si>
  <si>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</si>
  <si>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</si>
  <si>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</si>
  <si>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</si>
  <si>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</si>
  <si>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</si>
  <si>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</si>
  <si>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</si>
  <si>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</si>
  <si>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</si>
  <si>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</si>
  <si>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</si>
  <si>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</si>
  <si>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</si>
  <si>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</si>
  <si>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</si>
  <si>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</si>
  <si>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</si>
  <si>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</si>
  <si>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</si>
  <si>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</si>
  <si>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</si>
  <si>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</si>
  <si>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</si>
  <si>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</si>
  <si>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</si>
  <si>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</si>
  <si>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</si>
  <si>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</si>
  <si>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</si>
  <si>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</si>
  <si>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</si>
  <si>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</si>
  <si>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</si>
  <si>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</si>
  <si>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</si>
  <si>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</si>
  <si>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</si>
  <si>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</si>
  <si>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</si>
  <si>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</si>
  <si>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</si>
  <si>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</si>
  <si>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</si>
  <si>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</si>
  <si>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</si>
  <si>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</si>
  <si>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</si>
  <si>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</si>
  <si>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</si>
  <si>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</si>
  <si>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</si>
  <si>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</si>
  <si>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</si>
  <si>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</si>
  <si>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</si>
  <si>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</si>
  <si>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</si>
  <si>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</si>
  <si>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</si>
  <si>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</si>
  <si>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</si>
  <si>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</si>
  <si>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</si>
  <si>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</si>
  <si>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</si>
  <si>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</si>
  <si>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</si>
  <si>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</si>
  <si>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</si>
  <si>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</si>
  <si>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</si>
  <si>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</si>
  <si>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</si>
  <si>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</si>
  <si>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</si>
  <si>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</si>
  <si>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</si>
  <si>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</si>
  <si>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</si>
  <si>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</si>
  <si>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</si>
  <si>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</si>
  <si>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</si>
  <si>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</si>
  <si>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</si>
  <si>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</si>
  <si>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</si>
  <si>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</si>
  <si>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</si>
  <si>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</si>
  <si>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</si>
  <si>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</si>
  <si>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</si>
  <si>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</si>
  <si>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</si>
  <si>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</si>
  <si>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</si>
  <si>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</si>
  <si>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</si>
  <si>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</si>
  <si>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</si>
  <si>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</si>
  <si>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</si>
  <si>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</si>
  <si>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</si>
  <si>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</si>
  <si>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</si>
  <si>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</si>
  <si>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</si>
  <si>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</si>
  <si>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</si>
  <si>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</si>
  <si>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</si>
  <si>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</si>
  <si>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</si>
  <si>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</si>
  <si>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</si>
  <si>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</si>
  <si>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</si>
  <si>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</si>
  <si>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</si>
  <si>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</si>
  <si>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</si>
  <si>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</si>
  <si>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</si>
  <si>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</si>
  <si>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</si>
  <si>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</si>
  <si>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</si>
  <si>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</si>
  <si>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</si>
  <si>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</si>
  <si>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</si>
  <si>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</si>
  <si>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</si>
  <si>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</si>
  <si>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</si>
  <si>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</si>
  <si>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</si>
  <si>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</si>
  <si>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</si>
  <si>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</si>
  <si>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</si>
  <si>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</si>
  <si>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</si>
  <si>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</si>
  <si>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</si>
  <si>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</si>
  <si>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</si>
  <si>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</si>
  <si>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[Insert adjustment as necessary]</t>
  </si>
  <si>
    <t>7. [Insert adjustment as necessary]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</si>
  <si>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</si>
  <si>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</si>
  <si>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</si>
  <si>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</si>
  <si>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</si>
  <si>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</si>
  <si>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</si>
  <si>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</si>
  <si>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</si>
  <si>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</si>
  <si>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</si>
  <si>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</si>
  <si>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</si>
  <si>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</si>
  <si>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4. [Insert adjustment as necessary]</t>
  </si>
  <si>
    <t>5.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</si>
  <si>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</si>
  <si>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</si>
  <si>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</si>
  <si>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</si>
  <si>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</si>
  <si>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</si>
  <si>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</si>
  <si>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</si>
  <si>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</si>
  <si>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</si>
  <si>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</si>
  <si>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</si>
  <si>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Discounts (premiums) for fixed rate debt</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</si>
  <si>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</si>
  <si>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</si>
  <si>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</si>
  <si>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</si>
  <si>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</si>
  <si>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</si>
  <si>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</si>
  <si>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</si>
  <si>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</si>
  <si>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</si>
  <si>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</si>
  <si>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</si>
  <si>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</si>
  <si>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</si>
  <si>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</si>
  <si>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</si>
  <si>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</si>
  <si>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</si>
  <si>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</si>
  <si>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</si>
  <si>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</si>
  <si>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</si>
  <si>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</si>
  <si>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</si>
  <si>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</si>
  <si>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</si>
  <si>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</si>
  <si>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</si>
  <si>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</si>
  <si>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</si>
  <si>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</si>
  <si>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</si>
  <si>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</si>
  <si>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</si>
  <si>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</si>
  <si>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</si>
  <si>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</si>
  <si>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</si>
  <si>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</si>
  <si>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</si>
  <si>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</si>
  <si>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</si>
  <si>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</si>
  <si>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</si>
  <si>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</si>
  <si>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</si>
  <si>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</si>
  <si>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</si>
  <si>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</si>
  <si>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</si>
  <si>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</si>
  <si>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</si>
  <si>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</si>
  <si>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</si>
  <si>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</si>
  <si>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</si>
  <si>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</si>
  <si>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</si>
  <si>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</si>
  <si>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</si>
  <si>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</si>
  <si>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</si>
  <si>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</si>
  <si>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</si>
  <si>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</si>
  <si>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</si>
  <si>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</si>
  <si>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</si>
  <si>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</si>
  <si>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</si>
  <si>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</si>
  <si>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</si>
  <si>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</si>
  <si>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</si>
  <si>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</si>
  <si>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</si>
  <si>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</si>
  <si>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</si>
  <si>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</si>
  <si>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</si>
  <si>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</si>
  <si>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</si>
  <si>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</si>
  <si>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</si>
  <si>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</si>
  <si>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</si>
  <si>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</si>
  <si>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</si>
  <si>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</si>
  <si>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</si>
  <si>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</si>
  <si>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</si>
  <si>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</si>
  <si>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</si>
  <si>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</si>
  <si>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</si>
  <si>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</si>
  <si>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</si>
  <si>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</si>
  <si>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</si>
  <si>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</si>
  <si>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</si>
  <si>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</si>
  <si>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</si>
  <si>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</si>
  <si>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</si>
  <si>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</si>
  <si>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</si>
  <si>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</si>
  <si>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</si>
  <si>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</si>
  <si>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</si>
  <si>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</si>
  <si>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</si>
  <si>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</si>
  <si>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</si>
  <si>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</si>
  <si>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</si>
  <si>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</si>
  <si>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</si>
  <si>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</si>
  <si>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</si>
  <si>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</si>
  <si>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</si>
  <si>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</si>
  <si>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</si>
  <si>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</si>
  <si>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</si>
  <si>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</si>
  <si>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</si>
  <si>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</si>
  <si>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</si>
  <si>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</si>
  <si>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</si>
  <si>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</si>
  <si>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</si>
  <si>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</si>
  <si>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</si>
  <si>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</si>
  <si>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LCNF / NIA / NIC</t>
  </si>
  <si>
    <t>DRS1 Connections revenue</t>
  </si>
  <si>
    <t>IFRIC 18 / IFRS 15</t>
  </si>
  <si>
    <t>Income from Sale of Assets / Scrap</t>
  </si>
  <si>
    <t>Third party cable damage recoveries (cost recovery on C1)</t>
  </si>
  <si>
    <t>Theft in Conveyance income</t>
  </si>
  <si>
    <t>Dividends received</t>
  </si>
  <si>
    <t>Other misc income</t>
  </si>
  <si>
    <t>Recovered UoS Bad Debts</t>
  </si>
  <si>
    <t>Depreciation for connections outside the price control</t>
  </si>
  <si>
    <t>Customer Contributions/Connections - cash received v WIP basis</t>
  </si>
  <si>
    <t>Atypicals - Provision charges in Regulatory Accounts but shown as Utilised in RRP</t>
  </si>
  <si>
    <t>Third party cable damage income</t>
  </si>
  <si>
    <t>Removal of IAS19 pensions and inclusion of cash contributions</t>
  </si>
  <si>
    <t>Related party recharges grossed up in C1</t>
  </si>
  <si>
    <t>ENWS depreciation charge to ENWL not included in C1</t>
  </si>
  <si>
    <t>Removal of effects of IFRS16</t>
  </si>
  <si>
    <t>Rounding to £0.1m in Statutory Accounts</t>
  </si>
  <si>
    <t>Addition of Strategic Stock items in CV7</t>
  </si>
  <si>
    <t>Profit &amp; Loss v Proceeds on Sale of Assets</t>
  </si>
  <si>
    <t xml:space="preserve">Connections prepayment costs </t>
  </si>
  <si>
    <t>Income from theft recovery</t>
  </si>
  <si>
    <t>Value added services (DRS 10) and Distribution Network Voltage Control Services(DRS16) revenue</t>
  </si>
  <si>
    <t>Non-regulated business expenditure</t>
  </si>
  <si>
    <t>Direct pass through costs to other regulated entities</t>
  </si>
  <si>
    <t>NIC/NIA/LCNF not included in Totex input to PCFM</t>
  </si>
  <si>
    <t>Guaranteed Standard/Ex-gratia Compensation/Bad Debt expense</t>
  </si>
  <si>
    <t>Disallowed related party costs and margin</t>
  </si>
  <si>
    <t>NBV of assets sold in year - Proceeds included in Totex</t>
  </si>
  <si>
    <t>Total Costs per latest RRP submission* taken from C1 - Cost Matrix tables cell CH86</t>
  </si>
  <si>
    <t>Re-phasing within ED2</t>
  </si>
  <si>
    <t>Remove accretion on index-linked swaps (cash paid)</t>
  </si>
  <si>
    <t>Remove IFRS16 Lease Interest Costs</t>
  </si>
  <si>
    <t>Restricted cash balances</t>
  </si>
  <si>
    <t>Amounts posted with banks as collateral under derivative arrangements</t>
  </si>
  <si>
    <t>RFPR Calculations</t>
  </si>
  <si>
    <t>Adjustment for cost recoveries</t>
  </si>
  <si>
    <t>Legacy</t>
  </si>
  <si>
    <t>Benefit in Kind</t>
  </si>
  <si>
    <t>Car Allowance</t>
  </si>
  <si>
    <t>Lodge Allowance</t>
  </si>
  <si>
    <t>Add back capitalised interest</t>
  </si>
  <si>
    <t>6. Add back restricted cash balances</t>
  </si>
  <si>
    <t>7. Add back cash collateral held</t>
  </si>
  <si>
    <t>8. Amounts posted with banks as collateral under derivative arrangements</t>
  </si>
  <si>
    <t>Ian Smyth</t>
  </si>
  <si>
    <t>Chris Johns</t>
  </si>
  <si>
    <t>1:54</t>
  </si>
  <si>
    <t>1:40</t>
  </si>
  <si>
    <t>1:30</t>
  </si>
  <si>
    <t>2021/22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</si>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</sst>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s>
  <fonts count="28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0"/>
      <color theme="0"/>
      <name val="Verdana"/>
      <family val="2"/>
    </font>
    <font>
      <sz val="11"/>
      <color theme="1"/>
      <name val="Aptos"/>
      <family val="2"/>
      <charset val="1"/>
    </font>
    <font>
      <b/>
      <u/>
      <sz val="9"/>
      <color theme="1"/>
      <name val="Verdana"/>
      <family val="2"/>
    </font>
    <font>
      <b/>
      <sz val="16"/>
      <color theme="4" tint="-0.499984740745262"/>
      <name val="CG Omega"/>
      <family val="2"/>
    </font>
    <font>
      <b/>
      <sz val="16"/>
      <color theme="4" tint="-0.499984740745262"/>
      <name val="CG Omega"/>
    </font>
    <font>
      <sz val="10"/>
      <color rgb="FFA20000"/>
      <name val="Verdana"/>
      <family val="2"/>
    </font>
    <font>
      <b/>
      <sz val="10"/>
      <color rgb="FFA20000"/>
      <name val="Verdana"/>
      <family val="2"/>
    </font>
    <font>
      <b/>
      <sz val="10"/>
      <color rgb="FF8A0000"/>
      <name val="Verdana"/>
      <family val="2"/>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2"/>
        <bgColor indexed="64"/>
      </patternFill>
    </fill>
    <fill>
      <patternFill patternType="solid">
        <fgColor theme="8" tint="0.79998168889431442"/>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s>
  <cellStyleXfs count="51704">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49"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0" fillId="13" borderId="0" applyNumberFormat="0" applyBorder="0" applyAlignment="0" applyProtection="0"/>
    <xf numFmtId="349" fontId="250" fillId="13" borderId="0" applyNumberFormat="0" applyBorder="0" applyAlignment="0" applyProtection="0"/>
    <xf numFmtId="349" fontId="251" fillId="127" borderId="109" applyNumberFormat="0" applyAlignment="0" applyProtection="0"/>
    <xf numFmtId="349" fontId="251" fillId="127" borderId="109"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2" fillId="0" borderId="0" applyNumberFormat="0" applyFill="0" applyBorder="0" applyAlignment="0" applyProtection="0"/>
    <xf numFmtId="349" fontId="252"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10" applyNumberFormat="0" applyFill="0" applyAlignment="0" applyProtection="0"/>
    <xf numFmtId="349" fontId="125" fillId="0" borderId="110" applyNumberFormat="0" applyFill="0" applyAlignment="0" applyProtection="0"/>
    <xf numFmtId="349" fontId="128" fillId="0" borderId="111" applyNumberFormat="0" applyFill="0" applyAlignment="0" applyProtection="0"/>
    <xf numFmtId="349" fontId="128" fillId="0" borderId="111"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9" applyNumberFormat="0" applyAlignment="0" applyProtection="0"/>
    <xf numFmtId="349" fontId="142" fillId="14" borderId="109" applyNumberFormat="0" applyAlignment="0" applyProtection="0"/>
    <xf numFmtId="349" fontId="145" fillId="34" borderId="0"/>
    <xf numFmtId="349" fontId="118" fillId="0" borderId="112" applyNumberFormat="0" applyFill="0" applyAlignment="0" applyProtection="0"/>
    <xf numFmtId="349" fontId="118" fillId="0" borderId="112"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84" fillId="127" borderId="113" applyNumberFormat="0" applyAlignment="0" applyProtection="0"/>
    <xf numFmtId="349" fontId="184" fillId="127" borderId="1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349" fontId="254" fillId="18" borderId="114" applyNumberFormat="0" applyProtection="0">
      <alignment horizontal="left" vertical="top"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2" borderId="115" applyNumberFormat="0" applyProtection="0">
      <alignment horizontal="right" vertical="center"/>
    </xf>
    <xf numFmtId="4" fontId="53" fillId="23" borderId="109" applyNumberFormat="0" applyProtection="0">
      <alignment horizontal="right" vertical="center"/>
    </xf>
    <xf numFmtId="4" fontId="53" fillId="24" borderId="109" applyNumberFormat="0" applyProtection="0">
      <alignment horizontal="right" vertical="center"/>
    </xf>
    <xf numFmtId="4" fontId="53" fillId="25" borderId="109" applyNumberFormat="0" applyProtection="0">
      <alignment horizontal="right" vertical="center"/>
    </xf>
    <xf numFmtId="4" fontId="53" fillId="26"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29" borderId="115" applyNumberFormat="0" applyProtection="0">
      <alignment horizontal="left" vertical="center" indent="1"/>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19" borderId="109" applyNumberFormat="0" applyProtection="0">
      <alignment horizontal="right" vertical="center"/>
    </xf>
    <xf numFmtId="4" fontId="53" fillId="30" borderId="115" applyNumberFormat="0" applyProtection="0">
      <alignment horizontal="left" vertical="center" indent="1"/>
    </xf>
    <xf numFmtId="4" fontId="53" fillId="19" borderId="115" applyNumberFormat="0" applyProtection="0">
      <alignment horizontal="left" vertical="center" indent="1"/>
    </xf>
    <xf numFmtId="349" fontId="53" fillId="61" borderId="109"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9" fillId="30" borderId="114" applyNumberFormat="0" applyProtection="0">
      <alignment horizontal="left" vertical="center"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6" applyBorder="0"/>
    <xf numFmtId="4" fontId="255" fillId="34" borderId="114" applyNumberFormat="0" applyProtection="0">
      <alignment vertical="center"/>
    </xf>
    <xf numFmtId="4" fontId="253" fillId="36" borderId="26" applyNumberFormat="0" applyProtection="0">
      <alignment vertical="center"/>
    </xf>
    <xf numFmtId="4" fontId="255" fillId="61" borderId="114" applyNumberFormat="0" applyProtection="0">
      <alignment horizontal="left" vertical="center" indent="1"/>
    </xf>
    <xf numFmtId="349" fontId="255" fillId="34" borderId="114" applyNumberFormat="0" applyProtection="0">
      <alignment horizontal="left" vertical="top" indent="1"/>
    </xf>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349" fontId="53" fillId="109" borderId="26"/>
    <xf numFmtId="4" fontId="257" fillId="33" borderId="109"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7"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8" applyNumberFormat="0" applyFill="0" applyAlignment="0" applyProtection="0"/>
    <xf numFmtId="349" fontId="15" fillId="0" borderId="118" applyNumberFormat="0" applyFill="0" applyAlignment="0" applyProtection="0"/>
    <xf numFmtId="349" fontId="258" fillId="0" borderId="0" applyNumberFormat="0" applyFill="0" applyBorder="0" applyAlignment="0" applyProtection="0"/>
    <xf numFmtId="349" fontId="258"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4" applyNumberFormat="0" applyProtection="0">
      <alignment horizontal="left" vertical="top" indent="1"/>
    </xf>
    <xf numFmtId="349" fontId="53" fillId="30" borderId="109"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32" borderId="109"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251" fillId="127" borderId="109" applyNumberFormat="0" applyAlignment="0" applyProtection="0"/>
    <xf numFmtId="349" fontId="251" fillId="127"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28" fillId="0" borderId="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84" fillId="127" borderId="113" applyNumberFormat="0" applyAlignment="0" applyProtection="0"/>
    <xf numFmtId="349" fontId="184" fillId="127" borderId="113" applyNumberFormat="0" applyAlignment="0" applyProtection="0"/>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5"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19" borderId="109" applyNumberFormat="0" applyProtection="0">
      <alignment horizontal="right" vertical="center"/>
    </xf>
    <xf numFmtId="349" fontId="53" fillId="61" borderId="109" applyNumberFormat="0" applyProtection="0">
      <alignment horizontal="left" vertical="center" indent="1"/>
    </xf>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349" fontId="254" fillId="18" borderId="114" applyNumberFormat="0" applyProtection="0">
      <alignment horizontal="left" vertical="top"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2" borderId="115" applyNumberFormat="0" applyProtection="0">
      <alignment horizontal="right" vertical="center"/>
    </xf>
    <xf numFmtId="4" fontId="53" fillId="23" borderId="109" applyNumberFormat="0" applyProtection="0">
      <alignment horizontal="right" vertical="center"/>
    </xf>
    <xf numFmtId="4" fontId="53" fillId="24" borderId="109" applyNumberFormat="0" applyProtection="0">
      <alignment horizontal="right" vertical="center"/>
    </xf>
    <xf numFmtId="4" fontId="53" fillId="25" borderId="109" applyNumberFormat="0" applyProtection="0">
      <alignment horizontal="right" vertical="center"/>
    </xf>
    <xf numFmtId="4" fontId="53" fillId="26"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29" borderId="115" applyNumberFormat="0" applyProtection="0">
      <alignment horizontal="left" vertical="center" indent="1"/>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19" borderId="109" applyNumberFormat="0" applyProtection="0">
      <alignment horizontal="right" vertical="center"/>
    </xf>
    <xf numFmtId="4" fontId="53" fillId="30" borderId="115" applyNumberFormat="0" applyProtection="0">
      <alignment horizontal="left" vertical="center" indent="1"/>
    </xf>
    <xf numFmtId="4" fontId="53" fillId="19" borderId="115" applyNumberFormat="0" applyProtection="0">
      <alignment horizontal="left" vertical="center" indent="1"/>
    </xf>
    <xf numFmtId="349" fontId="53" fillId="61" borderId="109"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9" fillId="30" borderId="114" applyNumberFormat="0" applyProtection="0">
      <alignment horizontal="left" vertical="center"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2" borderId="109" applyNumberFormat="0" applyProtection="0">
      <alignment horizontal="left" vertical="center" indent="1"/>
    </xf>
    <xf numFmtId="349" fontId="93" fillId="31" borderId="116" applyBorder="0"/>
    <xf numFmtId="4" fontId="255" fillId="34" borderId="114" applyNumberFormat="0" applyProtection="0">
      <alignment vertical="center"/>
    </xf>
    <xf numFmtId="4" fontId="255" fillId="61" borderId="114" applyNumberFormat="0" applyProtection="0">
      <alignment horizontal="left" vertical="center" indent="1"/>
    </xf>
    <xf numFmtId="349" fontId="255" fillId="34" borderId="114" applyNumberFormat="0" applyProtection="0">
      <alignment horizontal="left" vertical="top" indent="1"/>
    </xf>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4" fontId="257" fillId="33" borderId="109" applyNumberFormat="0" applyProtection="0">
      <alignment horizontal="right" vertical="center"/>
    </xf>
    <xf numFmtId="37" fontId="64" fillId="0" borderId="117" applyNumberFormat="0"/>
    <xf numFmtId="349" fontId="15" fillId="0" borderId="118" applyNumberFormat="0" applyFill="0" applyAlignment="0" applyProtection="0"/>
    <xf numFmtId="349" fontId="15" fillId="0" borderId="118" applyNumberFormat="0" applyFill="0" applyAlignment="0" applyProtection="0"/>
    <xf numFmtId="349" fontId="9" fillId="30" borderId="114" applyNumberFormat="0" applyProtection="0">
      <alignment horizontal="left" vertical="center"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251" fillId="127" borderId="109" applyNumberFormat="0" applyAlignment="0" applyProtection="0"/>
    <xf numFmtId="349" fontId="251" fillId="127" borderId="109" applyNumberFormat="0" applyAlignment="0" applyProtection="0"/>
    <xf numFmtId="4" fontId="53" fillId="23" borderId="109" applyNumberFormat="0" applyProtection="0">
      <alignment horizontal="right" vertical="center"/>
    </xf>
    <xf numFmtId="4" fontId="53" fillId="24" borderId="109" applyNumberFormat="0" applyProtection="0">
      <alignment horizontal="right" vertical="center"/>
    </xf>
    <xf numFmtId="349" fontId="53" fillId="83" borderId="109" applyNumberFormat="0" applyProtection="0">
      <alignment horizontal="left" vertical="center" indent="1"/>
    </xf>
    <xf numFmtId="214" fontId="64" fillId="0" borderId="28" applyFill="0"/>
    <xf numFmtId="4" fontId="53" fillId="26" borderId="109" applyNumberFormat="0" applyProtection="0">
      <alignment horizontal="right" vertical="center"/>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3" fillId="31" borderId="116" applyBorder="0"/>
    <xf numFmtId="4" fontId="255" fillId="34" borderId="114" applyNumberFormat="0" applyProtection="0">
      <alignment vertical="center"/>
    </xf>
    <xf numFmtId="4" fontId="255" fillId="61" borderId="114" applyNumberFormat="0" applyProtection="0">
      <alignment horizontal="left" vertical="center" indent="1"/>
    </xf>
    <xf numFmtId="349" fontId="255" fillId="34" borderId="114" applyNumberFormat="0" applyProtection="0">
      <alignment horizontal="left" vertical="top" indent="1"/>
    </xf>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4" fontId="257" fillId="33" borderId="109" applyNumberFormat="0" applyProtection="0">
      <alignment horizontal="right" vertical="center"/>
    </xf>
    <xf numFmtId="37" fontId="64" fillId="0" borderId="117" applyNumberFormat="0"/>
    <xf numFmtId="349" fontId="15" fillId="0" borderId="118" applyNumberFormat="0" applyFill="0" applyAlignment="0" applyProtection="0"/>
    <xf numFmtId="349" fontId="15" fillId="0" borderId="118" applyNumberFormat="0" applyFill="0" applyAlignment="0" applyProtection="0"/>
    <xf numFmtId="349" fontId="53" fillId="30" borderId="109" applyNumberFormat="0" applyProtection="0">
      <alignment horizontal="left" vertical="center" indent="1"/>
    </xf>
    <xf numFmtId="349" fontId="251" fillId="127" borderId="109" applyNumberFormat="0" applyAlignment="0" applyProtection="0"/>
    <xf numFmtId="349" fontId="251" fillId="127" borderId="109" applyNumberFormat="0" applyAlignment="0" applyProtection="0"/>
    <xf numFmtId="214" fontId="64" fillId="0" borderId="28" applyFill="0"/>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4" fontId="257" fillId="33" borderId="109" applyNumberFormat="0" applyProtection="0">
      <alignment horizontal="right" vertical="center"/>
    </xf>
    <xf numFmtId="349" fontId="251" fillId="127" borderId="109" applyNumberFormat="0" applyAlignment="0" applyProtection="0"/>
    <xf numFmtId="349" fontId="251" fillId="127"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28" fillId="0" borderId="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84" fillId="127" borderId="113" applyNumberFormat="0" applyAlignment="0" applyProtection="0"/>
    <xf numFmtId="349" fontId="184" fillId="127" borderId="113" applyNumberFormat="0" applyAlignment="0" applyProtection="0"/>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349" fontId="254" fillId="18" borderId="114" applyNumberFormat="0" applyProtection="0">
      <alignment horizontal="left" vertical="top"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2" borderId="115" applyNumberFormat="0" applyProtection="0">
      <alignment horizontal="right" vertical="center"/>
    </xf>
    <xf numFmtId="4" fontId="53" fillId="23" borderId="109" applyNumberFormat="0" applyProtection="0">
      <alignment horizontal="right" vertical="center"/>
    </xf>
    <xf numFmtId="4" fontId="53" fillId="24" borderId="109" applyNumberFormat="0" applyProtection="0">
      <alignment horizontal="right" vertical="center"/>
    </xf>
    <xf numFmtId="4" fontId="53" fillId="25" borderId="109" applyNumberFormat="0" applyProtection="0">
      <alignment horizontal="right" vertical="center"/>
    </xf>
    <xf numFmtId="4" fontId="53" fillId="26"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29" borderId="115" applyNumberFormat="0" applyProtection="0">
      <alignment horizontal="left" vertical="center" indent="1"/>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19" borderId="109" applyNumberFormat="0" applyProtection="0">
      <alignment horizontal="right" vertical="center"/>
    </xf>
    <xf numFmtId="4" fontId="53" fillId="30" borderId="115" applyNumberFormat="0" applyProtection="0">
      <alignment horizontal="left" vertical="center" indent="1"/>
    </xf>
    <xf numFmtId="4" fontId="53" fillId="19" borderId="115" applyNumberFormat="0" applyProtection="0">
      <alignment horizontal="left" vertical="center" indent="1"/>
    </xf>
    <xf numFmtId="349" fontId="53" fillId="61" borderId="109"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9" fillId="30" borderId="114" applyNumberFormat="0" applyProtection="0">
      <alignment horizontal="left" vertical="center"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3" fillId="31" borderId="116" applyBorder="0"/>
    <xf numFmtId="4" fontId="255" fillId="34" borderId="114" applyNumberFormat="0" applyProtection="0">
      <alignment vertical="center"/>
    </xf>
    <xf numFmtId="4" fontId="255" fillId="61" borderId="114" applyNumberFormat="0" applyProtection="0">
      <alignment horizontal="left" vertical="center" indent="1"/>
    </xf>
    <xf numFmtId="349" fontId="255" fillId="34" borderId="114" applyNumberFormat="0" applyProtection="0">
      <alignment horizontal="left" vertical="top" indent="1"/>
    </xf>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4" fontId="257" fillId="33" borderId="109" applyNumberFormat="0" applyProtection="0">
      <alignment horizontal="right" vertical="center"/>
    </xf>
    <xf numFmtId="37" fontId="64" fillId="0" borderId="117" applyNumberFormat="0"/>
    <xf numFmtId="349" fontId="15" fillId="0" borderId="118" applyNumberFormat="0" applyFill="0" applyAlignment="0" applyProtection="0"/>
    <xf numFmtId="349" fontId="15" fillId="0" borderId="118" applyNumberFormat="0" applyFill="0" applyAlignment="0" applyProtection="0"/>
    <xf numFmtId="214" fontId="64" fillId="0" borderId="28" applyFill="0"/>
    <xf numFmtId="349" fontId="28" fillId="0" borderId="0"/>
    <xf numFmtId="349" fontId="53" fillId="30" borderId="114" applyNumberFormat="0" applyProtection="0">
      <alignment horizontal="left" vertical="top" indent="1"/>
    </xf>
    <xf numFmtId="349" fontId="53" fillId="30" borderId="109"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32" borderId="109"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251" fillId="127" borderId="109" applyNumberFormat="0" applyAlignment="0" applyProtection="0"/>
    <xf numFmtId="349" fontId="251" fillId="127"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28" fillId="0" borderId="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84" fillId="127" borderId="113" applyNumberFormat="0" applyAlignment="0" applyProtection="0"/>
    <xf numFmtId="349" fontId="184" fillId="127" borderId="113" applyNumberFormat="0" applyAlignment="0" applyProtection="0"/>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5"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19" borderId="109" applyNumberFormat="0" applyProtection="0">
      <alignment horizontal="right" vertical="center"/>
    </xf>
    <xf numFmtId="349" fontId="53" fillId="61" borderId="109" applyNumberFormat="0" applyProtection="0">
      <alignment horizontal="left" vertical="center" indent="1"/>
    </xf>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349" fontId="254" fillId="18" borderId="114" applyNumberFormat="0" applyProtection="0">
      <alignment horizontal="left" vertical="top"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2" borderId="115" applyNumberFormat="0" applyProtection="0">
      <alignment horizontal="right" vertical="center"/>
    </xf>
    <xf numFmtId="4" fontId="53" fillId="23" borderId="109" applyNumberFormat="0" applyProtection="0">
      <alignment horizontal="right" vertical="center"/>
    </xf>
    <xf numFmtId="4" fontId="53" fillId="24" borderId="109" applyNumberFormat="0" applyProtection="0">
      <alignment horizontal="right" vertical="center"/>
    </xf>
    <xf numFmtId="4" fontId="53" fillId="25" borderId="109" applyNumberFormat="0" applyProtection="0">
      <alignment horizontal="right" vertical="center"/>
    </xf>
    <xf numFmtId="4" fontId="53" fillId="26"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29" borderId="115" applyNumberFormat="0" applyProtection="0">
      <alignment horizontal="left" vertical="center" indent="1"/>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19" borderId="109" applyNumberFormat="0" applyProtection="0">
      <alignment horizontal="right" vertical="center"/>
    </xf>
    <xf numFmtId="4" fontId="53" fillId="30" borderId="115" applyNumberFormat="0" applyProtection="0">
      <alignment horizontal="left" vertical="center" indent="1"/>
    </xf>
    <xf numFmtId="4" fontId="53" fillId="19" borderId="115" applyNumberFormat="0" applyProtection="0">
      <alignment horizontal="left" vertical="center" indent="1"/>
    </xf>
    <xf numFmtId="349" fontId="53" fillId="61" borderId="109"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9" fillId="30" borderId="114" applyNumberFormat="0" applyProtection="0">
      <alignment horizontal="left" vertical="center"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2" borderId="109" applyNumberFormat="0" applyProtection="0">
      <alignment horizontal="left" vertical="center" indent="1"/>
    </xf>
    <xf numFmtId="349" fontId="93" fillId="31" borderId="116" applyBorder="0"/>
    <xf numFmtId="4" fontId="255" fillId="34" borderId="114" applyNumberFormat="0" applyProtection="0">
      <alignment vertical="center"/>
    </xf>
    <xf numFmtId="4" fontId="255" fillId="61" borderId="114" applyNumberFormat="0" applyProtection="0">
      <alignment horizontal="left" vertical="center" indent="1"/>
    </xf>
    <xf numFmtId="349" fontId="255" fillId="34" borderId="114" applyNumberFormat="0" applyProtection="0">
      <alignment horizontal="left" vertical="top" indent="1"/>
    </xf>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4" fontId="257" fillId="33" borderId="109" applyNumberFormat="0" applyProtection="0">
      <alignment horizontal="right" vertical="center"/>
    </xf>
    <xf numFmtId="37" fontId="64" fillId="0" borderId="117" applyNumberFormat="0"/>
    <xf numFmtId="349" fontId="15" fillId="0" borderId="118" applyNumberFormat="0" applyFill="0" applyAlignment="0" applyProtection="0"/>
    <xf numFmtId="349" fontId="15" fillId="0" borderId="118" applyNumberFormat="0" applyFill="0" applyAlignment="0" applyProtection="0"/>
    <xf numFmtId="349" fontId="9" fillId="30" borderId="114" applyNumberFormat="0" applyProtection="0">
      <alignment horizontal="left" vertical="center"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251" fillId="127" borderId="109" applyNumberFormat="0" applyAlignment="0" applyProtection="0"/>
    <xf numFmtId="349" fontId="251" fillId="127" borderId="109" applyNumberFormat="0" applyAlignment="0" applyProtection="0"/>
    <xf numFmtId="4" fontId="53" fillId="23" borderId="109" applyNumberFormat="0" applyProtection="0">
      <alignment horizontal="right" vertical="center"/>
    </xf>
    <xf numFmtId="4" fontId="53" fillId="24" borderId="109" applyNumberFormat="0" applyProtection="0">
      <alignment horizontal="right" vertical="center"/>
    </xf>
    <xf numFmtId="349" fontId="53" fillId="83" borderId="109" applyNumberFormat="0" applyProtection="0">
      <alignment horizontal="left" vertical="center" indent="1"/>
    </xf>
    <xf numFmtId="214" fontId="64" fillId="0" borderId="28" applyFill="0"/>
    <xf numFmtId="4" fontId="53" fillId="26" borderId="109" applyNumberFormat="0" applyProtection="0">
      <alignment horizontal="right" vertical="center"/>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3" fillId="31" borderId="116" applyBorder="0"/>
    <xf numFmtId="4" fontId="255" fillId="34" borderId="114" applyNumberFormat="0" applyProtection="0">
      <alignment vertical="center"/>
    </xf>
    <xf numFmtId="4" fontId="255" fillId="61" borderId="114" applyNumberFormat="0" applyProtection="0">
      <alignment horizontal="left" vertical="center" indent="1"/>
    </xf>
    <xf numFmtId="349" fontId="255" fillId="34" borderId="114" applyNumberFormat="0" applyProtection="0">
      <alignment horizontal="left" vertical="top" indent="1"/>
    </xf>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4" fontId="257" fillId="33" borderId="109" applyNumberFormat="0" applyProtection="0">
      <alignment horizontal="right" vertical="center"/>
    </xf>
    <xf numFmtId="37" fontId="64" fillId="0" borderId="117" applyNumberFormat="0"/>
    <xf numFmtId="349" fontId="15" fillId="0" borderId="118" applyNumberFormat="0" applyFill="0" applyAlignment="0" applyProtection="0"/>
    <xf numFmtId="349" fontId="15" fillId="0" borderId="118" applyNumberFormat="0" applyFill="0" applyAlignment="0" applyProtection="0"/>
    <xf numFmtId="349" fontId="53" fillId="30" borderId="109" applyNumberFormat="0" applyProtection="0">
      <alignment horizontal="left" vertical="center" indent="1"/>
    </xf>
    <xf numFmtId="349" fontId="251" fillId="127" borderId="109" applyNumberFormat="0" applyAlignment="0" applyProtection="0"/>
    <xf numFmtId="349" fontId="251" fillId="127" borderId="109" applyNumberFormat="0" applyAlignment="0" applyProtection="0"/>
    <xf numFmtId="214" fontId="64" fillId="0" borderId="28" applyFill="0"/>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4" fontId="257" fillId="33" borderId="109" applyNumberFormat="0" applyProtection="0">
      <alignment horizontal="right" vertical="center"/>
    </xf>
    <xf numFmtId="349" fontId="53" fillId="32" borderId="114" applyNumberFormat="0" applyProtection="0">
      <alignment horizontal="left" vertical="top" indent="1"/>
    </xf>
    <xf numFmtId="4" fontId="255" fillId="61" borderId="114" applyNumberFormat="0" applyProtection="0">
      <alignment horizontal="left" vertical="center" indent="1"/>
    </xf>
    <xf numFmtId="4" fontId="255" fillId="34" borderId="114" applyNumberFormat="0" applyProtection="0">
      <alignment vertical="center"/>
    </xf>
    <xf numFmtId="349" fontId="9" fillId="32" borderId="114" applyNumberFormat="0" applyProtection="0">
      <alignment horizontal="left" vertical="top" indent="1"/>
    </xf>
    <xf numFmtId="349" fontId="53" fillId="32" borderId="109" applyNumberFormat="0" applyProtection="0">
      <alignment horizontal="left" vertical="center" indent="1"/>
    </xf>
    <xf numFmtId="349" fontId="53" fillId="31" borderId="114" applyNumberFormat="0" applyProtection="0">
      <alignment horizontal="left" vertical="top" indent="1"/>
    </xf>
    <xf numFmtId="349" fontId="53" fillId="13" borderId="109" applyNumberFormat="0" applyFont="0" applyAlignment="0" applyProtection="0"/>
    <xf numFmtId="349" fontId="53" fillId="30" borderId="114" applyNumberFormat="0" applyProtection="0">
      <alignment horizontal="left" vertical="top" indent="1"/>
    </xf>
    <xf numFmtId="349" fontId="53" fillId="19" borderId="114" applyNumberFormat="0" applyProtection="0">
      <alignment horizontal="left" vertical="top" indent="1"/>
    </xf>
    <xf numFmtId="349" fontId="251" fillId="127" borderId="109" applyNumberFormat="0" applyAlignment="0" applyProtection="0"/>
    <xf numFmtId="349" fontId="15" fillId="0" borderId="118" applyNumberFormat="0" applyFill="0" applyAlignment="0" applyProtection="0"/>
    <xf numFmtId="349" fontId="15" fillId="0" borderId="118" applyNumberFormat="0" applyFill="0" applyAlignment="0" applyProtection="0"/>
    <xf numFmtId="37" fontId="64" fillId="0" borderId="117" applyNumberFormat="0"/>
    <xf numFmtId="4" fontId="257" fillId="33" borderId="109" applyNumberFormat="0" applyProtection="0">
      <alignment horizontal="right" vertical="center"/>
    </xf>
    <xf numFmtId="4" fontId="256" fillId="35" borderId="115" applyNumberFormat="0" applyProtection="0">
      <alignment horizontal="left" vertical="center" indent="1"/>
    </xf>
    <xf numFmtId="349" fontId="255" fillId="19" borderId="114" applyNumberFormat="0" applyProtection="0">
      <alignment horizontal="left" vertical="top" indent="1"/>
    </xf>
    <xf numFmtId="4" fontId="53" fillId="64" borderId="109" applyNumberFormat="0" applyProtection="0">
      <alignment horizontal="left" vertical="center"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28" fillId="0" borderId="0"/>
    <xf numFmtId="349" fontId="142" fillId="14" borderId="109" applyNumberFormat="0" applyAlignment="0" applyProtection="0"/>
    <xf numFmtId="349" fontId="142" fillId="14" borderId="109" applyNumberFormat="0" applyAlignment="0" applyProtection="0"/>
    <xf numFmtId="349" fontId="251" fillId="127" borderId="109" applyNumberFormat="0" applyAlignment="0" applyProtection="0"/>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9" fillId="19" borderId="114" applyNumberFormat="0" applyProtection="0">
      <alignment horizontal="left" vertical="top" indent="1"/>
    </xf>
    <xf numFmtId="349" fontId="53" fillId="31" borderId="114" applyNumberFormat="0" applyProtection="0">
      <alignment horizontal="left" vertical="top" indent="1"/>
    </xf>
    <xf numFmtId="349" fontId="93" fillId="31" borderId="116" applyBorder="0"/>
    <xf numFmtId="349" fontId="53" fillId="13" borderId="109" applyNumberFormat="0" applyFont="0" applyAlignment="0" applyProtection="0"/>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255" fillId="19" borderId="114" applyNumberFormat="0" applyProtection="0">
      <alignment horizontal="left" vertical="top" indent="1"/>
    </xf>
    <xf numFmtId="349" fontId="53" fillId="30" borderId="109" applyNumberFormat="0" applyProtection="0">
      <alignment horizontal="left" vertical="center" indent="1"/>
    </xf>
    <xf numFmtId="214" fontId="64" fillId="0" borderId="28" applyFill="0"/>
    <xf numFmtId="349" fontId="251" fillId="127" borderId="109" applyNumberFormat="0" applyAlignment="0" applyProtection="0"/>
    <xf numFmtId="349" fontId="251" fillId="127" borderId="109" applyNumberFormat="0" applyAlignment="0" applyProtection="0"/>
    <xf numFmtId="349" fontId="53" fillId="31" borderId="114" applyNumberFormat="0" applyProtection="0">
      <alignment horizontal="left" vertical="top" indent="1"/>
    </xf>
    <xf numFmtId="349" fontId="53" fillId="30" borderId="114" applyNumberFormat="0" applyProtection="0">
      <alignment horizontal="left" vertical="top" indent="1"/>
    </xf>
    <xf numFmtId="169" fontId="7" fillId="0" borderId="0" applyFont="0" applyFill="0" applyBorder="0" applyAlignment="0" applyProtection="0"/>
    <xf numFmtId="349" fontId="53" fillId="30" borderId="114" applyNumberFormat="0" applyProtection="0">
      <alignment horizontal="left" vertical="top" indent="1"/>
    </xf>
    <xf numFmtId="169" fontId="6" fillId="0" borderId="0" applyFont="0" applyFill="0" applyBorder="0" applyAlignment="0" applyProtection="0"/>
    <xf numFmtId="349" fontId="93" fillId="31" borderId="116" applyBorder="0"/>
    <xf numFmtId="4" fontId="53" fillId="24" borderId="109" applyNumberFormat="0" applyProtection="0">
      <alignment horizontal="right" vertical="center"/>
    </xf>
    <xf numFmtId="349" fontId="53" fillId="13" borderId="109" applyNumberFormat="0" applyFont="0" applyAlignment="0" applyProtection="0"/>
    <xf numFmtId="4" fontId="53" fillId="19" borderId="115" applyNumberFormat="0" applyProtection="0">
      <alignment horizontal="left" vertical="center" indent="1"/>
    </xf>
    <xf numFmtId="4" fontId="53" fillId="25" borderId="109" applyNumberFormat="0" applyProtection="0">
      <alignment horizontal="right" vertical="center"/>
    </xf>
    <xf numFmtId="349" fontId="53" fillId="61" borderId="109" applyNumberFormat="0" applyProtection="0">
      <alignment horizontal="left" vertical="center" indent="1"/>
    </xf>
    <xf numFmtId="4" fontId="256" fillId="35" borderId="115" applyNumberFormat="0" applyProtection="0">
      <alignment horizontal="left" vertical="center" indent="1"/>
    </xf>
    <xf numFmtId="349" fontId="255" fillId="19" borderId="114" applyNumberFormat="0" applyProtection="0">
      <alignment horizontal="left" vertical="top"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4" fontId="255" fillId="34" borderId="114" applyNumberFormat="0" applyProtection="0">
      <alignment vertical="center"/>
    </xf>
    <xf numFmtId="349" fontId="93" fillId="31" borderId="116" applyBorder="0"/>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214" fontId="64" fillId="0" borderId="28" applyFill="0"/>
    <xf numFmtId="349" fontId="53" fillId="83" borderId="109" applyNumberFormat="0" applyProtection="0">
      <alignment horizontal="left" vertical="center" indent="1"/>
    </xf>
    <xf numFmtId="4" fontId="53" fillId="23" borderId="109" applyNumberFormat="0" applyProtection="0">
      <alignment horizontal="right" vertical="center"/>
    </xf>
    <xf numFmtId="349" fontId="251" fillId="127" borderId="109" applyNumberFormat="0" applyAlignment="0" applyProtection="0"/>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9" fillId="30" borderId="114" applyNumberFormat="0" applyProtection="0">
      <alignment horizontal="left" vertical="center" indent="1"/>
    </xf>
    <xf numFmtId="349" fontId="15" fillId="0" borderId="118" applyNumberFormat="0" applyFill="0" applyAlignment="0" applyProtection="0"/>
    <xf numFmtId="349" fontId="15" fillId="0" borderId="118" applyNumberFormat="0" applyFill="0" applyAlignment="0" applyProtection="0"/>
    <xf numFmtId="37" fontId="64" fillId="0" borderId="117" applyNumberFormat="0"/>
    <xf numFmtId="4" fontId="257" fillId="33" borderId="109" applyNumberFormat="0" applyProtection="0">
      <alignment horizontal="right" vertical="center"/>
    </xf>
    <xf numFmtId="4" fontId="256" fillId="35" borderId="115" applyNumberFormat="0" applyProtection="0">
      <alignment horizontal="left" vertical="center" indent="1"/>
    </xf>
    <xf numFmtId="349" fontId="255" fillId="19" borderId="114" applyNumberFormat="0" applyProtection="0">
      <alignment horizontal="left" vertical="top" indent="1"/>
    </xf>
    <xf numFmtId="4" fontId="53" fillId="64" borderId="109" applyNumberFormat="0" applyProtection="0">
      <alignment horizontal="left" vertical="center"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4" fontId="255" fillId="61" borderId="114" applyNumberFormat="0" applyProtection="0">
      <alignment horizontal="left" vertical="center" indent="1"/>
    </xf>
    <xf numFmtId="4" fontId="255" fillId="34" borderId="114" applyNumberFormat="0" applyProtection="0">
      <alignment vertical="center"/>
    </xf>
    <xf numFmtId="349" fontId="93" fillId="31" borderId="116" applyBorder="0"/>
    <xf numFmtId="349" fontId="53" fillId="32" borderId="109" applyNumberFormat="0" applyProtection="0">
      <alignment horizontal="left" vertical="center"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0" borderId="109"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32" borderId="109"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251" fillId="127" borderId="109" applyNumberFormat="0" applyAlignment="0" applyProtection="0"/>
    <xf numFmtId="349" fontId="251" fillId="127" borderId="109"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84" fillId="127" borderId="113" applyNumberFormat="0" applyAlignment="0" applyProtection="0"/>
    <xf numFmtId="349" fontId="184" fillId="127" borderId="113" applyNumberFormat="0" applyAlignment="0" applyProtection="0"/>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349" fontId="254" fillId="18" borderId="114" applyNumberFormat="0" applyProtection="0">
      <alignment horizontal="left" vertical="top"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2" borderId="115" applyNumberFormat="0" applyProtection="0">
      <alignment horizontal="right" vertical="center"/>
    </xf>
    <xf numFmtId="4" fontId="53" fillId="23" borderId="109" applyNumberFormat="0" applyProtection="0">
      <alignment horizontal="right" vertical="center"/>
    </xf>
    <xf numFmtId="4" fontId="53" fillId="24" borderId="109" applyNumberFormat="0" applyProtection="0">
      <alignment horizontal="right" vertical="center"/>
    </xf>
    <xf numFmtId="4" fontId="53" fillId="25" borderId="109" applyNumberFormat="0" applyProtection="0">
      <alignment horizontal="right" vertical="center"/>
    </xf>
    <xf numFmtId="4" fontId="53" fillId="26"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29" borderId="115" applyNumberFormat="0" applyProtection="0">
      <alignment horizontal="left" vertical="center" indent="1"/>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19" borderId="109" applyNumberFormat="0" applyProtection="0">
      <alignment horizontal="right" vertical="center"/>
    </xf>
    <xf numFmtId="4" fontId="53" fillId="30" borderId="115" applyNumberFormat="0" applyProtection="0">
      <alignment horizontal="left" vertical="center" indent="1"/>
    </xf>
    <xf numFmtId="4" fontId="53" fillId="19" borderId="115" applyNumberFormat="0" applyProtection="0">
      <alignment horizontal="left" vertical="center" indent="1"/>
    </xf>
    <xf numFmtId="349" fontId="53" fillId="61" borderId="109"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255" fillId="19"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0" borderId="109"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32" borderId="109" applyNumberFormat="0" applyProtection="0">
      <alignment horizontal="left" vertical="center" indent="1"/>
    </xf>
    <xf numFmtId="169" fontId="13" fillId="0" borderId="0" applyFont="0" applyFill="0" applyBorder="0" applyAlignment="0" applyProtection="0"/>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4"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4" fontId="53" fillId="0" borderId="109" applyNumberFormat="0" applyProtection="0">
      <alignment horizontal="right" vertical="center"/>
    </xf>
    <xf numFmtId="349" fontId="15" fillId="0" borderId="118" applyNumberFormat="0" applyFill="0" applyAlignment="0" applyProtection="0"/>
    <xf numFmtId="349" fontId="15" fillId="0" borderId="118" applyNumberFormat="0" applyFill="0" applyAlignment="0" applyProtection="0"/>
    <xf numFmtId="37" fontId="64" fillId="0" borderId="117" applyNumberFormat="0"/>
    <xf numFmtId="4" fontId="257" fillId="33" borderId="109" applyNumberFormat="0" applyProtection="0">
      <alignment horizontal="right" vertical="center"/>
    </xf>
    <xf numFmtId="4" fontId="256" fillId="35" borderId="115" applyNumberFormat="0" applyProtection="0">
      <alignment horizontal="left" vertical="center" indent="1"/>
    </xf>
    <xf numFmtId="4" fontId="53" fillId="64" borderId="109" applyNumberFormat="0" applyProtection="0">
      <alignment horizontal="left" vertical="center"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4" fontId="255" fillId="61" borderId="114" applyNumberFormat="0" applyProtection="0">
      <alignment horizontal="left" vertical="center" indent="1"/>
    </xf>
    <xf numFmtId="4" fontId="255" fillId="34" borderId="114" applyNumberFormat="0" applyProtection="0">
      <alignment vertical="center"/>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4" fontId="53" fillId="26" borderId="109" applyNumberFormat="0" applyProtection="0">
      <alignment horizontal="right" vertical="center"/>
    </xf>
    <xf numFmtId="214" fontId="64" fillId="0" borderId="28" applyFill="0"/>
    <xf numFmtId="349" fontId="53" fillId="83" borderId="109" applyNumberFormat="0" applyProtection="0">
      <alignment horizontal="left" vertical="center" indent="1"/>
    </xf>
    <xf numFmtId="4" fontId="53" fillId="24" borderId="109" applyNumberFormat="0" applyProtection="0">
      <alignment horizontal="right" vertical="center"/>
    </xf>
    <xf numFmtId="4" fontId="53" fillId="23" borderId="109" applyNumberFormat="0" applyProtection="0">
      <alignment horizontal="right" vertical="center"/>
    </xf>
    <xf numFmtId="349" fontId="251" fillId="127" borderId="109" applyNumberFormat="0" applyAlignment="0" applyProtection="0"/>
    <xf numFmtId="349" fontId="251" fillId="127" borderId="109" applyNumberFormat="0" applyAlignment="0" applyProtection="0"/>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9" fillId="30" borderId="114" applyNumberFormat="0" applyProtection="0">
      <alignment horizontal="left" vertical="center" indent="1"/>
    </xf>
    <xf numFmtId="349" fontId="15" fillId="0" borderId="118" applyNumberFormat="0" applyFill="0" applyAlignment="0" applyProtection="0"/>
    <xf numFmtId="349" fontId="15" fillId="0" borderId="118" applyNumberFormat="0" applyFill="0" applyAlignment="0" applyProtection="0"/>
    <xf numFmtId="37" fontId="64" fillId="0" borderId="117" applyNumberFormat="0"/>
    <xf numFmtId="4" fontId="257" fillId="33" borderId="109" applyNumberFormat="0" applyProtection="0">
      <alignment horizontal="right" vertical="center"/>
    </xf>
    <xf numFmtId="4" fontId="256" fillId="35" borderId="115" applyNumberFormat="0" applyProtection="0">
      <alignment horizontal="left" vertical="center" indent="1"/>
    </xf>
    <xf numFmtId="349" fontId="255" fillId="19" borderId="114" applyNumberFormat="0" applyProtection="0">
      <alignment horizontal="left" vertical="top" indent="1"/>
    </xf>
    <xf numFmtId="4" fontId="53" fillId="64" borderId="109" applyNumberFormat="0" applyProtection="0">
      <alignment horizontal="left" vertical="center"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4" fontId="255" fillId="61" borderId="114" applyNumberFormat="0" applyProtection="0">
      <alignment horizontal="left" vertical="center" indent="1"/>
    </xf>
    <xf numFmtId="4" fontId="255" fillId="34" borderId="114" applyNumberFormat="0" applyProtection="0">
      <alignment vertical="center"/>
    </xf>
    <xf numFmtId="349" fontId="93" fillId="31" borderId="116" applyBorder="0"/>
    <xf numFmtId="349" fontId="53" fillId="32" borderId="109" applyNumberFormat="0" applyProtection="0">
      <alignment horizontal="left" vertical="center"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0" borderId="109"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32" borderId="109"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53" fillId="61" borderId="109" applyNumberFormat="0" applyProtection="0">
      <alignment horizontal="left" vertical="center" indent="1"/>
    </xf>
    <xf numFmtId="4" fontId="53" fillId="19" borderId="109" applyNumberFormat="0" applyProtection="0">
      <alignment horizontal="right" vertical="center"/>
    </xf>
    <xf numFmtId="4" fontId="53" fillId="28" borderId="109" applyNumberFormat="0" applyProtection="0">
      <alignment horizontal="right" vertical="center"/>
    </xf>
    <xf numFmtId="4" fontId="53" fillId="27" borderId="109" applyNumberFormat="0" applyProtection="0">
      <alignment horizontal="right" vertical="center"/>
    </xf>
    <xf numFmtId="4" fontId="53" fillId="25" borderId="109"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142" fillId="14" borderId="109" applyNumberFormat="0" applyAlignment="0" applyProtection="0"/>
    <xf numFmtId="349" fontId="251" fillId="127" borderId="109" applyNumberFormat="0" applyAlignment="0" applyProtection="0"/>
    <xf numFmtId="349" fontId="251" fillId="127" borderId="109"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84" fillId="127" borderId="113" applyNumberFormat="0" applyAlignment="0" applyProtection="0"/>
    <xf numFmtId="349" fontId="184" fillId="127" borderId="113" applyNumberFormat="0" applyAlignment="0" applyProtection="0"/>
    <xf numFmtId="4" fontId="53" fillId="18" borderId="109" applyNumberFormat="0" applyProtection="0">
      <alignment vertical="center"/>
    </xf>
    <xf numFmtId="4" fontId="253" fillId="45" borderId="109" applyNumberFormat="0" applyProtection="0">
      <alignment vertical="center"/>
    </xf>
    <xf numFmtId="4" fontId="53" fillId="45" borderId="109" applyNumberFormat="0" applyProtection="0">
      <alignment horizontal="left" vertical="center" indent="1"/>
    </xf>
    <xf numFmtId="349" fontId="254" fillId="18" borderId="114" applyNumberFormat="0" applyProtection="0">
      <alignment horizontal="left" vertical="top" indent="1"/>
    </xf>
    <xf numFmtId="4" fontId="53" fillId="64" borderId="109" applyNumberFormat="0" applyProtection="0">
      <alignment horizontal="left" vertical="center" indent="1"/>
    </xf>
    <xf numFmtId="4" fontId="53" fillId="20" borderId="109" applyNumberFormat="0" applyProtection="0">
      <alignment horizontal="right" vertical="center"/>
    </xf>
    <xf numFmtId="4" fontId="53" fillId="130" borderId="109" applyNumberFormat="0" applyProtection="0">
      <alignment horizontal="right" vertical="center"/>
    </xf>
    <xf numFmtId="4" fontId="53" fillId="22" borderId="115" applyNumberFormat="0" applyProtection="0">
      <alignment horizontal="right" vertical="center"/>
    </xf>
    <xf numFmtId="4" fontId="53" fillId="23" borderId="109" applyNumberFormat="0" applyProtection="0">
      <alignment horizontal="right" vertical="center"/>
    </xf>
    <xf numFmtId="4" fontId="53" fillId="24" borderId="109" applyNumberFormat="0" applyProtection="0">
      <alignment horizontal="right" vertical="center"/>
    </xf>
    <xf numFmtId="4" fontId="53" fillId="25" borderId="109" applyNumberFormat="0" applyProtection="0">
      <alignment horizontal="right" vertical="center"/>
    </xf>
    <xf numFmtId="4" fontId="53" fillId="26" borderId="109" applyNumberFormat="0" applyProtection="0">
      <alignment horizontal="right" vertical="center"/>
    </xf>
    <xf numFmtId="4" fontId="53" fillId="27" borderId="109" applyNumberFormat="0" applyProtection="0">
      <alignment horizontal="right" vertical="center"/>
    </xf>
    <xf numFmtId="4" fontId="53" fillId="28" borderId="109" applyNumberFormat="0" applyProtection="0">
      <alignment horizontal="right" vertical="center"/>
    </xf>
    <xf numFmtId="4" fontId="53" fillId="29" borderId="115" applyNumberFormat="0" applyProtection="0">
      <alignment horizontal="left" vertical="center" indent="1"/>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19" borderId="109" applyNumberFormat="0" applyProtection="0">
      <alignment horizontal="right" vertical="center"/>
    </xf>
    <xf numFmtId="4" fontId="53" fillId="30" borderId="115" applyNumberFormat="0" applyProtection="0">
      <alignment horizontal="left" vertical="center" indent="1"/>
    </xf>
    <xf numFmtId="4" fontId="53" fillId="19" borderId="115" applyNumberFormat="0" applyProtection="0">
      <alignment horizontal="left" vertical="center" indent="1"/>
    </xf>
    <xf numFmtId="349" fontId="53" fillId="61" borderId="109"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53" fillId="30" borderId="114" applyNumberFormat="0" applyProtection="0">
      <alignment horizontal="left" vertical="top" indent="1"/>
    </xf>
    <xf numFmtId="4" fontId="255" fillId="61" borderId="114" applyNumberFormat="0" applyProtection="0">
      <alignment horizontal="left" vertical="center" indent="1"/>
    </xf>
    <xf numFmtId="214" fontId="64" fillId="0" borderId="28" applyFill="0"/>
    <xf numFmtId="349" fontId="53" fillId="30" borderId="114" applyNumberFormat="0" applyProtection="0">
      <alignment horizontal="left" vertical="top" indent="1"/>
    </xf>
    <xf numFmtId="349" fontId="255" fillId="19" borderId="114" applyNumberFormat="0" applyProtection="0">
      <alignment horizontal="left" vertical="top" indent="1"/>
    </xf>
    <xf numFmtId="349" fontId="53" fillId="32" borderId="114" applyNumberFormat="0" applyProtection="0">
      <alignment horizontal="left" vertical="top" indent="1"/>
    </xf>
    <xf numFmtId="349" fontId="53" fillId="31" borderId="114" applyNumberFormat="0" applyProtection="0">
      <alignment horizontal="left" vertical="top" indent="1"/>
    </xf>
    <xf numFmtId="4" fontId="53" fillId="27" borderId="109" applyNumberFormat="0" applyProtection="0">
      <alignment horizontal="right" vertical="center"/>
    </xf>
    <xf numFmtId="349" fontId="53" fillId="19" borderId="114" applyNumberFormat="0" applyProtection="0">
      <alignment horizontal="left" vertical="top" indent="1"/>
    </xf>
    <xf numFmtId="169" fontId="12" fillId="0" borderId="0" applyFont="0" applyFill="0" applyBorder="0" applyAlignment="0" applyProtection="0"/>
    <xf numFmtId="349" fontId="53" fillId="19" borderId="114" applyNumberFormat="0" applyProtection="0">
      <alignment horizontal="left" vertical="top" indent="1"/>
    </xf>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31" borderId="114" applyNumberFormat="0" applyProtection="0">
      <alignment horizontal="left" vertical="top" indent="1"/>
    </xf>
    <xf numFmtId="4" fontId="53" fillId="64" borderId="109" applyNumberFormat="0" applyProtection="0">
      <alignment horizontal="left" vertical="center" indent="1"/>
    </xf>
    <xf numFmtId="349" fontId="53" fillId="32" borderId="114" applyNumberFormat="0" applyProtection="0">
      <alignment horizontal="left" vertical="top" indent="1"/>
    </xf>
    <xf numFmtId="349" fontId="15" fillId="0" borderId="118" applyNumberFormat="0" applyFill="0" applyAlignment="0" applyProtection="0"/>
    <xf numFmtId="349" fontId="15" fillId="0" borderId="118" applyNumberFormat="0" applyFill="0" applyAlignment="0" applyProtection="0"/>
    <xf numFmtId="4" fontId="53" fillId="28" borderId="109" applyNumberFormat="0" applyProtection="0">
      <alignment horizontal="right" vertical="center"/>
    </xf>
    <xf numFmtId="349" fontId="53" fillId="30" borderId="114" applyNumberFormat="0" applyProtection="0">
      <alignment horizontal="left" vertical="top" indent="1"/>
    </xf>
    <xf numFmtId="37" fontId="64" fillId="0" borderId="117" applyNumberFormat="0"/>
    <xf numFmtId="349" fontId="53" fillId="19" borderId="114" applyNumberFormat="0" applyProtection="0">
      <alignment horizontal="left" vertical="top" indent="1"/>
    </xf>
    <xf numFmtId="349" fontId="254" fillId="18" borderId="114" applyNumberFormat="0" applyProtection="0">
      <alignment horizontal="left" vertical="top" indent="1"/>
    </xf>
    <xf numFmtId="349" fontId="53" fillId="13" borderId="109" applyNumberFormat="0" applyFont="0" applyAlignment="0" applyProtection="0"/>
    <xf numFmtId="4" fontId="257" fillId="33" borderId="109" applyNumberFormat="0" applyProtection="0">
      <alignment horizontal="right" vertical="center"/>
    </xf>
    <xf numFmtId="4" fontId="256" fillId="35" borderId="115" applyNumberFormat="0" applyProtection="0">
      <alignment horizontal="left" vertical="center" indent="1"/>
    </xf>
    <xf numFmtId="349" fontId="255" fillId="19" borderId="114" applyNumberFormat="0" applyProtection="0">
      <alignment horizontal="left" vertical="top" indent="1"/>
    </xf>
    <xf numFmtId="4" fontId="53" fillId="64" borderId="109" applyNumberFormat="0" applyProtection="0">
      <alignment horizontal="left" vertical="center"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4" fontId="255" fillId="61" borderId="114" applyNumberFormat="0" applyProtection="0">
      <alignment horizontal="left" vertical="center" indent="1"/>
    </xf>
    <xf numFmtId="4" fontId="255" fillId="34" borderId="114" applyNumberFormat="0" applyProtection="0">
      <alignment vertical="center"/>
    </xf>
    <xf numFmtId="349" fontId="93" fillId="31" borderId="116" applyBorder="0"/>
    <xf numFmtId="4" fontId="53" fillId="25" borderId="109" applyNumberFormat="0" applyProtection="0">
      <alignment horizontal="right" vertical="center"/>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0" borderId="109"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32" borderId="109"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4" fontId="53" fillId="27" borderId="109" applyNumberFormat="0" applyProtection="0">
      <alignment horizontal="right" vertical="center"/>
    </xf>
    <xf numFmtId="4" fontId="53" fillId="25" borderId="109" applyNumberFormat="0" applyProtection="0">
      <alignment horizontal="right" vertical="center"/>
    </xf>
    <xf numFmtId="349" fontId="184" fillId="127" borderId="113" applyNumberFormat="0" applyAlignment="0" applyProtection="0"/>
    <xf numFmtId="349" fontId="53" fillId="61" borderId="109" applyNumberFormat="0" applyProtection="0">
      <alignment horizontal="left" vertical="center" indent="1"/>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4" fontId="53" fillId="130" borderId="109" applyNumberFormat="0" applyProtection="0">
      <alignment horizontal="right" vertical="center"/>
    </xf>
    <xf numFmtId="349" fontId="53" fillId="13" borderId="109" applyNumberFormat="0" applyFont="0" applyAlignment="0" applyProtection="0"/>
    <xf numFmtId="4" fontId="53" fillId="22" borderId="115" applyNumberFormat="0" applyProtection="0">
      <alignment horizontal="right" vertical="center"/>
    </xf>
    <xf numFmtId="349" fontId="184" fillId="127" borderId="113" applyNumberFormat="0" applyAlignment="0" applyProtection="0"/>
    <xf numFmtId="349" fontId="53" fillId="13" borderId="109" applyNumberFormat="0" applyFont="0" applyAlignment="0" applyProtection="0"/>
    <xf numFmtId="4" fontId="53" fillId="20" borderId="109" applyNumberFormat="0" applyProtection="0">
      <alignment horizontal="right" vertical="center"/>
    </xf>
    <xf numFmtId="4" fontId="53" fillId="18" borderId="109" applyNumberFormat="0" applyProtection="0">
      <alignment vertical="center"/>
    </xf>
    <xf numFmtId="4" fontId="53" fillId="24" borderId="109" applyNumberFormat="0" applyProtection="0">
      <alignment horizontal="right" vertical="center"/>
    </xf>
    <xf numFmtId="4" fontId="253" fillId="45" borderId="109" applyNumberFormat="0" applyProtection="0">
      <alignment vertical="center"/>
    </xf>
    <xf numFmtId="169" fontId="12" fillId="0" borderId="0" applyFont="0" applyFill="0" applyBorder="0" applyAlignment="0" applyProtection="0"/>
    <xf numFmtId="349" fontId="142" fillId="14" borderId="109" applyNumberFormat="0" applyAlignment="0" applyProtection="0"/>
    <xf numFmtId="349" fontId="53" fillId="61" borderId="109" applyNumberFormat="0" applyProtection="0">
      <alignment horizontal="left" vertical="center" indent="1"/>
    </xf>
    <xf numFmtId="349" fontId="53" fillId="13" borderId="109" applyNumberFormat="0" applyFont="0" applyAlignment="0" applyProtection="0"/>
    <xf numFmtId="349" fontId="142" fillId="14" borderId="109" applyNumberFormat="0" applyAlignment="0" applyProtection="0"/>
    <xf numFmtId="4" fontId="253" fillId="45" borderId="109" applyNumberFormat="0" applyProtection="0">
      <alignment vertical="center"/>
    </xf>
    <xf numFmtId="169" fontId="12" fillId="0" borderId="0" applyFont="0" applyFill="0" applyBorder="0" applyAlignment="0" applyProtection="0"/>
    <xf numFmtId="4" fontId="53" fillId="19" borderId="109" applyNumberFormat="0" applyProtection="0">
      <alignment horizontal="right" vertical="center"/>
    </xf>
    <xf numFmtId="4" fontId="53" fillId="18" borderId="109" applyNumberFormat="0" applyProtection="0">
      <alignment vertical="center"/>
    </xf>
    <xf numFmtId="4" fontId="53" fillId="18" borderId="109" applyNumberFormat="0" applyProtection="0">
      <alignment vertical="center"/>
    </xf>
    <xf numFmtId="4" fontId="53" fillId="19" borderId="109" applyNumberFormat="0" applyProtection="0">
      <alignment horizontal="right" vertical="center"/>
    </xf>
    <xf numFmtId="4" fontId="53" fillId="23" borderId="109" applyNumberFormat="0" applyProtection="0">
      <alignment horizontal="right" vertical="center"/>
    </xf>
    <xf numFmtId="349" fontId="184" fillId="127" borderId="113" applyNumberFormat="0" applyAlignment="0" applyProtection="0"/>
    <xf numFmtId="349" fontId="53" fillId="13" borderId="109" applyNumberFormat="0" applyFont="0" applyAlignment="0" applyProtection="0"/>
    <xf numFmtId="4" fontId="53" fillId="130" borderId="109" applyNumberFormat="0" applyProtection="0">
      <alignment horizontal="right" vertical="center"/>
    </xf>
    <xf numFmtId="4" fontId="53" fillId="45" borderId="109" applyNumberFormat="0" applyProtection="0">
      <alignment horizontal="left" vertical="center" indent="1"/>
    </xf>
    <xf numFmtId="349" fontId="53" fillId="32" borderId="109" applyNumberFormat="0" applyProtection="0">
      <alignment horizontal="left" vertical="center" indent="1"/>
    </xf>
    <xf numFmtId="349" fontId="53" fillId="13" borderId="109" applyNumberFormat="0" applyFont="0" applyAlignment="0" applyProtection="0"/>
    <xf numFmtId="349" fontId="93" fillId="31" borderId="116" applyBorder="0"/>
    <xf numFmtId="349" fontId="15" fillId="0" borderId="118" applyNumberFormat="0" applyFill="0" applyAlignment="0" applyProtection="0"/>
    <xf numFmtId="169" fontId="12" fillId="0" borderId="0" applyFont="0" applyFill="0" applyBorder="0" applyAlignment="0" applyProtection="0"/>
    <xf numFmtId="349" fontId="251" fillId="127" borderId="109" applyNumberFormat="0" applyAlignment="0" applyProtection="0"/>
    <xf numFmtId="4" fontId="53" fillId="24" borderId="109" applyNumberFormat="0" applyProtection="0">
      <alignment horizontal="right" vertical="center"/>
    </xf>
    <xf numFmtId="349" fontId="53" fillId="13" borderId="109" applyNumberFormat="0" applyFont="0" applyAlignment="0" applyProtection="0"/>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4" fontId="53" fillId="64" borderId="109" applyNumberFormat="0" applyProtection="0">
      <alignment horizontal="left" vertical="center" indent="1"/>
    </xf>
    <xf numFmtId="349" fontId="255" fillId="19" borderId="114" applyNumberFormat="0" applyProtection="0">
      <alignment horizontal="left" vertical="top" indent="1"/>
    </xf>
    <xf numFmtId="349" fontId="15" fillId="0" borderId="118" applyNumberFormat="0" applyFill="0" applyAlignment="0" applyProtection="0"/>
    <xf numFmtId="349" fontId="53" fillId="13" borderId="109" applyNumberFormat="0" applyFont="0" applyAlignment="0" applyProtection="0"/>
    <xf numFmtId="4" fontId="253" fillId="45" borderId="109" applyNumberFormat="0" applyProtection="0">
      <alignment vertical="center"/>
    </xf>
    <xf numFmtId="349" fontId="53" fillId="83" borderId="109" applyNumberFormat="0" applyProtection="0">
      <alignment horizontal="left" vertical="center" indent="1"/>
    </xf>
    <xf numFmtId="37" fontId="64" fillId="0" borderId="117" applyNumberFormat="0"/>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53" fillId="19" borderId="114" applyNumberFormat="0" applyProtection="0">
      <alignment horizontal="left" vertical="top" indent="1"/>
    </xf>
    <xf numFmtId="349" fontId="9" fillId="32" borderId="114" applyNumberFormat="0" applyProtection="0">
      <alignment horizontal="left" vertical="top" indent="1"/>
    </xf>
    <xf numFmtId="349" fontId="53" fillId="19" borderId="114" applyNumberFormat="0" applyProtection="0">
      <alignment horizontal="left" vertical="top" indent="1"/>
    </xf>
    <xf numFmtId="349" fontId="53" fillId="61" borderId="109" applyNumberFormat="0" applyProtection="0">
      <alignment horizontal="left" vertical="center" indent="1"/>
    </xf>
    <xf numFmtId="4" fontId="53" fillId="28" borderId="109" applyNumberFormat="0" applyProtection="0">
      <alignment horizontal="right" vertical="center"/>
    </xf>
    <xf numFmtId="4" fontId="53" fillId="130" borderId="109" applyNumberFormat="0" applyProtection="0">
      <alignment horizontal="right" vertical="center"/>
    </xf>
    <xf numFmtId="4" fontId="53" fillId="64" borderId="109" applyNumberFormat="0" applyProtection="0">
      <alignment horizontal="left" vertical="center" indent="1"/>
    </xf>
    <xf numFmtId="4" fontId="253" fillId="45" borderId="109" applyNumberFormat="0" applyProtection="0">
      <alignment vertical="center"/>
    </xf>
    <xf numFmtId="4" fontId="257" fillId="33" borderId="109" applyNumberFormat="0" applyProtection="0">
      <alignment horizontal="right" vertical="center"/>
    </xf>
    <xf numFmtId="349" fontId="53" fillId="30" borderId="114" applyNumberFormat="0" applyProtection="0">
      <alignment horizontal="left" vertical="top" indent="1"/>
    </xf>
    <xf numFmtId="349" fontId="53" fillId="30" borderId="114" applyNumberFormat="0" applyProtection="0">
      <alignment horizontal="left" vertical="top" indent="1"/>
    </xf>
    <xf numFmtId="169" fontId="12" fillId="0" borderId="0" applyFont="0" applyFill="0" applyBorder="0" applyAlignment="0" applyProtection="0"/>
    <xf numFmtId="4" fontId="53" fillId="64" borderId="109" applyNumberFormat="0" applyProtection="0">
      <alignment horizontal="left" vertical="center" indent="1"/>
    </xf>
    <xf numFmtId="4" fontId="255" fillId="61" borderId="114" applyNumberFormat="0" applyProtection="0">
      <alignment horizontal="left" vertical="center" indent="1"/>
    </xf>
    <xf numFmtId="4" fontId="53" fillId="26" borderId="109" applyNumberFormat="0" applyProtection="0">
      <alignment horizontal="right" vertical="center"/>
    </xf>
    <xf numFmtId="4" fontId="53" fillId="24" borderId="109" applyNumberFormat="0" applyProtection="0">
      <alignment horizontal="right" vertical="center"/>
    </xf>
    <xf numFmtId="349" fontId="251" fillId="127" borderId="109"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4" applyNumberFormat="0" applyProtection="0">
      <alignment horizontal="left" vertical="top" indent="1"/>
    </xf>
    <xf numFmtId="4" fontId="253" fillId="45" borderId="109" applyNumberFormat="0" applyProtection="0">
      <alignment vertical="center"/>
    </xf>
    <xf numFmtId="4" fontId="53" fillId="20" borderId="109" applyNumberFormat="0" applyProtection="0">
      <alignment horizontal="right" vertical="center"/>
    </xf>
    <xf numFmtId="349" fontId="53" fillId="61" borderId="109" applyNumberFormat="0" applyProtection="0">
      <alignment horizontal="left" vertical="center" indent="1"/>
    </xf>
    <xf numFmtId="4" fontId="53" fillId="28" borderId="109" applyNumberFormat="0" applyProtection="0">
      <alignment horizontal="right" vertical="center"/>
    </xf>
    <xf numFmtId="4" fontId="53" fillId="25" borderId="109" applyNumberFormat="0" applyProtection="0">
      <alignment horizontal="right" vertical="center"/>
    </xf>
    <xf numFmtId="4" fontId="53" fillId="130" borderId="109" applyNumberFormat="0" applyProtection="0">
      <alignment horizontal="right" vertical="center"/>
    </xf>
    <xf numFmtId="4" fontId="53" fillId="27" borderId="109" applyNumberFormat="0" applyProtection="0">
      <alignment horizontal="right" vertical="center"/>
    </xf>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2" borderId="109" applyNumberFormat="0" applyProtection="0">
      <alignment horizontal="left" vertical="center"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184" fillId="127" borderId="113" applyNumberFormat="0" applyAlignment="0" applyProtection="0"/>
    <xf numFmtId="4" fontId="53" fillId="19" borderId="109" applyNumberFormat="0" applyProtection="0">
      <alignment horizontal="right" vertical="center"/>
    </xf>
    <xf numFmtId="169" fontId="7" fillId="0" borderId="0" applyFont="0" applyFill="0" applyBorder="0" applyAlignment="0" applyProtection="0"/>
    <xf numFmtId="4" fontId="53" fillId="23" borderId="109" applyNumberFormat="0" applyProtection="0">
      <alignment horizontal="right" vertical="center"/>
    </xf>
    <xf numFmtId="349" fontId="9" fillId="19" borderId="114" applyNumberFormat="0" applyProtection="0">
      <alignment horizontal="left" vertical="top" indent="1"/>
    </xf>
    <xf numFmtId="349" fontId="142" fillId="14" borderId="109" applyNumberFormat="0" applyAlignment="0" applyProtection="0"/>
    <xf numFmtId="349" fontId="15" fillId="0" borderId="118" applyNumberFormat="0" applyFill="0" applyAlignment="0" applyProtection="0"/>
    <xf numFmtId="349" fontId="9" fillId="30" borderId="114" applyNumberFormat="0" applyProtection="0">
      <alignment horizontal="left" vertical="top" indent="1"/>
    </xf>
    <xf numFmtId="4" fontId="253" fillId="50" borderId="109" applyNumberFormat="0" applyProtection="0">
      <alignment horizontal="right" vertical="center"/>
    </xf>
    <xf numFmtId="4" fontId="53" fillId="45" borderId="109" applyNumberFormat="0" applyProtection="0">
      <alignment horizontal="left" vertical="center" indent="1"/>
    </xf>
    <xf numFmtId="349" fontId="53" fillId="30" borderId="114" applyNumberFormat="0" applyProtection="0">
      <alignment horizontal="left" vertical="top" indent="1"/>
    </xf>
    <xf numFmtId="4" fontId="53" fillId="64" borderId="109" applyNumberFormat="0" applyProtection="0">
      <alignment horizontal="left" vertical="center" indent="1"/>
    </xf>
    <xf numFmtId="349" fontId="53" fillId="13" borderId="109" applyNumberFormat="0" applyFont="0" applyAlignment="0" applyProtection="0"/>
    <xf numFmtId="349" fontId="53" fillId="13" borderId="109" applyNumberFormat="0" applyFont="0" applyAlignment="0" applyProtection="0"/>
    <xf numFmtId="349" fontId="251" fillId="127" borderId="109" applyNumberFormat="0" applyAlignment="0" applyProtection="0"/>
    <xf numFmtId="349" fontId="142" fillId="14" borderId="109" applyNumberFormat="0" applyAlignment="0" applyProtection="0"/>
    <xf numFmtId="349" fontId="53" fillId="13" borderId="109" applyNumberFormat="0" applyFont="0" applyAlignment="0" applyProtection="0"/>
    <xf numFmtId="349" fontId="184" fillId="127" borderId="113" applyNumberFormat="0" applyAlignment="0" applyProtection="0"/>
    <xf numFmtId="4" fontId="255" fillId="34" borderId="114" applyNumberFormat="0" applyProtection="0">
      <alignment vertical="center"/>
    </xf>
    <xf numFmtId="349" fontId="53" fillId="32" borderId="114" applyNumberFormat="0" applyProtection="0">
      <alignment horizontal="left" vertical="top" indent="1"/>
    </xf>
    <xf numFmtId="349" fontId="251" fillId="127" borderId="109" applyNumberFormat="0" applyAlignment="0" applyProtection="0"/>
    <xf numFmtId="349" fontId="53" fillId="13" borderId="109" applyNumberFormat="0" applyFont="0" applyAlignment="0" applyProtection="0"/>
    <xf numFmtId="4" fontId="53" fillId="0" borderId="109" applyNumberFormat="0" applyProtection="0">
      <alignment horizontal="right" vertical="center"/>
    </xf>
    <xf numFmtId="349" fontId="53" fillId="31" borderId="114" applyNumberFormat="0" applyProtection="0">
      <alignment horizontal="left" vertical="top" indent="1"/>
    </xf>
    <xf numFmtId="349" fontId="53" fillId="30" borderId="114" applyNumberFormat="0" applyProtection="0">
      <alignment horizontal="left" vertical="top" indent="1"/>
    </xf>
    <xf numFmtId="4" fontId="256" fillId="35" borderId="115" applyNumberFormat="0" applyProtection="0">
      <alignment horizontal="left" vertical="center" indent="1"/>
    </xf>
    <xf numFmtId="349" fontId="142" fillId="14" borderId="109" applyNumberFormat="0" applyAlignment="0" applyProtection="0"/>
    <xf numFmtId="349" fontId="53" fillId="19" borderId="114" applyNumberFormat="0" applyProtection="0">
      <alignment horizontal="left" vertical="top" indent="1"/>
    </xf>
    <xf numFmtId="349" fontId="53" fillId="30" borderId="114" applyNumberFormat="0" applyProtection="0">
      <alignment horizontal="left" vertical="top" indent="1"/>
    </xf>
    <xf numFmtId="349" fontId="53" fillId="30" borderId="109" applyNumberFormat="0" applyProtection="0">
      <alignment horizontal="left" vertical="center" indent="1"/>
    </xf>
    <xf numFmtId="4" fontId="53" fillId="20" borderId="109" applyNumberFormat="0" applyProtection="0">
      <alignment horizontal="right" vertical="center"/>
    </xf>
    <xf numFmtId="4" fontId="53" fillId="0" borderId="109" applyNumberFormat="0" applyProtection="0">
      <alignment horizontal="right" vertical="center"/>
    </xf>
    <xf numFmtId="214" fontId="64" fillId="0" borderId="28" applyFill="0"/>
    <xf numFmtId="349" fontId="53" fillId="13" borderId="109" applyNumberFormat="0" applyFont="0" applyAlignment="0" applyProtection="0"/>
    <xf numFmtId="4" fontId="53" fillId="64" borderId="109" applyNumberFormat="0" applyProtection="0">
      <alignment horizontal="left" vertical="center" indent="1"/>
    </xf>
    <xf numFmtId="349" fontId="53" fillId="13" borderId="109" applyNumberFormat="0" applyFont="0" applyAlignment="0" applyProtection="0"/>
    <xf numFmtId="349" fontId="53" fillId="13" borderId="109" applyNumberFormat="0" applyFont="0" applyAlignment="0" applyProtection="0"/>
    <xf numFmtId="349" fontId="53" fillId="31" borderId="114" applyNumberFormat="0" applyProtection="0">
      <alignment horizontal="left" vertical="top"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3" borderId="109" applyNumberFormat="0" applyFont="0" applyAlignment="0" applyProtection="0"/>
    <xf numFmtId="4" fontId="53" fillId="24" borderId="109" applyNumberFormat="0" applyProtection="0">
      <alignment horizontal="right" vertical="center"/>
    </xf>
    <xf numFmtId="349" fontId="53" fillId="32" borderId="114" applyNumberFormat="0" applyProtection="0">
      <alignment horizontal="left" vertical="top" indent="1"/>
    </xf>
    <xf numFmtId="4" fontId="53" fillId="64" borderId="109" applyNumberFormat="0" applyProtection="0">
      <alignment horizontal="left" vertical="center" indent="1"/>
    </xf>
    <xf numFmtId="349" fontId="53" fillId="31" borderId="114" applyNumberFormat="0" applyProtection="0">
      <alignment horizontal="left" vertical="top" indent="1"/>
    </xf>
    <xf numFmtId="349" fontId="251" fillId="127" borderId="109" applyNumberFormat="0" applyAlignment="0" applyProtection="0"/>
    <xf numFmtId="4" fontId="255" fillId="61" borderId="114" applyNumberFormat="0" applyProtection="0">
      <alignment horizontal="left" vertical="center" indent="1"/>
    </xf>
    <xf numFmtId="349" fontId="15" fillId="0" borderId="118" applyNumberFormat="0" applyFill="0" applyAlignment="0" applyProtection="0"/>
    <xf numFmtId="349" fontId="53" fillId="13" borderId="109" applyNumberFormat="0" applyFont="0" applyAlignment="0" applyProtection="0"/>
    <xf numFmtId="349" fontId="53" fillId="31" borderId="114" applyNumberFormat="0" applyProtection="0">
      <alignment horizontal="left" vertical="top" indent="1"/>
    </xf>
    <xf numFmtId="4" fontId="53" fillId="64" borderId="109" applyNumberFormat="0" applyProtection="0">
      <alignment horizontal="left" vertical="center" indent="1"/>
    </xf>
    <xf numFmtId="349" fontId="251" fillId="127" borderId="109" applyNumberFormat="0" applyAlignment="0" applyProtection="0"/>
    <xf numFmtId="4" fontId="257" fillId="33" borderId="109" applyNumberFormat="0" applyProtection="0">
      <alignment horizontal="right" vertical="center"/>
    </xf>
    <xf numFmtId="349" fontId="93" fillId="31" borderId="116" applyBorder="0"/>
    <xf numFmtId="349" fontId="53" fillId="13" borderId="109" applyNumberFormat="0" applyFont="0" applyAlignment="0" applyProtection="0"/>
    <xf numFmtId="4" fontId="53" fillId="64" borderId="109" applyNumberFormat="0" applyProtection="0">
      <alignment horizontal="left" vertical="center"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13" borderId="109" applyNumberFormat="0" applyFont="0" applyAlignment="0" applyProtection="0"/>
    <xf numFmtId="349" fontId="184" fillId="127" borderId="113" applyNumberFormat="0" applyAlignment="0" applyProtection="0"/>
    <xf numFmtId="4" fontId="53" fillId="20" borderId="109" applyNumberFormat="0" applyProtection="0">
      <alignment horizontal="right" vertical="center"/>
    </xf>
    <xf numFmtId="349" fontId="53" fillId="31" borderId="114" applyNumberFormat="0" applyProtection="0">
      <alignment horizontal="left" vertical="top" indent="1"/>
    </xf>
    <xf numFmtId="349" fontId="93" fillId="31" borderId="116" applyBorder="0"/>
    <xf numFmtId="4" fontId="53" fillId="28" borderId="109" applyNumberFormat="0" applyProtection="0">
      <alignment horizontal="right" vertical="center"/>
    </xf>
    <xf numFmtId="349" fontId="53" fillId="31" borderId="114" applyNumberFormat="0" applyProtection="0">
      <alignment horizontal="left" vertical="top" indent="1"/>
    </xf>
    <xf numFmtId="349" fontId="53" fillId="30" borderId="114" applyNumberFormat="0" applyProtection="0">
      <alignment horizontal="left" vertical="top" indent="1"/>
    </xf>
    <xf numFmtId="4" fontId="53" fillId="26" borderId="109" applyNumberFormat="0" applyProtection="0">
      <alignment horizontal="right" vertical="center"/>
    </xf>
    <xf numFmtId="349" fontId="53" fillId="32" borderId="114" applyNumberFormat="0" applyProtection="0">
      <alignment horizontal="left" vertical="top" indent="1"/>
    </xf>
    <xf numFmtId="349" fontId="9" fillId="32" borderId="114" applyNumberFormat="0" applyProtection="0">
      <alignment horizontal="left" vertical="center" indent="1"/>
    </xf>
    <xf numFmtId="4" fontId="53" fillId="0" borderId="109" applyNumberFormat="0" applyProtection="0">
      <alignment horizontal="right" vertical="center"/>
    </xf>
    <xf numFmtId="349" fontId="53" fillId="19" borderId="114" applyNumberFormat="0" applyProtection="0">
      <alignment horizontal="left" vertical="top" indent="1"/>
    </xf>
    <xf numFmtId="349" fontId="251" fillId="127" borderId="109" applyNumberFormat="0" applyAlignment="0" applyProtection="0"/>
    <xf numFmtId="349" fontId="142" fillId="14" borderId="109" applyNumberFormat="0" applyAlignment="0" applyProtection="0"/>
    <xf numFmtId="4" fontId="53" fillId="45" borderId="109" applyNumberFormat="0" applyProtection="0">
      <alignment horizontal="left" vertical="center" indent="1"/>
    </xf>
    <xf numFmtId="4" fontId="255" fillId="61" borderId="114" applyNumberFormat="0" applyProtection="0">
      <alignment horizontal="left" vertical="center" indent="1"/>
    </xf>
    <xf numFmtId="4" fontId="53" fillId="28" borderId="109" applyNumberFormat="0" applyProtection="0">
      <alignment horizontal="right" vertical="center"/>
    </xf>
    <xf numFmtId="4" fontId="253" fillId="50" borderId="109" applyNumberFormat="0" applyProtection="0">
      <alignment horizontal="right" vertical="center"/>
    </xf>
    <xf numFmtId="349" fontId="53" fillId="13" borderId="109" applyNumberFormat="0" applyFont="0" applyAlignment="0" applyProtection="0"/>
    <xf numFmtId="349" fontId="142" fillId="14" borderId="109" applyNumberFormat="0" applyAlignment="0" applyProtection="0"/>
    <xf numFmtId="349" fontId="53" fillId="13" borderId="109" applyNumberFormat="0" applyFont="0" applyAlignment="0" applyProtection="0"/>
    <xf numFmtId="4" fontId="257" fillId="33" borderId="109" applyNumberFormat="0" applyProtection="0">
      <alignment horizontal="right" vertical="center"/>
    </xf>
    <xf numFmtId="349" fontId="251" fillId="127" borderId="109"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4" fontId="53" fillId="0" borderId="109" applyNumberFormat="0" applyProtection="0">
      <alignment horizontal="right" vertical="center"/>
    </xf>
    <xf numFmtId="169" fontId="12" fillId="0" borderId="0" applyFont="0" applyFill="0" applyBorder="0" applyAlignment="0" applyProtection="0"/>
    <xf numFmtId="349" fontId="53" fillId="13" borderId="109" applyNumberFormat="0" applyFont="0" applyAlignment="0" applyProtection="0"/>
    <xf numFmtId="349" fontId="251" fillId="127" borderId="109" applyNumberFormat="0" applyAlignment="0" applyProtection="0"/>
    <xf numFmtId="349" fontId="255" fillId="34" borderId="114" applyNumberFormat="0" applyProtection="0">
      <alignment horizontal="left" vertical="top" indent="1"/>
    </xf>
    <xf numFmtId="349" fontId="9" fillId="30" borderId="114" applyNumberFormat="0" applyProtection="0">
      <alignment horizontal="left" vertical="center" indent="1"/>
    </xf>
    <xf numFmtId="4" fontId="257" fillId="33" borderId="109" applyNumberFormat="0" applyProtection="0">
      <alignment horizontal="right" vertical="center"/>
    </xf>
    <xf numFmtId="349" fontId="53" fillId="30" borderId="109" applyNumberFormat="0" applyProtection="0">
      <alignment horizontal="left" vertical="center" indent="1"/>
    </xf>
    <xf numFmtId="349" fontId="53" fillId="83" borderId="109" applyNumberFormat="0" applyProtection="0">
      <alignment horizontal="left" vertical="center" indent="1"/>
    </xf>
    <xf numFmtId="4" fontId="53" fillId="20" borderId="109" applyNumberFormat="0" applyProtection="0">
      <alignment horizontal="right" vertical="center"/>
    </xf>
    <xf numFmtId="349" fontId="53" fillId="19" borderId="114" applyNumberFormat="0" applyProtection="0">
      <alignment horizontal="left" vertical="top" indent="1"/>
    </xf>
    <xf numFmtId="349" fontId="53" fillId="83" borderId="109" applyNumberFormat="0" applyProtection="0">
      <alignment horizontal="left" vertical="center" indent="1"/>
    </xf>
    <xf numFmtId="349" fontId="53" fillId="13" borderId="109" applyNumberFormat="0" applyFont="0" applyAlignment="0" applyProtection="0"/>
    <xf numFmtId="349" fontId="53" fillId="31" borderId="114" applyNumberFormat="0" applyProtection="0">
      <alignment horizontal="left" vertical="top" indent="1"/>
    </xf>
    <xf numFmtId="349" fontId="53" fillId="30" borderId="114" applyNumberFormat="0" applyProtection="0">
      <alignment horizontal="left" vertical="top" indent="1"/>
    </xf>
    <xf numFmtId="349" fontId="53" fillId="13" borderId="109" applyNumberFormat="0" applyFont="0" applyAlignment="0" applyProtection="0"/>
    <xf numFmtId="4" fontId="53" fillId="23" borderId="109" applyNumberFormat="0" applyProtection="0">
      <alignment horizontal="right" vertical="center"/>
    </xf>
    <xf numFmtId="349" fontId="53" fillId="32" borderId="109" applyNumberFormat="0" applyProtection="0">
      <alignment horizontal="left" vertical="center" indent="1"/>
    </xf>
    <xf numFmtId="349" fontId="53" fillId="30" borderId="114" applyNumberFormat="0" applyProtection="0">
      <alignment horizontal="left" vertical="top" indent="1"/>
    </xf>
    <xf numFmtId="4" fontId="53" fillId="19" borderId="109" applyNumberFormat="0" applyProtection="0">
      <alignment horizontal="right" vertical="center"/>
    </xf>
    <xf numFmtId="349" fontId="255" fillId="34" borderId="114" applyNumberFormat="0" applyProtection="0">
      <alignment horizontal="left" vertical="top" indent="1"/>
    </xf>
    <xf numFmtId="349" fontId="15" fillId="0" borderId="118" applyNumberFormat="0" applyFill="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31" borderId="114" applyNumberFormat="0" applyProtection="0">
      <alignment horizontal="left" vertical="top" indent="1"/>
    </xf>
    <xf numFmtId="349" fontId="53" fillId="30" borderId="114" applyNumberFormat="0" applyProtection="0">
      <alignment horizontal="left" vertical="top" indent="1"/>
    </xf>
    <xf numFmtId="37" fontId="64" fillId="0" borderId="117" applyNumberFormat="0"/>
    <xf numFmtId="349" fontId="53" fillId="19" borderId="114" applyNumberFormat="0" applyProtection="0">
      <alignment horizontal="left" vertical="top" indent="1"/>
    </xf>
    <xf numFmtId="349" fontId="53" fillId="13" borderId="109" applyNumberFormat="0" applyFont="0" applyAlignment="0" applyProtection="0"/>
    <xf numFmtId="349" fontId="53" fillId="30" borderId="114" applyNumberFormat="0" applyProtection="0">
      <alignment horizontal="left" vertical="top" indent="1"/>
    </xf>
    <xf numFmtId="349" fontId="251" fillId="127" borderId="109" applyNumberFormat="0" applyAlignment="0" applyProtection="0"/>
    <xf numFmtId="349" fontId="53" fillId="31" borderId="114" applyNumberFormat="0" applyProtection="0">
      <alignment horizontal="left" vertical="top" indent="1"/>
    </xf>
    <xf numFmtId="349" fontId="53" fillId="32" borderId="114" applyNumberFormat="0" applyProtection="0">
      <alignment horizontal="left" vertical="top" indent="1"/>
    </xf>
    <xf numFmtId="4" fontId="255" fillId="34" borderId="114" applyNumberFormat="0" applyProtection="0">
      <alignment vertical="center"/>
    </xf>
    <xf numFmtId="37" fontId="64" fillId="0" borderId="117" applyNumberFormat="0"/>
    <xf numFmtId="349" fontId="53" fillId="13" borderId="109" applyNumberFormat="0" applyFont="0" applyAlignment="0" applyProtection="0"/>
    <xf numFmtId="349" fontId="53" fillId="31" borderId="114" applyNumberFormat="0" applyProtection="0">
      <alignment horizontal="left" vertical="top" indent="1"/>
    </xf>
    <xf numFmtId="4" fontId="53" fillId="20" borderId="109" applyNumberFormat="0" applyProtection="0">
      <alignment horizontal="right" vertical="center"/>
    </xf>
    <xf numFmtId="349" fontId="142" fillId="14" borderId="109" applyNumberFormat="0" applyAlignment="0" applyProtection="0"/>
    <xf numFmtId="4" fontId="253" fillId="50" borderId="109" applyNumberFormat="0" applyProtection="0">
      <alignment horizontal="right" vertical="center"/>
    </xf>
    <xf numFmtId="349" fontId="53" fillId="31" borderId="114" applyNumberFormat="0" applyProtection="0">
      <alignment horizontal="left" vertical="top" indent="1"/>
    </xf>
    <xf numFmtId="4" fontId="256" fillId="35" borderId="115" applyNumberFormat="0" applyProtection="0">
      <alignment horizontal="left" vertical="center"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4" fontId="53" fillId="30" borderId="115" applyNumberFormat="0" applyProtection="0">
      <alignment horizontal="left" vertical="center" indent="1"/>
    </xf>
    <xf numFmtId="349" fontId="255" fillId="34" borderId="114" applyNumberFormat="0" applyProtection="0">
      <alignment horizontal="left" vertical="top" indent="1"/>
    </xf>
    <xf numFmtId="349" fontId="53" fillId="31" borderId="114" applyNumberFormat="0" applyProtection="0">
      <alignment horizontal="left" vertical="top" indent="1"/>
    </xf>
    <xf numFmtId="4" fontId="53" fillId="18" borderId="109" applyNumberFormat="0" applyProtection="0">
      <alignment vertical="center"/>
    </xf>
    <xf numFmtId="4" fontId="53" fillId="64" borderId="109" applyNumberFormat="0" applyProtection="0">
      <alignment horizontal="left" vertical="center" indent="1"/>
    </xf>
    <xf numFmtId="4" fontId="9" fillId="31" borderId="115" applyNumberFormat="0" applyProtection="0">
      <alignment horizontal="left" vertical="center" indent="1"/>
    </xf>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30" borderId="114" applyNumberFormat="0" applyProtection="0">
      <alignment horizontal="left" vertical="top" indent="1"/>
    </xf>
    <xf numFmtId="4" fontId="255" fillId="61" borderId="114" applyNumberFormat="0" applyProtection="0">
      <alignment horizontal="left" vertical="center" indent="1"/>
    </xf>
    <xf numFmtId="4" fontId="253" fillId="50" borderId="109" applyNumberFormat="0" applyProtection="0">
      <alignment horizontal="right" vertical="center"/>
    </xf>
    <xf numFmtId="349" fontId="53" fillId="13" borderId="109" applyNumberFormat="0" applyFont="0" applyAlignment="0" applyProtection="0"/>
    <xf numFmtId="349" fontId="53" fillId="30" borderId="114" applyNumberFormat="0" applyProtection="0">
      <alignment horizontal="left" vertical="top" indent="1"/>
    </xf>
    <xf numFmtId="349" fontId="53" fillId="19" borderId="114" applyNumberFormat="0" applyProtection="0">
      <alignment horizontal="left" vertical="top" indent="1"/>
    </xf>
    <xf numFmtId="4" fontId="257" fillId="33" borderId="109" applyNumberFormat="0" applyProtection="0">
      <alignment horizontal="right" vertical="center"/>
    </xf>
    <xf numFmtId="37" fontId="64" fillId="0" borderId="117" applyNumberFormat="0"/>
    <xf numFmtId="349" fontId="15" fillId="0" borderId="118" applyNumberFormat="0" applyFill="0" applyAlignment="0" applyProtection="0"/>
    <xf numFmtId="349" fontId="15" fillId="0" borderId="118" applyNumberFormat="0" applyFill="0" applyAlignment="0" applyProtection="0"/>
    <xf numFmtId="349" fontId="53" fillId="30" borderId="109" applyNumberFormat="0" applyProtection="0">
      <alignment horizontal="left" vertical="center" indent="1"/>
    </xf>
    <xf numFmtId="349" fontId="251" fillId="127" borderId="109" applyNumberFormat="0" applyAlignment="0" applyProtection="0"/>
    <xf numFmtId="349" fontId="251" fillId="127" borderId="109" applyNumberFormat="0" applyAlignment="0" applyProtection="0"/>
    <xf numFmtId="214" fontId="64" fillId="0" borderId="28" applyFill="0"/>
    <xf numFmtId="4" fontId="53" fillId="0" borderId="109" applyNumberFormat="0" applyProtection="0">
      <alignment horizontal="right" vertical="center"/>
    </xf>
    <xf numFmtId="4" fontId="253" fillId="50" borderId="109" applyNumberFormat="0" applyProtection="0">
      <alignment horizontal="right" vertical="center"/>
    </xf>
    <xf numFmtId="4" fontId="53" fillId="64" borderId="109" applyNumberFormat="0" applyProtection="0">
      <alignment horizontal="left" vertical="center" indent="1"/>
    </xf>
    <xf numFmtId="4" fontId="257" fillId="33" borderId="109" applyNumberFormat="0" applyProtection="0">
      <alignment horizontal="right" vertical="center"/>
    </xf>
    <xf numFmtId="349" fontId="53" fillId="32" borderId="114" applyNumberFormat="0" applyProtection="0">
      <alignment horizontal="left" vertical="top" indent="1"/>
    </xf>
    <xf numFmtId="4" fontId="255" fillId="61" borderId="114" applyNumberFormat="0" applyProtection="0">
      <alignment horizontal="left" vertical="center" indent="1"/>
    </xf>
    <xf numFmtId="4" fontId="255" fillId="34" borderId="114" applyNumberFormat="0" applyProtection="0">
      <alignment vertical="center"/>
    </xf>
    <xf numFmtId="349" fontId="9" fillId="32" borderId="114" applyNumberFormat="0" applyProtection="0">
      <alignment horizontal="left" vertical="top" indent="1"/>
    </xf>
    <xf numFmtId="349" fontId="53" fillId="32" borderId="109" applyNumberFormat="0" applyProtection="0">
      <alignment horizontal="left" vertical="center" indent="1"/>
    </xf>
    <xf numFmtId="349" fontId="53" fillId="31" borderId="114" applyNumberFormat="0" applyProtection="0">
      <alignment horizontal="left" vertical="top" indent="1"/>
    </xf>
    <xf numFmtId="349" fontId="53" fillId="13" borderId="109" applyNumberFormat="0" applyFont="0" applyAlignment="0" applyProtection="0"/>
    <xf numFmtId="349" fontId="53" fillId="30" borderId="114" applyNumberFormat="0" applyProtection="0">
      <alignment horizontal="left" vertical="top" indent="1"/>
    </xf>
    <xf numFmtId="349" fontId="53" fillId="19" borderId="114" applyNumberFormat="0" applyProtection="0">
      <alignment horizontal="left" vertical="top" indent="1"/>
    </xf>
    <xf numFmtId="349" fontId="251" fillId="127" borderId="109" applyNumberFormat="0" applyAlignment="0" applyProtection="0"/>
    <xf numFmtId="349" fontId="15" fillId="0" borderId="118" applyNumberFormat="0" applyFill="0" applyAlignment="0" applyProtection="0"/>
    <xf numFmtId="349" fontId="15" fillId="0" borderId="118" applyNumberFormat="0" applyFill="0" applyAlignment="0" applyProtection="0"/>
    <xf numFmtId="37" fontId="64" fillId="0" borderId="117" applyNumberFormat="0"/>
    <xf numFmtId="4" fontId="257" fillId="33" borderId="109" applyNumberFormat="0" applyProtection="0">
      <alignment horizontal="right" vertical="center"/>
    </xf>
    <xf numFmtId="4" fontId="256" fillId="35" borderId="115" applyNumberFormat="0" applyProtection="0">
      <alignment horizontal="left" vertical="center" indent="1"/>
    </xf>
    <xf numFmtId="349" fontId="255" fillId="19" borderId="114" applyNumberFormat="0" applyProtection="0">
      <alignment horizontal="left" vertical="top" indent="1"/>
    </xf>
    <xf numFmtId="4" fontId="53" fillId="64" borderId="109" applyNumberFormat="0" applyProtection="0">
      <alignment horizontal="left" vertical="center" indent="1"/>
    </xf>
    <xf numFmtId="4" fontId="253" fillId="50" borderId="109" applyNumberFormat="0" applyProtection="0">
      <alignment horizontal="right" vertical="center"/>
    </xf>
    <xf numFmtId="4" fontId="53" fillId="0" borderId="109" applyNumberFormat="0" applyProtection="0">
      <alignment horizontal="right" vertical="center"/>
    </xf>
    <xf numFmtId="349" fontId="255" fillId="34"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9" fillId="30"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center"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83" borderId="109"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19" borderId="115" applyNumberFormat="0" applyProtection="0">
      <alignment horizontal="left" vertical="center" indent="1"/>
    </xf>
    <xf numFmtId="4" fontId="53" fillId="30" borderId="115" applyNumberFormat="0" applyProtection="0">
      <alignment horizontal="left" vertical="center" indent="1"/>
    </xf>
    <xf numFmtId="4" fontId="53" fillId="19" borderId="109" applyNumberFormat="0" applyProtection="0">
      <alignment horizontal="right" vertical="center"/>
    </xf>
    <xf numFmtId="4" fontId="9" fillId="31" borderId="115" applyNumberFormat="0" applyProtection="0">
      <alignment horizontal="left" vertical="center" indent="1"/>
    </xf>
    <xf numFmtId="4" fontId="9" fillId="31" borderId="115" applyNumberFormat="0" applyProtection="0">
      <alignment horizontal="left" vertical="center" indent="1"/>
    </xf>
    <xf numFmtId="4" fontId="53" fillId="29" borderId="115" applyNumberFormat="0" applyProtection="0">
      <alignment horizontal="left" vertical="center" indent="1"/>
    </xf>
    <xf numFmtId="4" fontId="53" fillId="28" borderId="109" applyNumberFormat="0" applyProtection="0">
      <alignment horizontal="right" vertical="center"/>
    </xf>
    <xf numFmtId="4" fontId="53" fillId="27" borderId="109" applyNumberFormat="0" applyProtection="0">
      <alignment horizontal="right" vertical="center"/>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22" borderId="115" applyNumberFormat="0" applyProtection="0">
      <alignment horizontal="right" vertical="center"/>
    </xf>
    <xf numFmtId="4" fontId="53" fillId="130" borderId="109" applyNumberFormat="0" applyProtection="0">
      <alignment horizontal="right" vertical="center"/>
    </xf>
    <xf numFmtId="4" fontId="53" fillId="20" borderId="109" applyNumberFormat="0" applyProtection="0">
      <alignment horizontal="right" vertical="center"/>
    </xf>
    <xf numFmtId="4" fontId="53" fillId="64" borderId="109" applyNumberFormat="0" applyProtection="0">
      <alignment horizontal="left" vertical="center" indent="1"/>
    </xf>
    <xf numFmtId="349" fontId="254" fillId="18" borderId="114" applyNumberFormat="0" applyProtection="0">
      <alignment horizontal="left" vertical="top" indent="1"/>
    </xf>
    <xf numFmtId="4" fontId="53" fillId="45" borderId="109" applyNumberFormat="0" applyProtection="0">
      <alignment horizontal="left" vertical="center" indent="1"/>
    </xf>
    <xf numFmtId="4" fontId="253" fillId="45" borderId="109" applyNumberFormat="0" applyProtection="0">
      <alignment vertical="center"/>
    </xf>
    <xf numFmtId="4" fontId="53" fillId="18" borderId="109" applyNumberFormat="0" applyProtection="0">
      <alignment vertical="center"/>
    </xf>
    <xf numFmtId="349" fontId="184" fillId="127" borderId="113" applyNumberFormat="0" applyAlignment="0" applyProtection="0"/>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42" fillId="14" borderId="109" applyNumberFormat="0" applyAlignment="0" applyProtection="0"/>
    <xf numFmtId="349" fontId="142" fillId="14" borderId="109" applyNumberFormat="0" applyAlignment="0" applyProtection="0"/>
    <xf numFmtId="349" fontId="251" fillId="127" borderId="109" applyNumberFormat="0" applyAlignment="0" applyProtection="0"/>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9" fillId="19" borderId="114" applyNumberFormat="0" applyProtection="0">
      <alignment horizontal="left" vertical="top" indent="1"/>
    </xf>
    <xf numFmtId="349" fontId="53" fillId="31" borderId="114" applyNumberFormat="0" applyProtection="0">
      <alignment horizontal="left" vertical="top" indent="1"/>
    </xf>
    <xf numFmtId="349" fontId="93" fillId="31" borderId="116" applyBorder="0"/>
    <xf numFmtId="349" fontId="53" fillId="13" borderId="109" applyNumberFormat="0" applyFont="0" applyAlignment="0" applyProtection="0"/>
    <xf numFmtId="349" fontId="53" fillId="30" borderId="114" applyNumberFormat="0" applyProtection="0">
      <alignment horizontal="left" vertical="top" indent="1"/>
    </xf>
    <xf numFmtId="349" fontId="9" fillId="30" borderId="114" applyNumberFormat="0" applyProtection="0">
      <alignment horizontal="left" vertical="center"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9" fillId="30" borderId="114" applyNumberFormat="0" applyProtection="0">
      <alignment horizontal="left" vertical="top" indent="1"/>
    </xf>
    <xf numFmtId="4" fontId="253" fillId="50" borderId="109" applyNumberFormat="0" applyProtection="0">
      <alignment horizontal="right" vertical="center"/>
    </xf>
    <xf numFmtId="4" fontId="53" fillId="64" borderId="109" applyNumberFormat="0" applyProtection="0">
      <alignment horizontal="left" vertical="center" indent="1"/>
    </xf>
    <xf numFmtId="349" fontId="255" fillId="19" borderId="114" applyNumberFormat="0" applyProtection="0">
      <alignment horizontal="left" vertical="top" indent="1"/>
    </xf>
    <xf numFmtId="4" fontId="256" fillId="35" borderId="115" applyNumberFormat="0" applyProtection="0">
      <alignment horizontal="left" vertical="center" indent="1"/>
    </xf>
    <xf numFmtId="37" fontId="64" fillId="0" borderId="117" applyNumberFormat="0"/>
    <xf numFmtId="349" fontId="15" fillId="0" borderId="118" applyNumberFormat="0" applyFill="0" applyAlignment="0" applyProtection="0"/>
    <xf numFmtId="349" fontId="53" fillId="32" borderId="114" applyNumberFormat="0" applyProtection="0">
      <alignment horizontal="left" vertical="top" indent="1"/>
    </xf>
    <xf numFmtId="349" fontId="53" fillId="19" borderId="114" applyNumberFormat="0" applyProtection="0">
      <alignment horizontal="left" vertical="top" indent="1"/>
    </xf>
    <xf numFmtId="4" fontId="53" fillId="23" borderId="109" applyNumberFormat="0" applyProtection="0">
      <alignment horizontal="right" vertical="center"/>
    </xf>
    <xf numFmtId="349" fontId="53" fillId="83" borderId="109" applyNumberFormat="0" applyProtection="0">
      <alignment horizontal="left" vertical="center"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4" fontId="53" fillId="64" borderId="109" applyNumberFormat="0" applyProtection="0">
      <alignment horizontal="left" vertical="center" indent="1"/>
    </xf>
    <xf numFmtId="349" fontId="53" fillId="30" borderId="109" applyNumberFormat="0" applyProtection="0">
      <alignment horizontal="left" vertical="center" indent="1"/>
    </xf>
    <xf numFmtId="214" fontId="64" fillId="0" borderId="28" applyFill="0"/>
    <xf numFmtId="4" fontId="255" fillId="34" borderId="114" applyNumberFormat="0" applyProtection="0">
      <alignment vertical="center"/>
    </xf>
    <xf numFmtId="349" fontId="15" fillId="0" borderId="118" applyNumberFormat="0" applyFill="0" applyAlignment="0" applyProtection="0"/>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349" fontId="53" fillId="61" borderId="109" applyNumberFormat="0" applyProtection="0">
      <alignment horizontal="left" vertical="center" indent="1"/>
    </xf>
    <xf numFmtId="4" fontId="53" fillId="26" borderId="109" applyNumberFormat="0" applyProtection="0">
      <alignment horizontal="right" vertical="center"/>
    </xf>
    <xf numFmtId="4" fontId="53" fillId="25" borderId="109" applyNumberFormat="0" applyProtection="0">
      <alignment horizontal="right" vertical="center"/>
    </xf>
    <xf numFmtId="4" fontId="53" fillId="24" borderId="109" applyNumberFormat="0" applyProtection="0">
      <alignment horizontal="right" vertical="center"/>
    </xf>
    <xf numFmtId="4" fontId="53" fillId="23" borderId="109" applyNumberFormat="0" applyProtection="0">
      <alignment horizontal="right" vertical="center"/>
    </xf>
    <xf numFmtId="4" fontId="53" fillId="18" borderId="109" applyNumberFormat="0" applyProtection="0">
      <alignment vertical="center"/>
    </xf>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142" fillId="14" borderId="109" applyNumberFormat="0" applyAlignment="0" applyProtection="0"/>
    <xf numFmtId="349" fontId="9" fillId="30" borderId="114" applyNumberFormat="0" applyProtection="0">
      <alignment horizontal="left" vertical="center" indent="1"/>
    </xf>
    <xf numFmtId="349" fontId="251" fillId="127" borderId="109" applyNumberFormat="0" applyAlignment="0" applyProtection="0"/>
    <xf numFmtId="349" fontId="53" fillId="30" borderId="109" applyNumberFormat="0" applyProtection="0">
      <alignment horizontal="left" vertical="center" indent="1"/>
    </xf>
    <xf numFmtId="349" fontId="53" fillId="32" borderId="114" applyNumberFormat="0" applyProtection="0">
      <alignment horizontal="left" vertical="top" indent="1"/>
    </xf>
    <xf numFmtId="37" fontId="64" fillId="0" borderId="117" applyNumberFormat="0"/>
    <xf numFmtId="349" fontId="53" fillId="13" borderId="109" applyNumberFormat="0" applyFont="0" applyAlignment="0" applyProtection="0"/>
    <xf numFmtId="4" fontId="256" fillId="35" borderId="115" applyNumberFormat="0" applyProtection="0">
      <alignment horizontal="left" vertical="center" indent="1"/>
    </xf>
    <xf numFmtId="169" fontId="12" fillId="0" borderId="0" applyFont="0" applyFill="0" applyBorder="0" applyAlignment="0" applyProtection="0"/>
    <xf numFmtId="349" fontId="53" fillId="13" borderId="109" applyNumberFormat="0" applyFont="0" applyAlignment="0" applyProtection="0"/>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4" fontId="255" fillId="34" borderId="114" applyNumberFormat="0" applyProtection="0">
      <alignment vertical="center"/>
    </xf>
    <xf numFmtId="4" fontId="257" fillId="33" borderId="109" applyNumberFormat="0" applyProtection="0">
      <alignment horizontal="right" vertical="center"/>
    </xf>
    <xf numFmtId="349" fontId="15" fillId="0" borderId="118" applyNumberFormat="0" applyFill="0" applyAlignment="0" applyProtection="0"/>
    <xf numFmtId="349" fontId="9" fillId="30" borderId="114" applyNumberFormat="0" applyProtection="0">
      <alignment horizontal="left" vertical="top" indent="1"/>
    </xf>
    <xf numFmtId="4" fontId="53" fillId="26" borderId="109" applyNumberFormat="0" applyProtection="0">
      <alignment horizontal="right" vertical="center"/>
    </xf>
    <xf numFmtId="4" fontId="257" fillId="33" borderId="109" applyNumberFormat="0" applyProtection="0">
      <alignment horizontal="right" vertical="center"/>
    </xf>
    <xf numFmtId="349" fontId="15" fillId="0" borderId="118" applyNumberFormat="0" applyFill="0" applyAlignment="0" applyProtection="0"/>
    <xf numFmtId="349" fontId="9" fillId="30" borderId="114" applyNumberFormat="0" applyProtection="0">
      <alignment horizontal="left" vertical="center" indent="1"/>
    </xf>
    <xf numFmtId="349" fontId="53" fillId="19" borderId="114" applyNumberFormat="0" applyProtection="0">
      <alignment horizontal="left" vertical="top" indent="1"/>
    </xf>
    <xf numFmtId="349" fontId="251" fillId="127" borderId="109" applyNumberFormat="0" applyAlignment="0" applyProtection="0"/>
    <xf numFmtId="4" fontId="53" fillId="24" borderId="109" applyNumberFormat="0" applyProtection="0">
      <alignment horizontal="right" vertical="center"/>
    </xf>
    <xf numFmtId="214" fontId="64" fillId="0" borderId="28" applyFill="0"/>
    <xf numFmtId="349" fontId="53" fillId="13" borderId="109" applyNumberFormat="0" applyFont="0" applyAlignment="0" applyProtection="0"/>
    <xf numFmtId="349" fontId="255" fillId="34" borderId="114" applyNumberFormat="0" applyProtection="0">
      <alignment horizontal="left" vertical="top" indent="1"/>
    </xf>
    <xf numFmtId="4" fontId="255" fillId="34" borderId="114" applyNumberFormat="0" applyProtection="0">
      <alignment vertical="center"/>
    </xf>
    <xf numFmtId="349" fontId="53" fillId="13" borderId="109" applyNumberFormat="0" applyFont="0" applyAlignment="0" applyProtection="0"/>
    <xf numFmtId="349" fontId="53" fillId="13" borderId="109" applyNumberFormat="0" applyFont="0" applyAlignment="0" applyProtection="0"/>
    <xf numFmtId="349" fontId="254" fillId="18" borderId="114" applyNumberFormat="0" applyProtection="0">
      <alignment horizontal="left" vertical="top" indent="1"/>
    </xf>
    <xf numFmtId="4" fontId="53" fillId="25" borderId="109" applyNumberFormat="0" applyProtection="0">
      <alignment horizontal="right" vertical="center"/>
    </xf>
    <xf numFmtId="4" fontId="53" fillId="19" borderId="109" applyNumberFormat="0" applyProtection="0">
      <alignment horizontal="right" vertical="center"/>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9" fillId="32" borderId="114" applyNumberFormat="0" applyProtection="0">
      <alignment horizontal="left" vertical="center" indent="1"/>
    </xf>
    <xf numFmtId="349" fontId="142" fillId="14" borderId="109" applyNumberFormat="0" applyAlignment="0" applyProtection="0"/>
    <xf numFmtId="37" fontId="64" fillId="0" borderId="117" applyNumberFormat="0"/>
    <xf numFmtId="349" fontId="53" fillId="30" borderId="109" applyNumberFormat="0" applyProtection="0">
      <alignment horizontal="left" vertical="center"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9" fillId="19" borderId="114" applyNumberFormat="0" applyProtection="0">
      <alignment horizontal="left" vertical="top" indent="1"/>
    </xf>
    <xf numFmtId="349" fontId="53" fillId="31" borderId="114" applyNumberFormat="0" applyProtection="0">
      <alignment horizontal="left" vertical="top" indent="1"/>
    </xf>
    <xf numFmtId="4" fontId="53" fillId="29" borderId="115" applyNumberFormat="0" applyProtection="0">
      <alignment horizontal="left" vertical="center" indent="1"/>
    </xf>
    <xf numFmtId="349" fontId="142" fillId="14" borderId="109" applyNumberFormat="0" applyAlignment="0" applyProtection="0"/>
    <xf numFmtId="4" fontId="253" fillId="50" borderId="109" applyNumberFormat="0" applyProtection="0">
      <alignment horizontal="right" vertical="center"/>
    </xf>
    <xf numFmtId="4" fontId="255" fillId="34" borderId="114" applyNumberFormat="0" applyProtection="0">
      <alignment vertical="center"/>
    </xf>
    <xf numFmtId="349" fontId="53" fillId="30" borderId="114" applyNumberFormat="0" applyProtection="0">
      <alignment horizontal="left" vertical="top" indent="1"/>
    </xf>
    <xf numFmtId="4" fontId="255" fillId="61" borderId="114" applyNumberFormat="0" applyProtection="0">
      <alignment horizontal="left" vertical="center" indent="1"/>
    </xf>
    <xf numFmtId="349" fontId="9" fillId="30" borderId="114" applyNumberFormat="0" applyProtection="0">
      <alignment horizontal="left" vertical="center" indent="1"/>
    </xf>
    <xf numFmtId="4" fontId="53" fillId="64" borderId="109" applyNumberFormat="0" applyProtection="0">
      <alignment horizontal="left" vertical="center" indent="1"/>
    </xf>
    <xf numFmtId="349" fontId="53" fillId="32" borderId="109" applyNumberFormat="0" applyProtection="0">
      <alignment horizontal="left" vertical="center"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9" fillId="32" borderId="114" applyNumberFormat="0" applyProtection="0">
      <alignment horizontal="left" vertical="top" indent="1"/>
    </xf>
    <xf numFmtId="349" fontId="53" fillId="19" borderId="114" applyNumberFormat="0" applyProtection="0">
      <alignment horizontal="left" vertical="top" indent="1"/>
    </xf>
    <xf numFmtId="349" fontId="9" fillId="19" borderId="114" applyNumberFormat="0" applyProtection="0">
      <alignment horizontal="left" vertical="center"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4" fontId="53" fillId="27" borderId="109" applyNumberFormat="0" applyProtection="0">
      <alignment horizontal="right" vertical="center"/>
    </xf>
    <xf numFmtId="4" fontId="53" fillId="30" borderId="115" applyNumberFormat="0" applyProtection="0">
      <alignment horizontal="left" vertical="center" indent="1"/>
    </xf>
    <xf numFmtId="4" fontId="53" fillId="64" borderId="109" applyNumberFormat="0" applyProtection="0">
      <alignment horizontal="left" vertical="center" indent="1"/>
    </xf>
    <xf numFmtId="4" fontId="53" fillId="27" borderId="109" applyNumberFormat="0" applyProtection="0">
      <alignment horizontal="right" vertical="center"/>
    </xf>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142" fillId="14" borderId="109" applyNumberFormat="0" applyAlignment="0" applyProtection="0"/>
    <xf numFmtId="349" fontId="53" fillId="13" borderId="109" applyNumberFormat="0" applyFont="0" applyAlignment="0" applyProtection="0"/>
    <xf numFmtId="4" fontId="253" fillId="45" borderId="109" applyNumberFormat="0" applyProtection="0">
      <alignment vertical="center"/>
    </xf>
    <xf numFmtId="4" fontId="53" fillId="25" borderId="109" applyNumberFormat="0" applyProtection="0">
      <alignment horizontal="right" vertical="center"/>
    </xf>
    <xf numFmtId="4" fontId="53" fillId="19" borderId="115" applyNumberFormat="0" applyProtection="0">
      <alignment horizontal="left" vertical="center"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169" fontId="12" fillId="0" borderId="0" applyFont="0" applyFill="0" applyBorder="0" applyAlignment="0" applyProtection="0"/>
    <xf numFmtId="4" fontId="53" fillId="23" borderId="109" applyNumberFormat="0" applyProtection="0">
      <alignment horizontal="right" vertical="center"/>
    </xf>
    <xf numFmtId="169" fontId="12" fillId="0" borderId="0" applyFont="0" applyFill="0" applyBorder="0" applyAlignment="0" applyProtection="0"/>
    <xf numFmtId="349" fontId="53" fillId="13" borderId="109" applyNumberFormat="0" applyFont="0" applyAlignment="0" applyProtection="0"/>
    <xf numFmtId="4" fontId="53" fillId="18" borderId="109" applyNumberFormat="0" applyProtection="0">
      <alignment vertical="center"/>
    </xf>
    <xf numFmtId="4" fontId="253" fillId="45" borderId="109" applyNumberFormat="0" applyProtection="0">
      <alignment vertical="center"/>
    </xf>
    <xf numFmtId="4" fontId="53" fillId="25" borderId="109" applyNumberFormat="0" applyProtection="0">
      <alignment horizontal="right" vertical="center"/>
    </xf>
    <xf numFmtId="4" fontId="53" fillId="29" borderId="115" applyNumberFormat="0" applyProtection="0">
      <alignment horizontal="left" vertical="center" indent="1"/>
    </xf>
    <xf numFmtId="4" fontId="53" fillId="130" borderId="109" applyNumberFormat="0" applyProtection="0">
      <alignment horizontal="right" vertical="center"/>
    </xf>
    <xf numFmtId="4" fontId="53" fillId="19" borderId="109" applyNumberFormat="0" applyProtection="0">
      <alignment horizontal="right" vertical="center"/>
    </xf>
    <xf numFmtId="349" fontId="53" fillId="61" borderId="109" applyNumberFormat="0" applyProtection="0">
      <alignment horizontal="left" vertical="center" indent="1"/>
    </xf>
    <xf numFmtId="214" fontId="64" fillId="0" borderId="28" applyFill="0"/>
    <xf numFmtId="349" fontId="53" fillId="32" borderId="114" applyNumberFormat="0" applyProtection="0">
      <alignment horizontal="left" vertical="top" indent="1"/>
    </xf>
    <xf numFmtId="4" fontId="53" fillId="19" borderId="109" applyNumberFormat="0" applyProtection="0">
      <alignment horizontal="right" vertical="center"/>
    </xf>
    <xf numFmtId="349" fontId="184" fillId="127" borderId="113" applyNumberFormat="0" applyAlignment="0" applyProtection="0"/>
    <xf numFmtId="349" fontId="53" fillId="13" borderId="109" applyNumberFormat="0" applyFont="0" applyAlignment="0" applyProtection="0"/>
    <xf numFmtId="349" fontId="184" fillId="127" borderId="113" applyNumberFormat="0" applyAlignment="0" applyProtection="0"/>
    <xf numFmtId="349" fontId="53" fillId="61" borderId="109" applyNumberFormat="0" applyProtection="0">
      <alignment horizontal="left" vertical="center"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center" indent="1"/>
    </xf>
    <xf numFmtId="4" fontId="53" fillId="27" borderId="109" applyNumberFormat="0" applyProtection="0">
      <alignment horizontal="right" vertical="center"/>
    </xf>
    <xf numFmtId="349" fontId="254" fillId="18" borderId="114" applyNumberFormat="0" applyProtection="0">
      <alignment horizontal="left" vertical="top" indent="1"/>
    </xf>
    <xf numFmtId="349" fontId="53" fillId="13" borderId="109" applyNumberFormat="0" applyFont="0" applyAlignment="0" applyProtection="0"/>
    <xf numFmtId="349" fontId="142" fillId="14" borderId="109"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4" fontId="53" fillId="130" borderId="109" applyNumberFormat="0" applyProtection="0">
      <alignment horizontal="right" vertical="center"/>
    </xf>
    <xf numFmtId="4" fontId="53" fillId="45" borderId="109" applyNumberFormat="0" applyProtection="0">
      <alignment horizontal="left" vertical="center" indent="1"/>
    </xf>
    <xf numFmtId="4" fontId="9" fillId="31" borderId="115" applyNumberFormat="0" applyProtection="0">
      <alignment horizontal="left" vertical="center" indent="1"/>
    </xf>
    <xf numFmtId="4" fontId="53" fillId="25" borderId="109" applyNumberFormat="0" applyProtection="0">
      <alignment horizontal="right" vertical="center"/>
    </xf>
    <xf numFmtId="4" fontId="53" fillId="23" borderId="109" applyNumberFormat="0" applyProtection="0">
      <alignment horizontal="right" vertical="center"/>
    </xf>
    <xf numFmtId="349" fontId="53" fillId="31" borderId="114" applyNumberFormat="0" applyProtection="0">
      <alignment horizontal="left" vertical="top" indent="1"/>
    </xf>
    <xf numFmtId="349" fontId="251" fillId="127" borderId="109" applyNumberFormat="0" applyAlignment="0" applyProtection="0"/>
    <xf numFmtId="349" fontId="53" fillId="19" borderId="114" applyNumberFormat="0" applyProtection="0">
      <alignment horizontal="left" vertical="top"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9" fillId="30" borderId="114" applyNumberFormat="0" applyProtection="0">
      <alignment horizontal="left" vertical="top" indent="1"/>
    </xf>
    <xf numFmtId="349" fontId="53" fillId="30" borderId="114" applyNumberFormat="0" applyProtection="0">
      <alignment horizontal="left" vertical="top" indent="1"/>
    </xf>
    <xf numFmtId="4" fontId="53" fillId="0" borderId="109" applyNumberFormat="0" applyProtection="0">
      <alignment horizontal="right" vertical="center"/>
    </xf>
    <xf numFmtId="349" fontId="15" fillId="0" borderId="118" applyNumberFormat="0" applyFill="0" applyAlignment="0" applyProtection="0"/>
    <xf numFmtId="349" fontId="93" fillId="31" borderId="116" applyBorder="0"/>
    <xf numFmtId="349" fontId="53" fillId="30" borderId="114" applyNumberFormat="0" applyProtection="0">
      <alignment horizontal="left" vertical="top" indent="1"/>
    </xf>
    <xf numFmtId="349" fontId="53" fillId="30" borderId="114" applyNumberFormat="0" applyProtection="0">
      <alignment horizontal="left" vertical="top" indent="1"/>
    </xf>
    <xf numFmtId="214" fontId="64" fillId="0" borderId="28" applyFill="0"/>
    <xf numFmtId="349" fontId="53" fillId="30" borderId="114" applyNumberFormat="0" applyProtection="0">
      <alignment horizontal="left" vertical="top" indent="1"/>
    </xf>
    <xf numFmtId="4" fontId="53" fillId="27" borderId="109" applyNumberFormat="0" applyProtection="0">
      <alignment horizontal="right" vertical="center"/>
    </xf>
    <xf numFmtId="4" fontId="53" fillId="19" borderId="115" applyNumberFormat="0" applyProtection="0">
      <alignment horizontal="left" vertical="center" indent="1"/>
    </xf>
    <xf numFmtId="349" fontId="53" fillId="31" borderId="114" applyNumberFormat="0" applyProtection="0">
      <alignment horizontal="left" vertical="top"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4" fontId="256" fillId="35" borderId="115" applyNumberFormat="0" applyProtection="0">
      <alignment horizontal="left" vertical="center" indent="1"/>
    </xf>
    <xf numFmtId="349" fontId="142" fillId="14" borderId="109" applyNumberFormat="0" applyAlignment="0" applyProtection="0"/>
    <xf numFmtId="349" fontId="9" fillId="32" borderId="114" applyNumberFormat="0" applyProtection="0">
      <alignment horizontal="left" vertical="top" indent="1"/>
    </xf>
    <xf numFmtId="349" fontId="142" fillId="14" borderId="109" applyNumberFormat="0" applyAlignment="0" applyProtection="0"/>
    <xf numFmtId="349" fontId="9" fillId="19" borderId="114" applyNumberFormat="0" applyProtection="0">
      <alignment horizontal="left" vertical="center" indent="1"/>
    </xf>
    <xf numFmtId="349" fontId="53" fillId="31" borderId="114" applyNumberFormat="0" applyProtection="0">
      <alignment horizontal="left" vertical="top" indent="1"/>
    </xf>
    <xf numFmtId="4" fontId="53" fillId="19" borderId="115" applyNumberFormat="0" applyProtection="0">
      <alignment horizontal="left" vertical="center" indent="1"/>
    </xf>
    <xf numFmtId="4" fontId="53" fillId="27" borderId="109" applyNumberFormat="0" applyProtection="0">
      <alignment horizontal="right" vertical="center"/>
    </xf>
    <xf numFmtId="4" fontId="53" fillId="20" borderId="109" applyNumberFormat="0" applyProtection="0">
      <alignment horizontal="right" vertical="center"/>
    </xf>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32" borderId="109" applyNumberFormat="0" applyProtection="0">
      <alignment horizontal="left" vertical="center" indent="1"/>
    </xf>
    <xf numFmtId="4" fontId="53" fillId="130" borderId="109" applyNumberFormat="0" applyProtection="0">
      <alignment horizontal="right" vertical="center"/>
    </xf>
    <xf numFmtId="349" fontId="53" fillId="30" borderId="114" applyNumberFormat="0" applyProtection="0">
      <alignment horizontal="left" vertical="top" indent="1"/>
    </xf>
    <xf numFmtId="4" fontId="53" fillId="30" borderId="115" applyNumberFormat="0" applyProtection="0">
      <alignment horizontal="left" vertical="center" indent="1"/>
    </xf>
    <xf numFmtId="349" fontId="53" fillId="31" borderId="114" applyNumberFormat="0" applyProtection="0">
      <alignment horizontal="left" vertical="top" indent="1"/>
    </xf>
    <xf numFmtId="349" fontId="53" fillId="83" borderId="109" applyNumberFormat="0" applyProtection="0">
      <alignment horizontal="left" vertical="center"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255" fillId="19" borderId="114" applyNumberFormat="0" applyProtection="0">
      <alignment horizontal="left" vertical="top" indent="1"/>
    </xf>
    <xf numFmtId="4" fontId="53" fillId="0" borderId="109" applyNumberFormat="0" applyProtection="0">
      <alignment horizontal="right" vertical="center"/>
    </xf>
    <xf numFmtId="349" fontId="9" fillId="32" borderId="114" applyNumberFormat="0" applyProtection="0">
      <alignment horizontal="left" vertical="top" indent="1"/>
    </xf>
    <xf numFmtId="37" fontId="64" fillId="0" borderId="117" applyNumberFormat="0"/>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4" fontId="53" fillId="19" borderId="115" applyNumberFormat="0" applyProtection="0">
      <alignment horizontal="left" vertical="center" indent="1"/>
    </xf>
    <xf numFmtId="4" fontId="53" fillId="22" borderId="115" applyNumberFormat="0" applyProtection="0">
      <alignment horizontal="right" vertical="center"/>
    </xf>
    <xf numFmtId="349" fontId="251" fillId="127" borderId="109" applyNumberFormat="0" applyAlignment="0" applyProtection="0"/>
    <xf numFmtId="349" fontId="53" fillId="32" borderId="114" applyNumberFormat="0" applyProtection="0">
      <alignment horizontal="left" vertical="top" indent="1"/>
    </xf>
    <xf numFmtId="349" fontId="53" fillId="13" borderId="109" applyNumberFormat="0" applyFont="0" applyAlignment="0" applyProtection="0"/>
    <xf numFmtId="349" fontId="53" fillId="13" borderId="109" applyNumberFormat="0" applyFont="0" applyAlignment="0" applyProtection="0"/>
    <xf numFmtId="349" fontId="53" fillId="19" borderId="114" applyNumberFormat="0" applyProtection="0">
      <alignment horizontal="left" vertical="top" indent="1"/>
    </xf>
    <xf numFmtId="349" fontId="9" fillId="31" borderId="114" applyNumberFormat="0" applyProtection="0">
      <alignment horizontal="left" vertical="center" indent="1"/>
    </xf>
    <xf numFmtId="349" fontId="9" fillId="19" borderId="114" applyNumberFormat="0" applyProtection="0">
      <alignment horizontal="left" vertical="top" indent="1"/>
    </xf>
    <xf numFmtId="349" fontId="53" fillId="31" borderId="114" applyNumberFormat="0" applyProtection="0">
      <alignment horizontal="left" vertical="top" indent="1"/>
    </xf>
    <xf numFmtId="4" fontId="53" fillId="0" borderId="109" applyNumberFormat="0" applyProtection="0">
      <alignment horizontal="right" vertical="center"/>
    </xf>
    <xf numFmtId="349" fontId="53" fillId="13" borderId="109" applyNumberFormat="0" applyFont="0" applyAlignment="0" applyProtection="0"/>
    <xf numFmtId="4" fontId="53" fillId="23" borderId="109" applyNumberFormat="0" applyProtection="0">
      <alignment horizontal="right" vertical="center"/>
    </xf>
    <xf numFmtId="4" fontId="53" fillId="23" borderId="109" applyNumberFormat="0" applyProtection="0">
      <alignment horizontal="right" vertical="center"/>
    </xf>
    <xf numFmtId="4" fontId="53" fillId="28" borderId="109" applyNumberFormat="0" applyProtection="0">
      <alignment horizontal="right" vertical="center"/>
    </xf>
    <xf numFmtId="349" fontId="53" fillId="61" borderId="109" applyNumberFormat="0" applyProtection="0">
      <alignment horizontal="left" vertical="center"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4" fontId="257" fillId="33" borderId="109" applyNumberFormat="0" applyProtection="0">
      <alignment horizontal="right" vertical="center"/>
    </xf>
    <xf numFmtId="4" fontId="53" fillId="64" borderId="109" applyNumberFormat="0" applyProtection="0">
      <alignment horizontal="left" vertical="center" indent="1"/>
    </xf>
    <xf numFmtId="349" fontId="53" fillId="30" borderId="114" applyNumberFormat="0" applyProtection="0">
      <alignment horizontal="left" vertical="top" indent="1"/>
    </xf>
    <xf numFmtId="4" fontId="256" fillId="35" borderId="115" applyNumberFormat="0" applyProtection="0">
      <alignment horizontal="left" vertical="center"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4" fontId="53" fillId="19" borderId="109" applyNumberFormat="0" applyProtection="0">
      <alignment horizontal="right" vertical="center"/>
    </xf>
    <xf numFmtId="4" fontId="53" fillId="20" borderId="109" applyNumberFormat="0" applyProtection="0">
      <alignment horizontal="right" vertical="center"/>
    </xf>
    <xf numFmtId="349" fontId="53" fillId="30" borderId="114" applyNumberFormat="0" applyProtection="0">
      <alignment horizontal="left" vertical="top" indent="1"/>
    </xf>
    <xf numFmtId="349" fontId="53" fillId="31" borderId="114" applyNumberFormat="0" applyProtection="0">
      <alignment horizontal="left" vertical="top" indent="1"/>
    </xf>
    <xf numFmtId="349" fontId="53" fillId="13" borderId="109" applyNumberFormat="0" applyFont="0" applyAlignment="0" applyProtection="0"/>
    <xf numFmtId="349" fontId="53" fillId="13" borderId="109" applyNumberFormat="0" applyFont="0" applyAlignment="0" applyProtection="0"/>
    <xf numFmtId="4" fontId="53" fillId="64" borderId="109" applyNumberFormat="0" applyProtection="0">
      <alignment horizontal="left" vertical="center" indent="1"/>
    </xf>
    <xf numFmtId="349" fontId="53" fillId="30" borderId="114" applyNumberFormat="0" applyProtection="0">
      <alignment horizontal="left" vertical="top" indent="1"/>
    </xf>
    <xf numFmtId="349" fontId="53" fillId="19" borderId="114" applyNumberFormat="0" applyProtection="0">
      <alignment horizontal="left" vertical="top" indent="1"/>
    </xf>
    <xf numFmtId="4" fontId="9" fillId="31" borderId="115" applyNumberFormat="0" applyProtection="0">
      <alignment horizontal="left" vertical="center" indent="1"/>
    </xf>
    <xf numFmtId="349" fontId="184" fillId="127" borderId="113" applyNumberFormat="0" applyAlignment="0" applyProtection="0"/>
    <xf numFmtId="169" fontId="12" fillId="0" borderId="0" applyFont="0" applyFill="0" applyBorder="0" applyAlignment="0" applyProtection="0"/>
    <xf numFmtId="349" fontId="254" fillId="18" borderId="114" applyNumberFormat="0" applyProtection="0">
      <alignment horizontal="left" vertical="top" indent="1"/>
    </xf>
    <xf numFmtId="4" fontId="53" fillId="27" borderId="109" applyNumberFormat="0" applyProtection="0">
      <alignment horizontal="right" vertical="center"/>
    </xf>
    <xf numFmtId="4" fontId="53" fillId="19" borderId="115" applyNumberFormat="0" applyProtection="0">
      <alignment horizontal="left" vertical="center" indent="1"/>
    </xf>
    <xf numFmtId="349" fontId="9" fillId="31" borderId="114" applyNumberFormat="0" applyProtection="0">
      <alignment horizontal="left" vertical="top" indent="1"/>
    </xf>
    <xf numFmtId="349" fontId="53" fillId="32" borderId="114" applyNumberFormat="0" applyProtection="0">
      <alignment horizontal="left" vertical="top" indent="1"/>
    </xf>
    <xf numFmtId="349" fontId="53" fillId="32" borderId="109" applyNumberFormat="0" applyProtection="0">
      <alignment horizontal="left" vertical="center" indent="1"/>
    </xf>
    <xf numFmtId="349" fontId="9" fillId="19" borderId="114" applyNumberFormat="0" applyProtection="0">
      <alignment horizontal="left" vertical="center" indent="1"/>
    </xf>
    <xf numFmtId="349" fontId="53" fillId="31" borderId="114" applyNumberFormat="0" applyProtection="0">
      <alignment horizontal="left" vertical="top" indent="1"/>
    </xf>
    <xf numFmtId="4" fontId="9" fillId="31" borderId="115" applyNumberFormat="0" applyProtection="0">
      <alignment horizontal="left" vertical="center" indent="1"/>
    </xf>
    <xf numFmtId="4" fontId="53" fillId="130" borderId="109" applyNumberFormat="0" applyProtection="0">
      <alignment horizontal="right" vertical="center"/>
    </xf>
    <xf numFmtId="349" fontId="53" fillId="13" borderId="109" applyNumberFormat="0" applyFont="0" applyAlignment="0" applyProtection="0"/>
    <xf numFmtId="349" fontId="251" fillId="127" borderId="109" applyNumberFormat="0" applyAlignment="0" applyProtection="0"/>
    <xf numFmtId="349" fontId="142" fillId="14" borderId="109"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4" fontId="253" fillId="45" borderId="109" applyNumberFormat="0" applyProtection="0">
      <alignment vertical="center"/>
    </xf>
    <xf numFmtId="4" fontId="53" fillId="19" borderId="109" applyNumberFormat="0" applyProtection="0">
      <alignment horizontal="right" vertical="center"/>
    </xf>
    <xf numFmtId="4" fontId="53" fillId="130" borderId="109" applyNumberFormat="0" applyProtection="0">
      <alignment horizontal="right" vertical="center"/>
    </xf>
    <xf numFmtId="349" fontId="53" fillId="31" borderId="114" applyNumberFormat="0" applyProtection="0">
      <alignment horizontal="left" vertical="top" indent="1"/>
    </xf>
    <xf numFmtId="4" fontId="53" fillId="29" borderId="115" applyNumberFormat="0" applyProtection="0">
      <alignment horizontal="left" vertical="center" indent="1"/>
    </xf>
    <xf numFmtId="4" fontId="53" fillId="26" borderId="109" applyNumberFormat="0" applyProtection="0">
      <alignment horizontal="right" vertical="center"/>
    </xf>
    <xf numFmtId="349" fontId="53" fillId="31"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53" fillId="30" borderId="114" applyNumberFormat="0" applyProtection="0">
      <alignment horizontal="left" vertical="top" indent="1"/>
    </xf>
    <xf numFmtId="4" fontId="255" fillId="34" borderId="114" applyNumberFormat="0" applyProtection="0">
      <alignment vertical="center"/>
    </xf>
    <xf numFmtId="4" fontId="256" fillId="35" borderId="115" applyNumberFormat="0" applyProtection="0">
      <alignment horizontal="left" vertical="center" indent="1"/>
    </xf>
    <xf numFmtId="349" fontId="53" fillId="19" borderId="114" applyNumberFormat="0" applyProtection="0">
      <alignment horizontal="left" vertical="top" indent="1"/>
    </xf>
    <xf numFmtId="4" fontId="53" fillId="64" borderId="109" applyNumberFormat="0" applyProtection="0">
      <alignment horizontal="left" vertical="center" indent="1"/>
    </xf>
    <xf numFmtId="349" fontId="53" fillId="30" borderId="114" applyNumberFormat="0" applyProtection="0">
      <alignment horizontal="left" vertical="top" indent="1"/>
    </xf>
    <xf numFmtId="4" fontId="53" fillId="0" borderId="109" applyNumberFormat="0" applyProtection="0">
      <alignment horizontal="right" vertical="center"/>
    </xf>
    <xf numFmtId="349" fontId="251" fillId="127" borderId="109" applyNumberFormat="0" applyAlignment="0" applyProtection="0"/>
    <xf numFmtId="349" fontId="53" fillId="13" borderId="109" applyNumberFormat="0" applyFont="0" applyAlignment="0" applyProtection="0"/>
    <xf numFmtId="4" fontId="9" fillId="31" borderId="115" applyNumberFormat="0" applyProtection="0">
      <alignment horizontal="left" vertical="center"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15" fillId="0" borderId="118" applyNumberFormat="0" applyFill="0" applyAlignment="0" applyProtection="0"/>
    <xf numFmtId="349" fontId="53" fillId="13" borderId="109" applyNumberFormat="0" applyFont="0" applyAlignment="0" applyProtection="0"/>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4" fontId="9" fillId="31" borderId="115" applyNumberFormat="0" applyProtection="0">
      <alignment horizontal="left" vertical="center" indent="1"/>
    </xf>
    <xf numFmtId="4" fontId="53" fillId="23" borderId="109" applyNumberFormat="0" applyProtection="0">
      <alignment horizontal="right" vertical="center"/>
    </xf>
    <xf numFmtId="4" fontId="253" fillId="45" borderId="109" applyNumberFormat="0" applyProtection="0">
      <alignment vertical="center"/>
    </xf>
    <xf numFmtId="349" fontId="53" fillId="13" borderId="109" applyNumberFormat="0" applyFont="0" applyAlignment="0" applyProtection="0"/>
    <xf numFmtId="349" fontId="251" fillId="127" borderId="109" applyNumberFormat="0" applyAlignment="0" applyProtection="0"/>
    <xf numFmtId="4" fontId="53" fillId="130" borderId="109" applyNumberFormat="0" applyProtection="0">
      <alignment horizontal="right" vertical="center"/>
    </xf>
    <xf numFmtId="349" fontId="53" fillId="13" borderId="109" applyNumberFormat="0" applyFont="0" applyAlignment="0" applyProtection="0"/>
    <xf numFmtId="349" fontId="255" fillId="34" borderId="114" applyNumberFormat="0" applyProtection="0">
      <alignment horizontal="left" vertical="top" indent="1"/>
    </xf>
    <xf numFmtId="4" fontId="53" fillId="25" borderId="109" applyNumberFormat="0" applyProtection="0">
      <alignment horizontal="right" vertical="center"/>
    </xf>
    <xf numFmtId="4" fontId="9" fillId="31" borderId="115" applyNumberFormat="0" applyProtection="0">
      <alignment horizontal="left" vertical="center"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9" fillId="30" borderId="114" applyNumberFormat="0" applyProtection="0">
      <alignment horizontal="left" vertical="center"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15" fillId="0" borderId="118" applyNumberFormat="0" applyFill="0" applyAlignment="0" applyProtection="0"/>
    <xf numFmtId="349" fontId="53" fillId="32" borderId="114" applyNumberFormat="0" applyProtection="0">
      <alignment horizontal="left" vertical="top" indent="1"/>
    </xf>
    <xf numFmtId="349" fontId="251" fillId="127" borderId="109" applyNumberFormat="0" applyAlignment="0" applyProtection="0"/>
    <xf numFmtId="4" fontId="53" fillId="0" borderId="109" applyNumberFormat="0" applyProtection="0">
      <alignment horizontal="right" vertical="center"/>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83" borderId="109" applyNumberFormat="0" applyProtection="0">
      <alignment horizontal="left" vertical="center" indent="1"/>
    </xf>
    <xf numFmtId="349" fontId="9" fillId="31" borderId="114" applyNumberFormat="0" applyProtection="0">
      <alignment horizontal="left" vertical="top" indent="1"/>
    </xf>
    <xf numFmtId="4" fontId="53" fillId="28" borderId="109" applyNumberFormat="0" applyProtection="0">
      <alignment horizontal="right" vertical="center"/>
    </xf>
    <xf numFmtId="349" fontId="254" fillId="18" borderId="114" applyNumberFormat="0" applyProtection="0">
      <alignment horizontal="left" vertical="top" indent="1"/>
    </xf>
    <xf numFmtId="349" fontId="93" fillId="31" borderId="116" applyBorder="0"/>
    <xf numFmtId="349" fontId="53" fillId="32" borderId="109" applyNumberFormat="0" applyProtection="0">
      <alignment horizontal="left" vertical="center" indent="1"/>
    </xf>
    <xf numFmtId="349" fontId="142" fillId="14" borderId="109" applyNumberFormat="0" applyAlignment="0" applyProtection="0"/>
    <xf numFmtId="4" fontId="255" fillId="61" borderId="114" applyNumberFormat="0" applyProtection="0">
      <alignment horizontal="left" vertical="center" indent="1"/>
    </xf>
    <xf numFmtId="349" fontId="53" fillId="13" borderId="109" applyNumberFormat="0" applyFont="0" applyAlignment="0" applyProtection="0"/>
    <xf numFmtId="349" fontId="251" fillId="127" borderId="109" applyNumberFormat="0" applyAlignment="0" applyProtection="0"/>
    <xf numFmtId="4" fontId="53" fillId="45" borderId="109" applyNumberFormat="0" applyProtection="0">
      <alignment horizontal="left" vertical="center" indent="1"/>
    </xf>
    <xf numFmtId="4" fontId="53" fillId="24" borderId="109" applyNumberFormat="0" applyProtection="0">
      <alignment horizontal="right" vertical="center"/>
    </xf>
    <xf numFmtId="4" fontId="9" fillId="31" borderId="115" applyNumberFormat="0" applyProtection="0">
      <alignment horizontal="left" vertical="center" indent="1"/>
    </xf>
    <xf numFmtId="349" fontId="9" fillId="31" borderId="114" applyNumberFormat="0" applyProtection="0">
      <alignment horizontal="left" vertical="top"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32" borderId="109" applyNumberFormat="0" applyProtection="0">
      <alignment horizontal="left" vertical="center" indent="1"/>
    </xf>
    <xf numFmtId="349" fontId="15" fillId="0" borderId="118" applyNumberFormat="0" applyFill="0" applyAlignment="0" applyProtection="0"/>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4" fontId="9" fillId="31" borderId="115" applyNumberFormat="0" applyProtection="0">
      <alignment horizontal="left" vertical="center" indent="1"/>
    </xf>
    <xf numFmtId="4" fontId="53" fillId="64" borderId="109" applyNumberFormat="0" applyProtection="0">
      <alignment horizontal="left" vertical="center" indent="1"/>
    </xf>
    <xf numFmtId="349" fontId="255" fillId="34" borderId="114" applyNumberFormat="0" applyProtection="0">
      <alignment horizontal="left" vertical="top" indent="1"/>
    </xf>
    <xf numFmtId="349" fontId="53" fillId="30" borderId="114" applyNumberFormat="0" applyProtection="0">
      <alignment horizontal="left" vertical="top" indent="1"/>
    </xf>
    <xf numFmtId="349" fontId="255" fillId="34" borderId="114" applyNumberFormat="0" applyProtection="0">
      <alignment horizontal="left" vertical="top" indent="1"/>
    </xf>
    <xf numFmtId="349" fontId="53" fillId="32" borderId="114" applyNumberFormat="0" applyProtection="0">
      <alignment horizontal="left" vertical="top" indent="1"/>
    </xf>
    <xf numFmtId="349" fontId="255" fillId="19" borderId="114" applyNumberFormat="0" applyProtection="0">
      <alignment horizontal="left" vertical="top" indent="1"/>
    </xf>
    <xf numFmtId="349" fontId="93" fillId="31" borderId="116" applyBorder="0"/>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214" fontId="64" fillId="0" borderId="28" applyFill="0"/>
    <xf numFmtId="4" fontId="53" fillId="28" borderId="109" applyNumberFormat="0" applyProtection="0">
      <alignment horizontal="right" vertical="center"/>
    </xf>
    <xf numFmtId="4" fontId="53" fillId="19" borderId="115" applyNumberFormat="0" applyProtection="0">
      <alignment horizontal="left" vertical="center" indent="1"/>
    </xf>
    <xf numFmtId="4" fontId="53" fillId="20" borderId="109" applyNumberFormat="0" applyProtection="0">
      <alignment horizontal="right" vertical="center"/>
    </xf>
    <xf numFmtId="4" fontId="53" fillId="28" borderId="109" applyNumberFormat="0" applyProtection="0">
      <alignment horizontal="right" vertical="center"/>
    </xf>
    <xf numFmtId="349" fontId="184" fillId="127" borderId="113"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142" fillId="14" borderId="109" applyNumberFormat="0" applyAlignment="0" applyProtection="0"/>
    <xf numFmtId="349" fontId="53" fillId="13" borderId="109" applyNumberFormat="0" applyFont="0" applyAlignment="0" applyProtection="0"/>
    <xf numFmtId="4" fontId="53" fillId="18" borderId="109" applyNumberFormat="0" applyProtection="0">
      <alignment vertical="center"/>
    </xf>
    <xf numFmtId="4" fontId="53" fillId="24" borderId="109" applyNumberFormat="0" applyProtection="0">
      <alignment horizontal="right" vertical="center"/>
    </xf>
    <xf numFmtId="4" fontId="53" fillId="30" borderId="115" applyNumberFormat="0" applyProtection="0">
      <alignment horizontal="left" vertical="center"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9" fillId="32" borderId="114" applyNumberFormat="0" applyProtection="0">
      <alignment horizontal="left" vertical="center" indent="1"/>
    </xf>
    <xf numFmtId="349" fontId="53" fillId="32" borderId="114" applyNumberFormat="0" applyProtection="0">
      <alignment horizontal="left" vertical="top" indent="1"/>
    </xf>
    <xf numFmtId="349" fontId="53" fillId="31" borderId="114" applyNumberFormat="0" applyProtection="0">
      <alignment horizontal="left" vertical="top" indent="1"/>
    </xf>
    <xf numFmtId="4" fontId="53" fillId="24" borderId="109" applyNumberFormat="0" applyProtection="0">
      <alignment horizontal="right" vertical="center"/>
    </xf>
    <xf numFmtId="4" fontId="53" fillId="18" borderId="109" applyNumberFormat="0" applyProtection="0">
      <alignment vertical="center"/>
    </xf>
    <xf numFmtId="4" fontId="53" fillId="64" borderId="109" applyNumberFormat="0" applyProtection="0">
      <alignment horizontal="left" vertical="center" indent="1"/>
    </xf>
    <xf numFmtId="4" fontId="53" fillId="45" borderId="109" applyNumberFormat="0" applyProtection="0">
      <alignment horizontal="left" vertical="center" indent="1"/>
    </xf>
    <xf numFmtId="4" fontId="53" fillId="26" borderId="109" applyNumberFormat="0" applyProtection="0">
      <alignment horizontal="right" vertical="center"/>
    </xf>
    <xf numFmtId="4" fontId="9" fillId="31" borderId="115" applyNumberFormat="0" applyProtection="0">
      <alignment horizontal="left" vertical="center" indent="1"/>
    </xf>
    <xf numFmtId="4" fontId="53" fillId="22" borderId="115" applyNumberFormat="0" applyProtection="0">
      <alignment horizontal="right" vertical="center"/>
    </xf>
    <xf numFmtId="4" fontId="53" fillId="30" borderId="115" applyNumberFormat="0" applyProtection="0">
      <alignment horizontal="left" vertical="center" indent="1"/>
    </xf>
    <xf numFmtId="349" fontId="9" fillId="31" borderId="114" applyNumberFormat="0" applyProtection="0">
      <alignment horizontal="left" vertical="center" indent="1"/>
    </xf>
    <xf numFmtId="349" fontId="53" fillId="32" borderId="114" applyNumberFormat="0" applyProtection="0">
      <alignment horizontal="left" vertical="top" indent="1"/>
    </xf>
    <xf numFmtId="4" fontId="9" fillId="31" borderId="115" applyNumberFormat="0" applyProtection="0">
      <alignment horizontal="left" vertical="center" indent="1"/>
    </xf>
    <xf numFmtId="349" fontId="184" fillId="127" borderId="113" applyNumberFormat="0" applyAlignment="0" applyProtection="0"/>
    <xf numFmtId="349" fontId="53" fillId="13" borderId="109" applyNumberFormat="0" applyFont="0" applyAlignment="0" applyProtection="0"/>
    <xf numFmtId="4" fontId="53" fillId="18" borderId="109" applyNumberFormat="0" applyProtection="0">
      <alignment vertical="center"/>
    </xf>
    <xf numFmtId="349" fontId="9" fillId="31" borderId="114" applyNumberFormat="0" applyProtection="0">
      <alignment horizontal="left" vertical="center" indent="1"/>
    </xf>
    <xf numFmtId="349" fontId="53" fillId="30" borderId="114" applyNumberFormat="0" applyProtection="0">
      <alignment horizontal="left" vertical="top" indent="1"/>
    </xf>
    <xf numFmtId="349" fontId="9"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53" fillId="61" borderId="109" applyNumberFormat="0" applyProtection="0">
      <alignment horizontal="left" vertical="center" indent="1"/>
    </xf>
    <xf numFmtId="4" fontId="53" fillId="26" borderId="109" applyNumberFormat="0" applyProtection="0">
      <alignment horizontal="right" vertical="center"/>
    </xf>
    <xf numFmtId="4" fontId="53" fillId="45" borderId="109" applyNumberFormat="0" applyProtection="0">
      <alignment horizontal="left" vertical="center" indent="1"/>
    </xf>
    <xf numFmtId="349" fontId="53" fillId="13" borderId="109" applyNumberFormat="0" applyFont="0" applyAlignment="0" applyProtection="0"/>
    <xf numFmtId="349" fontId="142" fillId="14" borderId="109" applyNumberForma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4" fontId="53" fillId="25" borderId="109" applyNumberFormat="0" applyProtection="0">
      <alignment horizontal="right" vertical="center"/>
    </xf>
    <xf numFmtId="349" fontId="254" fillId="18" borderId="114" applyNumberFormat="0" applyProtection="0">
      <alignment horizontal="left" vertical="top" indent="1"/>
    </xf>
    <xf numFmtId="4" fontId="53" fillId="19" borderId="109" applyNumberFormat="0" applyProtection="0">
      <alignment horizontal="right" vertical="center"/>
    </xf>
    <xf numFmtId="4" fontId="53" fillId="26" borderId="109" applyNumberFormat="0" applyProtection="0">
      <alignment horizontal="right" vertical="center"/>
    </xf>
    <xf numFmtId="4" fontId="53" fillId="24" borderId="109" applyNumberFormat="0" applyProtection="0">
      <alignment horizontal="right" vertical="center"/>
    </xf>
    <xf numFmtId="349" fontId="53" fillId="31" borderId="114" applyNumberFormat="0" applyProtection="0">
      <alignment horizontal="left" vertical="top" indent="1"/>
    </xf>
    <xf numFmtId="349" fontId="251" fillId="127" borderId="109" applyNumberFormat="0" applyAlignment="0" applyProtection="0"/>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4" fontId="253" fillId="50" borderId="109" applyNumberFormat="0" applyProtection="0">
      <alignment horizontal="right" vertical="center"/>
    </xf>
    <xf numFmtId="349" fontId="15" fillId="0" borderId="118" applyNumberFormat="0" applyFill="0" applyAlignment="0" applyProtection="0"/>
    <xf numFmtId="4" fontId="255" fillId="34" borderId="114" applyNumberFormat="0" applyProtection="0">
      <alignment vertical="center"/>
    </xf>
    <xf numFmtId="349" fontId="53" fillId="30" borderId="114" applyNumberFormat="0" applyProtection="0">
      <alignment horizontal="left" vertical="top" indent="1"/>
    </xf>
    <xf numFmtId="349" fontId="93" fillId="31" borderId="116" applyBorder="0"/>
    <xf numFmtId="4" fontId="53" fillId="0" borderId="109" applyNumberFormat="0" applyProtection="0">
      <alignment horizontal="right" vertical="center"/>
    </xf>
    <xf numFmtId="349" fontId="53" fillId="30" borderId="114" applyNumberFormat="0" applyProtection="0">
      <alignment horizontal="left" vertical="top" indent="1"/>
    </xf>
    <xf numFmtId="4" fontId="53" fillId="28" borderId="109" applyNumberFormat="0" applyProtection="0">
      <alignment horizontal="right" vertical="center"/>
    </xf>
    <xf numFmtId="349" fontId="53" fillId="61" borderId="109" applyNumberFormat="0" applyProtection="0">
      <alignment horizontal="left" vertical="center"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4" fontId="257" fillId="33" borderId="109" applyNumberFormat="0" applyProtection="0">
      <alignment horizontal="right" vertical="center"/>
    </xf>
    <xf numFmtId="349" fontId="142" fillId="14" borderId="109" applyNumberFormat="0" applyAlignment="0" applyProtection="0"/>
    <xf numFmtId="349" fontId="53" fillId="32" borderId="114" applyNumberFormat="0" applyProtection="0">
      <alignment horizontal="left" vertical="top" indent="1"/>
    </xf>
    <xf numFmtId="349" fontId="142" fillId="14" borderId="109" applyNumberFormat="0" applyAlignment="0" applyProtection="0"/>
    <xf numFmtId="349" fontId="53" fillId="83" borderId="109" applyNumberFormat="0" applyProtection="0">
      <alignment horizontal="left" vertical="center" indent="1"/>
    </xf>
    <xf numFmtId="349" fontId="53" fillId="31" borderId="114" applyNumberFormat="0" applyProtection="0">
      <alignment horizontal="left" vertical="top" indent="1"/>
    </xf>
    <xf numFmtId="4" fontId="53" fillId="30" borderId="115" applyNumberFormat="0" applyProtection="0">
      <alignment horizontal="left" vertical="center" indent="1"/>
    </xf>
    <xf numFmtId="4" fontId="53" fillId="26" borderId="109" applyNumberFormat="0" applyProtection="0">
      <alignment horizontal="right" vertical="center"/>
    </xf>
    <xf numFmtId="4" fontId="53" fillId="64" borderId="109" applyNumberFormat="0" applyProtection="0">
      <alignment horizontal="left" vertical="center" indent="1"/>
    </xf>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53" fillId="13" borderId="109" applyNumberFormat="0" applyFont="0" applyAlignment="0" applyProtection="0"/>
    <xf numFmtId="349" fontId="93" fillId="31" borderId="116" applyBorder="0"/>
    <xf numFmtId="4" fontId="53" fillId="22" borderId="115" applyNumberFormat="0" applyProtection="0">
      <alignment horizontal="right" vertical="center"/>
    </xf>
    <xf numFmtId="349" fontId="53" fillId="30" borderId="114" applyNumberFormat="0" applyProtection="0">
      <alignment horizontal="left" vertical="top" indent="1"/>
    </xf>
    <xf numFmtId="4" fontId="53" fillId="19" borderId="115" applyNumberFormat="0" applyProtection="0">
      <alignment horizontal="left" vertical="center" indent="1"/>
    </xf>
    <xf numFmtId="349" fontId="53" fillId="31" borderId="114" applyNumberFormat="0" applyProtection="0">
      <alignment horizontal="left" vertical="top" indent="1"/>
    </xf>
    <xf numFmtId="349" fontId="9" fillId="19" borderId="114" applyNumberFormat="0" applyProtection="0">
      <alignment horizontal="left" vertical="center" indent="1"/>
    </xf>
    <xf numFmtId="349" fontId="53" fillId="19" borderId="114" applyNumberFormat="0" applyProtection="0">
      <alignment horizontal="left" vertical="top" indent="1"/>
    </xf>
    <xf numFmtId="349" fontId="9" fillId="32"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4" fontId="256" fillId="35" borderId="115" applyNumberFormat="0" applyProtection="0">
      <alignment horizontal="left" vertical="center" indent="1"/>
    </xf>
    <xf numFmtId="4" fontId="253" fillId="50" borderId="109" applyNumberFormat="0" applyProtection="0">
      <alignment horizontal="right" vertical="center"/>
    </xf>
    <xf numFmtId="349" fontId="53" fillId="13" borderId="109" applyNumberFormat="0" applyFont="0" applyAlignment="0" applyProtection="0"/>
    <xf numFmtId="4" fontId="257" fillId="33" borderId="109" applyNumberFormat="0" applyProtection="0">
      <alignment horizontal="right" vertical="center"/>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4" fontId="53" fillId="30" borderId="115" applyNumberFormat="0" applyProtection="0">
      <alignment horizontal="left" vertical="center" indent="1"/>
    </xf>
    <xf numFmtId="4" fontId="53" fillId="130" borderId="109" applyNumberFormat="0" applyProtection="0">
      <alignment horizontal="right" vertical="center"/>
    </xf>
    <xf numFmtId="349" fontId="53" fillId="32" borderId="114" applyNumberFormat="0" applyProtection="0">
      <alignment horizontal="left" vertical="top" indent="1"/>
    </xf>
    <xf numFmtId="349" fontId="53" fillId="13" borderId="109" applyNumberFormat="0" applyFont="0" applyAlignment="0" applyProtection="0"/>
    <xf numFmtId="349" fontId="53" fillId="13" borderId="109" applyNumberFormat="0" applyFont="0" applyAlignment="0" applyProtection="0"/>
    <xf numFmtId="349" fontId="53" fillId="32" borderId="109" applyNumberFormat="0" applyProtection="0">
      <alignment horizontal="left" vertical="center"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4" fontId="253" fillId="50" borderId="109" applyNumberFormat="0" applyProtection="0">
      <alignment horizontal="right" vertical="center"/>
    </xf>
    <xf numFmtId="349" fontId="53" fillId="13" borderId="109" applyNumberFormat="0" applyFont="0" applyAlignment="0" applyProtection="0"/>
    <xf numFmtId="4" fontId="53" fillId="22" borderId="115" applyNumberFormat="0" applyProtection="0">
      <alignment horizontal="right" vertical="center"/>
    </xf>
    <xf numFmtId="4" fontId="53" fillId="24" borderId="109" applyNumberFormat="0" applyProtection="0">
      <alignment horizontal="right" vertical="center"/>
    </xf>
    <xf numFmtId="4" fontId="53" fillId="29" borderId="115" applyNumberFormat="0" applyProtection="0">
      <alignment horizontal="left" vertical="center" indent="1"/>
    </xf>
    <xf numFmtId="349" fontId="9" fillId="31" borderId="114" applyNumberFormat="0" applyProtection="0">
      <alignment horizontal="left" vertical="center" indent="1"/>
    </xf>
    <xf numFmtId="349" fontId="53" fillId="31" borderId="114" applyNumberFormat="0" applyProtection="0">
      <alignment horizontal="left" vertical="top" indent="1"/>
    </xf>
    <xf numFmtId="349" fontId="9" fillId="19"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0" borderId="109" applyNumberFormat="0" applyProtection="0">
      <alignment horizontal="left" vertical="center"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7" fontId="64" fillId="0" borderId="117" applyNumberFormat="0"/>
    <xf numFmtId="4" fontId="257" fillId="33" borderId="109" applyNumberFormat="0" applyProtection="0">
      <alignment horizontal="right" vertical="center"/>
    </xf>
    <xf numFmtId="349" fontId="53" fillId="19" borderId="114" applyNumberFormat="0" applyProtection="0">
      <alignment horizontal="left" vertical="top" indent="1"/>
    </xf>
    <xf numFmtId="349" fontId="255" fillId="19" borderId="114" applyNumberFormat="0" applyProtection="0">
      <alignment horizontal="left" vertical="top" indent="1"/>
    </xf>
    <xf numFmtId="349" fontId="53" fillId="30" borderId="114" applyNumberFormat="0" applyProtection="0">
      <alignment horizontal="left" vertical="top" indent="1"/>
    </xf>
    <xf numFmtId="349" fontId="9" fillId="32" borderId="114" applyNumberFormat="0" applyProtection="0">
      <alignment horizontal="left" vertical="center" indent="1"/>
    </xf>
    <xf numFmtId="349" fontId="9" fillId="19" borderId="114" applyNumberFormat="0" applyProtection="0">
      <alignment horizontal="left" vertical="center" indent="1"/>
    </xf>
    <xf numFmtId="349" fontId="53" fillId="31" borderId="114" applyNumberFormat="0" applyProtection="0">
      <alignment horizontal="left" vertical="top" indent="1"/>
    </xf>
    <xf numFmtId="4" fontId="9" fillId="31" borderId="115" applyNumberFormat="0" applyProtection="0">
      <alignment horizontal="left" vertical="center" indent="1"/>
    </xf>
    <xf numFmtId="4" fontId="53" fillId="64" borderId="109" applyNumberFormat="0" applyProtection="0">
      <alignment horizontal="left" vertical="center" indent="1"/>
    </xf>
    <xf numFmtId="349" fontId="53" fillId="31" borderId="114" applyNumberFormat="0" applyProtection="0">
      <alignment horizontal="left" vertical="top" indent="1"/>
    </xf>
    <xf numFmtId="349" fontId="53" fillId="13" borderId="109" applyNumberFormat="0" applyFont="0" applyAlignment="0" applyProtection="0"/>
    <xf numFmtId="4" fontId="253" fillId="50" borderId="109" applyNumberFormat="0" applyProtection="0">
      <alignment horizontal="right" vertical="center"/>
    </xf>
    <xf numFmtId="349" fontId="9" fillId="30" borderId="114" applyNumberFormat="0" applyProtection="0">
      <alignment horizontal="left" vertical="top" indent="1"/>
    </xf>
    <xf numFmtId="349" fontId="53" fillId="19" borderId="114" applyNumberFormat="0" applyProtection="0">
      <alignment horizontal="left" vertical="top" indent="1"/>
    </xf>
    <xf numFmtId="4" fontId="53" fillId="29" borderId="115" applyNumberFormat="0" applyProtection="0">
      <alignment horizontal="left" vertical="center" indent="1"/>
    </xf>
    <xf numFmtId="4" fontId="53" fillId="22" borderId="115" applyNumberFormat="0" applyProtection="0">
      <alignment horizontal="right" vertical="center"/>
    </xf>
    <xf numFmtId="4" fontId="255" fillId="61" borderId="114" applyNumberFormat="0" applyProtection="0">
      <alignment horizontal="left" vertical="center" indent="1"/>
    </xf>
    <xf numFmtId="349" fontId="15" fillId="0" borderId="118" applyNumberFormat="0" applyFill="0" applyAlignment="0" applyProtection="0"/>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0" borderId="114" applyNumberFormat="0" applyProtection="0">
      <alignment horizontal="left" vertical="top" indent="1"/>
    </xf>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251" fillId="127" borderId="109" applyNumberFormat="0" applyAlignment="0" applyProtection="0"/>
    <xf numFmtId="349" fontId="53" fillId="13" borderId="109" applyNumberFormat="0" applyFont="0" applyAlignment="0" applyProtection="0"/>
    <xf numFmtId="4" fontId="253" fillId="45" borderId="109" applyNumberFormat="0" applyProtection="0">
      <alignment vertical="center"/>
    </xf>
    <xf numFmtId="4" fontId="53" fillId="27" borderId="109" applyNumberFormat="0" applyProtection="0">
      <alignment horizontal="right" vertical="center"/>
    </xf>
    <xf numFmtId="349" fontId="53" fillId="31" borderId="114" applyNumberFormat="0" applyProtection="0">
      <alignment horizontal="left" vertical="top" indent="1"/>
    </xf>
    <xf numFmtId="349" fontId="53" fillId="31" borderId="114" applyNumberFormat="0" applyProtection="0">
      <alignment horizontal="left" vertical="top"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255" fillId="34" borderId="114" applyNumberFormat="0" applyProtection="0">
      <alignment horizontal="left" vertical="top" indent="1"/>
    </xf>
    <xf numFmtId="349" fontId="15" fillId="0" borderId="118" applyNumberFormat="0" applyFill="0" applyAlignment="0" applyProtection="0"/>
    <xf numFmtId="349" fontId="53" fillId="30" borderId="114" applyNumberFormat="0" applyProtection="0">
      <alignment horizontal="left" vertical="top" indent="1"/>
    </xf>
    <xf numFmtId="349" fontId="53" fillId="32" borderId="109" applyNumberFormat="0" applyProtection="0">
      <alignment horizontal="left" vertical="center"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9" fillId="31" borderId="114" applyNumberFormat="0" applyProtection="0">
      <alignment horizontal="left" vertical="top" indent="1"/>
    </xf>
    <xf numFmtId="4" fontId="9" fillId="31" borderId="115" applyNumberFormat="0" applyProtection="0">
      <alignment horizontal="left" vertical="center" indent="1"/>
    </xf>
    <xf numFmtId="4" fontId="53" fillId="26" borderId="109" applyNumberFormat="0" applyProtection="0">
      <alignment horizontal="right" vertical="center"/>
    </xf>
    <xf numFmtId="349" fontId="53" fillId="13" borderId="109" applyNumberFormat="0" applyFont="0" applyAlignment="0" applyProtection="0"/>
    <xf numFmtId="4" fontId="53" fillId="18" borderId="109" applyNumberFormat="0" applyProtection="0">
      <alignment vertical="center"/>
    </xf>
    <xf numFmtId="4" fontId="53" fillId="29" borderId="115" applyNumberFormat="0" applyProtection="0">
      <alignment horizontal="left" vertical="center" indent="1"/>
    </xf>
    <xf numFmtId="349" fontId="9" fillId="31" borderId="114" applyNumberFormat="0" applyProtection="0">
      <alignment horizontal="left" vertical="center" indent="1"/>
    </xf>
    <xf numFmtId="349" fontId="9" fillId="19" borderId="114" applyNumberFormat="0" applyProtection="0">
      <alignment horizontal="left" vertical="top" indent="1"/>
    </xf>
    <xf numFmtId="349" fontId="53" fillId="13" borderId="109" applyNumberFormat="0" applyFont="0" applyAlignment="0" applyProtection="0"/>
    <xf numFmtId="214" fontId="64" fillId="0" borderId="28" applyFill="0"/>
    <xf numFmtId="349" fontId="53" fillId="30" borderId="114" applyNumberFormat="0" applyProtection="0">
      <alignment horizontal="left" vertical="top"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53" fillId="31" borderId="114" applyNumberFormat="0" applyProtection="0">
      <alignment horizontal="left" vertical="top" indent="1"/>
    </xf>
    <xf numFmtId="4" fontId="53" fillId="19" borderId="109" applyNumberFormat="0" applyProtection="0">
      <alignment horizontal="right" vertical="center"/>
    </xf>
    <xf numFmtId="4" fontId="53" fillId="45" borderId="109" applyNumberFormat="0" applyProtection="0">
      <alignment horizontal="left" vertical="center" indent="1"/>
    </xf>
    <xf numFmtId="4" fontId="253" fillId="50" borderId="109" applyNumberFormat="0" applyProtection="0">
      <alignment horizontal="right" vertical="center"/>
    </xf>
    <xf numFmtId="349" fontId="53" fillId="30" borderId="114" applyNumberFormat="0" applyProtection="0">
      <alignment horizontal="left" vertical="top" indent="1"/>
    </xf>
    <xf numFmtId="349" fontId="255" fillId="19" borderId="114" applyNumberFormat="0" applyProtection="0">
      <alignment horizontal="left" vertical="top" indent="1"/>
    </xf>
    <xf numFmtId="4" fontId="257" fillId="33" borderId="109" applyNumberFormat="0" applyProtection="0">
      <alignment horizontal="right" vertical="center"/>
    </xf>
    <xf numFmtId="4" fontId="255" fillId="61" borderId="114" applyNumberFormat="0" applyProtection="0">
      <alignment horizontal="left" vertical="center" indent="1"/>
    </xf>
    <xf numFmtId="349" fontId="9" fillId="30" borderId="114" applyNumberFormat="0" applyProtection="0">
      <alignment horizontal="left" vertical="center" indent="1"/>
    </xf>
    <xf numFmtId="349" fontId="53" fillId="32" borderId="114" applyNumberFormat="0" applyProtection="0">
      <alignment horizontal="left" vertical="top" indent="1"/>
    </xf>
    <xf numFmtId="349" fontId="53" fillId="19" borderId="114" applyNumberFormat="0" applyProtection="0">
      <alignment horizontal="left" vertical="top" indent="1"/>
    </xf>
    <xf numFmtId="349" fontId="53" fillId="19" borderId="114" applyNumberFormat="0" applyProtection="0">
      <alignment horizontal="left" vertical="top" indent="1"/>
    </xf>
    <xf numFmtId="349" fontId="53" fillId="31" borderId="114" applyNumberFormat="0" applyProtection="0">
      <alignment horizontal="left" vertical="top" indent="1"/>
    </xf>
    <xf numFmtId="349" fontId="9" fillId="30" borderId="114" applyNumberFormat="0" applyProtection="0">
      <alignment horizontal="left" vertical="top" indent="1"/>
    </xf>
    <xf numFmtId="4" fontId="9" fillId="31" borderId="115" applyNumberFormat="0" applyProtection="0">
      <alignment horizontal="left" vertical="center" indent="1"/>
    </xf>
    <xf numFmtId="349" fontId="9" fillId="31" borderId="114" applyNumberFormat="0" applyProtection="0">
      <alignment horizontal="left" vertical="top" indent="1"/>
    </xf>
    <xf numFmtId="4" fontId="53" fillId="22" borderId="115" applyNumberFormat="0" applyProtection="0">
      <alignment horizontal="right" vertical="center"/>
    </xf>
    <xf numFmtId="349" fontId="53" fillId="61" borderId="109" applyNumberFormat="0" applyProtection="0">
      <alignment horizontal="left" vertical="center" indent="1"/>
    </xf>
    <xf numFmtId="4" fontId="53" fillId="45" borderId="109" applyNumberFormat="0" applyProtection="0">
      <alignment horizontal="left" vertical="center" indent="1"/>
    </xf>
    <xf numFmtId="349" fontId="53" fillId="13" borderId="109" applyNumberFormat="0" applyFont="0" applyAlignment="0" applyProtection="0"/>
    <xf numFmtId="349" fontId="53" fillId="13" borderId="109" applyNumberFormat="0" applyFont="0" applyAlignment="0" applyProtection="0"/>
    <xf numFmtId="349" fontId="251" fillId="127" borderId="109" applyNumberFormat="0" applyAlignment="0" applyProtection="0"/>
    <xf numFmtId="349" fontId="53" fillId="13" borderId="109" applyNumberFormat="0" applyFont="0" applyAlignment="0" applyProtection="0"/>
    <xf numFmtId="4" fontId="53" fillId="20" borderId="109" applyNumberFormat="0" applyProtection="0">
      <alignment horizontal="right" vertical="center"/>
    </xf>
    <xf numFmtId="4" fontId="53" fillId="29" borderId="115" applyNumberFormat="0" applyProtection="0">
      <alignment horizontal="left" vertical="center" indent="1"/>
    </xf>
    <xf numFmtId="349" fontId="9" fillId="31" borderId="114" applyNumberFormat="0" applyProtection="0">
      <alignment horizontal="left" vertical="top" indent="1"/>
    </xf>
    <xf numFmtId="349" fontId="53" fillId="83" borderId="109" applyNumberFormat="0" applyProtection="0">
      <alignment horizontal="left" vertical="center" indent="1"/>
    </xf>
    <xf numFmtId="349" fontId="53" fillId="19" borderId="114" applyNumberFormat="0" applyProtection="0">
      <alignment horizontal="left" vertical="top" indent="1"/>
    </xf>
    <xf numFmtId="349" fontId="53" fillId="32" borderId="114" applyNumberFormat="0" applyProtection="0">
      <alignment horizontal="left" vertical="top" indent="1"/>
    </xf>
    <xf numFmtId="349" fontId="53" fillId="31" borderId="114" applyNumberFormat="0" applyProtection="0">
      <alignment horizontal="left" vertical="top" indent="1"/>
    </xf>
    <xf numFmtId="4" fontId="53" fillId="28" borderId="109" applyNumberFormat="0" applyProtection="0">
      <alignment horizontal="right" vertical="center"/>
    </xf>
    <xf numFmtId="4" fontId="53" fillId="27" borderId="109" applyNumberFormat="0" applyProtection="0">
      <alignment horizontal="right" vertical="center"/>
    </xf>
    <xf numFmtId="349" fontId="53" fillId="31" borderId="114" applyNumberFormat="0" applyProtection="0">
      <alignment horizontal="left" vertical="top" indent="1"/>
    </xf>
    <xf numFmtId="349" fontId="53" fillId="32" borderId="114" applyNumberFormat="0" applyProtection="0">
      <alignment horizontal="left" vertical="top" indent="1"/>
    </xf>
    <xf numFmtId="349" fontId="251" fillId="127" borderId="109" applyNumberFormat="0" applyAlignment="0" applyProtection="0"/>
    <xf numFmtId="349" fontId="53" fillId="19" borderId="114" applyNumberFormat="0" applyProtection="0">
      <alignment horizontal="left" vertical="top" indent="1"/>
    </xf>
    <xf numFmtId="349" fontId="53" fillId="30" borderId="114" applyNumberFormat="0" applyProtection="0">
      <alignment horizontal="left" vertical="top" indent="1"/>
    </xf>
    <xf numFmtId="4" fontId="53" fillId="64" borderId="109" applyNumberFormat="0" applyProtection="0">
      <alignment horizontal="left" vertical="center" indent="1"/>
    </xf>
    <xf numFmtId="4" fontId="53" fillId="0" borderId="109" applyNumberFormat="0" applyProtection="0">
      <alignment horizontal="right" vertical="center"/>
    </xf>
    <xf numFmtId="349" fontId="53" fillId="13" borderId="109" applyNumberFormat="0" applyFont="0" applyAlignment="0" applyProtection="0"/>
    <xf numFmtId="349" fontId="142" fillId="14" borderId="109" applyNumberFormat="0" applyAlignment="0" applyProtection="0"/>
    <xf numFmtId="349" fontId="254" fillId="18" borderId="114" applyNumberFormat="0" applyProtection="0">
      <alignment horizontal="left" vertical="top" indent="1"/>
    </xf>
    <xf numFmtId="349" fontId="53" fillId="13" borderId="109" applyNumberFormat="0" applyFont="0" applyAlignment="0" applyProtection="0"/>
    <xf numFmtId="349" fontId="53" fillId="30" borderId="109"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1" fillId="127" borderId="109" applyNumberFormat="0" applyAlignment="0" applyProtection="0"/>
    <xf numFmtId="4" fontId="253" fillId="50" borderId="109" applyNumberFormat="0" applyProtection="0">
      <alignment horizontal="right" vertical="center"/>
    </xf>
    <xf numFmtId="349" fontId="142" fillId="14" borderId="109" applyNumberFormat="0" applyAlignment="0" applyProtection="0"/>
    <xf numFmtId="169" fontId="12" fillId="0" borderId="0" applyFont="0" applyFill="0" applyBorder="0" applyAlignment="0" applyProtection="0"/>
    <xf numFmtId="349" fontId="251" fillId="127" borderId="109" applyNumberFormat="0" applyAlignment="0" applyProtection="0"/>
    <xf numFmtId="4" fontId="53" fillId="45" borderId="109" applyNumberFormat="0" applyProtection="0">
      <alignment horizontal="left" vertical="center" indent="1"/>
    </xf>
    <xf numFmtId="349" fontId="142" fillId="14" borderId="109" applyNumberFormat="0" applyAlignment="0" applyProtection="0"/>
    <xf numFmtId="4" fontId="53" fillId="64" borderId="109" applyNumberFormat="0" applyProtection="0">
      <alignment horizontal="left" vertical="center" indent="1"/>
    </xf>
    <xf numFmtId="4" fontId="53" fillId="26" borderId="109" applyNumberFormat="0" applyProtection="0">
      <alignment horizontal="right" vertical="center"/>
    </xf>
    <xf numFmtId="169" fontId="12" fillId="0" borderId="0" applyFont="0" applyFill="0" applyBorder="0" applyAlignment="0" applyProtection="0"/>
    <xf numFmtId="4" fontId="257" fillId="33" borderId="109" applyNumberFormat="0" applyProtection="0">
      <alignment horizontal="right" vertical="center"/>
    </xf>
    <xf numFmtId="4" fontId="53" fillId="23" borderId="109"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72" fontId="7" fillId="43" borderId="6">
      <alignment vertical="center"/>
    </xf>
    <xf numFmtId="172"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5" fontId="7" fillId="0" borderId="0"/>
    <xf numFmtId="10" fontId="36" fillId="0" borderId="0" applyFont="0" applyFill="0" applyBorder="0" applyAlignment="0" applyProtection="0">
      <alignment vertical="center"/>
    </xf>
    <xf numFmtId="169" fontId="7" fillId="0" borderId="0" applyFont="0" applyFill="0" applyBorder="0" applyAlignment="0" applyProtection="0"/>
    <xf numFmtId="9" fontId="7" fillId="0" borderId="0" applyFont="0" applyFill="0" applyBorder="0" applyAlignment="0" applyProtection="0"/>
  </cellStyleXfs>
  <cellXfs count="857">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177" fontId="10" fillId="38" borderId="101" xfId="1" applyNumberFormat="1" applyFont="1" applyFill="1" applyBorder="1" applyProtection="1"/>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177" fontId="10" fillId="38" borderId="78" xfId="1" applyNumberFormat="1" applyFont="1" applyFill="1" applyBorder="1" applyProtection="1"/>
    <xf numFmtId="177" fontId="10" fillId="38" borderId="89" xfId="1" applyNumberFormat="1" applyFont="1" applyFill="1" applyBorder="1" applyProtection="1"/>
    <xf numFmtId="177" fontId="10" fillId="38" borderId="107" xfId="1" applyNumberFormat="1" applyFont="1" applyFill="1" applyBorder="1" applyProtection="1"/>
    <xf numFmtId="177"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0" fontId="10"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1"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260" fillId="47" borderId="0" xfId="90" applyFont="1" applyFill="1" applyAlignment="1">
      <alignment horizontal="left"/>
    </xf>
    <xf numFmtId="0" fontId="259" fillId="47" borderId="0" xfId="0" applyFont="1" applyFill="1"/>
    <xf numFmtId="0" fontId="261" fillId="47" borderId="0" xfId="92" applyFont="1" applyFill="1" applyAlignment="1">
      <alignment wrapText="1"/>
    </xf>
    <xf numFmtId="0" fontId="259" fillId="47" borderId="0" xfId="0" applyFont="1" applyFill="1" applyAlignment="1">
      <alignment wrapText="1"/>
    </xf>
    <xf numFmtId="0" fontId="259" fillId="47" borderId="0" xfId="0" applyFont="1" applyFill="1" applyAlignment="1">
      <alignment horizontal="left" indent="1"/>
    </xf>
    <xf numFmtId="0" fontId="259" fillId="47" borderId="11" xfId="0" applyFont="1" applyFill="1" applyBorder="1" applyAlignment="1">
      <alignment wrapText="1"/>
    </xf>
    <xf numFmtId="0" fontId="259"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10" fillId="0" borderId="0" xfId="7" applyNumberFormat="1" applyFont="1" applyAlignment="1">
      <alignment horizontal="center" vertical="center"/>
    </xf>
    <xf numFmtId="0" fontId="10" fillId="42" borderId="0" xfId="7" applyFont="1" applyFill="1" applyAlignment="1">
      <alignment horizontal="center"/>
    </xf>
    <xf numFmtId="0" fontId="0" fillId="132" borderId="0" xfId="0" applyFill="1"/>
    <xf numFmtId="0" fontId="0" fillId="0" borderId="120" xfId="0" applyBorder="1"/>
    <xf numFmtId="0" fontId="0" fillId="132" borderId="120"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0" fillId="0" borderId="0" xfId="0" applyAlignment="1" applyProtection="1">
      <alignment horizontal="center"/>
      <protection locked="0"/>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1" xfId="0" applyNumberFormat="1" applyBorder="1"/>
    <xf numFmtId="0" fontId="10" fillId="42" borderId="121" xfId="7" applyFont="1" applyFill="1" applyBorder="1" applyAlignment="1">
      <alignment horizontal="left" indent="1"/>
    </xf>
    <xf numFmtId="1" fontId="8" fillId="2" borderId="122" xfId="0" applyNumberFormat="1" applyFont="1" applyFill="1" applyBorder="1" applyAlignment="1">
      <alignment horizontal="center" vertical="center"/>
    </xf>
    <xf numFmtId="1" fontId="8" fillId="2" borderId="123" xfId="0" applyNumberFormat="1" applyFont="1" applyFill="1" applyBorder="1" applyAlignment="1">
      <alignment horizontal="center" vertical="center"/>
    </xf>
    <xf numFmtId="0" fontId="0" fillId="0" borderId="124" xfId="0" applyBorder="1"/>
    <xf numFmtId="177" fontId="10" fillId="38" borderId="121" xfId="1" applyNumberFormat="1" applyFont="1" applyFill="1" applyBorder="1" applyProtection="1"/>
    <xf numFmtId="177" fontId="10" fillId="38" borderId="122" xfId="1" applyNumberFormat="1" applyFont="1" applyFill="1" applyBorder="1" applyProtection="1"/>
    <xf numFmtId="177" fontId="10" fillId="38" borderId="123" xfId="1" applyNumberFormat="1" applyFont="1" applyFill="1" applyBorder="1" applyProtection="1"/>
    <xf numFmtId="3" fontId="0" fillId="0" borderId="124" xfId="0" applyNumberFormat="1" applyBorder="1" applyAlignment="1">
      <alignment horizontal="center" vertical="center" wrapText="1"/>
    </xf>
    <xf numFmtId="0" fontId="0" fillId="0" borderId="94" xfId="0" applyBorder="1" applyAlignment="1">
      <alignment horizontal="left" vertical="center" wrapText="1" indent="1"/>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0" fillId="0" borderId="0" xfId="90" applyFont="1" applyAlignment="1">
      <alignment horizontal="left"/>
    </xf>
    <xf numFmtId="0" fontId="259" fillId="0" borderId="0" xfId="0" applyFont="1"/>
    <xf numFmtId="0" fontId="259"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21"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0" fontId="0" fillId="0" borderId="131" xfId="0" applyNumberFormat="1" applyBorder="1"/>
    <xf numFmtId="1" fontId="8" fillId="53" borderId="134" xfId="0" applyNumberFormat="1" applyFont="1" applyFill="1" applyBorder="1" applyAlignment="1">
      <alignment horizontal="center" vertical="center"/>
    </xf>
    <xf numFmtId="1" fontId="8" fillId="53" borderId="135" xfId="0" applyNumberFormat="1" applyFont="1" applyFill="1" applyBorder="1" applyAlignment="1">
      <alignment horizontal="center" vertical="center"/>
    </xf>
    <xf numFmtId="178" fontId="0" fillId="117" borderId="137" xfId="0" applyNumberFormat="1" applyFill="1" applyBorder="1" applyAlignment="1">
      <alignment horizontal="right" indent="1"/>
    </xf>
    <xf numFmtId="10" fontId="0" fillId="0" borderId="138" xfId="0" applyNumberFormat="1" applyBorder="1"/>
    <xf numFmtId="3" fontId="10" fillId="0" borderId="136" xfId="89" applyNumberFormat="1" applyFont="1" applyBorder="1" applyAlignment="1">
      <alignment horizontal="left" indent="1"/>
    </xf>
    <xf numFmtId="0" fontId="0" fillId="0" borderId="137" xfId="0" applyBorder="1" applyAlignment="1">
      <alignment horizontal="center"/>
    </xf>
    <xf numFmtId="3" fontId="10" fillId="0" borderId="130" xfId="89" applyNumberFormat="1" applyFont="1" applyBorder="1" applyAlignment="1">
      <alignment horizontal="left" indent="1"/>
    </xf>
    <xf numFmtId="3" fontId="10" fillId="0" borderId="140" xfId="89" applyNumberFormat="1" applyFont="1" applyBorder="1" applyAlignment="1">
      <alignment horizontal="left" indent="1"/>
    </xf>
    <xf numFmtId="0" fontId="0" fillId="0" borderId="132" xfId="0" applyBorder="1" applyAlignment="1">
      <alignment horizontal="center"/>
    </xf>
    <xf numFmtId="0" fontId="10" fillId="0" borderId="133" xfId="7" applyFont="1" applyBorder="1" applyAlignment="1">
      <alignment horizontal="left" indent="1"/>
    </xf>
    <xf numFmtId="10" fontId="0" fillId="0" borderId="142" xfId="0" applyNumberFormat="1" applyBorder="1"/>
    <xf numFmtId="0" fontId="0" fillId="0" borderId="135" xfId="0" applyBorder="1"/>
    <xf numFmtId="0" fontId="0" fillId="0" borderId="143" xfId="0" applyBorder="1"/>
    <xf numFmtId="0" fontId="0" fillId="0" borderId="144" xfId="0" applyBorder="1" applyAlignment="1">
      <alignment horizontal="center" vertical="center" wrapText="1"/>
    </xf>
    <xf numFmtId="0" fontId="10" fillId="0" borderId="145"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34" fillId="0" borderId="0" xfId="92" quotePrefix="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59"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177" fontId="10" fillId="38" borderId="6" xfId="1" applyNumberFormat="1" applyFont="1" applyFill="1" applyBorder="1" applyProtection="1"/>
    <xf numFmtId="177"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2" xfId="0" applyNumberFormat="1" applyBorder="1"/>
    <xf numFmtId="10" fontId="0" fillId="0" borderId="105" xfId="0" applyNumberFormat="1" applyBorder="1"/>
    <xf numFmtId="10" fontId="0" fillId="0" borderId="6" xfId="0" applyNumberFormat="1" applyBorder="1"/>
    <xf numFmtId="177" fontId="11" fillId="51" borderId="125"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59"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4" fillId="46" borderId="0" xfId="48236" applyFont="1" applyFill="1" applyAlignment="1">
      <alignment horizontal="center" vertical="top" wrapText="1"/>
    </xf>
    <xf numFmtId="0" fontId="0" fillId="0" borderId="157" xfId="0" applyBorder="1"/>
    <xf numFmtId="0" fontId="0" fillId="0" borderId="89" xfId="0" applyBorder="1"/>
    <xf numFmtId="0" fontId="0" fillId="0" borderId="90" xfId="0" applyBorder="1"/>
    <xf numFmtId="0" fontId="273" fillId="135" borderId="0" xfId="51695" applyFont="1" applyFill="1"/>
    <xf numFmtId="0" fontId="0" fillId="101" borderId="0" xfId="0" applyFill="1"/>
    <xf numFmtId="0" fontId="8" fillId="53" borderId="154" xfId="0" applyFont="1" applyFill="1" applyBorder="1" applyAlignment="1">
      <alignment wrapText="1"/>
    </xf>
    <xf numFmtId="0" fontId="8" fillId="53" borderId="155" xfId="0" applyFont="1" applyFill="1" applyBorder="1" applyAlignment="1">
      <alignment wrapText="1"/>
    </xf>
    <xf numFmtId="14" fontId="8" fillId="53" borderId="154" xfId="0" applyNumberFormat="1" applyFont="1" applyFill="1" applyBorder="1" applyAlignment="1">
      <alignment wrapText="1"/>
    </xf>
    <xf numFmtId="353" fontId="8" fillId="53" borderId="154" xfId="77" applyNumberFormat="1" applyFont="1" applyFill="1" applyBorder="1" applyAlignment="1">
      <alignment wrapText="1"/>
    </xf>
    <xf numFmtId="0" fontId="8" fillId="53" borderId="158" xfId="0" applyFont="1" applyFill="1" applyBorder="1" applyAlignment="1">
      <alignment wrapText="1"/>
    </xf>
    <xf numFmtId="0" fontId="0" fillId="0" borderId="6" xfId="0" applyBorder="1" applyAlignment="1">
      <alignment vertical="center" wrapText="1"/>
    </xf>
    <xf numFmtId="15" fontId="244" fillId="46" borderId="156" xfId="48236" applyNumberFormat="1" applyFont="1" applyFill="1" applyBorder="1" applyAlignment="1">
      <alignment horizontal="center" vertical="top" wrapText="1"/>
    </xf>
    <xf numFmtId="0" fontId="244" fillId="46" borderId="156" xfId="48236" applyFont="1" applyFill="1" applyBorder="1" applyAlignment="1">
      <alignment vertical="top" wrapText="1"/>
    </xf>
    <xf numFmtId="0" fontId="244" fillId="46" borderId="156" xfId="48236" applyFont="1" applyFill="1" applyBorder="1" applyAlignment="1">
      <alignment horizontal="center" vertical="top" wrapTex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178" fontId="0" fillId="0" borderId="120" xfId="0" applyNumberFormat="1" applyBorder="1" applyAlignment="1">
      <alignment horizontal="center" vertical="center"/>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8" fontId="10" fillId="38" borderId="6" xfId="1" applyNumberFormat="1" applyFont="1" applyFill="1" applyBorder="1" applyAlignment="1">
      <alignment horizontal="right" vertical="center"/>
    </xf>
    <xf numFmtId="3" fontId="10" fillId="136" borderId="6" xfId="89" applyNumberFormat="1" applyFont="1" applyFill="1" applyBorder="1" applyAlignment="1">
      <alignment horizontal="left" indent="1"/>
    </xf>
    <xf numFmtId="184" fontId="10" fillId="136"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1" fillId="0" borderId="0" xfId="0" applyFont="1"/>
    <xf numFmtId="0" fontId="271" fillId="0" borderId="0" xfId="0" applyFont="1" applyAlignment="1">
      <alignment horizontal="left" indent="1"/>
    </xf>
    <xf numFmtId="178" fontId="0" fillId="52" borderId="63" xfId="0" applyNumberFormat="1" applyFill="1" applyBorder="1" applyAlignment="1">
      <alignment horizontal="right" indent="1"/>
    </xf>
    <xf numFmtId="0" fontId="259"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0" fillId="52" borderId="157" xfId="0" applyFill="1" applyBorder="1" applyAlignment="1">
      <alignment horizontal="center" wrapText="1"/>
    </xf>
    <xf numFmtId="169" fontId="247" fillId="0" borderId="0" xfId="0" applyNumberFormat="1" applyFont="1"/>
    <xf numFmtId="0" fontId="259" fillId="47" borderId="117" xfId="0" applyFont="1" applyFill="1" applyBorder="1" applyAlignment="1">
      <alignment wrapText="1"/>
    </xf>
    <xf numFmtId="0" fontId="0" fillId="52" borderId="117" xfId="0" applyFill="1" applyBorder="1"/>
    <xf numFmtId="0" fontId="0" fillId="0" borderId="117" xfId="0" applyBorder="1" applyAlignment="1" applyProtection="1">
      <alignment horizontal="center" vertical="center"/>
      <protection locked="0"/>
    </xf>
    <xf numFmtId="0" fontId="260" fillId="47" borderId="117" xfId="90" applyFont="1" applyFill="1" applyBorder="1" applyAlignment="1" applyProtection="1">
      <alignment horizontal="left" indent="1"/>
      <protection locked="0"/>
    </xf>
    <xf numFmtId="0" fontId="260" fillId="47" borderId="117" xfId="90" applyFont="1" applyFill="1" applyBorder="1" applyAlignment="1" applyProtection="1">
      <alignment horizontal="left"/>
      <protection locked="0"/>
    </xf>
    <xf numFmtId="0" fontId="30" fillId="47" borderId="117" xfId="90" applyFont="1" applyFill="1" applyBorder="1" applyAlignment="1" applyProtection="1">
      <alignment horizontal="left"/>
      <protection locked="0"/>
    </xf>
    <xf numFmtId="0" fontId="32" fillId="47" borderId="117" xfId="75" applyFont="1" applyFill="1" applyBorder="1" applyProtection="1">
      <protection locked="0"/>
    </xf>
    <xf numFmtId="0" fontId="260" fillId="47" borderId="0" xfId="90" applyFont="1" applyFill="1" applyAlignment="1" applyProtection="1">
      <alignment horizontal="left" indent="1"/>
      <protection locked="0"/>
    </xf>
    <xf numFmtId="0" fontId="260"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28" xfId="90" applyFont="1" applyFill="1" applyBorder="1" applyAlignment="1" applyProtection="1">
      <alignment horizontal="left"/>
      <protection locked="0"/>
    </xf>
    <xf numFmtId="0" fontId="32" fillId="47" borderId="128"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60" fillId="47" borderId="117" xfId="90" applyFont="1" applyFill="1" applyBorder="1" applyAlignment="1">
      <alignment horizontal="left" indent="1"/>
    </xf>
    <xf numFmtId="0" fontId="260" fillId="47" borderId="117" xfId="90" applyFont="1" applyFill="1" applyBorder="1" applyAlignment="1">
      <alignment horizontal="left"/>
    </xf>
    <xf numFmtId="0" fontId="30" fillId="47" borderId="117" xfId="90" applyFont="1" applyFill="1" applyBorder="1" applyAlignment="1">
      <alignment horizontal="left"/>
    </xf>
    <xf numFmtId="0" fontId="32" fillId="47" borderId="117" xfId="75" applyFont="1" applyFill="1" applyBorder="1"/>
    <xf numFmtId="0" fontId="31" fillId="47" borderId="152" xfId="75" applyFont="1" applyFill="1" applyBorder="1"/>
    <xf numFmtId="0" fontId="260" fillId="47" borderId="0" xfId="90" applyFont="1" applyFill="1" applyAlignment="1">
      <alignment horizontal="left" indent="1"/>
    </xf>
    <xf numFmtId="0" fontId="32" fillId="47" borderId="0" xfId="75" applyFont="1" applyFill="1"/>
    <xf numFmtId="0" fontId="32" fillId="47" borderId="11" xfId="75" applyFont="1" applyFill="1" applyBorder="1"/>
    <xf numFmtId="0" fontId="30" fillId="47" borderId="128" xfId="90" applyFont="1" applyFill="1" applyBorder="1" applyAlignment="1">
      <alignment horizontal="left"/>
    </xf>
    <xf numFmtId="0" fontId="32" fillId="47" borderId="128" xfId="75" applyFont="1" applyFill="1" applyBorder="1"/>
    <xf numFmtId="0" fontId="32"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8" fillId="2" borderId="71" xfId="0" applyFont="1" applyFill="1" applyBorder="1" applyAlignment="1">
      <alignment horizontal="center" vertical="center"/>
    </xf>
    <xf numFmtId="1" fontId="8" fillId="2" borderId="59" xfId="0" applyNumberFormat="1" applyFont="1" applyFill="1" applyBorder="1" applyAlignment="1">
      <alignment horizontal="center" vertical="center" wrapText="1"/>
    </xf>
    <xf numFmtId="1" fontId="8" fillId="2" borderId="61"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xf>
    <xf numFmtId="0" fontId="8" fillId="53" borderId="0" xfId="0" applyFont="1" applyFill="1" applyAlignment="1">
      <alignment horizontal="left" vertical="center" indent="1"/>
    </xf>
    <xf numFmtId="0" fontId="0" fillId="53" borderId="0" xfId="0" applyFill="1" applyAlignment="1">
      <alignment vertical="center"/>
    </xf>
    <xf numFmtId="0" fontId="8"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0" fillId="38" borderId="122" xfId="77" applyNumberFormat="1" applyFont="1" applyFill="1" applyBorder="1" applyProtection="1"/>
    <xf numFmtId="175" fontId="8" fillId="0" borderId="0" xfId="0" applyNumberFormat="1" applyFont="1"/>
    <xf numFmtId="175" fontId="10" fillId="38" borderId="76" xfId="77" applyNumberFormat="1" applyFont="1" applyFill="1" applyBorder="1" applyProtection="1"/>
    <xf numFmtId="0" fontId="29" fillId="0" borderId="0" xfId="0" applyFont="1"/>
    <xf numFmtId="175" fontId="8"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0" fillId="0" borderId="0" xfId="1" applyNumberFormat="1" applyFont="1" applyAlignment="1" applyProtection="1">
      <alignment horizontal="left" indent="1"/>
    </xf>
    <xf numFmtId="0" fontId="8" fillId="51" borderId="0" xfId="0" applyFont="1" applyFill="1" applyAlignment="1">
      <alignment horizontal="left" indent="1"/>
    </xf>
    <xf numFmtId="1" fontId="0" fillId="51" borderId="0" xfId="0" applyNumberFormat="1" applyFill="1" applyAlignment="1">
      <alignment horizontal="center"/>
    </xf>
    <xf numFmtId="0" fontId="10" fillId="51" borderId="0" xfId="0" applyFont="1" applyFill="1" applyAlignment="1">
      <alignment horizontal="left" indent="1"/>
    </xf>
    <xf numFmtId="0" fontId="259" fillId="47" borderId="117" xfId="0" applyFont="1" applyFill="1" applyBorder="1" applyAlignment="1" applyProtection="1">
      <alignment horizontal="left" indent="1"/>
      <protection locked="0"/>
    </xf>
    <xf numFmtId="0" fontId="0" fillId="47" borderId="117" xfId="0" applyFill="1" applyBorder="1" applyAlignment="1" applyProtection="1">
      <alignment horizontal="center" vertical="center"/>
      <protection locked="0"/>
    </xf>
    <xf numFmtId="0" fontId="0" fillId="47" borderId="117" xfId="0" applyFill="1" applyBorder="1" applyProtection="1">
      <protection locked="0"/>
    </xf>
    <xf numFmtId="0" fontId="0" fillId="47" borderId="152" xfId="0" applyFill="1" applyBorder="1" applyProtection="1">
      <protection locked="0"/>
    </xf>
    <xf numFmtId="0" fontId="30" fillId="47" borderId="0" xfId="90" applyFont="1" applyFill="1" applyAlignment="1" applyProtection="1">
      <alignment horizontal="center" vertical="center"/>
      <protection locked="0"/>
    </xf>
    <xf numFmtId="0" fontId="260" fillId="47" borderId="128" xfId="90" applyFont="1" applyFill="1" applyBorder="1" applyAlignment="1" applyProtection="1">
      <alignment horizontal="left" indent="1"/>
      <protection locked="0"/>
    </xf>
    <xf numFmtId="0" fontId="30" fillId="47" borderId="128"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0" fontId="267"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0" fillId="0" borderId="117" xfId="0" applyBorder="1" applyAlignment="1" applyProtection="1">
      <alignment horizontal="left" indent="1"/>
      <protection locked="0"/>
    </xf>
    <xf numFmtId="0" fontId="0" fillId="0" borderId="157" xfId="0" applyBorder="1" applyProtection="1">
      <protection locked="0"/>
    </xf>
    <xf numFmtId="170" fontId="11" fillId="0" borderId="0" xfId="1" applyNumberFormat="1" applyFont="1" applyFill="1" applyBorder="1" applyProtection="1">
      <protection locked="0"/>
    </xf>
    <xf numFmtId="170" fontId="11" fillId="0" borderId="11" xfId="1" applyNumberFormat="1" applyFont="1" applyFill="1" applyBorder="1" applyProtection="1">
      <protection locked="0"/>
    </xf>
    <xf numFmtId="0" fontId="0" fillId="0" borderId="157" xfId="0" applyBorder="1" applyAlignment="1" applyProtection="1">
      <alignment horizontal="left" vertical="top"/>
      <protection locked="0"/>
    </xf>
    <xf numFmtId="0" fontId="26" fillId="0" borderId="157" xfId="0" applyFont="1" applyBorder="1" applyProtection="1">
      <protection locked="0"/>
    </xf>
    <xf numFmtId="0" fontId="8" fillId="0" borderId="157" xfId="0" applyFont="1" applyBorder="1" applyProtection="1">
      <protection locked="0"/>
    </xf>
    <xf numFmtId="0" fontId="8" fillId="0" borderId="157"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28"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17"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8" xfId="0" applyFill="1" applyBorder="1" applyAlignment="1" applyProtection="1">
      <alignment horizontal="left" indent="1"/>
      <protection locked="0"/>
    </xf>
    <xf numFmtId="0" fontId="0" fillId="3" borderId="128" xfId="0" applyFill="1" applyBorder="1" applyAlignment="1" applyProtection="1">
      <alignment horizontal="center" vertical="center"/>
      <protection locked="0"/>
    </xf>
    <xf numFmtId="0" fontId="0" fillId="3" borderId="128" xfId="0" applyFill="1" applyBorder="1" applyProtection="1">
      <protection locked="0"/>
    </xf>
    <xf numFmtId="0" fontId="0" fillId="3" borderId="90" xfId="0" applyFill="1" applyBorder="1" applyProtection="1">
      <protection locked="0"/>
    </xf>
    <xf numFmtId="177" fontId="8"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8" fillId="51" borderId="59" xfId="1" applyNumberFormat="1" applyFont="1" applyFill="1" applyBorder="1" applyAlignment="1" applyProtection="1">
      <alignment horizontal="right" vertical="top"/>
    </xf>
    <xf numFmtId="170" fontId="10"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0" fillId="54" borderId="6" xfId="75" applyFont="1" applyFill="1" applyBorder="1" applyAlignment="1">
      <alignment horizontal="center" vertical="center"/>
    </xf>
    <xf numFmtId="351" fontId="0" fillId="52" borderId="6" xfId="0" applyNumberFormat="1" applyFill="1" applyBorder="1"/>
    <xf numFmtId="170" fontId="10" fillId="38" borderId="6" xfId="1" applyNumberFormat="1" applyFont="1" applyFill="1" applyBorder="1" applyProtection="1"/>
    <xf numFmtId="170" fontId="11" fillId="38" borderId="6" xfId="1" applyNumberFormat="1" applyFont="1" applyFill="1" applyBorder="1" applyProtection="1"/>
    <xf numFmtId="177" fontId="0" fillId="51" borderId="59" xfId="0" applyNumberFormat="1" applyFill="1" applyBorder="1" applyAlignment="1">
      <alignment horizontal="right" vertical="top"/>
    </xf>
    <xf numFmtId="170" fontId="11" fillId="38" borderId="11" xfId="1" applyNumberFormat="1" applyFont="1" applyFill="1" applyBorder="1" applyProtection="1"/>
    <xf numFmtId="170" fontId="11" fillId="52" borderId="6" xfId="1" applyNumberFormat="1" applyFont="1" applyFill="1" applyBorder="1" applyProtection="1"/>
    <xf numFmtId="0" fontId="30" fillId="47" borderId="117" xfId="90" applyFont="1" applyFill="1" applyBorder="1" applyAlignment="1" applyProtection="1">
      <alignment horizontal="center" vertical="center"/>
      <protection locked="0"/>
    </xf>
    <xf numFmtId="0" fontId="32" fillId="47" borderId="152"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0" fillId="52" borderId="59" xfId="2" applyNumberFormat="1" applyFont="1" applyFill="1" applyBorder="1" applyAlignment="1" applyProtection="1">
      <alignment vertical="center"/>
    </xf>
    <xf numFmtId="170" fontId="10" fillId="52" borderId="61" xfId="2" applyNumberFormat="1" applyFont="1" applyFill="1" applyBorder="1" applyAlignment="1" applyProtection="1">
      <alignment vertical="center"/>
    </xf>
    <xf numFmtId="170" fontId="10" fillId="52" borderId="68" xfId="2" applyNumberFormat="1" applyFont="1" applyFill="1" applyBorder="1" applyAlignment="1" applyProtection="1">
      <alignment vertical="center"/>
    </xf>
    <xf numFmtId="170" fontId="10"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0" fillId="52" borderId="101" xfId="2" applyNumberFormat="1" applyFont="1" applyFill="1" applyBorder="1" applyAlignment="1" applyProtection="1">
      <alignment vertical="center"/>
    </xf>
    <xf numFmtId="177" fontId="10" fillId="52" borderId="78" xfId="2" applyNumberFormat="1" applyFont="1" applyFill="1" applyBorder="1" applyAlignment="1" applyProtection="1">
      <alignment vertical="center"/>
    </xf>
    <xf numFmtId="177" fontId="10" fillId="52" borderId="102" xfId="2" applyNumberFormat="1" applyFont="1" applyFill="1" applyBorder="1" applyAlignment="1" applyProtection="1">
      <alignment vertical="center"/>
    </xf>
    <xf numFmtId="177" fontId="10" fillId="52" borderId="108"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0" fillId="52" borderId="102" xfId="2" applyNumberFormat="1" applyFont="1" applyFill="1" applyBorder="1" applyAlignment="1" applyProtection="1">
      <alignment vertical="top"/>
    </xf>
    <xf numFmtId="177" fontId="10" fillId="52" borderId="108" xfId="2" applyNumberFormat="1" applyFont="1" applyFill="1" applyBorder="1" applyAlignment="1" applyProtection="1">
      <alignment vertical="top"/>
    </xf>
    <xf numFmtId="177" fontId="8"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5" xfId="0" applyNumberFormat="1" applyFill="1" applyBorder="1" applyAlignment="1">
      <alignment horizontal="right" vertical="top"/>
    </xf>
    <xf numFmtId="177" fontId="0" fillId="52" borderId="127" xfId="0" applyNumberFormat="1" applyFill="1" applyBorder="1" applyAlignment="1">
      <alignment horizontal="right" vertical="top"/>
    </xf>
    <xf numFmtId="177" fontId="0" fillId="52" borderId="126" xfId="0" applyNumberFormat="1" applyFill="1" applyBorder="1" applyAlignment="1">
      <alignment horizontal="right" vertical="top"/>
    </xf>
    <xf numFmtId="170" fontId="10"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3" xfId="0" applyFill="1" applyBorder="1" applyAlignment="1">
      <alignment horizontal="right" vertical="top"/>
    </xf>
    <xf numFmtId="0" fontId="262" fillId="47" borderId="117" xfId="90" applyFont="1" applyFill="1" applyBorder="1" applyAlignment="1" applyProtection="1">
      <alignment horizontal="left"/>
      <protection locked="0"/>
    </xf>
    <xf numFmtId="0" fontId="35" fillId="47" borderId="117" xfId="90" applyFont="1" applyFill="1" applyBorder="1" applyAlignment="1" applyProtection="1">
      <alignment horizontal="center" vertical="center"/>
      <protection locked="0"/>
    </xf>
    <xf numFmtId="0" fontId="35" fillId="47" borderId="117" xfId="90" applyFont="1" applyFill="1" applyBorder="1" applyAlignment="1" applyProtection="1">
      <alignment horizontal="left"/>
      <protection locked="0"/>
    </xf>
    <xf numFmtId="0" fontId="262"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28" xfId="90" applyFont="1" applyFill="1" applyBorder="1" applyAlignment="1" applyProtection="1">
      <alignment horizontal="center" vertical="center"/>
      <protection locked="0"/>
    </xf>
    <xf numFmtId="0" fontId="35" fillId="47" borderId="128" xfId="90" applyFont="1" applyFill="1" applyBorder="1" applyAlignment="1" applyProtection="1">
      <alignment horizontal="left"/>
      <protection locked="0"/>
    </xf>
    <xf numFmtId="0" fontId="266" fillId="53" borderId="0" xfId="0" applyFont="1" applyFill="1" applyAlignment="1" applyProtection="1">
      <alignment horizontal="left" vertical="top"/>
      <protection locked="0"/>
    </xf>
    <xf numFmtId="0" fontId="264"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4"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73" fontId="37" fillId="48" borderId="0" xfId="94" applyProtection="1">
      <alignment vertical="center"/>
      <protection locked="0"/>
    </xf>
    <xf numFmtId="173" fontId="270" fillId="48" borderId="0" xfId="94" applyFont="1" applyProtection="1">
      <alignment vertical="center"/>
      <protection locked="0"/>
    </xf>
    <xf numFmtId="0" fontId="0" fillId="51" borderId="0" xfId="0" applyFill="1" applyAlignment="1" applyProtection="1">
      <alignment horizontal="left" vertical="top"/>
      <protection locked="0"/>
    </xf>
    <xf numFmtId="177" fontId="8"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0" fillId="47" borderId="128"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73" fontId="11" fillId="0" borderId="0" xfId="0" applyNumberFormat="1" applyFont="1" applyAlignment="1" applyProtection="1">
      <alignment horizontal="left" vertical="center"/>
      <protection locked="0"/>
    </xf>
    <xf numFmtId="0" fontId="27" fillId="0" borderId="0" xfId="0" applyFont="1" applyProtection="1">
      <protection locked="0"/>
    </xf>
    <xf numFmtId="178" fontId="0" fillId="0" borderId="0" xfId="0" applyNumberFormat="1" applyAlignment="1" applyProtection="1">
      <alignment horizontal="left" vertical="top"/>
      <protection locked="0"/>
    </xf>
    <xf numFmtId="173"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7"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7"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7" fontId="10" fillId="0" borderId="0" xfId="1" applyNumberFormat="1" applyFont="1" applyFill="1" applyBorder="1" applyProtection="1">
      <protection locked="0"/>
    </xf>
    <xf numFmtId="177"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0" fillId="42" borderId="0" xfId="0" applyNumberFormat="1" applyFont="1" applyFill="1" applyAlignment="1" applyProtection="1">
      <alignment horizontal="left" vertical="center" indent="1"/>
      <protection locked="0"/>
    </xf>
    <xf numFmtId="177" fontId="11" fillId="42" borderId="28" xfId="1" applyNumberFormat="1" applyFont="1" applyFill="1" applyBorder="1" applyProtection="1">
      <protection locked="0"/>
    </xf>
    <xf numFmtId="177" fontId="11" fillId="42" borderId="28" xfId="2" applyNumberFormat="1" applyFont="1" applyFill="1" applyBorder="1" applyAlignment="1" applyProtection="1">
      <alignment horizontal="right" vertical="center"/>
      <protection locked="0"/>
    </xf>
    <xf numFmtId="173"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7" fontId="10"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0" fillId="52" borderId="71" xfId="2" applyNumberFormat="1" applyFont="1" applyFill="1" applyBorder="1" applyAlignment="1" applyProtection="1">
      <alignment horizontal="right" vertical="center"/>
    </xf>
    <xf numFmtId="177" fontId="10" fillId="52" borderId="73" xfId="2" applyNumberFormat="1" applyFont="1" applyFill="1" applyBorder="1" applyAlignment="1" applyProtection="1">
      <alignment horizontal="right" vertical="center"/>
    </xf>
    <xf numFmtId="177"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7" fontId="8" fillId="51" borderId="71" xfId="1" applyNumberFormat="1" applyFont="1" applyFill="1" applyBorder="1" applyAlignment="1" applyProtection="1">
      <alignment horizontal="right"/>
    </xf>
    <xf numFmtId="177" fontId="10" fillId="51" borderId="59" xfId="1" applyNumberFormat="1" applyFont="1" applyFill="1" applyBorder="1" applyProtection="1"/>
    <xf numFmtId="177" fontId="10" fillId="51" borderId="62" xfId="1" applyNumberFormat="1" applyFont="1" applyFill="1" applyBorder="1" applyProtection="1"/>
    <xf numFmtId="177" fontId="8"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0" fillId="38" borderId="104" xfId="1" applyNumberFormat="1" applyFont="1" applyFill="1" applyBorder="1" applyProtection="1"/>
    <xf numFmtId="177" fontId="10" fillId="38" borderId="103" xfId="1" applyNumberFormat="1" applyFont="1" applyFill="1" applyBorder="1" applyProtection="1"/>
    <xf numFmtId="9" fontId="0" fillId="51" borderId="122" xfId="1" applyNumberFormat="1" applyFont="1" applyFill="1" applyBorder="1" applyAlignment="1" applyProtection="1">
      <alignment horizontal="right"/>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0" fillId="47" borderId="117"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0" fillId="131" borderId="60" xfId="2" applyNumberFormat="1" applyFont="1" applyFill="1" applyBorder="1" applyProtection="1">
      <protection locked="0"/>
    </xf>
    <xf numFmtId="177" fontId="10" fillId="131" borderId="68" xfId="2" applyNumberFormat="1" applyFont="1" applyFill="1" applyBorder="1" applyProtection="1">
      <protection locked="0"/>
    </xf>
    <xf numFmtId="177" fontId="10"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0" fillId="131" borderId="59" xfId="2" applyNumberFormat="1" applyFont="1" applyFill="1" applyBorder="1" applyProtection="1">
      <protection locked="0"/>
    </xf>
    <xf numFmtId="177" fontId="10" fillId="3" borderId="76" xfId="2" applyNumberFormat="1" applyFont="1" applyFill="1" applyBorder="1" applyProtection="1">
      <protection locked="0"/>
    </xf>
    <xf numFmtId="177" fontId="10" fillId="3" borderId="87" xfId="2" applyNumberFormat="1" applyFont="1" applyFill="1" applyBorder="1" applyProtection="1">
      <protection locked="0"/>
    </xf>
    <xf numFmtId="0" fontId="8" fillId="0" borderId="0" xfId="0" applyFont="1" applyAlignment="1" applyProtection="1">
      <alignment vertical="top"/>
      <protection locked="0"/>
    </xf>
    <xf numFmtId="177" fontId="10" fillId="131" borderId="71" xfId="2" applyNumberFormat="1" applyFont="1" applyFill="1" applyBorder="1" applyProtection="1">
      <protection locked="0"/>
    </xf>
    <xf numFmtId="177" fontId="10" fillId="131" borderId="6" xfId="2" applyNumberFormat="1" applyFont="1" applyFill="1" applyBorder="1" applyProtection="1">
      <protection locked="0"/>
    </xf>
    <xf numFmtId="177" fontId="11" fillId="3" borderId="74" xfId="2" applyNumberFormat="1" applyFont="1" applyFill="1" applyBorder="1" applyProtection="1">
      <protection locked="0"/>
    </xf>
    <xf numFmtId="177" fontId="11" fillId="3" borderId="75" xfId="2" applyNumberFormat="1" applyFont="1" applyFill="1" applyBorder="1" applyProtection="1">
      <protection locked="0"/>
    </xf>
    <xf numFmtId="177"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7" fontId="268" fillId="0" borderId="0" xfId="2" applyNumberFormat="1" applyFont="1" applyFill="1" applyBorder="1" applyProtection="1">
      <protection locked="0"/>
    </xf>
    <xf numFmtId="1" fontId="0" fillId="0" borderId="0" xfId="0" applyNumberFormat="1" applyAlignment="1" applyProtection="1">
      <alignment vertical="top"/>
      <protection locked="0"/>
    </xf>
    <xf numFmtId="256" fontId="11" fillId="0" borderId="0" xfId="2" applyNumberFormat="1" applyFont="1" applyFill="1" applyBorder="1" applyProtection="1">
      <protection locked="0"/>
    </xf>
    <xf numFmtId="0" fontId="27"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5" fillId="39" borderId="6" xfId="75" applyNumberFormat="1" applyFont="1" applyFill="1" applyBorder="1"/>
    <xf numFmtId="177" fontId="11" fillId="52" borderId="59" xfId="2" applyNumberFormat="1" applyFont="1" applyFill="1" applyBorder="1" applyProtection="1"/>
    <xf numFmtId="177" fontId="11" fillId="52" borderId="60" xfId="2" applyNumberFormat="1" applyFont="1" applyFill="1" applyBorder="1" applyProtection="1"/>
    <xf numFmtId="177" fontId="11" fillId="52" borderId="74" xfId="2" applyNumberFormat="1" applyFont="1" applyFill="1" applyBorder="1" applyProtection="1"/>
    <xf numFmtId="177" fontId="11" fillId="52" borderId="122" xfId="2" applyNumberFormat="1" applyFont="1" applyFill="1" applyBorder="1" applyProtection="1"/>
    <xf numFmtId="177" fontId="11" fillId="52" borderId="71" xfId="2" applyNumberFormat="1" applyFont="1" applyFill="1" applyBorder="1" applyProtection="1"/>
    <xf numFmtId="177" fontId="11" fillId="52" borderId="149" xfId="2" applyNumberFormat="1" applyFont="1" applyFill="1" applyBorder="1" applyProtection="1"/>
    <xf numFmtId="177" fontId="11" fillId="52" borderId="124"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49" xfId="2" applyNumberFormat="1" applyFont="1" applyFill="1" applyBorder="1" applyAlignment="1" applyProtection="1">
      <alignment horizontal="center"/>
    </xf>
    <xf numFmtId="352" fontId="10" fillId="54" borderId="124" xfId="2" applyNumberFormat="1" applyFont="1" applyFill="1" applyBorder="1" applyAlignment="1" applyProtection="1">
      <alignment horizontal="center"/>
    </xf>
    <xf numFmtId="351" fontId="11"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69" fillId="47" borderId="128"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2" fillId="0" borderId="0" xfId="0" applyFont="1" applyProtection="1">
      <protection locked="0"/>
    </xf>
    <xf numFmtId="177" fontId="0" fillId="0" borderId="0" xfId="0" applyNumberFormat="1" applyAlignment="1" applyProtection="1">
      <alignment horizontal="right" vertical="center"/>
      <protection locked="0"/>
    </xf>
    <xf numFmtId="173" fontId="11" fillId="0" borderId="0" xfId="0" applyNumberFormat="1" applyFont="1" applyAlignment="1" applyProtection="1">
      <alignment vertical="center"/>
      <protection locked="0"/>
    </xf>
    <xf numFmtId="177" fontId="10" fillId="0" borderId="0" xfId="0" applyNumberFormat="1" applyFont="1" applyAlignment="1" applyProtection="1">
      <alignment horizontal="left" vertical="center" indent="1"/>
      <protection locked="0"/>
    </xf>
    <xf numFmtId="173"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7"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0" fontId="0" fillId="3" borderId="151" xfId="0" applyFill="1" applyBorder="1" applyAlignment="1" applyProtection="1">
      <alignment vertical="top" wrapText="1"/>
      <protection locked="0"/>
    </xf>
    <xf numFmtId="0" fontId="0" fillId="3" borderId="117" xfId="0" applyFill="1" applyBorder="1" applyAlignment="1" applyProtection="1">
      <alignment vertical="top" wrapText="1"/>
      <protection locked="0"/>
    </xf>
    <xf numFmtId="0" fontId="0" fillId="3" borderId="117"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8" xfId="0" applyFill="1" applyBorder="1" applyAlignment="1" applyProtection="1">
      <alignment horizontal="left"/>
      <protection locked="0"/>
    </xf>
    <xf numFmtId="348" fontId="0" fillId="52" borderId="122"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0" fillId="3" borderId="6" xfId="2" applyNumberFormat="1" applyFont="1" applyFill="1" applyBorder="1" applyProtection="1">
      <protection locked="0"/>
    </xf>
    <xf numFmtId="14" fontId="10" fillId="42" borderId="0" xfId="2" applyNumberFormat="1" applyFont="1" applyFill="1" applyBorder="1" applyProtection="1">
      <protection locked="0"/>
    </xf>
    <xf numFmtId="0" fontId="10" fillId="3" borderId="6" xfId="2" applyNumberFormat="1" applyFont="1" applyFill="1" applyBorder="1" applyAlignment="1" applyProtection="1">
      <alignment horizontal="center" vertical="center"/>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0" fillId="0" borderId="0" xfId="0" applyNumberFormat="1" applyFont="1" applyAlignment="1" applyProtection="1">
      <alignment vertical="center"/>
      <protection locked="0"/>
    </xf>
    <xf numFmtId="0" fontId="8" fillId="0" borderId="0" xfId="0" applyFont="1" applyAlignment="1">
      <alignment wrapText="1"/>
    </xf>
    <xf numFmtId="0" fontId="0" fillId="52" borderId="139" xfId="0" applyFill="1" applyBorder="1" applyAlignment="1">
      <alignment horizontal="center"/>
    </xf>
    <xf numFmtId="0" fontId="0" fillId="52" borderId="64" xfId="0" applyFill="1" applyBorder="1" applyAlignment="1">
      <alignment horizontal="center"/>
    </xf>
    <xf numFmtId="0" fontId="0" fillId="52" borderId="141" xfId="0" applyFill="1" applyBorder="1" applyAlignment="1">
      <alignment horizontal="center"/>
    </xf>
    <xf numFmtId="10" fontId="0" fillId="52" borderId="93" xfId="0" applyNumberFormat="1" applyFill="1" applyBorder="1"/>
    <xf numFmtId="10" fontId="0" fillId="52" borderId="138" xfId="0" applyNumberFormat="1" applyFill="1" applyBorder="1"/>
    <xf numFmtId="10" fontId="0" fillId="52" borderId="95" xfId="0" applyNumberFormat="1" applyFill="1" applyBorder="1"/>
    <xf numFmtId="1" fontId="8" fillId="53" borderId="162" xfId="0" applyNumberFormat="1" applyFont="1" applyFill="1" applyBorder="1" applyAlignment="1">
      <alignment horizontal="center" vertical="center"/>
    </xf>
    <xf numFmtId="1" fontId="8"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9"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2"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8" fillId="53" borderId="175" xfId="0" applyNumberFormat="1" applyFont="1" applyFill="1" applyBorder="1" applyAlignment="1">
      <alignment horizontal="center" vertical="center"/>
    </xf>
    <xf numFmtId="1" fontId="8" fillId="53" borderId="176" xfId="0" applyNumberFormat="1" applyFont="1" applyFill="1" applyBorder="1" applyAlignment="1">
      <alignment horizontal="center" vertical="center"/>
    </xf>
    <xf numFmtId="1" fontId="8" fillId="53" borderId="177" xfId="0" applyNumberFormat="1" applyFont="1" applyFill="1" applyBorder="1" applyAlignment="1">
      <alignment horizontal="center" vertical="center"/>
    </xf>
    <xf numFmtId="1" fontId="8"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8"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6" xfId="0" applyNumberFormat="1" applyBorder="1"/>
    <xf numFmtId="10" fontId="0" fillId="0" borderId="77" xfId="0" applyNumberFormat="1" applyBorder="1"/>
    <xf numFmtId="169" fontId="0" fillId="0" borderId="0" xfId="1" applyFont="1"/>
    <xf numFmtId="0" fontId="25"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169" fontId="10" fillId="52" borderId="59" xfId="1" applyFont="1" applyFill="1" applyBorder="1" applyAlignment="1" applyProtection="1">
      <alignment vertical="center"/>
    </xf>
    <xf numFmtId="169" fontId="10" fillId="52" borderId="61" xfId="1" applyFont="1" applyFill="1" applyBorder="1" applyAlignment="1" applyProtection="1">
      <alignment vertical="center"/>
    </xf>
    <xf numFmtId="43" fontId="0" fillId="0" borderId="0" xfId="0" applyNumberFormat="1"/>
    <xf numFmtId="9" fontId="0" fillId="0" borderId="0" xfId="77" applyFont="1" applyFill="1" applyBorder="1" applyAlignment="1">
      <alignment horizontal="center" vertical="center"/>
    </xf>
    <xf numFmtId="0" fontId="33" fillId="0" borderId="0" xfId="93" applyFont="1"/>
    <xf numFmtId="0" fontId="0" fillId="0" borderId="150" xfId="0" applyBorder="1" applyAlignment="1">
      <alignment vertical="top"/>
    </xf>
    <xf numFmtId="177" fontId="0" fillId="131" borderId="122" xfId="0" applyNumberFormat="1" applyFill="1" applyBorder="1" applyAlignment="1" applyProtection="1">
      <alignment horizontal="right" vertical="top"/>
      <protection locked="0"/>
    </xf>
    <xf numFmtId="348" fontId="10" fillId="52" borderId="6" xfId="2" applyNumberFormat="1" applyFont="1" applyFill="1" applyBorder="1" applyProtection="1"/>
    <xf numFmtId="0" fontId="10" fillId="0" borderId="6" xfId="0" applyFont="1" applyBorder="1" applyAlignment="1">
      <alignment vertical="top" wrapText="1"/>
    </xf>
    <xf numFmtId="0" fontId="0" fillId="0" borderId="150" xfId="0" applyBorder="1" applyAlignment="1">
      <alignment vertical="top" wrapText="1"/>
    </xf>
    <xf numFmtId="0" fontId="0" fillId="0" borderId="124"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0" fillId="0" borderId="181" xfId="0" applyBorder="1" applyAlignment="1">
      <alignment vertical="top" wrapText="1"/>
    </xf>
    <xf numFmtId="0" fontId="0" fillId="0" borderId="182" xfId="0" applyBorder="1"/>
    <xf numFmtId="0" fontId="0" fillId="0" borderId="124" xfId="0" applyBorder="1" applyAlignment="1">
      <alignment wrapText="1"/>
    </xf>
    <xf numFmtId="43" fontId="0" fillId="0" borderId="0" xfId="0" applyNumberFormat="1" applyAlignment="1" applyProtection="1">
      <alignment horizontal="center" vertical="top"/>
      <protection locked="0"/>
    </xf>
    <xf numFmtId="178" fontId="10" fillId="0" borderId="121" xfId="7" applyNumberFormat="1" applyFont="1" applyBorder="1" applyAlignment="1">
      <alignment horizontal="center" vertical="center"/>
    </xf>
    <xf numFmtId="0" fontId="8" fillId="2" borderId="150" xfId="0" applyFont="1" applyFill="1" applyBorder="1" applyAlignment="1">
      <alignment horizontal="center" vertical="center"/>
    </xf>
    <xf numFmtId="0" fontId="11" fillId="2" borderId="150" xfId="7" applyFont="1" applyFill="1" applyBorder="1" applyAlignment="1">
      <alignment horizontal="center" vertical="center"/>
    </xf>
    <xf numFmtId="178" fontId="0" fillId="0" borderId="6" xfId="0" applyNumberFormat="1" applyBorder="1" applyAlignment="1">
      <alignment horizontal="right" indent="1"/>
    </xf>
    <xf numFmtId="178" fontId="0" fillId="0" borderId="121"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0" fontId="0" fillId="0" borderId="120" xfId="0" applyBorder="1" applyAlignment="1">
      <alignment wrapText="1"/>
    </xf>
    <xf numFmtId="0" fontId="0" fillId="0" borderId="120" xfId="0" applyBorder="1" applyAlignment="1">
      <alignment horizontal="left" vertical="center"/>
    </xf>
    <xf numFmtId="0" fontId="0" fillId="0" borderId="120" xfId="0" applyBorder="1" applyAlignment="1">
      <alignment vertical="center"/>
    </xf>
    <xf numFmtId="0" fontId="0" fillId="0" borderId="120" xfId="0" applyBorder="1" applyAlignment="1">
      <alignment vertical="top" wrapText="1"/>
    </xf>
    <xf numFmtId="0" fontId="0" fillId="0" borderId="6" xfId="0" applyBorder="1" applyAlignment="1">
      <alignment horizontal="center" vertical="top"/>
    </xf>
    <xf numFmtId="0" fontId="0" fillId="0" borderId="120" xfId="0" applyBorder="1" applyAlignment="1">
      <alignment horizontal="left" vertical="center" wrapText="1"/>
    </xf>
    <xf numFmtId="0" fontId="0" fillId="0" borderId="150" xfId="0" applyBorder="1" applyAlignment="1">
      <alignment horizontal="center" vertical="top"/>
    </xf>
    <xf numFmtId="0" fontId="0" fillId="54" borderId="6" xfId="0" applyFill="1" applyBorder="1" applyAlignment="1">
      <alignment horizontal="center" vertical="center" wrapText="1"/>
    </xf>
    <xf numFmtId="0" fontId="0" fillId="137" borderId="0" xfId="0" applyFill="1" applyAlignment="1" applyProtection="1">
      <alignment horizontal="left" vertical="top"/>
      <protection locked="0"/>
    </xf>
    <xf numFmtId="0" fontId="0" fillId="0" borderId="182" xfId="0" applyBorder="1" applyAlignment="1">
      <alignment vertical="top" wrapText="1"/>
    </xf>
    <xf numFmtId="0" fontId="0" fillId="0" borderId="180" xfId="0" applyBorder="1" applyAlignment="1">
      <alignment vertical="center"/>
    </xf>
    <xf numFmtId="0" fontId="274" fillId="0" borderId="6" xfId="0" applyFont="1" applyBorder="1"/>
    <xf numFmtId="0" fontId="274" fillId="0" borderId="6" xfId="0" applyFont="1" applyBorder="1" applyAlignment="1">
      <alignment vertical="center"/>
    </xf>
    <xf numFmtId="0" fontId="0" fillId="0" borderId="121" xfId="0" applyBorder="1" applyAlignment="1">
      <alignment vertical="center" wrapText="1"/>
    </xf>
    <xf numFmtId="348" fontId="25" fillId="39" borderId="6" xfId="1" applyNumberFormat="1" applyFont="1" applyFill="1" applyBorder="1" applyAlignment="1">
      <alignment horizontal="left" vertical="center"/>
    </xf>
    <xf numFmtId="1" fontId="8" fillId="0" borderId="121" xfId="0" applyNumberFormat="1" applyFont="1" applyBorder="1" applyAlignment="1">
      <alignment horizontal="left" indent="1"/>
    </xf>
    <xf numFmtId="0" fontId="271" fillId="0" borderId="0" xfId="0" applyFont="1" applyAlignment="1">
      <alignment wrapText="1"/>
    </xf>
    <xf numFmtId="0" fontId="275" fillId="0" borderId="0" xfId="0" applyFont="1" applyAlignment="1">
      <alignment horizontal="left" indent="1"/>
    </xf>
    <xf numFmtId="0" fontId="0" fillId="0" borderId="120" xfId="0" applyBorder="1" applyAlignment="1">
      <alignment vertical="center" wrapText="1"/>
    </xf>
    <xf numFmtId="0" fontId="0" fillId="0" borderId="171" xfId="0" applyBorder="1" applyAlignment="1">
      <alignment vertical="center" wrapText="1"/>
    </xf>
    <xf numFmtId="0" fontId="10" fillId="42" borderId="121" xfId="7" applyFont="1" applyFill="1" applyBorder="1" applyAlignment="1">
      <alignment vertical="center"/>
    </xf>
    <xf numFmtId="0" fontId="0" fillId="0" borderId="151" xfId="0" applyBorder="1" applyAlignment="1">
      <alignment vertical="center" wrapText="1"/>
    </xf>
    <xf numFmtId="0" fontId="0" fillId="0" borderId="150" xfId="0" applyBorder="1" applyAlignment="1">
      <alignment vertical="center" wrapText="1"/>
    </xf>
    <xf numFmtId="0" fontId="0" fillId="0" borderId="182" xfId="0" applyBorder="1" applyAlignment="1">
      <alignment vertical="center" wrapText="1"/>
    </xf>
    <xf numFmtId="0" fontId="0" fillId="0" borderId="6" xfId="0" applyBorder="1" applyAlignment="1">
      <alignment horizontal="left" vertical="center" wrapText="1"/>
    </xf>
    <xf numFmtId="2" fontId="0" fillId="0" borderId="6" xfId="0" applyNumberFormat="1" applyBorder="1"/>
    <xf numFmtId="0" fontId="0" fillId="0" borderId="181" xfId="0" applyBorder="1" applyAlignment="1">
      <alignment vertical="center"/>
    </xf>
    <xf numFmtId="0" fontId="0" fillId="0" borderId="6" xfId="0" applyBorder="1" applyAlignment="1">
      <alignment vertical="center"/>
    </xf>
    <xf numFmtId="0" fontId="0" fillId="0" borderId="183" xfId="0" applyBorder="1" applyAlignment="1">
      <alignment vertical="center"/>
    </xf>
    <xf numFmtId="0" fontId="36" fillId="0" borderId="0" xfId="0" applyFont="1"/>
    <xf numFmtId="0" fontId="0" fillId="0" borderId="101" xfId="0" applyBorder="1" applyAlignment="1">
      <alignment horizontal="left" vertical="center" wrapText="1" indent="1"/>
    </xf>
    <xf numFmtId="0" fontId="0" fillId="0" borderId="78" xfId="0" applyBorder="1" applyAlignment="1">
      <alignment horizontal="left" vertical="center" wrapText="1" indent="1"/>
    </xf>
    <xf numFmtId="0" fontId="0" fillId="3" borderId="151" xfId="0" applyFill="1" applyBorder="1" applyAlignment="1" applyProtection="1">
      <alignment horizontal="left" vertical="top" wrapText="1"/>
      <protection locked="0"/>
    </xf>
    <xf numFmtId="0" fontId="276" fillId="47" borderId="0" xfId="90" applyFont="1" applyFill="1" applyAlignment="1">
      <alignment horizontal="left"/>
    </xf>
    <xf numFmtId="0" fontId="276" fillId="47" borderId="151" xfId="90" applyFont="1" applyFill="1" applyBorder="1" applyAlignment="1">
      <alignment horizontal="left"/>
    </xf>
    <xf numFmtId="0" fontId="276" fillId="47" borderId="157" xfId="90" applyFont="1" applyFill="1" applyBorder="1" applyAlignment="1">
      <alignment horizontal="left"/>
    </xf>
    <xf numFmtId="0" fontId="276" fillId="47" borderId="151" xfId="90" applyFont="1" applyFill="1" applyBorder="1" applyAlignment="1" applyProtection="1">
      <alignment horizontal="left"/>
      <protection locked="0"/>
    </xf>
    <xf numFmtId="0" fontId="276" fillId="47" borderId="157" xfId="90" applyFont="1" applyFill="1" applyBorder="1" applyAlignment="1" applyProtection="1">
      <alignment horizontal="left"/>
      <protection locked="0"/>
    </xf>
    <xf numFmtId="0" fontId="276" fillId="47" borderId="0" xfId="90" applyFont="1" applyFill="1" applyAlignment="1" applyProtection="1">
      <alignment horizontal="left"/>
      <protection locked="0"/>
    </xf>
    <xf numFmtId="0" fontId="277" fillId="47" borderId="151" xfId="90" applyFont="1" applyFill="1" applyBorder="1" applyAlignment="1" applyProtection="1">
      <alignment horizontal="left"/>
      <protection locked="0"/>
    </xf>
    <xf numFmtId="0" fontId="276" fillId="47" borderId="128" xfId="90" applyFont="1" applyFill="1" applyBorder="1" applyAlignment="1" applyProtection="1">
      <alignment horizontal="left"/>
      <protection locked="0"/>
    </xf>
    <xf numFmtId="0" fontId="277" fillId="47" borderId="128" xfId="90" applyFont="1" applyFill="1" applyBorder="1" applyAlignment="1" applyProtection="1">
      <alignment horizontal="left"/>
      <protection locked="0"/>
    </xf>
    <xf numFmtId="0" fontId="278" fillId="0" borderId="0" xfId="0" applyFont="1" applyProtection="1">
      <protection locked="0"/>
    </xf>
    <xf numFmtId="0" fontId="278" fillId="0" borderId="151" xfId="0" applyFont="1" applyBorder="1" applyProtection="1">
      <protection locked="0"/>
    </xf>
    <xf numFmtId="0" fontId="278" fillId="0" borderId="157" xfId="0" applyFont="1" applyBorder="1" applyProtection="1">
      <protection locked="0"/>
    </xf>
    <xf numFmtId="0" fontId="279" fillId="0" borderId="157" xfId="0" applyFont="1" applyBorder="1" applyProtection="1">
      <protection locked="0"/>
    </xf>
    <xf numFmtId="0" fontId="279" fillId="0" borderId="0" xfId="0" applyFont="1" applyAlignment="1" applyProtection="1">
      <alignment horizontal="left" vertical="top"/>
      <protection locked="0"/>
    </xf>
    <xf numFmtId="0" fontId="280" fillId="116" borderId="0" xfId="0" applyFont="1" applyFill="1" applyAlignment="1" applyProtection="1">
      <alignment horizontal="left" vertical="top"/>
      <protection locked="0"/>
    </xf>
    <xf numFmtId="177" fontId="8" fillId="0" borderId="0" xfId="0" applyNumberFormat="1" applyFont="1" applyProtection="1">
      <protection locked="0"/>
    </xf>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1" xfId="0" applyBorder="1" applyAlignment="1">
      <alignment vertical="center" wrapText="1"/>
    </xf>
    <xf numFmtId="0" fontId="0" fillId="0" borderId="28" xfId="0" applyBorder="1" applyAlignment="1">
      <alignment vertical="center" wrapText="1"/>
    </xf>
    <xf numFmtId="0" fontId="0" fillId="0" borderId="124" xfId="0" applyBorder="1" applyAlignment="1">
      <alignment vertical="center" wrapText="1"/>
    </xf>
    <xf numFmtId="0" fontId="0" fillId="0" borderId="101"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3" fontId="0" fillId="0" borderId="121"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1" xfId="0" applyBorder="1" applyAlignment="1">
      <alignment horizontal="left" vertical="center" wrapText="1" indent="1"/>
    </xf>
    <xf numFmtId="0" fontId="0" fillId="0" borderId="78" xfId="0" applyBorder="1" applyAlignment="1">
      <alignment horizontal="left" vertical="center" wrapText="1" indent="1"/>
    </xf>
    <xf numFmtId="0" fontId="0" fillId="0" borderId="121" xfId="0" applyBorder="1" applyAlignment="1">
      <alignment horizontal="left" vertical="center" wrapText="1"/>
    </xf>
    <xf numFmtId="0" fontId="0" fillId="0" borderId="28" xfId="0" applyBorder="1" applyAlignment="1">
      <alignment horizontal="left" vertical="center" wrapText="1"/>
    </xf>
    <xf numFmtId="0" fontId="0" fillId="0" borderId="124" xfId="0" applyBorder="1" applyAlignment="1">
      <alignment horizontal="left"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indent="1"/>
    </xf>
    <xf numFmtId="0" fontId="0" fillId="0" borderId="94" xfId="0" applyBorder="1" applyAlignment="1">
      <alignment horizontal="left" vertical="center" wrapText="1" indent="1"/>
    </xf>
    <xf numFmtId="3" fontId="0" fillId="0" borderId="28" xfId="0" applyNumberFormat="1" applyBorder="1" applyAlignment="1">
      <alignment horizontal="center" vertical="center" wrapText="1"/>
    </xf>
    <xf numFmtId="3" fontId="0" fillId="0" borderId="124" xfId="0" applyNumberFormat="1" applyBorder="1" applyAlignment="1">
      <alignment horizontal="center" vertical="center" wrapText="1"/>
    </xf>
    <xf numFmtId="0" fontId="0" fillId="0" borderId="121" xfId="0" applyBorder="1" applyAlignment="1">
      <alignment horizontal="center" vertical="center" wrapText="1"/>
    </xf>
    <xf numFmtId="0" fontId="0" fillId="0" borderId="6" xfId="0" applyBorder="1" applyAlignment="1">
      <alignment horizontal="center" vertical="center" wrapText="1"/>
    </xf>
    <xf numFmtId="178" fontId="0" fillId="117" borderId="101"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4" xfId="0" applyBorder="1" applyAlignment="1">
      <alignment horizontal="left" vertical="center" wrapText="1"/>
    </xf>
    <xf numFmtId="1" fontId="8" fillId="0" borderId="159" xfId="0" applyNumberFormat="1" applyFont="1" applyBorder="1" applyAlignment="1">
      <alignment horizontal="center" vertical="center"/>
    </xf>
    <xf numFmtId="1" fontId="8" fillId="0" borderId="160" xfId="0" applyNumberFormat="1" applyFont="1" applyBorder="1" applyAlignment="1">
      <alignment horizontal="center" vertical="center"/>
    </xf>
    <xf numFmtId="1" fontId="8" fillId="0" borderId="161" xfId="0" applyNumberFormat="1" applyFont="1" applyBorder="1" applyAlignment="1">
      <alignment horizontal="center" vertical="center"/>
    </xf>
    <xf numFmtId="1" fontId="8" fillId="0" borderId="173" xfId="0" applyNumberFormat="1" applyFont="1" applyBorder="1" applyAlignment="1">
      <alignment horizontal="center" vertical="center"/>
    </xf>
    <xf numFmtId="1" fontId="8"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101"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4" xfId="0" applyBorder="1" applyAlignment="1">
      <alignment horizontal="center" vertical="center" wrapText="1"/>
    </xf>
    <xf numFmtId="0" fontId="0" fillId="0" borderId="83" xfId="0" applyBorder="1" applyAlignment="1">
      <alignment horizontal="left" vertical="center" wrapText="1" indent="1"/>
    </xf>
    <xf numFmtId="0" fontId="0" fillId="0" borderId="96" xfId="0" applyBorder="1" applyAlignment="1">
      <alignment horizontal="left" vertical="center" wrapText="1" inden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0" borderId="0" xfId="0" applyAlignment="1" applyProtection="1">
      <alignment horizontal="center"/>
      <protection locked="0"/>
    </xf>
    <xf numFmtId="0" fontId="0" fillId="3" borderId="0" xfId="0" applyFill="1" applyAlignment="1" applyProtection="1">
      <alignment horizontal="left" vertical="top" indent="1"/>
      <protection locked="0"/>
    </xf>
    <xf numFmtId="0" fontId="247" fillId="116" borderId="0" xfId="0" applyFont="1" applyFill="1" applyAlignment="1" applyProtection="1">
      <alignment horizontal="left" vertical="top" wrapText="1"/>
      <protection locked="0"/>
    </xf>
    <xf numFmtId="0" fontId="0" fillId="134" borderId="121"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4" xfId="0" applyFill="1" applyBorder="1" applyAlignment="1" applyProtection="1">
      <alignment horizontal="center"/>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7"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 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88">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2200560</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1058487</xdr:colOff>
      <xdr:row>0</xdr:row>
      <xdr:rowOff>564509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DataHub_Costs"/>
      <sheetName val="Inp_DataHub_Volumes"/>
      <sheetName val="Inp_BPDT"/>
      <sheetName val="Inp_BPDT_Repex"/>
      <sheetName val="Valuation worksheet"/>
      <sheetName val="Inp_BPDT_CapexVolumes"/>
      <sheetName val="Inp_BPDT_CapexVolumes_v2"/>
      <sheetName val="ADMIN"/>
      <sheetName val="Data Lookups"/>
      <sheetName val="FP23 Finance Summary"/>
      <sheetName val="Transmission PCRRP tables_SPTL_"/>
      <sheetName val="Project Summary (2)"/>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s>
    <sheetDataSet>
      <sheetData sheetId="0"/>
      <sheetData sheetId="1"/>
      <sheetData sheetId="2"/>
      <sheetData sheetId="3"/>
      <sheetData sheetId="4">
        <row r="5">
          <cell r="D5">
            <v>-20</v>
          </cell>
        </row>
      </sheetData>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s>
    <sheetDataSet>
      <sheetData sheetId="0">
        <row r="1">
          <cell r="A1" t="str">
            <v>Moody's Ratios</v>
          </cell>
          <cell r="B1" t="str">
            <v>FY16A</v>
          </cell>
          <cell r="C1" t="str">
            <v>FY17A</v>
          </cell>
          <cell r="D1" t="str">
            <v>FY18A</v>
          </cell>
          <cell r="E1" t="str">
            <v>FY19</v>
          </cell>
          <cell r="F1" t="str">
            <v>FY20</v>
          </cell>
          <cell r="G1" t="str">
            <v>FY21</v>
          </cell>
          <cell r="H1" t="str">
            <v>FY22</v>
          </cell>
          <cell r="I1" t="str">
            <v>FY23</v>
          </cell>
        </row>
        <row r="2">
          <cell r="A2">
            <v>0</v>
          </cell>
          <cell r="B2" t="str">
            <v>$m</v>
          </cell>
          <cell r="C2" t="str">
            <v>$m</v>
          </cell>
          <cell r="D2" t="str">
            <v>$m</v>
          </cell>
          <cell r="E2" t="str">
            <v>$m</v>
          </cell>
          <cell r="F2" t="str">
            <v>$m</v>
          </cell>
          <cell r="G2" t="str">
            <v>$m</v>
          </cell>
          <cell r="H2" t="str">
            <v>$m</v>
          </cell>
          <cell r="I2" t="str">
            <v>$m</v>
          </cell>
        </row>
        <row r="3">
          <cell r="A3" t="str">
            <v>BP 18</v>
          </cell>
          <cell r="B3">
            <v>0</v>
          </cell>
          <cell r="C3">
            <v>0</v>
          </cell>
          <cell r="D3">
            <v>0</v>
          </cell>
          <cell r="E3">
            <v>0</v>
          </cell>
          <cell r="F3">
            <v>0</v>
          </cell>
          <cell r="G3">
            <v>0</v>
          </cell>
          <cell r="H3">
            <v>0</v>
          </cell>
          <cell r="I3">
            <v>0</v>
          </cell>
        </row>
        <row r="4">
          <cell r="A4" t="str">
            <v>CFO pre-WC</v>
          </cell>
          <cell r="B4">
            <v>2036.0459406499697</v>
          </cell>
          <cell r="C4">
            <v>1755.1638497190179</v>
          </cell>
          <cell r="D4">
            <v>2212.4172619812457</v>
          </cell>
          <cell r="E4">
            <v>2246.7873840773145</v>
          </cell>
          <cell r="F4">
            <v>2447.9659652879736</v>
          </cell>
          <cell r="G4">
            <v>2624.1360873926969</v>
          </cell>
          <cell r="H4">
            <v>2897.2801638236942</v>
          </cell>
          <cell r="I4">
            <v>3003.2450894328667</v>
          </cell>
        </row>
        <row r="5">
          <cell r="A5" t="str">
            <v>Adjusted gross debt</v>
          </cell>
          <cell r="B5">
            <v>20291.93865509508</v>
          </cell>
          <cell r="C5">
            <v>20234.49606142324</v>
          </cell>
          <cell r="D5">
            <v>19844.4131223072</v>
          </cell>
          <cell r="E5">
            <v>21480.382462064586</v>
          </cell>
          <cell r="F5">
            <v>23182.516141275948</v>
          </cell>
          <cell r="G5">
            <v>24672.828996058579</v>
          </cell>
          <cell r="H5">
            <v>25840.250232098933</v>
          </cell>
          <cell r="I5">
            <v>27021.195382852045</v>
          </cell>
        </row>
        <row r="6">
          <cell r="A6" t="str">
            <v>CFO pre-WC / Debt</v>
          </cell>
          <cell r="B6">
            <v>0.10033767474152802</v>
          </cell>
          <cell r="C6">
            <v>8.6741169357076861E-2</v>
          </cell>
          <cell r="D6">
            <v>0.11148816789619527</v>
          </cell>
          <cell r="E6">
            <v>0.10459717782238057</v>
          </cell>
          <cell r="F6">
            <v>0.1055953525652647</v>
          </cell>
          <cell r="G6">
            <v>0.10635732480502726</v>
          </cell>
          <cell r="H6">
            <v>0.11212275956308942</v>
          </cell>
          <cell r="I6">
            <v>0.11114404995342138</v>
          </cell>
        </row>
        <row r="7">
          <cell r="A7" t="str">
            <v xml:space="preserve">Adjusted gross debt post Cadent proceeds </v>
          </cell>
          <cell r="B7">
            <v>0</v>
          </cell>
          <cell r="C7">
            <v>0</v>
          </cell>
          <cell r="D7">
            <v>0</v>
          </cell>
          <cell r="E7">
            <v>0</v>
          </cell>
          <cell r="F7">
            <v>20542.516141275948</v>
          </cell>
          <cell r="G7">
            <v>22032.828996058579</v>
          </cell>
          <cell r="H7">
            <v>23200.250232098933</v>
          </cell>
          <cell r="I7">
            <v>24381.195382852045</v>
          </cell>
        </row>
        <row r="8">
          <cell r="A8" t="str">
            <v>CFO pre-WC / Debt post Cadent proceeds</v>
          </cell>
          <cell r="B8">
            <v>0</v>
          </cell>
          <cell r="C8">
            <v>0</v>
          </cell>
          <cell r="D8">
            <v>0</v>
          </cell>
          <cell r="E8">
            <v>0</v>
          </cell>
          <cell r="F8">
            <v>0.11916582897891904</v>
          </cell>
          <cell r="G8">
            <v>0.11910118704511911</v>
          </cell>
          <cell r="H8">
            <v>0.12488141872776587</v>
          </cell>
          <cell r="I8">
            <v>0.12317874666412502</v>
          </cell>
        </row>
        <row r="10">
          <cell r="A10" t="str">
            <v>Adjusted gross debt needed for a 15% ratio</v>
          </cell>
          <cell r="B10">
            <v>13573.639604333132</v>
          </cell>
          <cell r="C10">
            <v>11701.09233146012</v>
          </cell>
          <cell r="D10">
            <v>14749.448413208305</v>
          </cell>
          <cell r="E10">
            <v>14978.582560515431</v>
          </cell>
          <cell r="F10">
            <v>16319.773101919825</v>
          </cell>
          <cell r="G10">
            <v>17494.240582617982</v>
          </cell>
          <cell r="H10">
            <v>19315.201092157964</v>
          </cell>
          <cell r="I10">
            <v>20021.633929552445</v>
          </cell>
        </row>
        <row r="11">
          <cell r="A11" t="str">
            <v>Surplus debt (post Cadent proceeds)</v>
          </cell>
          <cell r="B11">
            <v>6718.2990507619488</v>
          </cell>
          <cell r="C11">
            <v>8533.40372996312</v>
          </cell>
          <cell r="D11">
            <v>5094.9647090988947</v>
          </cell>
          <cell r="E11">
            <v>6501.799901549155</v>
          </cell>
          <cell r="F11">
            <v>4222.7430393561226</v>
          </cell>
          <cell r="G11">
            <v>4538.5884134405969</v>
          </cell>
          <cell r="H11">
            <v>3885.0491399409693</v>
          </cell>
          <cell r="I11">
            <v>4359.5614532996005</v>
          </cell>
        </row>
        <row r="12">
          <cell r="A12" t="str">
            <v>Or extra CFO needed</v>
          </cell>
          <cell r="B12">
            <v>0</v>
          </cell>
          <cell r="C12">
            <v>0</v>
          </cell>
          <cell r="D12">
            <v>0</v>
          </cell>
          <cell r="E12">
            <v>0</v>
          </cell>
          <cell r="F12">
            <v>633.41145590341841</v>
          </cell>
          <cell r="G12">
            <v>680.78826201608956</v>
          </cell>
          <cell r="H12">
            <v>582.75737099114542</v>
          </cell>
          <cell r="I12">
            <v>653.93421799494001</v>
          </cell>
        </row>
        <row r="13">
          <cell r="G13">
            <v>0</v>
          </cell>
        </row>
        <row r="14">
          <cell r="A14" t="str">
            <v>KEDNY &amp; KEDLI filing - additional FFO vs. BP18</v>
          </cell>
          <cell r="B14">
            <v>0</v>
          </cell>
          <cell r="C14">
            <v>0</v>
          </cell>
          <cell r="D14">
            <v>0</v>
          </cell>
          <cell r="E14">
            <v>0</v>
          </cell>
          <cell r="F14">
            <v>0</v>
          </cell>
          <cell r="G14">
            <v>248</v>
          </cell>
          <cell r="H14">
            <v>282</v>
          </cell>
          <cell r="I14">
            <v>368</v>
          </cell>
        </row>
        <row r="15">
          <cell r="A15" t="str">
            <v>KEDLI</v>
          </cell>
          <cell r="B15">
            <v>0</v>
          </cell>
          <cell r="C15">
            <v>0</v>
          </cell>
          <cell r="D15">
            <v>0</v>
          </cell>
          <cell r="E15">
            <v>0</v>
          </cell>
          <cell r="F15">
            <v>0</v>
          </cell>
          <cell r="G15">
            <v>47</v>
          </cell>
          <cell r="H15">
            <v>74</v>
          </cell>
          <cell r="I15">
            <v>94</v>
          </cell>
        </row>
        <row r="16">
          <cell r="A16" t="str">
            <v>KEDNY &amp; KEDLI filing</v>
          </cell>
          <cell r="B16">
            <v>0</v>
          </cell>
          <cell r="C16">
            <v>0</v>
          </cell>
          <cell r="D16">
            <v>0</v>
          </cell>
          <cell r="E16">
            <v>0</v>
          </cell>
          <cell r="F16">
            <v>0</v>
          </cell>
          <cell r="G16">
            <v>201</v>
          </cell>
          <cell r="H16">
            <v>208</v>
          </cell>
          <cell r="I16">
            <v>274</v>
          </cell>
        </row>
        <row r="18">
          <cell r="A18" t="str">
            <v>FFO with KEDNY/KEDLI filing</v>
          </cell>
          <cell r="F18">
            <v>2447.9659652879736</v>
          </cell>
          <cell r="G18">
            <v>2825.1360873926969</v>
          </cell>
          <cell r="H18">
            <v>3105.2801638236942</v>
          </cell>
          <cell r="I18">
            <v>3277.2450894328667</v>
          </cell>
        </row>
        <row r="19">
          <cell r="A19" t="str">
            <v>Debt after Cadent proceeds</v>
          </cell>
          <cell r="F19" t="e">
            <v>#REF!</v>
          </cell>
          <cell r="G19" t="e">
            <v>#REF!</v>
          </cell>
          <cell r="H19" t="e">
            <v>#REF!</v>
          </cell>
          <cell r="I19" t="e">
            <v>#REF!</v>
          </cell>
        </row>
        <row r="20">
          <cell r="F20" t="e">
            <v>#REF!</v>
          </cell>
          <cell r="G20" t="e">
            <v>#REF!</v>
          </cell>
          <cell r="H20" t="e">
            <v>#REF!</v>
          </cell>
          <cell r="I20" t="e">
            <v>#REF!</v>
          </cell>
        </row>
        <row r="22">
          <cell r="A22" t="str">
            <v>Opco debt</v>
          </cell>
          <cell r="B22">
            <v>9185.527</v>
          </cell>
          <cell r="C22">
            <v>9456.0750000000007</v>
          </cell>
          <cell r="D22">
            <v>10264.777</v>
          </cell>
          <cell r="E22">
            <v>11012.220794586174</v>
          </cell>
          <cell r="F22">
            <v>12422.806033726687</v>
          </cell>
          <cell r="G22">
            <v>13886.46850731013</v>
          </cell>
          <cell r="H22">
            <v>15393.190994418426</v>
          </cell>
          <cell r="I22">
            <v>16783.586553781563</v>
          </cell>
        </row>
        <row r="23">
          <cell r="A23" t="str">
            <v>CFO pre-WC / Debt</v>
          </cell>
          <cell r="B23">
            <v>0.22165804320753393</v>
          </cell>
          <cell r="C23">
            <v>0.18561230211467419</v>
          </cell>
          <cell r="D23">
            <v>0.21553485886554044</v>
          </cell>
          <cell r="E23">
            <v>0.20402672866692609</v>
          </cell>
          <cell r="F23">
            <v>0.19705418877522426</v>
          </cell>
          <cell r="G23">
            <v>0.18897072974394435</v>
          </cell>
          <cell r="H23">
            <v>0.18821829501590986</v>
          </cell>
          <cell r="I23">
            <v>0.17893941082314116</v>
          </cell>
        </row>
        <row r="25">
          <cell r="A25" t="str">
            <v>Holdco Debt</v>
          </cell>
          <cell r="B25">
            <v>11106.41165509508</v>
          </cell>
          <cell r="C25">
            <v>10778.42106142324</v>
          </cell>
          <cell r="D25">
            <v>9579.6361223071999</v>
          </cell>
          <cell r="E25">
            <v>10468.161667478413</v>
          </cell>
          <cell r="F25">
            <v>10759.710107549261</v>
          </cell>
          <cell r="G25">
            <v>10786.360488748449</v>
          </cell>
          <cell r="H25">
            <v>10447.059237680507</v>
          </cell>
          <cell r="I25">
            <v>10237.608829070483</v>
          </cell>
        </row>
        <row r="26">
          <cell r="A26" t="str">
            <v>Less Cadent</v>
          </cell>
          <cell r="F26">
            <v>-2640</v>
          </cell>
          <cell r="G26">
            <v>-2640</v>
          </cell>
          <cell r="H26">
            <v>-2640</v>
          </cell>
          <cell r="I26">
            <v>-2640</v>
          </cell>
        </row>
        <row r="27">
          <cell r="A27" t="str">
            <v>Remaining holdco debt</v>
          </cell>
          <cell r="B27">
            <v>11106.41165509508</v>
          </cell>
          <cell r="C27">
            <v>10778.42106142324</v>
          </cell>
          <cell r="D27">
            <v>9579.6361223071999</v>
          </cell>
          <cell r="E27">
            <v>10468.161667478413</v>
          </cell>
          <cell r="F27">
            <v>8119.710107549261</v>
          </cell>
          <cell r="G27">
            <v>8146.3604887484489</v>
          </cell>
          <cell r="H27">
            <v>7807.0592376805071</v>
          </cell>
          <cell r="I27">
            <v>7597.6088290704829</v>
          </cell>
        </row>
        <row r="28">
          <cell r="F28">
            <v>0</v>
          </cell>
        </row>
        <row r="30">
          <cell r="A30" t="str">
            <v>Rate base</v>
          </cell>
          <cell r="B30">
            <v>18261</v>
          </cell>
          <cell r="C30">
            <v>19297</v>
          </cell>
          <cell r="D30">
            <v>20716</v>
          </cell>
          <cell r="E30">
            <v>22509.583812386278</v>
          </cell>
          <cell r="F30">
            <v>24533.665128025557</v>
          </cell>
          <cell r="G30">
            <v>26572.575616936803</v>
          </cell>
          <cell r="H30">
            <v>28791.46362363156</v>
          </cell>
          <cell r="I30">
            <v>30934.458271973239</v>
          </cell>
        </row>
        <row r="31">
          <cell r="B31">
            <v>0.50301336180932044</v>
          </cell>
          <cell r="C31">
            <v>0.49002824273203094</v>
          </cell>
          <cell r="D31">
            <v>0.49549995172813283</v>
          </cell>
          <cell r="E31">
            <v>0.48922365186185779</v>
          </cell>
          <cell r="F31">
            <v>0.50635752827390368</v>
          </cell>
          <cell r="G31">
            <v>0.52258647063400154</v>
          </cell>
          <cell r="H31">
            <v>0.53464426802477483</v>
          </cell>
          <cell r="I31">
            <v>0.54255311039300047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5">
          <cell r="B5" t="str">
            <v>WMT</v>
          </cell>
        </row>
      </sheetData>
      <sheetData sheetId="123"/>
      <sheetData sheetId="124">
        <row r="15">
          <cell r="A15"/>
        </row>
      </sheetData>
      <sheetData sheetId="125">
        <row r="11">
          <cell r="D11" t="str">
            <v>WMT</v>
          </cell>
        </row>
      </sheetData>
      <sheetData sheetId="126">
        <row r="82">
          <cell r="Z82" t="str">
            <v>Mid-Year ROIC w/o GW</v>
          </cell>
        </row>
      </sheetData>
      <sheetData sheetId="127">
        <row r="637">
          <cell r="B637" t="str">
            <v>ROIC</v>
          </cell>
        </row>
      </sheetData>
      <sheetData sheetId="128">
        <row r="82">
          <cell r="Z82" t="str">
            <v>Mid-Year ROIC w/o GW</v>
          </cell>
        </row>
      </sheetData>
      <sheetData sheetId="129">
        <row r="637">
          <cell r="B637" t="str">
            <v>ROIC</v>
          </cell>
        </row>
      </sheetData>
      <sheetData sheetId="130">
        <row r="82">
          <cell r="Z82" t="str">
            <v>Mid-Year ROIC w/o GW</v>
          </cell>
        </row>
      </sheetData>
      <sheetData sheetId="131">
        <row r="637">
          <cell r="B637" t="str">
            <v>ROIC</v>
          </cell>
        </row>
      </sheetData>
      <sheetData sheetId="132">
        <row r="82">
          <cell r="Z82" t="str">
            <v>Mid-Year ROIC w/o GW</v>
          </cell>
        </row>
      </sheetData>
      <sheetData sheetId="133">
        <row r="637">
          <cell r="B637" t="str">
            <v>ROIC</v>
          </cell>
        </row>
      </sheetData>
      <sheetData sheetId="134">
        <row r="82">
          <cell r="Z82" t="str">
            <v>Mid-Year ROIC w/o GW</v>
          </cell>
        </row>
      </sheetData>
      <sheetData sheetId="135">
        <row r="637">
          <cell r="B637" t="str">
            <v>ROIC</v>
          </cell>
        </row>
      </sheetData>
      <sheetData sheetId="136">
        <row r="82">
          <cell r="Z82" t="str">
            <v>Mid-Year ROIC w/o GW</v>
          </cell>
        </row>
      </sheetData>
      <sheetData sheetId="137">
        <row r="637">
          <cell r="B637" t="str">
            <v>ROIC</v>
          </cell>
        </row>
      </sheetData>
      <sheetData sheetId="138">
        <row r="82">
          <cell r="Z82" t="str">
            <v>Mid-Year ROIC w/o GW</v>
          </cell>
        </row>
      </sheetData>
      <sheetData sheetId="139">
        <row r="637">
          <cell r="B637" t="str">
            <v>ROIC</v>
          </cell>
        </row>
      </sheetData>
      <sheetData sheetId="140">
        <row r="82">
          <cell r="Z82" t="str">
            <v>Mid-Year ROIC w/o GW</v>
          </cell>
        </row>
      </sheetData>
      <sheetData sheetId="141">
        <row r="637">
          <cell r="B637" t="str">
            <v>ROIC</v>
          </cell>
        </row>
      </sheetData>
      <sheetData sheetId="142">
        <row r="82">
          <cell r="Z82" t="str">
            <v>Mid-Year ROIC w/o GW</v>
          </cell>
        </row>
      </sheetData>
      <sheetData sheetId="143">
        <row r="637">
          <cell r="B637" t="str">
            <v>ROIC</v>
          </cell>
        </row>
      </sheetData>
      <sheetData sheetId="144">
        <row r="82">
          <cell r="Z82" t="str">
            <v>Mid-Year ROIC w/o GW</v>
          </cell>
        </row>
      </sheetData>
      <sheetData sheetId="145">
        <row r="578">
          <cell r="I578">
            <v>638.01157331319416</v>
          </cell>
        </row>
      </sheetData>
      <sheetData sheetId="146">
        <row r="82">
          <cell r="Z82" t="str">
            <v>Mid-Year ROIC w/o GW</v>
          </cell>
        </row>
      </sheetData>
      <sheetData sheetId="147">
        <row r="637">
          <cell r="B637" t="str">
            <v>ROIC</v>
          </cell>
        </row>
      </sheetData>
      <sheetData sheetId="148">
        <row r="82">
          <cell r="Z82" t="str">
            <v>Mid-Year ROIC w/o GW</v>
          </cell>
        </row>
      </sheetData>
      <sheetData sheetId="149">
        <row r="636">
          <cell r="B636" t="str">
            <v>ROIC</v>
          </cell>
        </row>
      </sheetData>
      <sheetData sheetId="150">
        <row r="82">
          <cell r="Z82" t="str">
            <v>Mid-Year ROIC w/o GW</v>
          </cell>
        </row>
      </sheetData>
      <sheetData sheetId="151">
        <row r="578">
          <cell r="I578">
            <v>721.97970823114861</v>
          </cell>
        </row>
      </sheetData>
      <sheetData sheetId="152">
        <row r="82">
          <cell r="Z82" t="str">
            <v>Mid-Year ROIC w/o GW</v>
          </cell>
        </row>
      </sheetData>
      <sheetData sheetId="153">
        <row r="637">
          <cell r="B637" t="str">
            <v>ROIC</v>
          </cell>
        </row>
      </sheetData>
      <sheetData sheetId="154">
        <row r="82">
          <cell r="Z82" t="str">
            <v>Mid-Year ROIC w/o GW</v>
          </cell>
        </row>
      </sheetData>
      <sheetData sheetId="155">
        <row r="637">
          <cell r="B637" t="str">
            <v>ROIC</v>
          </cell>
        </row>
      </sheetData>
      <sheetData sheetId="156">
        <row r="13">
          <cell r="AD13">
            <v>1679.8990687479065</v>
          </cell>
        </row>
      </sheetData>
      <sheetData sheetId="157">
        <row r="578">
          <cell r="I578">
            <v>9046.6720141866208</v>
          </cell>
        </row>
      </sheetData>
      <sheetData sheetId="158">
        <row r="82">
          <cell r="Z82" t="str">
            <v>Mid-Year ROIC w/o GW</v>
          </cell>
        </row>
      </sheetData>
      <sheetData sheetId="159">
        <row r="637">
          <cell r="B637" t="str">
            <v>ROIC</v>
          </cell>
        </row>
      </sheetData>
      <sheetData sheetId="160">
        <row r="82">
          <cell r="Z82" t="str">
            <v>Mid-Year ROIC w/o GW</v>
          </cell>
        </row>
      </sheetData>
      <sheetData sheetId="161">
        <row r="637">
          <cell r="B637" t="str">
            <v>ROIC</v>
          </cell>
        </row>
      </sheetData>
      <sheetData sheetId="162">
        <row r="82">
          <cell r="Z82" t="str">
            <v>Mid-Year ROIC w/o GW</v>
          </cell>
        </row>
      </sheetData>
      <sheetData sheetId="163">
        <row r="637">
          <cell r="B637" t="str">
            <v>ROIC</v>
          </cell>
        </row>
      </sheetData>
      <sheetData sheetId="164">
        <row r="82">
          <cell r="Z82" t="str">
            <v>Mid-Year ROIC w/o GW</v>
          </cell>
        </row>
      </sheetData>
      <sheetData sheetId="165">
        <row r="637">
          <cell r="B637" t="str">
            <v>ROIC</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0" zoomScaleNormal="80" workbookViewId="0">
      <selection activeCell="E29" sqref="E29"/>
    </sheetView>
  </sheetViews>
  <sheetFormatPr defaultRowHeight="13.5"/>
  <cols>
    <col min="1" max="1" width="8.3828125" customWidth="1"/>
    <col min="2" max="2" width="41.4609375" customWidth="1"/>
    <col min="3" max="6" width="14.15234375" customWidth="1"/>
    <col min="7" max="7" width="40.84375" style="34" customWidth="1"/>
    <col min="8" max="8" width="3.4609375" customWidth="1"/>
    <col min="9" max="9" width="14.15234375" customWidth="1"/>
  </cols>
  <sheetData>
    <row r="1" spans="1:10" s="788" customFormat="1" ht="56.9" customHeight="1"/>
    <row r="2" spans="1:10" ht="20">
      <c r="A2" s="772" t="s">
        <v>0</v>
      </c>
      <c r="B2" s="93"/>
      <c r="C2" s="93"/>
      <c r="D2" s="94"/>
      <c r="E2" s="95"/>
      <c r="F2" s="93"/>
      <c r="G2" s="96"/>
      <c r="H2" s="93"/>
      <c r="I2" s="93"/>
    </row>
    <row r="3" spans="1:10" ht="20">
      <c r="A3" s="772" t="str">
        <f>Licensee</f>
        <v>ENWL</v>
      </c>
      <c r="B3" s="93"/>
      <c r="C3" s="93"/>
      <c r="D3" s="95"/>
      <c r="E3" s="95"/>
      <c r="F3" s="93"/>
      <c r="G3" s="96"/>
      <c r="H3" s="93"/>
      <c r="I3" s="93"/>
    </row>
    <row r="4" spans="1:10" ht="20">
      <c r="A4" s="772" t="s">
        <v>1</v>
      </c>
      <c r="B4" s="93"/>
      <c r="C4" s="93"/>
      <c r="D4" s="95"/>
      <c r="E4" s="95"/>
      <c r="F4" s="93"/>
      <c r="G4" s="96"/>
      <c r="H4" s="93"/>
      <c r="I4" s="93"/>
    </row>
    <row r="5" spans="1:10" ht="20">
      <c r="A5" s="154"/>
      <c r="B5" s="155"/>
      <c r="C5" s="155"/>
      <c r="D5" s="156"/>
      <c r="E5" s="156"/>
      <c r="F5" s="155"/>
      <c r="G5" s="270"/>
      <c r="H5" s="155"/>
      <c r="I5" s="155"/>
    </row>
    <row r="6" spans="1:10" ht="14">
      <c r="A6" s="7"/>
      <c r="B6" s="189" t="s">
        <v>2</v>
      </c>
      <c r="C6" s="196" cm="1">
        <f t="array" ref="C6">INDEX(Data!$E$63:'Data'!$E$91,MATCH(Licensee,Data!$B$63:$B$91,0),0)</f>
        <v>2024</v>
      </c>
      <c r="D6" s="156"/>
      <c r="E6" s="156"/>
      <c r="H6" s="271"/>
    </row>
    <row r="7" spans="1:10" ht="13.5" customHeight="1">
      <c r="A7" s="7"/>
      <c r="B7" s="189" t="s">
        <v>3</v>
      </c>
      <c r="C7" s="190" t="s">
        <v>70</v>
      </c>
      <c r="D7" s="156"/>
      <c r="E7" s="156"/>
      <c r="F7" s="191"/>
      <c r="G7" s="272" t="s">
        <v>5</v>
      </c>
      <c r="H7" s="271"/>
    </row>
    <row r="8" spans="1:10" ht="13.5" customHeight="1">
      <c r="A8" s="7"/>
      <c r="B8" s="189" t="s">
        <v>6</v>
      </c>
      <c r="C8" s="711" t="str">
        <f>INDEX(Data!$A$63:$A$91,MATCH($C$7,Data!$B$63:$B$91,0),0)&amp;"2"</f>
        <v>ED2</v>
      </c>
      <c r="D8" s="156"/>
      <c r="E8" s="156"/>
      <c r="F8" s="193"/>
      <c r="G8" s="272" t="s">
        <v>7</v>
      </c>
      <c r="H8" s="271"/>
    </row>
    <row r="9" spans="1:10" ht="27">
      <c r="A9" s="7"/>
      <c r="B9" s="194" t="s">
        <v>8</v>
      </c>
      <c r="C9" s="195">
        <v>2025</v>
      </c>
      <c r="D9" s="156"/>
      <c r="E9" s="156"/>
      <c r="F9" s="196"/>
      <c r="G9" s="273" t="s">
        <v>9</v>
      </c>
      <c r="H9" s="271"/>
    </row>
    <row r="10" spans="1:10" ht="14">
      <c r="A10" s="7"/>
      <c r="B10" s="189" t="s">
        <v>10</v>
      </c>
      <c r="C10" s="195"/>
      <c r="D10" s="156"/>
      <c r="E10" s="156"/>
      <c r="F10" s="197"/>
      <c r="G10" s="272" t="s">
        <v>11</v>
      </c>
      <c r="H10" s="271"/>
    </row>
    <row r="11" spans="1:10" ht="14">
      <c r="A11" s="7"/>
      <c r="B11" s="189" t="s">
        <v>12</v>
      </c>
      <c r="C11" s="198"/>
      <c r="D11" s="156"/>
      <c r="E11" s="156"/>
      <c r="F11" s="199"/>
      <c r="G11" s="272" t="s">
        <v>13</v>
      </c>
      <c r="H11" s="271"/>
    </row>
    <row r="12" spans="1:10" ht="14">
      <c r="A12" s="7"/>
      <c r="D12" s="156"/>
      <c r="E12" s="156"/>
      <c r="F12" s="200"/>
      <c r="G12" s="272" t="s">
        <v>14</v>
      </c>
      <c r="H12" s="271"/>
    </row>
    <row r="13" spans="1:10" ht="14">
      <c r="A13" s="7"/>
      <c r="D13" s="156"/>
      <c r="E13" s="156"/>
      <c r="F13" s="201"/>
      <c r="G13" s="272" t="s">
        <v>15</v>
      </c>
      <c r="H13" s="271"/>
    </row>
    <row r="14" spans="1:10">
      <c r="A14" s="7"/>
      <c r="D14" s="156"/>
      <c r="E14" s="156"/>
      <c r="F14" s="2"/>
      <c r="G14" s="274"/>
    </row>
    <row r="15" spans="1:10">
      <c r="C15" s="156"/>
      <c r="F15" s="156"/>
      <c r="G15"/>
      <c r="H15" s="156"/>
      <c r="J15" s="156"/>
    </row>
    <row r="16" spans="1:10">
      <c r="C16" s="156"/>
      <c r="F16" s="156"/>
      <c r="G16"/>
      <c r="H16" s="156"/>
      <c r="J16" s="156"/>
    </row>
    <row r="17" spans="3:10">
      <c r="C17" s="156"/>
      <c r="F17" s="156"/>
      <c r="G17"/>
      <c r="H17" s="156"/>
      <c r="J17" s="156"/>
    </row>
    <row r="18" spans="3:10">
      <c r="C18" s="156"/>
      <c r="F18" s="156"/>
      <c r="G18"/>
      <c r="H18" s="156"/>
      <c r="J18" s="156"/>
    </row>
    <row r="19" spans="3:10">
      <c r="C19" s="156"/>
      <c r="F19" s="156"/>
      <c r="G19"/>
      <c r="H19" s="156"/>
      <c r="J19" s="156"/>
    </row>
    <row r="20" spans="3:10">
      <c r="C20" s="156"/>
      <c r="F20" s="156"/>
      <c r="G20"/>
      <c r="H20" s="156"/>
      <c r="J20" s="156"/>
    </row>
    <row r="21" spans="3:10">
      <c r="J21" s="156"/>
    </row>
    <row r="22" spans="3:10">
      <c r="C22" s="156"/>
      <c r="F22" s="156"/>
      <c r="G22"/>
      <c r="H22" s="156"/>
      <c r="J22" s="156"/>
    </row>
    <row r="23" spans="3:10">
      <c r="C23" s="156"/>
      <c r="F23" s="156"/>
      <c r="G23"/>
      <c r="H23" s="156"/>
      <c r="J23" s="156"/>
    </row>
    <row r="24" spans="3:10">
      <c r="C24" s="156"/>
      <c r="F24" s="156"/>
      <c r="G24"/>
      <c r="H24" s="156"/>
      <c r="J24" s="156"/>
    </row>
    <row r="25" spans="3:10">
      <c r="C25" s="156"/>
      <c r="F25" s="156"/>
      <c r="G25"/>
      <c r="H25" s="156"/>
      <c r="J25" s="156"/>
    </row>
    <row r="26" spans="3:10">
      <c r="C26" s="156"/>
      <c r="F26" s="156"/>
      <c r="G26"/>
      <c r="H26" s="156"/>
      <c r="J26" s="156"/>
    </row>
    <row r="27" spans="3:10">
      <c r="C27" s="156"/>
      <c r="F27" s="156"/>
      <c r="G27"/>
      <c r="H27" s="156"/>
      <c r="J27" s="156"/>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413"/>
  <sheetViews>
    <sheetView zoomScale="80" zoomScaleNormal="80" workbookViewId="0">
      <selection activeCell="D11" sqref="D11"/>
    </sheetView>
  </sheetViews>
  <sheetFormatPr defaultRowHeight="13.5"/>
  <cols>
    <col min="1" max="1" width="9.23046875" customWidth="1"/>
    <col min="2" max="2" width="84.84375" bestFit="1" customWidth="1"/>
    <col min="3" max="3" width="17.765625" customWidth="1"/>
    <col min="4" max="4" width="16.84375" customWidth="1"/>
    <col min="5" max="5" width="11.765625" customWidth="1"/>
    <col min="6" max="6" width="13.15234375" bestFit="1" customWidth="1"/>
    <col min="7" max="7" width="19.4609375" customWidth="1"/>
    <col min="8" max="8" width="11.4609375" bestFit="1" customWidth="1"/>
    <col min="9" max="9" width="11.84375" customWidth="1"/>
    <col min="10" max="10" width="12.3828125" customWidth="1"/>
    <col min="11" max="11" width="11.23046875" customWidth="1"/>
    <col min="12" max="12" width="15.84375" customWidth="1"/>
    <col min="13" max="13" width="11.84375" customWidth="1"/>
    <col min="14" max="14" width="12.765625" customWidth="1"/>
  </cols>
  <sheetData>
    <row r="1" spans="1:14" ht="20">
      <c r="A1" s="773" t="s">
        <v>16</v>
      </c>
      <c r="B1" s="277"/>
      <c r="C1" s="277"/>
      <c r="D1" s="277"/>
      <c r="E1" s="277"/>
      <c r="F1" s="277"/>
      <c r="G1" s="277"/>
      <c r="H1" s="277"/>
      <c r="I1" s="277"/>
      <c r="J1" s="277"/>
      <c r="K1" s="277"/>
      <c r="L1" s="277"/>
      <c r="M1" s="277"/>
      <c r="N1" s="236"/>
    </row>
    <row r="2" spans="1:14" ht="20">
      <c r="A2" s="774" t="str">
        <f>Licensee</f>
        <v>ENWL</v>
      </c>
      <c r="B2" s="95"/>
      <c r="C2" s="95"/>
      <c r="D2" s="95"/>
      <c r="E2" s="95"/>
      <c r="F2" s="95"/>
      <c r="G2" s="95"/>
      <c r="H2" s="95"/>
      <c r="I2" s="95"/>
      <c r="J2" s="95"/>
      <c r="K2" s="95"/>
      <c r="L2" s="95"/>
      <c r="M2" s="95"/>
      <c r="N2" s="97"/>
    </row>
    <row r="3" spans="1:14" ht="20">
      <c r="A3" s="772">
        <f>Reporting_Year</f>
        <v>2025</v>
      </c>
      <c r="B3" s="202"/>
      <c r="C3" s="202"/>
      <c r="D3" s="202"/>
      <c r="E3" s="202"/>
      <c r="F3" s="202"/>
      <c r="G3" s="202"/>
      <c r="H3" s="202"/>
      <c r="I3" s="202"/>
      <c r="J3" s="202"/>
      <c r="K3" s="202"/>
      <c r="L3" s="202"/>
      <c r="M3" s="202"/>
      <c r="N3" s="98"/>
    </row>
    <row r="6" spans="1:14">
      <c r="B6" s="189" t="s">
        <v>17</v>
      </c>
      <c r="C6" s="205">
        <f>INDEX(O63:U91,MATCH(Licensee,Data!B63:B91,0),MATCH(Reporting_Year,Data!O62:U62,0))</f>
        <v>5.5875458000000003E-2</v>
      </c>
      <c r="F6" s="746" t="s">
        <v>18</v>
      </c>
      <c r="G6" s="34"/>
      <c r="H6" s="182" t="s">
        <v>19</v>
      </c>
      <c r="I6" s="204" t="s">
        <v>20</v>
      </c>
    </row>
    <row r="7" spans="1:14">
      <c r="B7" s="189" t="s">
        <v>21</v>
      </c>
      <c r="C7" s="205">
        <f>SUMIF(Data!$B$62:$B$91,'RFPR cover'!C7,Data!$C$62:$C$91)</f>
        <v>0.50600000000000001</v>
      </c>
      <c r="F7" s="206">
        <v>0.1</v>
      </c>
      <c r="G7" s="69"/>
      <c r="H7" s="182" t="s">
        <v>22</v>
      </c>
      <c r="I7" s="183" t="s">
        <v>23</v>
      </c>
    </row>
    <row r="8" spans="1:14">
      <c r="B8" s="189" t="s">
        <v>24</v>
      </c>
      <c r="C8" s="203">
        <f>SUMIF(Data!$B$62:$B$91,'RFPR cover'!C7,Data!$D$62:$D$91)</f>
        <v>0.6</v>
      </c>
      <c r="H8" s="182" t="s">
        <v>25</v>
      </c>
      <c r="I8" s="183" t="s">
        <v>23</v>
      </c>
    </row>
    <row r="9" spans="1:14">
      <c r="B9" s="132" t="s">
        <v>26</v>
      </c>
      <c r="C9" s="192" t="str">
        <f>INDEX(Data!$F$63:$F$91,MATCH('RFPR cover'!$C$7,Data!$B$63:$B$91,0),0)</f>
        <v>£m 20/21</v>
      </c>
      <c r="H9" s="182" t="s">
        <v>27</v>
      </c>
      <c r="I9" s="183" t="s">
        <v>23</v>
      </c>
    </row>
    <row r="10" spans="1:14">
      <c r="B10" s="132" t="s">
        <v>28</v>
      </c>
      <c r="C10" s="262" t="e">
        <f>INDEX(Data!$M$315:$S$343,MATCH('RFPR cover'!$C$7,Data!$L$315:$L$343,0),MATCH(#REF!,Data!$M$314:$S$314,0))</f>
        <v>#REF!</v>
      </c>
      <c r="H10" s="182" t="s">
        <v>29</v>
      </c>
      <c r="I10" s="183" t="s">
        <v>23</v>
      </c>
    </row>
    <row r="11" spans="1:14">
      <c r="B11" s="132" t="s">
        <v>30</v>
      </c>
      <c r="C11" s="262" t="e">
        <f>INDEX(Data!$M$350:$S$378,MATCH('RFPR cover'!$C$7,Data!$L$350:$L$378,0),MATCH(#REF!,Data!$M$349:$S$349,0))</f>
        <v>#REF!</v>
      </c>
      <c r="H11" s="114"/>
      <c r="I11" s="259"/>
    </row>
    <row r="13" spans="1:14">
      <c r="A13" s="7"/>
      <c r="B13" s="207" t="s">
        <v>31</v>
      </c>
      <c r="C13" s="153">
        <v>0.19</v>
      </c>
      <c r="D13" s="222">
        <v>0.19</v>
      </c>
      <c r="E13" s="222">
        <v>0.19</v>
      </c>
      <c r="F13" s="222">
        <v>0.19</v>
      </c>
      <c r="G13" s="153">
        <v>0.19</v>
      </c>
      <c r="H13" s="153">
        <v>0.25</v>
      </c>
      <c r="I13" s="153">
        <v>0.25</v>
      </c>
      <c r="J13" s="153">
        <v>0.25</v>
      </c>
      <c r="K13" s="152">
        <v>0.25</v>
      </c>
      <c r="L13" s="152">
        <v>0.25</v>
      </c>
      <c r="M13" s="152">
        <v>0.25</v>
      </c>
      <c r="N13" s="152">
        <v>0.25</v>
      </c>
    </row>
    <row r="15" spans="1:14">
      <c r="A15" s="1" t="s">
        <v>32</v>
      </c>
      <c r="B15" s="1" t="s">
        <v>33</v>
      </c>
    </row>
    <row r="16" spans="1:14">
      <c r="B16" s="207" t="s">
        <v>34</v>
      </c>
      <c r="C16" s="208" t="str">
        <f t="shared" ref="C16:N16" si="0">IF(VALUE(C18)&lt;=Reporting_Year,"Actual","Forecast")</f>
        <v>Actual</v>
      </c>
      <c r="D16" s="208" t="str">
        <f t="shared" si="0"/>
        <v>Actual</v>
      </c>
      <c r="E16" s="208" t="str">
        <f t="shared" si="0"/>
        <v>Actual</v>
      </c>
      <c r="F16" s="208" t="str">
        <f t="shared" si="0"/>
        <v>Actual</v>
      </c>
      <c r="G16" s="208" t="str">
        <f t="shared" si="0"/>
        <v>Actual</v>
      </c>
      <c r="H16" s="208" t="str">
        <f t="shared" si="0"/>
        <v>Actual</v>
      </c>
      <c r="I16" s="208" t="str">
        <f t="shared" si="0"/>
        <v>Actual</v>
      </c>
      <c r="J16" s="208" t="str">
        <f t="shared" si="0"/>
        <v>Forecast</v>
      </c>
      <c r="K16" s="208" t="str">
        <f t="shared" si="0"/>
        <v>Forecast</v>
      </c>
      <c r="L16" s="208" t="str">
        <f t="shared" si="0"/>
        <v>Forecast</v>
      </c>
      <c r="M16" s="208" t="str">
        <f t="shared" si="0"/>
        <v>Forecast</v>
      </c>
      <c r="N16" s="208" t="str">
        <f t="shared" si="0"/>
        <v>Forecast</v>
      </c>
    </row>
    <row r="17" spans="1:22">
      <c r="B17" s="207" t="s">
        <v>35</v>
      </c>
      <c r="C17" s="209">
        <v>43555</v>
      </c>
      <c r="D17" s="210">
        <v>43921</v>
      </c>
      <c r="E17" s="210">
        <v>44286</v>
      </c>
      <c r="F17" s="210">
        <v>44651</v>
      </c>
      <c r="G17" s="210">
        <v>45016</v>
      </c>
      <c r="H17" s="209">
        <v>45382</v>
      </c>
      <c r="I17" s="209">
        <v>45747</v>
      </c>
      <c r="J17" s="209">
        <v>46112</v>
      </c>
      <c r="K17" s="209">
        <v>46477</v>
      </c>
      <c r="L17" s="209">
        <v>46843</v>
      </c>
      <c r="M17" s="209">
        <v>47208</v>
      </c>
      <c r="N17" s="209">
        <v>47573</v>
      </c>
    </row>
    <row r="18" spans="1:22">
      <c r="B18" s="207" t="s">
        <v>36</v>
      </c>
      <c r="C18" s="211">
        <v>2019</v>
      </c>
      <c r="D18" s="212">
        <v>2020</v>
      </c>
      <c r="E18" s="211">
        <v>2021</v>
      </c>
      <c r="F18" s="212">
        <v>2022</v>
      </c>
      <c r="G18" s="211">
        <v>2023</v>
      </c>
      <c r="H18" s="212">
        <v>2024</v>
      </c>
      <c r="I18" s="211">
        <v>2025</v>
      </c>
      <c r="J18" s="212">
        <v>2026</v>
      </c>
      <c r="K18" s="211">
        <v>2027</v>
      </c>
      <c r="L18" s="212">
        <v>2028</v>
      </c>
      <c r="M18" s="211">
        <v>2029</v>
      </c>
      <c r="N18" s="212">
        <v>2030</v>
      </c>
    </row>
    <row r="19" spans="1:22">
      <c r="B19" s="213" t="s">
        <v>37</v>
      </c>
      <c r="C19" s="256">
        <v>283.30833333333334</v>
      </c>
      <c r="D19" s="257">
        <v>290.64166666666665</v>
      </c>
      <c r="E19" s="257">
        <v>294.16666666666669</v>
      </c>
      <c r="F19" s="257">
        <v>307.32821397646848</v>
      </c>
      <c r="G19" s="257">
        <v>334.29358180068937</v>
      </c>
      <c r="H19" s="257">
        <v>352.83651735739545</v>
      </c>
      <c r="I19" s="257">
        <v>364.17963178219367</v>
      </c>
      <c r="J19" s="257">
        <v>374.87823436926919</v>
      </c>
      <c r="K19" s="269">
        <f t="shared" ref="K19:N21" si="1">J19*(1+K$22)</f>
        <v>382.37579905665456</v>
      </c>
      <c r="L19" s="269">
        <f t="shared" si="1"/>
        <v>390.02331503778765</v>
      </c>
      <c r="M19" s="269">
        <f t="shared" si="1"/>
        <v>397.82378133854343</v>
      </c>
      <c r="N19" s="269">
        <f t="shared" si="1"/>
        <v>405.78025696531432</v>
      </c>
    </row>
    <row r="20" spans="1:22">
      <c r="B20" s="213" t="s">
        <v>38</v>
      </c>
      <c r="C20" s="256">
        <v>286.64999999999998</v>
      </c>
      <c r="D20" s="257">
        <v>292.60000000000002</v>
      </c>
      <c r="E20" s="257">
        <v>298.42363263445759</v>
      </c>
      <c r="F20" s="257">
        <v>319.91658048382931</v>
      </c>
      <c r="G20" s="257">
        <v>346.54233410371501</v>
      </c>
      <c r="H20" s="257">
        <v>358.36090841458258</v>
      </c>
      <c r="I20" s="257">
        <v>370.2598320965842</v>
      </c>
      <c r="J20" s="257">
        <v>378.51933470976837</v>
      </c>
      <c r="K20" s="269">
        <f t="shared" si="1"/>
        <v>386.08972140396372</v>
      </c>
      <c r="L20" s="269">
        <f t="shared" si="1"/>
        <v>393.81151583204303</v>
      </c>
      <c r="M20" s="269">
        <f t="shared" si="1"/>
        <v>401.68774614868391</v>
      </c>
      <c r="N20" s="269">
        <f t="shared" si="1"/>
        <v>409.7215010716576</v>
      </c>
    </row>
    <row r="21" spans="1:22">
      <c r="A21" s="7"/>
      <c r="B21" s="108" t="s">
        <v>39</v>
      </c>
      <c r="C21" s="258">
        <v>106.43333333333334</v>
      </c>
      <c r="D21" s="258">
        <v>108.24166666666663</v>
      </c>
      <c r="E21" s="258">
        <v>109.10833333333335</v>
      </c>
      <c r="F21" s="258">
        <v>113.11666666666667</v>
      </c>
      <c r="G21" s="258">
        <v>123.04166666666664</v>
      </c>
      <c r="H21" s="258">
        <v>129.86666666666665</v>
      </c>
      <c r="I21" s="258">
        <v>134.04166666666663</v>
      </c>
      <c r="J21" s="258">
        <v>137.97944461091365</v>
      </c>
      <c r="K21" s="269">
        <f t="shared" si="1"/>
        <v>140.73903350313194</v>
      </c>
      <c r="L21" s="269">
        <f t="shared" si="1"/>
        <v>143.55381417319458</v>
      </c>
      <c r="M21" s="269">
        <f t="shared" si="1"/>
        <v>146.42489045665849</v>
      </c>
      <c r="N21" s="269">
        <f t="shared" si="1"/>
        <v>149.35338826579166</v>
      </c>
      <c r="U21" s="106"/>
      <c r="V21" s="106"/>
    </row>
    <row r="22" spans="1:22" ht="16">
      <c r="A22" s="7"/>
      <c r="B22" s="207" t="s">
        <v>40</v>
      </c>
      <c r="C22" s="108"/>
      <c r="D22" s="108"/>
      <c r="E22" s="108"/>
      <c r="F22" s="108"/>
      <c r="G22" s="108"/>
      <c r="H22" s="109"/>
      <c r="I22" s="108"/>
      <c r="J22" s="108"/>
      <c r="K22" s="153">
        <v>0.02</v>
      </c>
      <c r="L22" s="153">
        <v>0.02</v>
      </c>
      <c r="M22" s="153">
        <v>0.02</v>
      </c>
      <c r="N22" s="153">
        <v>0.02</v>
      </c>
      <c r="O22" s="768" t="s">
        <v>41</v>
      </c>
      <c r="U22" s="106"/>
      <c r="V22" s="106"/>
    </row>
    <row r="23" spans="1:22" ht="16">
      <c r="A23" s="7"/>
      <c r="H23" s="107"/>
      <c r="K23" s="718"/>
      <c r="L23" s="718"/>
      <c r="M23" s="718"/>
      <c r="N23" s="718"/>
      <c r="O23" s="768"/>
      <c r="U23" s="106"/>
      <c r="V23" s="106"/>
    </row>
    <row r="24" spans="1:22">
      <c r="A24" s="719" t="s">
        <v>42</v>
      </c>
      <c r="B24" s="1" t="s">
        <v>43</v>
      </c>
      <c r="U24" s="106"/>
      <c r="V24" s="106"/>
    </row>
    <row r="25" spans="1:22">
      <c r="A25" s="7"/>
      <c r="B25" s="207" t="s">
        <v>34</v>
      </c>
      <c r="C25" s="208" t="str">
        <f t="shared" ref="C25:N25" si="2">IF(VALUE(C27)&lt;=Reporting_Year,"Actual","Forecast")</f>
        <v>Actual</v>
      </c>
      <c r="D25" s="208" t="str">
        <f t="shared" si="2"/>
        <v>Actual</v>
      </c>
      <c r="E25" s="208" t="str">
        <f t="shared" si="2"/>
        <v>Actual</v>
      </c>
      <c r="F25" s="208" t="str">
        <f t="shared" si="2"/>
        <v>Actual</v>
      </c>
      <c r="G25" s="208" t="str">
        <f t="shared" si="2"/>
        <v>Actual</v>
      </c>
      <c r="H25" s="208" t="str">
        <f t="shared" si="2"/>
        <v>Actual</v>
      </c>
      <c r="I25" s="208" t="str">
        <f t="shared" si="2"/>
        <v>Actual</v>
      </c>
      <c r="J25" s="208" t="str">
        <f t="shared" si="2"/>
        <v>Forecast</v>
      </c>
      <c r="K25" s="208" t="str">
        <f t="shared" si="2"/>
        <v>Forecast</v>
      </c>
      <c r="L25" s="208" t="str">
        <f t="shared" si="2"/>
        <v>Forecast</v>
      </c>
      <c r="M25" s="208" t="str">
        <f t="shared" si="2"/>
        <v>Forecast</v>
      </c>
      <c r="N25" s="208" t="str">
        <f t="shared" si="2"/>
        <v>Forecast</v>
      </c>
      <c r="U25" s="106"/>
      <c r="V25" s="106"/>
    </row>
    <row r="26" spans="1:22">
      <c r="A26" s="7"/>
      <c r="B26" s="207" t="s">
        <v>35</v>
      </c>
      <c r="C26" s="209">
        <v>43555</v>
      </c>
      <c r="D26" s="210">
        <v>43921</v>
      </c>
      <c r="E26" s="210">
        <v>44286</v>
      </c>
      <c r="F26" s="210">
        <v>44651</v>
      </c>
      <c r="G26" s="210">
        <v>45016</v>
      </c>
      <c r="H26" s="209">
        <v>45382</v>
      </c>
      <c r="I26" s="209">
        <v>45747</v>
      </c>
      <c r="J26" s="209">
        <v>46112</v>
      </c>
      <c r="K26" s="209">
        <v>46477</v>
      </c>
      <c r="L26" s="209">
        <v>46843</v>
      </c>
      <c r="M26" s="209">
        <v>47208</v>
      </c>
      <c r="N26" s="209">
        <v>47573</v>
      </c>
      <c r="U26" s="106"/>
      <c r="V26" s="106"/>
    </row>
    <row r="27" spans="1:22">
      <c r="A27" s="7"/>
      <c r="B27" s="207" t="s">
        <v>36</v>
      </c>
      <c r="C27" s="211">
        <v>2019</v>
      </c>
      <c r="D27" s="212">
        <v>2020</v>
      </c>
      <c r="E27" s="211">
        <v>2021</v>
      </c>
      <c r="F27" s="212">
        <v>2022</v>
      </c>
      <c r="G27" s="211">
        <v>2023</v>
      </c>
      <c r="H27" s="212">
        <v>2024</v>
      </c>
      <c r="I27" s="211">
        <v>2025</v>
      </c>
      <c r="J27" s="212">
        <v>2026</v>
      </c>
      <c r="K27" s="733">
        <v>2027</v>
      </c>
      <c r="L27" s="734">
        <v>2028</v>
      </c>
      <c r="M27" s="733">
        <v>2029</v>
      </c>
      <c r="N27" s="734">
        <v>2030</v>
      </c>
      <c r="U27" s="106"/>
      <c r="V27" s="106"/>
    </row>
    <row r="28" spans="1:22">
      <c r="A28" s="7"/>
      <c r="B28" s="213" t="s">
        <v>37</v>
      </c>
      <c r="C28" s="256">
        <v>283.30833333333334</v>
      </c>
      <c r="D28" s="257">
        <v>290.64166666666665</v>
      </c>
      <c r="E28" s="257">
        <v>294.16666666666669</v>
      </c>
      <c r="F28" s="257">
        <v>311.1583333333333</v>
      </c>
      <c r="G28" s="257">
        <v>351.2166666666667</v>
      </c>
      <c r="H28" s="257">
        <v>376.71650221738128</v>
      </c>
      <c r="I28" s="257">
        <v>388.82731892752673</v>
      </c>
      <c r="J28" s="732">
        <v>400.25000322166551</v>
      </c>
      <c r="K28" s="735">
        <v>408.5665013920929</v>
      </c>
      <c r="L28" s="736">
        <v>416.71585232655929</v>
      </c>
      <c r="M28" s="737">
        <f t="shared" ref="M28:M29" si="3">L28*(1+M$22)</f>
        <v>425.05016937309045</v>
      </c>
      <c r="N28" s="737">
        <f t="shared" ref="N28:N29" si="4">M28*(1+N$22)</f>
        <v>433.55117276055228</v>
      </c>
      <c r="U28" s="106"/>
      <c r="V28" s="106"/>
    </row>
    <row r="29" spans="1:22">
      <c r="A29" s="7"/>
      <c r="B29" s="207" t="s">
        <v>38</v>
      </c>
      <c r="C29" s="256">
        <v>286.64999999999998</v>
      </c>
      <c r="D29" s="257">
        <v>292.60000000000002</v>
      </c>
      <c r="E29" s="257">
        <v>299</v>
      </c>
      <c r="F29" s="257">
        <v>329.05</v>
      </c>
      <c r="G29" s="257">
        <v>369.68596214511041</v>
      </c>
      <c r="H29" s="257">
        <v>382.61478420795106</v>
      </c>
      <c r="I29" s="257">
        <v>395.31902736058032</v>
      </c>
      <c r="J29" s="732">
        <v>404.48526872002913</v>
      </c>
      <c r="K29" s="735">
        <v>412.61136936520217</v>
      </c>
      <c r="L29" s="736">
        <v>420.50827436801416</v>
      </c>
      <c r="M29" s="737">
        <f t="shared" si="3"/>
        <v>428.91843985537446</v>
      </c>
      <c r="N29" s="737">
        <f t="shared" si="4"/>
        <v>437.49680865248195</v>
      </c>
      <c r="U29" s="106"/>
      <c r="V29" s="106"/>
    </row>
    <row r="31" spans="1:22" ht="14.25" customHeight="1">
      <c r="B31" s="1" t="s">
        <v>44</v>
      </c>
      <c r="M31" s="10"/>
    </row>
    <row r="32" spans="1:22" ht="48.65" customHeight="1">
      <c r="E32" s="208" t="str">
        <f>IF(E33&lt;='RFPR cover'!$C$9,"Actuals","Forecast")</f>
        <v>Actuals</v>
      </c>
      <c r="F32" s="208" t="str">
        <f>IF(F33&lt;='RFPR cover'!$C$9,"Actuals","Forecast")</f>
        <v>Actuals</v>
      </c>
      <c r="G32" s="208" t="str">
        <f>IF(G33&lt;='RFPR cover'!$C$9,"Actuals","Forecast")</f>
        <v>Actuals</v>
      </c>
      <c r="H32" s="208" t="str">
        <f>IF(H33&lt;='RFPR cover'!$C$9,"Actuals","Forecast")</f>
        <v>Actuals</v>
      </c>
      <c r="I32" s="208" t="str">
        <f>IF(I33&lt;='RFPR cover'!$C$9,"Actuals","Forecast")</f>
        <v>Actuals</v>
      </c>
      <c r="J32" s="208" t="str">
        <f>IF(J33&lt;='RFPR cover'!$C$9,"Actuals","Forecast")</f>
        <v>Forecast</v>
      </c>
      <c r="K32" s="208" t="str">
        <f>IF(K33&lt;='RFPR cover'!$C$9,"Actuals","Forecast")</f>
        <v>Forecast</v>
      </c>
      <c r="L32" s="208" t="str">
        <f>IF(L33&lt;='RFPR cover'!$C$9,"Actuals","Forecast")</f>
        <v>Forecast</v>
      </c>
      <c r="M32" s="114"/>
      <c r="N32" s="293"/>
      <c r="O32" s="293"/>
      <c r="P32" s="293"/>
      <c r="Q32" s="293"/>
      <c r="R32" s="293"/>
      <c r="S32" s="293"/>
    </row>
    <row r="33" spans="1:23" ht="58.5" customHeight="1">
      <c r="E33" s="133">
        <v>2021</v>
      </c>
      <c r="F33" s="134">
        <f t="shared" ref="F33:L33" si="5">E33+1</f>
        <v>2022</v>
      </c>
      <c r="G33" s="134">
        <f t="shared" si="5"/>
        <v>2023</v>
      </c>
      <c r="H33" s="134">
        <f t="shared" si="5"/>
        <v>2024</v>
      </c>
      <c r="I33" s="134">
        <f t="shared" si="5"/>
        <v>2025</v>
      </c>
      <c r="J33" s="134">
        <f t="shared" si="5"/>
        <v>2026</v>
      </c>
      <c r="K33" s="134">
        <f t="shared" si="5"/>
        <v>2027</v>
      </c>
      <c r="L33" s="134">
        <f t="shared" si="5"/>
        <v>2028</v>
      </c>
      <c r="M33" s="114"/>
    </row>
    <row r="34" spans="1:23" ht="71.150000000000006" customHeight="1">
      <c r="A34" s="105"/>
      <c r="D34" s="214" t="s">
        <v>45</v>
      </c>
      <c r="E34" s="753">
        <f>IF(SectorCov="ED2",E28/INDEX($C$28:$N$28,MATCH($E$27,$C$27:$N$27,0)),E19/INDEX($C$19:$N$19,MATCH($C$18,$C$18:$N$18,0)))</f>
        <v>1</v>
      </c>
      <c r="F34" s="753">
        <f t="shared" ref="F34:L34" si="6">IF(SectorCov="ED2",F28/INDEX($C$28:$N$28,MATCH($E$27,$C$27:$N$27,0)),F19/INDEX($C$19:$N$19,MATCH($C$18,$C$18:$N$18,0)))</f>
        <v>1.0577620396600564</v>
      </c>
      <c r="G34" s="753">
        <f t="shared" si="6"/>
        <v>1.1939376770538244</v>
      </c>
      <c r="H34" s="753">
        <f t="shared" si="6"/>
        <v>1.2806226704273584</v>
      </c>
      <c r="I34" s="753">
        <f t="shared" si="6"/>
        <v>1.321792585589326</v>
      </c>
      <c r="J34" s="753">
        <f t="shared" si="6"/>
        <v>1.3606232404135936</v>
      </c>
      <c r="K34" s="753">
        <f t="shared" si="6"/>
        <v>1.3888946222960665</v>
      </c>
      <c r="L34" s="753">
        <f t="shared" si="6"/>
        <v>1.4165977982772553</v>
      </c>
    </row>
    <row r="35" spans="1:23" ht="40.5">
      <c r="A35" s="105"/>
      <c r="B35" s="105"/>
      <c r="C35" s="105"/>
      <c r="D35" s="121" t="s">
        <v>46</v>
      </c>
      <c r="E35" s="753">
        <f>IF(Sector="ED2",INDEX(Data!$C$28:$N$28,MATCH(E$33,Data!$C$27:$N$27,0))/INDEX(Data!$C$28:$N$28,MATCH(E$33-1,Data!$C$27:$N$27,0)),INDEX(Data!$C$19:$N$19,MATCH(E$33,Data!$C$18:$N$18,0))/INDEX(Data!$C$19:$N$19,MATCH(E$33-1,Data!$C$18:$N$18,0)))</f>
        <v>1.0121283367262093</v>
      </c>
      <c r="F35" s="753">
        <f>IF(Sector="ED2",INDEX(Data!$C$28:$N$28,MATCH(F$33,Data!$C$27:$N$27,0))/INDEX(Data!$C$28:$N$28,MATCH(F$33-1,Data!$C$27:$N$27,0)),INDEX(Data!$C$19:$N$19,MATCH(F$33,Data!$C$18:$N$18,0))/INDEX(Data!$C$19:$N$19,MATCH(F$33-1,Data!$C$18:$N$18,0)))</f>
        <v>1.0577620396600564</v>
      </c>
      <c r="G35" s="753">
        <f>IF(Sector="ED2",INDEX(Data!$C$28:$N$28,MATCH(G$33,Data!$C$27:$N$27,0))/INDEX(Data!$C$28:$N$28,MATCH(G$33-1,Data!$C$27:$N$27,0)),INDEX(Data!$C$19:$N$19,MATCH(G$33,Data!$C$18:$N$18,0))/INDEX(Data!$C$19:$N$19,MATCH(G$33-1,Data!$C$18:$N$18,0)))</f>
        <v>1.1287393877714991</v>
      </c>
      <c r="H35" s="753">
        <f>IF(Sector="ED2",INDEX(Data!$C$28:$N$28,MATCH(H$33,Data!$C$27:$N$27,0))/INDEX(Data!$C$28:$N$28,MATCH(H$33-1,Data!$C$27:$N$27,0)),INDEX(Data!$C$19:$N$19,MATCH(H$33,Data!$C$18:$N$18,0))/INDEX(Data!$C$19:$N$19,MATCH(H$33-1,Data!$C$18:$N$18,0)))</f>
        <v>1.0726042866721812</v>
      </c>
      <c r="I35" s="753">
        <f>IF(Sector="ED2",INDEX(Data!$C$28:$N$28,MATCH(I$33,Data!$C$27:$N$27,0))/INDEX(Data!$C$28:$N$28,MATCH(I$33-1,Data!$C$27:$N$27,0)),INDEX(Data!$C$19:$N$19,MATCH(I$33,Data!$C$18:$N$18,0))/INDEX(Data!$C$19:$N$19,MATCH(I$33-1,Data!$C$18:$N$18,0)))</f>
        <v>1.0321483572895276</v>
      </c>
      <c r="J35" s="753">
        <f>IF(Sector="ED2",INDEX(Data!$C$28:$N$28,MATCH(J$33,Data!$C$27:$N$27,0))/INDEX(Data!$C$28:$N$28,MATCH(J$33-1,Data!$C$27:$N$27,0)),INDEX(Data!$C$19:$N$19,MATCH(J$33,Data!$C$18:$N$18,0))/INDEX(Data!$C$19:$N$19,MATCH(J$33-1,Data!$C$18:$N$18,0)))</f>
        <v>1.0293772678464186</v>
      </c>
      <c r="K35" s="753">
        <f>IF(Sector="ED2",INDEX(Data!$C$28:$N$28,MATCH(K$33,Data!$C$27:$N$27,0))/INDEX(Data!$C$28:$N$28,MATCH(K$33-1,Data!$C$27:$N$27,0)),INDEX(Data!$C$19:$N$19,MATCH(K$33,Data!$C$18:$N$18,0))/INDEX(Data!$C$19:$N$19,MATCH(K$33-1,Data!$C$18:$N$18,0)))</f>
        <v>1.0207782588469376</v>
      </c>
      <c r="L35" s="753">
        <f>IF(Sector="ED2",INDEX(Data!$C$28:$N$28,MATCH(L$33,Data!$C$27:$N$27,0))/INDEX(Data!$C$28:$N$28,MATCH(L$33-1,Data!$C$27:$N$27,0)),INDEX(Data!$C$19:$N$19,MATCH(L$33,Data!$C$18:$N$18,0))/INDEX(Data!$C$19:$N$19,MATCH(L$33-1,Data!$C$18:$N$18,0)))</f>
        <v>1.0199462043674639</v>
      </c>
      <c r="M35" s="114"/>
      <c r="N35" s="107"/>
      <c r="O35" s="107"/>
      <c r="P35" s="107"/>
      <c r="Q35" s="107"/>
      <c r="R35" s="107"/>
      <c r="S35" s="107"/>
      <c r="T35" s="107"/>
      <c r="U35" s="107"/>
      <c r="V35" s="107"/>
      <c r="W35" s="107"/>
    </row>
    <row r="36" spans="1:23" ht="67.5">
      <c r="A36" s="105"/>
      <c r="D36" s="121" t="s">
        <v>47</v>
      </c>
      <c r="E36" s="753">
        <f>IF(SectorCov="ED2",INDEX(Data!$C$29:$N$29,MATCH(E$33,Data!$C$27:$N$27,0))/Data!$E$28,INDEX(Data!$C$20:$N$20,MATCH(E$33,Data!$C$18:$N$18,0))/Data!$C$19)</f>
        <v>1.0164305949008499</v>
      </c>
      <c r="F36" s="753">
        <f>IF(SectorCov="ED2",INDEX(Data!$C$29:$N$29,MATCH(F$33,Data!$C$27:$N$27,0))/Data!$E$28,INDEX(Data!$C$20:$N$20,MATCH(F$33,Data!$C$18:$N$18,0))/Data!$C$19)</f>
        <v>1.1185835694050992</v>
      </c>
      <c r="G36" s="753">
        <f>IF(SectorCov="ED2",INDEX(Data!$C$29:$N$29,MATCH(G$33,Data!$C$27:$N$27,0))/Data!$E$28,INDEX(Data!$C$20:$N$20,MATCH(G$33,Data!$C$18:$N$18,0))/Data!$C$19)</f>
        <v>1.2567228174904603</v>
      </c>
      <c r="H36" s="753">
        <f>IF(SectorCov="ED2",INDEX(Data!$C$29:$N$29,MATCH(H$33,Data!$C$27:$N$27,0))/Data!$E$28,INDEX(Data!$C$20:$N$20,MATCH(H$33,Data!$C$18:$N$18,0))/Data!$C$19)</f>
        <v>1.3006734873924681</v>
      </c>
      <c r="I36" s="753">
        <f>IF(SectorCov="ED2",INDEX(Data!$C$29:$N$29,MATCH(I$33,Data!$C$27:$N$27,0))/Data!$E$28,INDEX(Data!$C$20:$N$20,MATCH(I$33,Data!$C$18:$N$18,0))/Data!$C$19)</f>
        <v>1.343860716239933</v>
      </c>
      <c r="J36" s="753">
        <f>IF(SectorCov="ED2",INDEX(Data!$C$29:$N$29,MATCH(J$33,Data!$C$27:$N$27,0))/Data!$E$28,INDEX(Data!$C$20:$N$20,MATCH(J$33,Data!$C$18:$N$18,0))/Data!$C$19)</f>
        <v>1.3750207435241781</v>
      </c>
      <c r="K36" s="753">
        <f>IF(SectorCov="ED2",INDEX(Data!$C$29:$N$29,MATCH(K$33,Data!$C$27:$N$27,0))/Data!$E$28,INDEX(Data!$C$20:$N$20,MATCH(K$33,Data!$C$18:$N$18,0))/Data!$C$19)</f>
        <v>1.4026448816947381</v>
      </c>
      <c r="L36" s="753">
        <f>IF(SectorCov="ED2",INDEX(Data!$C$29:$N$29,MATCH(L$33,Data!$C$27:$N$27,0))/Data!$E$28,INDEX(Data!$C$20:$N$20,MATCH(L$33,Data!$C$18:$N$18,0))/Data!$C$19)</f>
        <v>1.4294898845371584</v>
      </c>
      <c r="M36" s="114"/>
    </row>
    <row r="37" spans="1:23" ht="54" customHeight="1">
      <c r="A37" s="105"/>
      <c r="B37" s="11" t="s">
        <v>48</v>
      </c>
      <c r="C37" s="11"/>
      <c r="D37" s="11"/>
      <c r="E37" s="11"/>
      <c r="F37" s="11"/>
      <c r="G37" s="11"/>
      <c r="H37" s="11"/>
      <c r="I37" s="11"/>
      <c r="J37" s="11"/>
      <c r="K37" s="11"/>
      <c r="L37" s="11"/>
      <c r="M37" s="11"/>
      <c r="N37" s="11"/>
      <c r="O37" s="11"/>
      <c r="P37" s="11"/>
      <c r="Q37" s="37"/>
    </row>
    <row r="38" spans="1:23">
      <c r="B38" s="85"/>
      <c r="C38" s="105"/>
      <c r="D38" s="105"/>
      <c r="E38" s="105"/>
      <c r="F38" s="105"/>
      <c r="G38" s="105"/>
      <c r="H38" s="105"/>
      <c r="I38" s="105"/>
      <c r="J38" s="105"/>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3">
        <v>2022</v>
      </c>
      <c r="D41" s="134">
        <f t="shared" ref="D41" si="7">C41+1</f>
        <v>2023</v>
      </c>
      <c r="E41" s="134">
        <f t="shared" ref="E41" si="8">D41+1</f>
        <v>2024</v>
      </c>
      <c r="F41" s="134">
        <f t="shared" ref="F41" si="9">E41+1</f>
        <v>2025</v>
      </c>
      <c r="G41" s="134">
        <f t="shared" ref="G41" si="10">F41+1</f>
        <v>2026</v>
      </c>
      <c r="H41" s="134">
        <f t="shared" ref="H41" si="11">G41+1</f>
        <v>2027</v>
      </c>
      <c r="I41" s="134">
        <f t="shared" ref="I41" si="12">H41+1</f>
        <v>2028</v>
      </c>
    </row>
    <row r="42" spans="1:23">
      <c r="B42" s="131" t="s">
        <v>50</v>
      </c>
      <c r="C42" s="122"/>
      <c r="D42" s="123"/>
      <c r="E42" s="116">
        <v>3.04E-2</v>
      </c>
      <c r="F42" s="116">
        <v>3.1099999999999999E-2</v>
      </c>
      <c r="G42" s="116">
        <v>3.1300000000000001E-2</v>
      </c>
      <c r="H42" s="116">
        <v>3.1300000000000001E-2</v>
      </c>
      <c r="I42" s="117">
        <v>3.1399999999999997E-2</v>
      </c>
    </row>
    <row r="43" spans="1:23">
      <c r="B43" s="705" t="s">
        <v>51</v>
      </c>
      <c r="C43" s="706"/>
      <c r="D43" s="707"/>
      <c r="E43" s="708">
        <v>3.04E-2</v>
      </c>
      <c r="F43" s="708">
        <v>3.1099999999999999E-2</v>
      </c>
      <c r="G43" s="708">
        <v>3.1300000000000001E-2</v>
      </c>
      <c r="H43" s="708">
        <v>3.1300000000000001E-2</v>
      </c>
      <c r="I43" s="709">
        <v>3.1399999999999997E-2</v>
      </c>
    </row>
    <row r="44" spans="1:23">
      <c r="B44" s="705" t="s">
        <v>52</v>
      </c>
      <c r="C44" s="706"/>
      <c r="D44" s="707"/>
      <c r="E44" s="708">
        <v>3.04E-2</v>
      </c>
      <c r="F44" s="708">
        <v>3.1099999999999999E-2</v>
      </c>
      <c r="G44" s="708">
        <v>3.1300000000000001E-2</v>
      </c>
      <c r="H44" s="708">
        <v>3.1300000000000001E-2</v>
      </c>
      <c r="I44" s="709">
        <v>3.1399999999999997E-2</v>
      </c>
    </row>
    <row r="45" spans="1:23">
      <c r="A45" s="110"/>
      <c r="B45" s="125" t="s">
        <v>53</v>
      </c>
      <c r="C45" s="124"/>
      <c r="D45" s="70"/>
      <c r="E45" s="118">
        <v>3.1E-2</v>
      </c>
      <c r="F45" s="118">
        <v>3.1699999999999999E-2</v>
      </c>
      <c r="G45" s="118">
        <v>3.1899999999999998E-2</v>
      </c>
      <c r="H45" s="118">
        <v>3.1899999999999998E-2</v>
      </c>
      <c r="I45" s="51">
        <v>3.1899999999999998E-2</v>
      </c>
    </row>
    <row r="46" spans="1:23">
      <c r="A46" s="110"/>
      <c r="B46" s="125" t="s">
        <v>54</v>
      </c>
      <c r="C46" s="125">
        <v>1.8184707641684131E-2</v>
      </c>
      <c r="D46" s="118">
        <v>1.5816904422859705E-2</v>
      </c>
      <c r="E46" s="118">
        <v>1.8016000499583691E-2</v>
      </c>
      <c r="F46" s="118">
        <v>2.3111514046595519E-2</v>
      </c>
      <c r="G46" s="118">
        <v>2.6621070489787287E-2</v>
      </c>
      <c r="H46" s="70"/>
      <c r="I46" s="126"/>
    </row>
    <row r="47" spans="1:23">
      <c r="A47" s="111"/>
      <c r="B47" s="125" t="s">
        <v>55</v>
      </c>
      <c r="C47" s="125">
        <v>2.0500000000000001E-2</v>
      </c>
      <c r="D47" s="118">
        <v>1.9E-2</v>
      </c>
      <c r="E47" s="118">
        <v>1.9199999999999998E-2</v>
      </c>
      <c r="F47" s="118">
        <v>2.1100000000000001E-2</v>
      </c>
      <c r="G47" s="118">
        <v>2.2599999999999999E-2</v>
      </c>
      <c r="H47" s="70"/>
      <c r="I47" s="126"/>
      <c r="N47" s="99"/>
      <c r="O47" s="99"/>
      <c r="P47" s="99"/>
      <c r="Q47" s="99"/>
      <c r="R47" s="99"/>
    </row>
    <row r="48" spans="1:23">
      <c r="A48" s="110"/>
      <c r="B48" s="125" t="s">
        <v>25</v>
      </c>
      <c r="C48" s="125">
        <v>2.0500000000000001E-2</v>
      </c>
      <c r="D48" s="118">
        <v>1.9E-2</v>
      </c>
      <c r="E48" s="118">
        <v>1.9199999999999998E-2</v>
      </c>
      <c r="F48" s="118">
        <v>2.1100000000000001E-2</v>
      </c>
      <c r="G48" s="118">
        <v>2.2599999999999999E-2</v>
      </c>
      <c r="H48" s="70"/>
      <c r="I48" s="126"/>
    </row>
    <row r="49" spans="1:23">
      <c r="A49" s="110"/>
      <c r="B49" s="125" t="s">
        <v>56</v>
      </c>
      <c r="C49" s="125">
        <v>2.1100000000000001E-2</v>
      </c>
      <c r="D49" s="118">
        <v>1.9599999999999999E-2</v>
      </c>
      <c r="E49" s="118">
        <v>1.9799999999999998E-2</v>
      </c>
      <c r="F49" s="118">
        <v>2.1700000000000001E-2</v>
      </c>
      <c r="G49" s="118">
        <v>2.3199999999999998E-2</v>
      </c>
      <c r="H49" s="70"/>
      <c r="I49" s="126"/>
    </row>
    <row r="50" spans="1:23">
      <c r="A50" s="110"/>
      <c r="B50" s="125" t="s">
        <v>27</v>
      </c>
      <c r="C50" s="125">
        <v>2.0500000000000001E-2</v>
      </c>
      <c r="D50" s="118">
        <v>1.9E-2</v>
      </c>
      <c r="E50" s="118">
        <v>1.9199999999999998E-2</v>
      </c>
      <c r="F50" s="118">
        <v>2.1100000000000001E-2</v>
      </c>
      <c r="G50" s="118">
        <v>2.2599999999999999E-2</v>
      </c>
      <c r="H50" s="70"/>
      <c r="I50" s="126"/>
    </row>
    <row r="51" spans="1:23">
      <c r="A51" s="110"/>
      <c r="B51" s="127" t="s">
        <v>29</v>
      </c>
      <c r="C51" s="127">
        <v>-5.9999999999999995E-4</v>
      </c>
      <c r="D51" s="128">
        <v>2.12E-2</v>
      </c>
      <c r="E51" s="128">
        <v>5.0099999999999999E-2</v>
      </c>
      <c r="F51" s="128">
        <v>4.7300000000000002E-2</v>
      </c>
      <c r="G51" s="128">
        <v>4.19E-2</v>
      </c>
      <c r="H51" s="129"/>
      <c r="I51" s="130"/>
    </row>
    <row r="52" spans="1:23">
      <c r="C52" s="163"/>
      <c r="D52" s="163"/>
      <c r="E52" s="163"/>
      <c r="F52" s="163"/>
      <c r="G52" s="163"/>
      <c r="H52" s="14"/>
    </row>
    <row r="53" spans="1:23">
      <c r="B53" s="52" t="s">
        <v>57</v>
      </c>
      <c r="C53" s="34"/>
      <c r="D53" s="34"/>
      <c r="E53" s="34"/>
      <c r="F53" s="34"/>
      <c r="G53" s="34"/>
      <c r="I53" s="14"/>
    </row>
    <row r="54" spans="1:23">
      <c r="A54" s="12" t="s">
        <v>6</v>
      </c>
      <c r="C54" s="133">
        <v>2022</v>
      </c>
      <c r="D54" s="134">
        <f t="shared" ref="D54:I54" si="13">C54+1</f>
        <v>2023</v>
      </c>
      <c r="E54" s="134">
        <f t="shared" si="13"/>
        <v>2024</v>
      </c>
      <c r="F54" s="134">
        <f t="shared" si="13"/>
        <v>2025</v>
      </c>
      <c r="G54" s="134">
        <f t="shared" si="13"/>
        <v>2026</v>
      </c>
      <c r="H54" s="134">
        <f t="shared" si="13"/>
        <v>2027</v>
      </c>
      <c r="I54" s="134">
        <f t="shared" si="13"/>
        <v>2028</v>
      </c>
    </row>
    <row r="55" spans="1:23">
      <c r="A55" s="12" t="s">
        <v>42</v>
      </c>
      <c r="B55" s="125" t="s">
        <v>19</v>
      </c>
      <c r="C55" s="124"/>
      <c r="D55" s="70"/>
      <c r="E55" s="118">
        <v>5.2833944000000001E-2</v>
      </c>
      <c r="F55" s="118">
        <v>5.5875458000000003E-2</v>
      </c>
      <c r="G55" s="118">
        <v>5.4475396000000002E-2</v>
      </c>
      <c r="H55" s="118">
        <v>5.4934037000000012E-2</v>
      </c>
      <c r="I55" s="51">
        <v>5.5127149E-2</v>
      </c>
    </row>
    <row r="56" spans="1:23">
      <c r="A56" s="12" t="s">
        <v>58</v>
      </c>
      <c r="B56" s="125" t="s">
        <v>22</v>
      </c>
      <c r="C56" s="125">
        <v>4.2439449777777784E-2</v>
      </c>
      <c r="D56" s="118">
        <v>4.2616093333333334E-2</v>
      </c>
      <c r="E56" s="118">
        <v>4.909683911111111E-2</v>
      </c>
      <c r="F56" s="118">
        <v>5.2011518222222233E-2</v>
      </c>
      <c r="G56" s="118">
        <v>5.0933685333333333E-2</v>
      </c>
      <c r="H56" s="70"/>
      <c r="I56" s="126"/>
      <c r="N56" s="99"/>
      <c r="O56" s="99"/>
      <c r="P56" s="99"/>
      <c r="Q56" s="99"/>
      <c r="R56" s="99"/>
    </row>
    <row r="57" spans="1:23">
      <c r="A57" s="12" t="s">
        <v>59</v>
      </c>
      <c r="B57" s="125" t="s">
        <v>25</v>
      </c>
      <c r="C57" s="125">
        <v>4.5181881000000007E-2</v>
      </c>
      <c r="D57" s="118">
        <v>4.5568105000000005E-2</v>
      </c>
      <c r="E57" s="118">
        <v>5.2833944000000001E-2</v>
      </c>
      <c r="F57" s="118">
        <v>5.5875458000000003E-2</v>
      </c>
      <c r="G57" s="118">
        <v>5.4475395999999995E-2</v>
      </c>
      <c r="H57" s="70"/>
      <c r="I57" s="126"/>
    </row>
    <row r="58" spans="1:23">
      <c r="A58" s="12" t="s">
        <v>60</v>
      </c>
      <c r="B58" s="125" t="s">
        <v>27</v>
      </c>
      <c r="C58" s="223">
        <v>4.5181881000000007E-2</v>
      </c>
      <c r="D58" s="224">
        <v>4.5568105000000005E-2</v>
      </c>
      <c r="E58" s="224">
        <v>5.2833944000000001E-2</v>
      </c>
      <c r="F58" s="224">
        <v>5.5875458000000003E-2</v>
      </c>
      <c r="G58" s="224">
        <v>5.4475395999999995E-2</v>
      </c>
      <c r="H58" s="70"/>
      <c r="I58" s="126"/>
    </row>
    <row r="59" spans="1:23">
      <c r="A59" s="12" t="s">
        <v>61</v>
      </c>
      <c r="B59" s="127" t="s">
        <v>29</v>
      </c>
      <c r="C59" s="225">
        <v>7.5718976000000007E-2</v>
      </c>
      <c r="D59" s="225">
        <v>7.5510080000000007E-2</v>
      </c>
      <c r="E59" s="225">
        <v>7.1580223999999998E-2</v>
      </c>
      <c r="F59" s="225">
        <v>6.9935168000000006E-2</v>
      </c>
      <c r="G59" s="225">
        <v>7.0313792E-2</v>
      </c>
      <c r="H59" s="165"/>
      <c r="I59" s="130"/>
    </row>
    <row r="60" spans="1:23" ht="14" thickBot="1">
      <c r="A60" s="110"/>
      <c r="B60" s="163"/>
      <c r="C60" s="163"/>
      <c r="D60" s="163"/>
      <c r="E60" s="163"/>
      <c r="F60" s="163"/>
      <c r="G60" s="163"/>
      <c r="H60" s="164"/>
      <c r="I60" s="164"/>
    </row>
    <row r="61" spans="1:23" s="107" customFormat="1" ht="41" thickBot="1">
      <c r="A61"/>
      <c r="B61" s="3"/>
      <c r="C61" s="180" t="s">
        <v>62</v>
      </c>
      <c r="D61" s="180" t="s">
        <v>63</v>
      </c>
      <c r="E61" s="180" t="s">
        <v>64</v>
      </c>
      <c r="F61" s="180" t="s">
        <v>65</v>
      </c>
      <c r="G61" s="181" t="s">
        <v>66</v>
      </c>
      <c r="H61" s="825" t="s">
        <v>67</v>
      </c>
      <c r="I61" s="826"/>
      <c r="J61" s="826"/>
      <c r="K61" s="826"/>
      <c r="L61" s="826"/>
      <c r="M61" s="826"/>
      <c r="N61" s="826"/>
      <c r="O61" s="822" t="s">
        <v>68</v>
      </c>
      <c r="P61" s="823"/>
      <c r="Q61" s="823"/>
      <c r="R61" s="823"/>
      <c r="S61" s="823"/>
      <c r="T61" s="823"/>
      <c r="U61" s="824"/>
      <c r="V61"/>
      <c r="W61"/>
    </row>
    <row r="62" spans="1:23" ht="14" thickBot="1">
      <c r="A62" s="48" t="s">
        <v>6</v>
      </c>
      <c r="B62" s="176" t="s">
        <v>69</v>
      </c>
      <c r="C62" s="177"/>
      <c r="D62" s="177"/>
      <c r="E62" s="178"/>
      <c r="F62" s="179"/>
      <c r="G62" s="696"/>
      <c r="H62" s="700">
        <v>2022</v>
      </c>
      <c r="I62" s="701">
        <f t="shared" ref="I62:N62" si="14">H62+1</f>
        <v>2023</v>
      </c>
      <c r="J62" s="701">
        <f t="shared" si="14"/>
        <v>2024</v>
      </c>
      <c r="K62" s="702">
        <f t="shared" si="14"/>
        <v>2025</v>
      </c>
      <c r="L62" s="702">
        <f t="shared" si="14"/>
        <v>2026</v>
      </c>
      <c r="M62" s="702">
        <f t="shared" si="14"/>
        <v>2027</v>
      </c>
      <c r="N62" s="703">
        <f t="shared" si="14"/>
        <v>2028</v>
      </c>
      <c r="O62" s="685">
        <v>2022</v>
      </c>
      <c r="P62" s="167">
        <f t="shared" ref="P62:U62" si="15">O62+1</f>
        <v>2023</v>
      </c>
      <c r="Q62" s="167">
        <f t="shared" si="15"/>
        <v>2024</v>
      </c>
      <c r="R62" s="168">
        <f t="shared" si="15"/>
        <v>2025</v>
      </c>
      <c r="S62" s="168">
        <f t="shared" si="15"/>
        <v>2026</v>
      </c>
      <c r="T62" s="168">
        <f t="shared" si="15"/>
        <v>2027</v>
      </c>
      <c r="U62" s="686">
        <f t="shared" si="15"/>
        <v>2028</v>
      </c>
    </row>
    <row r="63" spans="1:23">
      <c r="A63" s="12" t="s">
        <v>19</v>
      </c>
      <c r="B63" s="171" t="s">
        <v>70</v>
      </c>
      <c r="C63" s="170">
        <v>0.50600000000000001</v>
      </c>
      <c r="D63" s="118">
        <v>0.6</v>
      </c>
      <c r="E63" s="172">
        <v>2024</v>
      </c>
      <c r="F63" s="679" t="str">
        <f t="shared" ref="F63:F91" si="16">VLOOKUP($A63,$H$6:$I$10,2,FALSE)</f>
        <v>£m 20/21</v>
      </c>
      <c r="G63" s="697" t="s">
        <v>53</v>
      </c>
      <c r="H63" s="704"/>
      <c r="I63" s="169"/>
      <c r="J63" s="683">
        <f t="shared" ref="J63:N76" si="17">INDEX($C$42:$I$51,MATCH($G63,$B$42:$B$51,0),MATCH(J$62,$C$41:$I$41))</f>
        <v>3.1E-2</v>
      </c>
      <c r="K63" s="683">
        <f t="shared" si="17"/>
        <v>3.1699999999999999E-2</v>
      </c>
      <c r="L63" s="683">
        <f t="shared" si="17"/>
        <v>3.1899999999999998E-2</v>
      </c>
      <c r="M63" s="682">
        <f t="shared" si="17"/>
        <v>3.1899999999999998E-2</v>
      </c>
      <c r="N63" s="688">
        <f t="shared" si="17"/>
        <v>3.1899999999999998E-2</v>
      </c>
      <c r="O63" s="687"/>
      <c r="P63" s="123"/>
      <c r="Q63" s="684">
        <f t="shared" ref="Q63:U76" si="18">INDEX($C$55:$I$59,MATCH($A63,$B$55:$B$59,0),MATCH(Q$62,$C$54:$I$54))</f>
        <v>5.2833944000000001E-2</v>
      </c>
      <c r="R63" s="684">
        <f t="shared" si="18"/>
        <v>5.5875458000000003E-2</v>
      </c>
      <c r="S63" s="684">
        <f t="shared" si="18"/>
        <v>5.4475396000000002E-2</v>
      </c>
      <c r="T63" s="682">
        <f t="shared" si="18"/>
        <v>5.4934037000000012E-2</v>
      </c>
      <c r="U63" s="688">
        <f t="shared" si="18"/>
        <v>5.5127149E-2</v>
      </c>
    </row>
    <row r="64" spans="1:23">
      <c r="A64" s="12" t="s">
        <v>19</v>
      </c>
      <c r="B64" s="173" t="s">
        <v>71</v>
      </c>
      <c r="C64" s="118">
        <v>0.501</v>
      </c>
      <c r="D64" s="118">
        <v>0.6</v>
      </c>
      <c r="E64" s="49">
        <v>2024</v>
      </c>
      <c r="F64" s="680" t="str">
        <f t="shared" si="16"/>
        <v>£m 20/21</v>
      </c>
      <c r="G64" s="698" t="s">
        <v>53</v>
      </c>
      <c r="H64" s="689"/>
      <c r="I64" s="70"/>
      <c r="J64" s="682">
        <f t="shared" si="17"/>
        <v>3.1E-2</v>
      </c>
      <c r="K64" s="682">
        <f t="shared" si="17"/>
        <v>3.1699999999999999E-2</v>
      </c>
      <c r="L64" s="682">
        <f t="shared" si="17"/>
        <v>3.1899999999999998E-2</v>
      </c>
      <c r="M64" s="682">
        <f t="shared" si="17"/>
        <v>3.1899999999999998E-2</v>
      </c>
      <c r="N64" s="688">
        <f t="shared" si="17"/>
        <v>3.1899999999999998E-2</v>
      </c>
      <c r="O64" s="689"/>
      <c r="P64" s="70"/>
      <c r="Q64" s="682">
        <f t="shared" si="18"/>
        <v>5.2833944000000001E-2</v>
      </c>
      <c r="R64" s="682">
        <f t="shared" si="18"/>
        <v>5.5875458000000003E-2</v>
      </c>
      <c r="S64" s="682">
        <f t="shared" si="18"/>
        <v>5.4475396000000002E-2</v>
      </c>
      <c r="T64" s="682">
        <f t="shared" si="18"/>
        <v>5.4934037000000012E-2</v>
      </c>
      <c r="U64" s="688">
        <f t="shared" si="18"/>
        <v>5.5127149E-2</v>
      </c>
    </row>
    <row r="65" spans="1:21">
      <c r="A65" s="12" t="s">
        <v>19</v>
      </c>
      <c r="B65" s="173" t="s">
        <v>72</v>
      </c>
      <c r="C65" s="118">
        <v>0.501</v>
      </c>
      <c r="D65" s="118">
        <v>0.6</v>
      </c>
      <c r="E65" s="49">
        <v>2024</v>
      </c>
      <c r="F65" s="680" t="str">
        <f t="shared" si="16"/>
        <v>£m 20/21</v>
      </c>
      <c r="G65" s="698" t="s">
        <v>53</v>
      </c>
      <c r="H65" s="689"/>
      <c r="I65" s="70"/>
      <c r="J65" s="682">
        <f t="shared" si="17"/>
        <v>3.1E-2</v>
      </c>
      <c r="K65" s="682">
        <f t="shared" si="17"/>
        <v>3.1699999999999999E-2</v>
      </c>
      <c r="L65" s="682">
        <f t="shared" si="17"/>
        <v>3.1899999999999998E-2</v>
      </c>
      <c r="M65" s="682">
        <f t="shared" si="17"/>
        <v>3.1899999999999998E-2</v>
      </c>
      <c r="N65" s="688">
        <f t="shared" si="17"/>
        <v>3.1899999999999998E-2</v>
      </c>
      <c r="O65" s="689"/>
      <c r="P65" s="70"/>
      <c r="Q65" s="682">
        <f t="shared" si="18"/>
        <v>5.2833944000000001E-2</v>
      </c>
      <c r="R65" s="682">
        <f t="shared" si="18"/>
        <v>5.5875458000000003E-2</v>
      </c>
      <c r="S65" s="682">
        <f t="shared" si="18"/>
        <v>5.4475396000000002E-2</v>
      </c>
      <c r="T65" s="682">
        <f t="shared" si="18"/>
        <v>5.4934037000000012E-2</v>
      </c>
      <c r="U65" s="688">
        <f t="shared" si="18"/>
        <v>5.5127149E-2</v>
      </c>
    </row>
    <row r="66" spans="1:21">
      <c r="A66" s="12" t="s">
        <v>19</v>
      </c>
      <c r="B66" s="173" t="s">
        <v>52</v>
      </c>
      <c r="C66" s="118">
        <v>0.5</v>
      </c>
      <c r="D66" s="118">
        <v>0.6</v>
      </c>
      <c r="E66" s="49">
        <v>2024</v>
      </c>
      <c r="F66" s="680" t="str">
        <f t="shared" si="16"/>
        <v>£m 20/21</v>
      </c>
      <c r="G66" s="698" t="s">
        <v>52</v>
      </c>
      <c r="H66" s="689"/>
      <c r="I66" s="70"/>
      <c r="J66" s="682">
        <f t="shared" si="17"/>
        <v>3.04E-2</v>
      </c>
      <c r="K66" s="682">
        <f t="shared" si="17"/>
        <v>3.1099999999999999E-2</v>
      </c>
      <c r="L66" s="682">
        <f t="shared" si="17"/>
        <v>3.1300000000000001E-2</v>
      </c>
      <c r="M66" s="682">
        <f t="shared" si="17"/>
        <v>3.1300000000000001E-2</v>
      </c>
      <c r="N66" s="688">
        <f t="shared" si="17"/>
        <v>3.1399999999999997E-2</v>
      </c>
      <c r="O66" s="689"/>
      <c r="P66" s="70"/>
      <c r="Q66" s="682">
        <f t="shared" si="18"/>
        <v>5.2833944000000001E-2</v>
      </c>
      <c r="R66" s="682">
        <f t="shared" si="18"/>
        <v>5.5875458000000003E-2</v>
      </c>
      <c r="S66" s="682">
        <f t="shared" si="18"/>
        <v>5.4475396000000002E-2</v>
      </c>
      <c r="T66" s="682">
        <f t="shared" si="18"/>
        <v>5.4934037000000012E-2</v>
      </c>
      <c r="U66" s="688">
        <f t="shared" si="18"/>
        <v>5.5127149E-2</v>
      </c>
    </row>
    <row r="67" spans="1:21">
      <c r="A67" s="12" t="s">
        <v>19</v>
      </c>
      <c r="B67" s="173" t="s">
        <v>73</v>
      </c>
      <c r="C67" s="118">
        <v>0.5</v>
      </c>
      <c r="D67" s="118">
        <v>0.6</v>
      </c>
      <c r="E67" s="49">
        <v>2024</v>
      </c>
      <c r="F67" s="680" t="str">
        <f t="shared" si="16"/>
        <v>£m 20/21</v>
      </c>
      <c r="G67" s="698" t="s">
        <v>53</v>
      </c>
      <c r="H67" s="689"/>
      <c r="I67" s="70"/>
      <c r="J67" s="682">
        <f t="shared" si="17"/>
        <v>3.1E-2</v>
      </c>
      <c r="K67" s="682">
        <f t="shared" si="17"/>
        <v>3.1699999999999999E-2</v>
      </c>
      <c r="L67" s="682">
        <f t="shared" si="17"/>
        <v>3.1899999999999998E-2</v>
      </c>
      <c r="M67" s="682">
        <f t="shared" si="17"/>
        <v>3.1899999999999998E-2</v>
      </c>
      <c r="N67" s="688">
        <f t="shared" si="17"/>
        <v>3.1899999999999998E-2</v>
      </c>
      <c r="O67" s="689"/>
      <c r="P67" s="70"/>
      <c r="Q67" s="682">
        <f t="shared" si="18"/>
        <v>5.2833944000000001E-2</v>
      </c>
      <c r="R67" s="682">
        <f t="shared" si="18"/>
        <v>5.5875458000000003E-2</v>
      </c>
      <c r="S67" s="682">
        <f t="shared" si="18"/>
        <v>5.4475396000000002E-2</v>
      </c>
      <c r="T67" s="682">
        <f t="shared" si="18"/>
        <v>5.4934037000000012E-2</v>
      </c>
      <c r="U67" s="688">
        <f t="shared" si="18"/>
        <v>5.5127149E-2</v>
      </c>
    </row>
    <row r="68" spans="1:21">
      <c r="A68" s="12" t="s">
        <v>19</v>
      </c>
      <c r="B68" s="173" t="s">
        <v>74</v>
      </c>
      <c r="C68" s="118">
        <v>0.5</v>
      </c>
      <c r="D68" s="118">
        <v>0.6</v>
      </c>
      <c r="E68" s="49">
        <v>2024</v>
      </c>
      <c r="F68" s="680" t="str">
        <f t="shared" si="16"/>
        <v>£m 20/21</v>
      </c>
      <c r="G68" s="698" t="s">
        <v>53</v>
      </c>
      <c r="H68" s="689"/>
      <c r="I68" s="70"/>
      <c r="J68" s="682">
        <f t="shared" si="17"/>
        <v>3.1E-2</v>
      </c>
      <c r="K68" s="682">
        <f t="shared" si="17"/>
        <v>3.1699999999999999E-2</v>
      </c>
      <c r="L68" s="682">
        <f t="shared" si="17"/>
        <v>3.1899999999999998E-2</v>
      </c>
      <c r="M68" s="682">
        <f t="shared" si="17"/>
        <v>3.1899999999999998E-2</v>
      </c>
      <c r="N68" s="688">
        <f t="shared" si="17"/>
        <v>3.1899999999999998E-2</v>
      </c>
      <c r="O68" s="689"/>
      <c r="P68" s="70"/>
      <c r="Q68" s="682">
        <f t="shared" si="18"/>
        <v>5.2833944000000001E-2</v>
      </c>
      <c r="R68" s="682">
        <f t="shared" si="18"/>
        <v>5.5875458000000003E-2</v>
      </c>
      <c r="S68" s="682">
        <f t="shared" si="18"/>
        <v>5.4475396000000002E-2</v>
      </c>
      <c r="T68" s="682">
        <f t="shared" si="18"/>
        <v>5.4934037000000012E-2</v>
      </c>
      <c r="U68" s="688">
        <f t="shared" si="18"/>
        <v>5.5127149E-2</v>
      </c>
    </row>
    <row r="69" spans="1:21">
      <c r="A69" s="12" t="s">
        <v>19</v>
      </c>
      <c r="B69" s="173" t="s">
        <v>75</v>
      </c>
      <c r="C69" s="118">
        <v>0.5</v>
      </c>
      <c r="D69" s="118">
        <v>0.6</v>
      </c>
      <c r="E69" s="49">
        <v>2024</v>
      </c>
      <c r="F69" s="680" t="str">
        <f t="shared" si="16"/>
        <v>£m 20/21</v>
      </c>
      <c r="G69" s="698" t="s">
        <v>53</v>
      </c>
      <c r="H69" s="689"/>
      <c r="I69" s="70"/>
      <c r="J69" s="682">
        <f t="shared" si="17"/>
        <v>3.1E-2</v>
      </c>
      <c r="K69" s="682">
        <f t="shared" si="17"/>
        <v>3.1699999999999999E-2</v>
      </c>
      <c r="L69" s="682">
        <f t="shared" si="17"/>
        <v>3.1899999999999998E-2</v>
      </c>
      <c r="M69" s="682">
        <f t="shared" si="17"/>
        <v>3.1899999999999998E-2</v>
      </c>
      <c r="N69" s="688">
        <f t="shared" si="17"/>
        <v>3.1899999999999998E-2</v>
      </c>
      <c r="O69" s="689"/>
      <c r="P69" s="70"/>
      <c r="Q69" s="682">
        <f t="shared" si="18"/>
        <v>5.2833944000000001E-2</v>
      </c>
      <c r="R69" s="682">
        <f t="shared" si="18"/>
        <v>5.5875458000000003E-2</v>
      </c>
      <c r="S69" s="682">
        <f t="shared" si="18"/>
        <v>5.4475396000000002E-2</v>
      </c>
      <c r="T69" s="682">
        <f t="shared" si="18"/>
        <v>5.4934037000000012E-2</v>
      </c>
      <c r="U69" s="688">
        <f t="shared" si="18"/>
        <v>5.5127149E-2</v>
      </c>
    </row>
    <row r="70" spans="1:21">
      <c r="A70" s="12" t="s">
        <v>19</v>
      </c>
      <c r="B70" s="173" t="s">
        <v>76</v>
      </c>
      <c r="C70" s="118">
        <v>0.5</v>
      </c>
      <c r="D70" s="118">
        <v>0.6</v>
      </c>
      <c r="E70" s="49">
        <v>2024</v>
      </c>
      <c r="F70" s="680" t="str">
        <f t="shared" si="16"/>
        <v>£m 20/21</v>
      </c>
      <c r="G70" s="698" t="s">
        <v>53</v>
      </c>
      <c r="H70" s="689"/>
      <c r="I70" s="70"/>
      <c r="J70" s="682">
        <f t="shared" si="17"/>
        <v>3.1E-2</v>
      </c>
      <c r="K70" s="682">
        <f t="shared" si="17"/>
        <v>3.1699999999999999E-2</v>
      </c>
      <c r="L70" s="682">
        <f t="shared" si="17"/>
        <v>3.1899999999999998E-2</v>
      </c>
      <c r="M70" s="682">
        <f t="shared" si="17"/>
        <v>3.1899999999999998E-2</v>
      </c>
      <c r="N70" s="688">
        <f t="shared" si="17"/>
        <v>3.1899999999999998E-2</v>
      </c>
      <c r="O70" s="689"/>
      <c r="P70" s="70"/>
      <c r="Q70" s="682">
        <f t="shared" si="18"/>
        <v>5.2833944000000001E-2</v>
      </c>
      <c r="R70" s="682">
        <f t="shared" si="18"/>
        <v>5.5875458000000003E-2</v>
      </c>
      <c r="S70" s="682">
        <f t="shared" si="18"/>
        <v>5.4475396000000002E-2</v>
      </c>
      <c r="T70" s="682">
        <f t="shared" si="18"/>
        <v>5.4934037000000012E-2</v>
      </c>
      <c r="U70" s="688">
        <f t="shared" si="18"/>
        <v>5.5127149E-2</v>
      </c>
    </row>
    <row r="71" spans="1:21">
      <c r="A71" s="12" t="s">
        <v>19</v>
      </c>
      <c r="B71" s="173" t="s">
        <v>77</v>
      </c>
      <c r="C71" s="118">
        <v>0.50700000000000001</v>
      </c>
      <c r="D71" s="118">
        <v>0.6</v>
      </c>
      <c r="E71" s="49">
        <v>2024</v>
      </c>
      <c r="F71" s="680" t="str">
        <f t="shared" si="16"/>
        <v>£m 20/21</v>
      </c>
      <c r="G71" s="698" t="s">
        <v>53</v>
      </c>
      <c r="H71" s="689"/>
      <c r="I71" s="70"/>
      <c r="J71" s="682">
        <f t="shared" si="17"/>
        <v>3.1E-2</v>
      </c>
      <c r="K71" s="682">
        <f t="shared" si="17"/>
        <v>3.1699999999999999E-2</v>
      </c>
      <c r="L71" s="682">
        <f t="shared" si="17"/>
        <v>3.1899999999999998E-2</v>
      </c>
      <c r="M71" s="682">
        <f t="shared" si="17"/>
        <v>3.1899999999999998E-2</v>
      </c>
      <c r="N71" s="688">
        <f t="shared" si="17"/>
        <v>3.1899999999999998E-2</v>
      </c>
      <c r="O71" s="689"/>
      <c r="P71" s="70"/>
      <c r="Q71" s="682">
        <f t="shared" si="18"/>
        <v>5.2833944000000001E-2</v>
      </c>
      <c r="R71" s="682">
        <f t="shared" si="18"/>
        <v>5.5875458000000003E-2</v>
      </c>
      <c r="S71" s="682">
        <f t="shared" si="18"/>
        <v>5.4475396000000002E-2</v>
      </c>
      <c r="T71" s="682">
        <f t="shared" si="18"/>
        <v>5.4934037000000012E-2</v>
      </c>
      <c r="U71" s="688">
        <f t="shared" si="18"/>
        <v>5.5127149E-2</v>
      </c>
    </row>
    <row r="72" spans="1:21">
      <c r="A72" s="12" t="s">
        <v>19</v>
      </c>
      <c r="B72" s="173" t="s">
        <v>50</v>
      </c>
      <c r="C72" s="118">
        <v>0.50700000000000001</v>
      </c>
      <c r="D72" s="118">
        <v>0.6</v>
      </c>
      <c r="E72" s="49">
        <v>2024</v>
      </c>
      <c r="F72" s="680" t="str">
        <f t="shared" si="16"/>
        <v>£m 20/21</v>
      </c>
      <c r="G72" s="698" t="s">
        <v>50</v>
      </c>
      <c r="H72" s="689"/>
      <c r="I72" s="70"/>
      <c r="J72" s="682">
        <f t="shared" si="17"/>
        <v>3.04E-2</v>
      </c>
      <c r="K72" s="682">
        <f t="shared" si="17"/>
        <v>3.1099999999999999E-2</v>
      </c>
      <c r="L72" s="682">
        <f t="shared" si="17"/>
        <v>3.1300000000000001E-2</v>
      </c>
      <c r="M72" s="682">
        <f t="shared" si="17"/>
        <v>3.1300000000000001E-2</v>
      </c>
      <c r="N72" s="688">
        <f t="shared" si="17"/>
        <v>3.1399999999999997E-2</v>
      </c>
      <c r="O72" s="689"/>
      <c r="P72" s="70"/>
      <c r="Q72" s="682">
        <f t="shared" si="18"/>
        <v>5.2833944000000001E-2</v>
      </c>
      <c r="R72" s="682">
        <f t="shared" si="18"/>
        <v>5.5875458000000003E-2</v>
      </c>
      <c r="S72" s="682">
        <f t="shared" si="18"/>
        <v>5.4475396000000002E-2</v>
      </c>
      <c r="T72" s="682">
        <f t="shared" si="18"/>
        <v>5.4934037000000012E-2</v>
      </c>
      <c r="U72" s="688">
        <f t="shared" si="18"/>
        <v>5.5127149E-2</v>
      </c>
    </row>
    <row r="73" spans="1:21">
      <c r="A73" s="12" t="s">
        <v>19</v>
      </c>
      <c r="B73" s="173" t="s">
        <v>51</v>
      </c>
      <c r="C73" s="118">
        <v>0.5</v>
      </c>
      <c r="D73" s="118">
        <v>0.6</v>
      </c>
      <c r="E73" s="49">
        <v>2024</v>
      </c>
      <c r="F73" s="680" t="str">
        <f t="shared" si="16"/>
        <v>£m 20/21</v>
      </c>
      <c r="G73" s="698" t="s">
        <v>51</v>
      </c>
      <c r="H73" s="689"/>
      <c r="I73" s="70"/>
      <c r="J73" s="682">
        <f t="shared" si="17"/>
        <v>3.04E-2</v>
      </c>
      <c r="K73" s="682">
        <f t="shared" si="17"/>
        <v>3.1099999999999999E-2</v>
      </c>
      <c r="L73" s="682">
        <f t="shared" si="17"/>
        <v>3.1300000000000001E-2</v>
      </c>
      <c r="M73" s="682">
        <f t="shared" si="17"/>
        <v>3.1300000000000001E-2</v>
      </c>
      <c r="N73" s="688">
        <f t="shared" si="17"/>
        <v>3.1399999999999997E-2</v>
      </c>
      <c r="O73" s="689"/>
      <c r="P73" s="70"/>
      <c r="Q73" s="682">
        <f t="shared" si="18"/>
        <v>5.2833944000000001E-2</v>
      </c>
      <c r="R73" s="682">
        <f t="shared" si="18"/>
        <v>5.5875458000000003E-2</v>
      </c>
      <c r="S73" s="682">
        <f t="shared" si="18"/>
        <v>5.4475396000000002E-2</v>
      </c>
      <c r="T73" s="682">
        <f t="shared" si="18"/>
        <v>5.4934037000000012E-2</v>
      </c>
      <c r="U73" s="688">
        <f t="shared" si="18"/>
        <v>5.5127149E-2</v>
      </c>
    </row>
    <row r="74" spans="1:21">
      <c r="A74" s="12" t="s">
        <v>19</v>
      </c>
      <c r="B74" s="173" t="s">
        <v>78</v>
      </c>
      <c r="C74" s="118">
        <v>0.5</v>
      </c>
      <c r="D74" s="118">
        <v>0.6</v>
      </c>
      <c r="E74" s="49">
        <v>2024</v>
      </c>
      <c r="F74" s="680" t="str">
        <f t="shared" si="16"/>
        <v>£m 20/21</v>
      </c>
      <c r="G74" s="698" t="s">
        <v>53</v>
      </c>
      <c r="H74" s="689"/>
      <c r="I74" s="70"/>
      <c r="J74" s="682">
        <f t="shared" si="17"/>
        <v>3.1E-2</v>
      </c>
      <c r="K74" s="682">
        <f t="shared" si="17"/>
        <v>3.1699999999999999E-2</v>
      </c>
      <c r="L74" s="682">
        <f t="shared" si="17"/>
        <v>3.1899999999999998E-2</v>
      </c>
      <c r="M74" s="682">
        <f t="shared" si="17"/>
        <v>3.1899999999999998E-2</v>
      </c>
      <c r="N74" s="688">
        <f t="shared" si="17"/>
        <v>3.1899999999999998E-2</v>
      </c>
      <c r="O74" s="689"/>
      <c r="P74" s="70"/>
      <c r="Q74" s="682">
        <f t="shared" si="18"/>
        <v>5.2833944000000001E-2</v>
      </c>
      <c r="R74" s="682">
        <f t="shared" si="18"/>
        <v>5.5875458000000003E-2</v>
      </c>
      <c r="S74" s="682">
        <f t="shared" si="18"/>
        <v>5.4475396000000002E-2</v>
      </c>
      <c r="T74" s="682">
        <f t="shared" si="18"/>
        <v>5.4934037000000012E-2</v>
      </c>
      <c r="U74" s="688">
        <f t="shared" si="18"/>
        <v>5.5127149E-2</v>
      </c>
    </row>
    <row r="75" spans="1:21">
      <c r="A75" s="12" t="s">
        <v>19</v>
      </c>
      <c r="B75" s="173" t="s">
        <v>79</v>
      </c>
      <c r="C75" s="118">
        <v>0.5</v>
      </c>
      <c r="D75" s="118">
        <v>0.6</v>
      </c>
      <c r="E75" s="49">
        <v>2024</v>
      </c>
      <c r="F75" s="680" t="str">
        <f t="shared" si="16"/>
        <v>£m 20/21</v>
      </c>
      <c r="G75" s="698" t="s">
        <v>53</v>
      </c>
      <c r="H75" s="689"/>
      <c r="I75" s="70"/>
      <c r="J75" s="682">
        <f t="shared" si="17"/>
        <v>3.1E-2</v>
      </c>
      <c r="K75" s="682">
        <f t="shared" si="17"/>
        <v>3.1699999999999999E-2</v>
      </c>
      <c r="L75" s="682">
        <f t="shared" si="17"/>
        <v>3.1899999999999998E-2</v>
      </c>
      <c r="M75" s="682">
        <f t="shared" si="17"/>
        <v>3.1899999999999998E-2</v>
      </c>
      <c r="N75" s="688">
        <f t="shared" si="17"/>
        <v>3.1899999999999998E-2</v>
      </c>
      <c r="O75" s="689"/>
      <c r="P75" s="70"/>
      <c r="Q75" s="682">
        <f t="shared" si="18"/>
        <v>5.2833944000000001E-2</v>
      </c>
      <c r="R75" s="682">
        <f t="shared" si="18"/>
        <v>5.5875458000000003E-2</v>
      </c>
      <c r="S75" s="682">
        <f t="shared" si="18"/>
        <v>5.4475396000000002E-2</v>
      </c>
      <c r="T75" s="682">
        <f t="shared" si="18"/>
        <v>5.4934037000000012E-2</v>
      </c>
      <c r="U75" s="688">
        <f t="shared" si="18"/>
        <v>5.5127149E-2</v>
      </c>
    </row>
    <row r="76" spans="1:21">
      <c r="A76" s="12" t="s">
        <v>19</v>
      </c>
      <c r="B76" s="173" t="s">
        <v>80</v>
      </c>
      <c r="C76" s="118">
        <v>0.5</v>
      </c>
      <c r="D76" s="118">
        <v>0.6</v>
      </c>
      <c r="E76" s="49">
        <v>2024</v>
      </c>
      <c r="F76" s="680" t="str">
        <f t="shared" si="16"/>
        <v>£m 20/21</v>
      </c>
      <c r="G76" s="698" t="s">
        <v>53</v>
      </c>
      <c r="H76" s="689"/>
      <c r="I76" s="70"/>
      <c r="J76" s="682">
        <f t="shared" si="17"/>
        <v>3.1E-2</v>
      </c>
      <c r="K76" s="682">
        <f t="shared" si="17"/>
        <v>3.1699999999999999E-2</v>
      </c>
      <c r="L76" s="682">
        <f t="shared" si="17"/>
        <v>3.1899999999999998E-2</v>
      </c>
      <c r="M76" s="682">
        <f t="shared" si="17"/>
        <v>3.1899999999999998E-2</v>
      </c>
      <c r="N76" s="688">
        <f t="shared" si="17"/>
        <v>3.1899999999999998E-2</v>
      </c>
      <c r="O76" s="689"/>
      <c r="P76" s="70"/>
      <c r="Q76" s="682">
        <f t="shared" si="18"/>
        <v>5.2833944000000001E-2</v>
      </c>
      <c r="R76" s="682">
        <f t="shared" si="18"/>
        <v>5.5875458000000003E-2</v>
      </c>
      <c r="S76" s="682">
        <f t="shared" si="18"/>
        <v>5.4475396000000002E-2</v>
      </c>
      <c r="T76" s="682">
        <f t="shared" si="18"/>
        <v>5.4934037000000012E-2</v>
      </c>
      <c r="U76" s="688">
        <f t="shared" si="18"/>
        <v>5.5127149E-2</v>
      </c>
    </row>
    <row r="77" spans="1:21">
      <c r="A77" s="12" t="s">
        <v>25</v>
      </c>
      <c r="B77" s="173" t="s">
        <v>81</v>
      </c>
      <c r="C77" s="118">
        <v>0.5</v>
      </c>
      <c r="D77" s="118">
        <v>0.6</v>
      </c>
      <c r="E77" s="49">
        <v>2022</v>
      </c>
      <c r="F77" s="680" t="str">
        <f t="shared" si="16"/>
        <v>£m 18/19</v>
      </c>
      <c r="G77" s="698" t="s">
        <v>25</v>
      </c>
      <c r="H77" s="690">
        <f t="shared" ref="H77:L91" si="19">INDEX($C$42:$I$51,MATCH($G77,$B$42:$B$51,0),MATCH(H$62,$C$41:$I$41))</f>
        <v>2.0500000000000001E-2</v>
      </c>
      <c r="I77" s="682">
        <f t="shared" si="19"/>
        <v>1.9E-2</v>
      </c>
      <c r="J77" s="682">
        <f t="shared" si="19"/>
        <v>1.9199999999999998E-2</v>
      </c>
      <c r="K77" s="682">
        <f t="shared" si="19"/>
        <v>2.1100000000000001E-2</v>
      </c>
      <c r="L77" s="682">
        <f t="shared" si="19"/>
        <v>2.2599999999999999E-2</v>
      </c>
      <c r="M77" s="70"/>
      <c r="N77" s="691"/>
      <c r="O77" s="690">
        <f t="shared" ref="O77:S91" si="20">INDEX($C$55:$I$59,MATCH($A77,$B$55:$B$59,0),MATCH(O$62,$C$54:$I$54))</f>
        <v>4.5181881000000007E-2</v>
      </c>
      <c r="P77" s="682">
        <f t="shared" si="20"/>
        <v>4.5568105000000005E-2</v>
      </c>
      <c r="Q77" s="682">
        <f t="shared" si="20"/>
        <v>5.2833944000000001E-2</v>
      </c>
      <c r="R77" s="682">
        <f t="shared" si="20"/>
        <v>5.5875458000000003E-2</v>
      </c>
      <c r="S77" s="682">
        <f t="shared" si="20"/>
        <v>5.4475395999999995E-2</v>
      </c>
      <c r="T77" s="70"/>
      <c r="U77" s="691"/>
    </row>
    <row r="78" spans="1:21">
      <c r="A78" s="12" t="s">
        <v>25</v>
      </c>
      <c r="B78" s="173" t="s">
        <v>82</v>
      </c>
      <c r="C78" s="118">
        <v>0.5</v>
      </c>
      <c r="D78" s="118">
        <v>0.6</v>
      </c>
      <c r="E78" s="49">
        <v>2022</v>
      </c>
      <c r="F78" s="680" t="str">
        <f t="shared" si="16"/>
        <v>£m 18/19</v>
      </c>
      <c r="G78" s="698" t="s">
        <v>25</v>
      </c>
      <c r="H78" s="690">
        <f t="shared" si="19"/>
        <v>2.0500000000000001E-2</v>
      </c>
      <c r="I78" s="682">
        <f t="shared" si="19"/>
        <v>1.9E-2</v>
      </c>
      <c r="J78" s="682">
        <f t="shared" si="19"/>
        <v>1.9199999999999998E-2</v>
      </c>
      <c r="K78" s="682">
        <f t="shared" si="19"/>
        <v>2.1100000000000001E-2</v>
      </c>
      <c r="L78" s="682">
        <f t="shared" si="19"/>
        <v>2.2599999999999999E-2</v>
      </c>
      <c r="M78" s="70"/>
      <c r="N78" s="691"/>
      <c r="O78" s="690">
        <f t="shared" si="20"/>
        <v>4.5181881000000007E-2</v>
      </c>
      <c r="P78" s="682">
        <f t="shared" si="20"/>
        <v>4.5568105000000005E-2</v>
      </c>
      <c r="Q78" s="682">
        <f t="shared" si="20"/>
        <v>5.2833944000000001E-2</v>
      </c>
      <c r="R78" s="682">
        <f t="shared" si="20"/>
        <v>5.5875458000000003E-2</v>
      </c>
      <c r="S78" s="682">
        <f t="shared" si="20"/>
        <v>5.4475395999999995E-2</v>
      </c>
      <c r="T78" s="70"/>
      <c r="U78" s="691"/>
    </row>
    <row r="79" spans="1:21">
      <c r="A79" s="12" t="s">
        <v>25</v>
      </c>
      <c r="B79" s="173" t="s">
        <v>83</v>
      </c>
      <c r="C79" s="118">
        <v>0.5</v>
      </c>
      <c r="D79" s="118">
        <v>0.6</v>
      </c>
      <c r="E79" s="49">
        <v>2022</v>
      </c>
      <c r="F79" s="680" t="str">
        <f t="shared" si="16"/>
        <v>£m 18/19</v>
      </c>
      <c r="G79" s="698" t="s">
        <v>25</v>
      </c>
      <c r="H79" s="690">
        <f t="shared" si="19"/>
        <v>2.0500000000000001E-2</v>
      </c>
      <c r="I79" s="682">
        <f t="shared" si="19"/>
        <v>1.9E-2</v>
      </c>
      <c r="J79" s="682">
        <f t="shared" si="19"/>
        <v>1.9199999999999998E-2</v>
      </c>
      <c r="K79" s="682">
        <f t="shared" si="19"/>
        <v>2.1100000000000001E-2</v>
      </c>
      <c r="L79" s="682">
        <f t="shared" si="19"/>
        <v>2.2599999999999999E-2</v>
      </c>
      <c r="M79" s="70"/>
      <c r="N79" s="691"/>
      <c r="O79" s="690">
        <f t="shared" si="20"/>
        <v>4.5181881000000007E-2</v>
      </c>
      <c r="P79" s="682">
        <f t="shared" si="20"/>
        <v>4.5568105000000005E-2</v>
      </c>
      <c r="Q79" s="682">
        <f t="shared" si="20"/>
        <v>5.2833944000000001E-2</v>
      </c>
      <c r="R79" s="682">
        <f t="shared" si="20"/>
        <v>5.5875458000000003E-2</v>
      </c>
      <c r="S79" s="682">
        <f t="shared" si="20"/>
        <v>5.4475395999999995E-2</v>
      </c>
      <c r="T79" s="70"/>
      <c r="U79" s="691"/>
    </row>
    <row r="80" spans="1:21">
      <c r="A80" s="12" t="s">
        <v>25</v>
      </c>
      <c r="B80" s="173" t="s">
        <v>84</v>
      </c>
      <c r="C80" s="118">
        <v>0.5</v>
      </c>
      <c r="D80" s="118">
        <v>0.6</v>
      </c>
      <c r="E80" s="49">
        <v>2022</v>
      </c>
      <c r="F80" s="680" t="str">
        <f t="shared" si="16"/>
        <v>£m 18/19</v>
      </c>
      <c r="G80" s="698" t="s">
        <v>25</v>
      </c>
      <c r="H80" s="690">
        <f t="shared" si="19"/>
        <v>2.0500000000000001E-2</v>
      </c>
      <c r="I80" s="682">
        <f t="shared" si="19"/>
        <v>1.9E-2</v>
      </c>
      <c r="J80" s="682">
        <f t="shared" si="19"/>
        <v>1.9199999999999998E-2</v>
      </c>
      <c r="K80" s="682">
        <f t="shared" si="19"/>
        <v>2.1100000000000001E-2</v>
      </c>
      <c r="L80" s="682">
        <f t="shared" si="19"/>
        <v>2.2599999999999999E-2</v>
      </c>
      <c r="M80" s="70"/>
      <c r="N80" s="691"/>
      <c r="O80" s="690">
        <f t="shared" si="20"/>
        <v>4.5181881000000007E-2</v>
      </c>
      <c r="P80" s="682">
        <f t="shared" si="20"/>
        <v>4.5568105000000005E-2</v>
      </c>
      <c r="Q80" s="682">
        <f t="shared" si="20"/>
        <v>5.2833944000000001E-2</v>
      </c>
      <c r="R80" s="682">
        <f t="shared" si="20"/>
        <v>5.5875458000000003E-2</v>
      </c>
      <c r="S80" s="682">
        <f t="shared" si="20"/>
        <v>5.4475395999999995E-2</v>
      </c>
      <c r="T80" s="70"/>
      <c r="U80" s="691"/>
    </row>
    <row r="81" spans="1:21">
      <c r="A81" s="12" t="s">
        <v>25</v>
      </c>
      <c r="B81" s="173" t="s">
        <v>4</v>
      </c>
      <c r="C81" s="118">
        <v>0.51</v>
      </c>
      <c r="D81" s="118">
        <v>0.6</v>
      </c>
      <c r="E81" s="49">
        <v>2022</v>
      </c>
      <c r="F81" s="680" t="str">
        <f t="shared" si="16"/>
        <v>£m 18/19</v>
      </c>
      <c r="G81" s="698" t="s">
        <v>56</v>
      </c>
      <c r="H81" s="690">
        <f t="shared" si="19"/>
        <v>2.1100000000000001E-2</v>
      </c>
      <c r="I81" s="682">
        <f t="shared" si="19"/>
        <v>1.9599999999999999E-2</v>
      </c>
      <c r="J81" s="682">
        <f t="shared" si="19"/>
        <v>1.9799999999999998E-2</v>
      </c>
      <c r="K81" s="682">
        <f t="shared" si="19"/>
        <v>2.1700000000000001E-2</v>
      </c>
      <c r="L81" s="682">
        <f t="shared" si="19"/>
        <v>2.3199999999999998E-2</v>
      </c>
      <c r="M81" s="70"/>
      <c r="N81" s="691"/>
      <c r="O81" s="690">
        <f t="shared" si="20"/>
        <v>4.5181881000000007E-2</v>
      </c>
      <c r="P81" s="682">
        <f t="shared" si="20"/>
        <v>4.5568105000000005E-2</v>
      </c>
      <c r="Q81" s="682">
        <f t="shared" si="20"/>
        <v>5.2833944000000001E-2</v>
      </c>
      <c r="R81" s="682">
        <f t="shared" si="20"/>
        <v>5.5875458000000003E-2</v>
      </c>
      <c r="S81" s="682">
        <f t="shared" si="20"/>
        <v>5.4475395999999995E-2</v>
      </c>
      <c r="T81" s="70"/>
      <c r="U81" s="691"/>
    </row>
    <row r="82" spans="1:21">
      <c r="A82" s="12" t="s">
        <v>25</v>
      </c>
      <c r="B82" s="173" t="s">
        <v>85</v>
      </c>
      <c r="C82" s="118">
        <v>0.51</v>
      </c>
      <c r="D82" s="118">
        <v>0.6</v>
      </c>
      <c r="E82" s="49">
        <v>2022</v>
      </c>
      <c r="F82" s="680" t="str">
        <f t="shared" si="16"/>
        <v>£m 18/19</v>
      </c>
      <c r="G82" s="698" t="s">
        <v>56</v>
      </c>
      <c r="H82" s="690">
        <f t="shared" si="19"/>
        <v>2.1100000000000001E-2</v>
      </c>
      <c r="I82" s="682">
        <f t="shared" si="19"/>
        <v>1.9599999999999999E-2</v>
      </c>
      <c r="J82" s="682">
        <f t="shared" si="19"/>
        <v>1.9799999999999998E-2</v>
      </c>
      <c r="K82" s="682">
        <f t="shared" si="19"/>
        <v>2.1700000000000001E-2</v>
      </c>
      <c r="L82" s="682">
        <f t="shared" si="19"/>
        <v>2.3199999999999998E-2</v>
      </c>
      <c r="M82" s="70"/>
      <c r="N82" s="691"/>
      <c r="O82" s="690">
        <f t="shared" si="20"/>
        <v>4.5181881000000007E-2</v>
      </c>
      <c r="P82" s="682">
        <f t="shared" si="20"/>
        <v>4.5568105000000005E-2</v>
      </c>
      <c r="Q82" s="682">
        <f t="shared" si="20"/>
        <v>5.2833944000000001E-2</v>
      </c>
      <c r="R82" s="682">
        <f t="shared" si="20"/>
        <v>5.5875458000000003E-2</v>
      </c>
      <c r="S82" s="682">
        <f t="shared" si="20"/>
        <v>5.4475395999999995E-2</v>
      </c>
      <c r="T82" s="70"/>
      <c r="U82" s="691"/>
    </row>
    <row r="83" spans="1:21">
      <c r="A83" s="12" t="s">
        <v>25</v>
      </c>
      <c r="B83" s="173" t="s">
        <v>86</v>
      </c>
      <c r="C83" s="118">
        <v>0.5</v>
      </c>
      <c r="D83" s="118">
        <v>0.6</v>
      </c>
      <c r="E83" s="49">
        <v>2022</v>
      </c>
      <c r="F83" s="680" t="str">
        <f t="shared" si="16"/>
        <v>£m 18/19</v>
      </c>
      <c r="G83" s="698" t="s">
        <v>25</v>
      </c>
      <c r="H83" s="690">
        <f t="shared" si="19"/>
        <v>2.0500000000000001E-2</v>
      </c>
      <c r="I83" s="682">
        <f t="shared" si="19"/>
        <v>1.9E-2</v>
      </c>
      <c r="J83" s="682">
        <f t="shared" si="19"/>
        <v>1.9199999999999998E-2</v>
      </c>
      <c r="K83" s="682">
        <f t="shared" si="19"/>
        <v>2.1100000000000001E-2</v>
      </c>
      <c r="L83" s="682">
        <f t="shared" si="19"/>
        <v>2.2599999999999999E-2</v>
      </c>
      <c r="M83" s="70"/>
      <c r="N83" s="691"/>
      <c r="O83" s="690">
        <f t="shared" si="20"/>
        <v>4.5181881000000007E-2</v>
      </c>
      <c r="P83" s="682">
        <f t="shared" si="20"/>
        <v>4.5568105000000005E-2</v>
      </c>
      <c r="Q83" s="682">
        <f t="shared" si="20"/>
        <v>5.2833944000000001E-2</v>
      </c>
      <c r="R83" s="682">
        <f t="shared" si="20"/>
        <v>5.5875458000000003E-2</v>
      </c>
      <c r="S83" s="682">
        <f t="shared" si="20"/>
        <v>5.4475395999999995E-2</v>
      </c>
      <c r="T83" s="70"/>
      <c r="U83" s="691"/>
    </row>
    <row r="84" spans="1:21">
      <c r="A84" s="12" t="s">
        <v>25</v>
      </c>
      <c r="B84" s="173" t="s">
        <v>87</v>
      </c>
      <c r="C84" s="118">
        <v>0.5</v>
      </c>
      <c r="D84" s="118">
        <v>0.6</v>
      </c>
      <c r="E84" s="49">
        <v>2022</v>
      </c>
      <c r="F84" s="680" t="str">
        <f t="shared" si="16"/>
        <v>£m 18/19</v>
      </c>
      <c r="G84" s="698" t="s">
        <v>56</v>
      </c>
      <c r="H84" s="690">
        <f t="shared" si="19"/>
        <v>2.1100000000000001E-2</v>
      </c>
      <c r="I84" s="682">
        <f t="shared" si="19"/>
        <v>1.9599999999999999E-2</v>
      </c>
      <c r="J84" s="682">
        <f t="shared" si="19"/>
        <v>1.9799999999999998E-2</v>
      </c>
      <c r="K84" s="682">
        <f t="shared" si="19"/>
        <v>2.1700000000000001E-2</v>
      </c>
      <c r="L84" s="682">
        <f t="shared" si="19"/>
        <v>2.3199999999999998E-2</v>
      </c>
      <c r="M84" s="70"/>
      <c r="N84" s="691"/>
      <c r="O84" s="690">
        <f t="shared" si="20"/>
        <v>4.5181881000000007E-2</v>
      </c>
      <c r="P84" s="682">
        <f t="shared" si="20"/>
        <v>4.5568105000000005E-2</v>
      </c>
      <c r="Q84" s="682">
        <f t="shared" si="20"/>
        <v>5.2833944000000001E-2</v>
      </c>
      <c r="R84" s="682">
        <f t="shared" si="20"/>
        <v>5.5875458000000003E-2</v>
      </c>
      <c r="S84" s="682">
        <f t="shared" si="20"/>
        <v>5.4475395999999995E-2</v>
      </c>
      <c r="T84" s="70"/>
      <c r="U84" s="691"/>
    </row>
    <row r="85" spans="1:21">
      <c r="A85" s="12" t="s">
        <v>27</v>
      </c>
      <c r="B85" s="173" t="s">
        <v>88</v>
      </c>
      <c r="C85" s="118">
        <v>0.61</v>
      </c>
      <c r="D85" s="118">
        <v>0.6</v>
      </c>
      <c r="E85" s="49">
        <v>2022</v>
      </c>
      <c r="F85" s="680" t="str">
        <f t="shared" si="16"/>
        <v>£m 18/19</v>
      </c>
      <c r="G85" s="698" t="s">
        <v>27</v>
      </c>
      <c r="H85" s="690">
        <f t="shared" si="19"/>
        <v>2.0500000000000001E-2</v>
      </c>
      <c r="I85" s="682">
        <f t="shared" si="19"/>
        <v>1.9E-2</v>
      </c>
      <c r="J85" s="682">
        <f t="shared" si="19"/>
        <v>1.9199999999999998E-2</v>
      </c>
      <c r="K85" s="682">
        <f t="shared" si="19"/>
        <v>2.1100000000000001E-2</v>
      </c>
      <c r="L85" s="682">
        <f t="shared" si="19"/>
        <v>2.2599999999999999E-2</v>
      </c>
      <c r="M85" s="70"/>
      <c r="N85" s="691"/>
      <c r="O85" s="690">
        <f t="shared" si="20"/>
        <v>4.5181881000000007E-2</v>
      </c>
      <c r="P85" s="682">
        <f t="shared" si="20"/>
        <v>4.5568105000000005E-2</v>
      </c>
      <c r="Q85" s="682">
        <f t="shared" si="20"/>
        <v>5.2833944000000001E-2</v>
      </c>
      <c r="R85" s="682">
        <f t="shared" si="20"/>
        <v>5.5875458000000003E-2</v>
      </c>
      <c r="S85" s="682">
        <f t="shared" si="20"/>
        <v>5.4475395999999995E-2</v>
      </c>
      <c r="T85" s="70"/>
      <c r="U85" s="691"/>
    </row>
    <row r="86" spans="1:21">
      <c r="A86" s="12" t="s">
        <v>27</v>
      </c>
      <c r="B86" s="173" t="s">
        <v>89</v>
      </c>
      <c r="C86" s="118">
        <v>0.61</v>
      </c>
      <c r="D86" s="118">
        <v>0.6</v>
      </c>
      <c r="E86" s="49">
        <v>2022</v>
      </c>
      <c r="F86" s="680" t="str">
        <f t="shared" si="16"/>
        <v>£m 18/19</v>
      </c>
      <c r="G86" s="698" t="s">
        <v>27</v>
      </c>
      <c r="H86" s="690">
        <f t="shared" si="19"/>
        <v>2.0500000000000001E-2</v>
      </c>
      <c r="I86" s="682">
        <f t="shared" si="19"/>
        <v>1.9E-2</v>
      </c>
      <c r="J86" s="682">
        <f t="shared" si="19"/>
        <v>1.9199999999999998E-2</v>
      </c>
      <c r="K86" s="682">
        <f t="shared" si="19"/>
        <v>2.1100000000000001E-2</v>
      </c>
      <c r="L86" s="682">
        <f t="shared" si="19"/>
        <v>2.2599999999999999E-2</v>
      </c>
      <c r="M86" s="70"/>
      <c r="N86" s="691"/>
      <c r="O86" s="690">
        <f t="shared" si="20"/>
        <v>4.5181881000000007E-2</v>
      </c>
      <c r="P86" s="682">
        <f t="shared" si="20"/>
        <v>4.5568105000000005E-2</v>
      </c>
      <c r="Q86" s="682">
        <f t="shared" si="20"/>
        <v>5.2833944000000001E-2</v>
      </c>
      <c r="R86" s="682">
        <f t="shared" si="20"/>
        <v>5.5875458000000003E-2</v>
      </c>
      <c r="S86" s="682">
        <f t="shared" si="20"/>
        <v>5.4475395999999995E-2</v>
      </c>
      <c r="T86" s="70"/>
      <c r="U86" s="691"/>
    </row>
    <row r="87" spans="1:21">
      <c r="A87" s="12" t="s">
        <v>27</v>
      </c>
      <c r="B87" s="173" t="s">
        <v>90</v>
      </c>
      <c r="C87" s="118">
        <v>0.61</v>
      </c>
      <c r="D87" s="118">
        <v>0.6</v>
      </c>
      <c r="E87" s="49">
        <v>2022</v>
      </c>
      <c r="F87" s="680" t="str">
        <f t="shared" si="16"/>
        <v>£m 18/19</v>
      </c>
      <c r="G87" s="698" t="s">
        <v>27</v>
      </c>
      <c r="H87" s="690">
        <f t="shared" si="19"/>
        <v>2.0500000000000001E-2</v>
      </c>
      <c r="I87" s="682">
        <f t="shared" si="19"/>
        <v>1.9E-2</v>
      </c>
      <c r="J87" s="682">
        <f t="shared" si="19"/>
        <v>1.9199999999999998E-2</v>
      </c>
      <c r="K87" s="682">
        <f t="shared" si="19"/>
        <v>2.1100000000000001E-2</v>
      </c>
      <c r="L87" s="682">
        <f t="shared" si="19"/>
        <v>2.2599999999999999E-2</v>
      </c>
      <c r="M87" s="70"/>
      <c r="N87" s="691"/>
      <c r="O87" s="690">
        <f t="shared" si="20"/>
        <v>4.5181881000000007E-2</v>
      </c>
      <c r="P87" s="682">
        <f t="shared" si="20"/>
        <v>4.5568105000000005E-2</v>
      </c>
      <c r="Q87" s="682">
        <f t="shared" si="20"/>
        <v>5.2833944000000001E-2</v>
      </c>
      <c r="R87" s="682">
        <f t="shared" si="20"/>
        <v>5.5875458000000003E-2</v>
      </c>
      <c r="S87" s="682">
        <f t="shared" si="20"/>
        <v>5.4475395999999995E-2</v>
      </c>
      <c r="T87" s="70"/>
      <c r="U87" s="691"/>
    </row>
    <row r="88" spans="1:21">
      <c r="A88" s="12" t="s">
        <v>22</v>
      </c>
      <c r="B88" s="173" t="s">
        <v>91</v>
      </c>
      <c r="C88" s="118">
        <v>0.67</v>
      </c>
      <c r="D88" s="118">
        <v>0.55000000000000004</v>
      </c>
      <c r="E88" s="49">
        <v>2022</v>
      </c>
      <c r="F88" s="680" t="str">
        <f t="shared" si="16"/>
        <v>£m 18/19</v>
      </c>
      <c r="G88" s="698" t="s">
        <v>55</v>
      </c>
      <c r="H88" s="690">
        <f t="shared" si="19"/>
        <v>2.0500000000000001E-2</v>
      </c>
      <c r="I88" s="682">
        <f t="shared" si="19"/>
        <v>1.9E-2</v>
      </c>
      <c r="J88" s="682">
        <f t="shared" si="19"/>
        <v>1.9199999999999998E-2</v>
      </c>
      <c r="K88" s="682">
        <f t="shared" si="19"/>
        <v>2.1100000000000001E-2</v>
      </c>
      <c r="L88" s="682">
        <f t="shared" si="19"/>
        <v>2.2599999999999999E-2</v>
      </c>
      <c r="M88" s="70"/>
      <c r="N88" s="691"/>
      <c r="O88" s="690">
        <f t="shared" si="20"/>
        <v>4.2439449777777784E-2</v>
      </c>
      <c r="P88" s="682">
        <f t="shared" si="20"/>
        <v>4.2616093333333334E-2</v>
      </c>
      <c r="Q88" s="682">
        <f t="shared" si="20"/>
        <v>4.909683911111111E-2</v>
      </c>
      <c r="R88" s="682">
        <f t="shared" si="20"/>
        <v>5.2011518222222233E-2</v>
      </c>
      <c r="S88" s="682">
        <f t="shared" si="20"/>
        <v>5.0933685333333333E-2</v>
      </c>
      <c r="T88" s="70"/>
      <c r="U88" s="691"/>
    </row>
    <row r="89" spans="1:21">
      <c r="A89" s="12" t="s">
        <v>29</v>
      </c>
      <c r="B89" s="127" t="s">
        <v>29</v>
      </c>
      <c r="C89" s="118">
        <v>1</v>
      </c>
      <c r="D89" s="118">
        <v>0.55000000000000004</v>
      </c>
      <c r="E89" s="49">
        <v>2022</v>
      </c>
      <c r="F89" s="680" t="str">
        <f t="shared" si="16"/>
        <v>£m 18/19</v>
      </c>
      <c r="G89" s="698" t="s">
        <v>29</v>
      </c>
      <c r="H89" s="690">
        <f>INDEX($C$42:$I$51,MATCH($G89,$B$42:$B$51,0),MATCH(H$62,$C$41:$I$41))</f>
        <v>-5.9999999999999995E-4</v>
      </c>
      <c r="I89" s="682">
        <f t="shared" si="19"/>
        <v>2.12E-2</v>
      </c>
      <c r="J89" s="682">
        <f t="shared" si="19"/>
        <v>5.0099999999999999E-2</v>
      </c>
      <c r="K89" s="682">
        <f t="shared" si="19"/>
        <v>4.7300000000000002E-2</v>
      </c>
      <c r="L89" s="682">
        <f t="shared" si="19"/>
        <v>4.19E-2</v>
      </c>
      <c r="M89" s="70"/>
      <c r="N89" s="691"/>
      <c r="O89" s="690">
        <f t="shared" si="20"/>
        <v>7.5718976000000007E-2</v>
      </c>
      <c r="P89" s="682">
        <f t="shared" si="20"/>
        <v>7.5510080000000007E-2</v>
      </c>
      <c r="Q89" s="682">
        <f t="shared" si="20"/>
        <v>7.1580223999999998E-2</v>
      </c>
      <c r="R89" s="682">
        <f t="shared" si="20"/>
        <v>6.9935168000000006E-2</v>
      </c>
      <c r="S89" s="682">
        <f t="shared" si="20"/>
        <v>7.0313792E-2</v>
      </c>
      <c r="T89" s="70"/>
      <c r="U89" s="691"/>
    </row>
    <row r="90" spans="1:21">
      <c r="A90" s="12" t="s">
        <v>22</v>
      </c>
      <c r="B90" s="173" t="s">
        <v>92</v>
      </c>
      <c r="C90" s="118">
        <v>0.51</v>
      </c>
      <c r="D90" s="118">
        <v>0.55000000000000004</v>
      </c>
      <c r="E90" s="49">
        <v>2022</v>
      </c>
      <c r="F90" s="680" t="str">
        <f t="shared" si="16"/>
        <v>£m 18/19</v>
      </c>
      <c r="G90" s="698" t="s">
        <v>55</v>
      </c>
      <c r="H90" s="690">
        <f t="shared" si="19"/>
        <v>2.0500000000000001E-2</v>
      </c>
      <c r="I90" s="682">
        <f t="shared" si="19"/>
        <v>1.9E-2</v>
      </c>
      <c r="J90" s="682">
        <f t="shared" si="19"/>
        <v>1.9199999999999998E-2</v>
      </c>
      <c r="K90" s="682">
        <f t="shared" si="19"/>
        <v>2.1100000000000001E-2</v>
      </c>
      <c r="L90" s="682">
        <f t="shared" si="19"/>
        <v>2.2599999999999999E-2</v>
      </c>
      <c r="M90" s="70"/>
      <c r="N90" s="691"/>
      <c r="O90" s="690">
        <f t="shared" si="20"/>
        <v>4.2439449777777784E-2</v>
      </c>
      <c r="P90" s="682">
        <f t="shared" si="20"/>
        <v>4.2616093333333334E-2</v>
      </c>
      <c r="Q90" s="682">
        <f t="shared" si="20"/>
        <v>4.909683911111111E-2</v>
      </c>
      <c r="R90" s="682">
        <f t="shared" si="20"/>
        <v>5.2011518222222233E-2</v>
      </c>
      <c r="S90" s="682">
        <f t="shared" si="20"/>
        <v>5.0933685333333333E-2</v>
      </c>
      <c r="T90" s="70"/>
      <c r="U90" s="691"/>
    </row>
    <row r="91" spans="1:21" ht="14" thickBot="1">
      <c r="A91" s="12" t="s">
        <v>22</v>
      </c>
      <c r="B91" s="174" t="s">
        <v>54</v>
      </c>
      <c r="C91" s="166">
        <v>0.64</v>
      </c>
      <c r="D91" s="166">
        <v>0.55000000000000004</v>
      </c>
      <c r="E91" s="175">
        <v>2022</v>
      </c>
      <c r="F91" s="681" t="str">
        <f t="shared" si="16"/>
        <v>£m 18/19</v>
      </c>
      <c r="G91" s="699" t="s">
        <v>54</v>
      </c>
      <c r="H91" s="692">
        <f t="shared" si="19"/>
        <v>1.8184707641684131E-2</v>
      </c>
      <c r="I91" s="693">
        <f t="shared" si="19"/>
        <v>1.5816904422859705E-2</v>
      </c>
      <c r="J91" s="693">
        <f t="shared" si="19"/>
        <v>1.8016000499583691E-2</v>
      </c>
      <c r="K91" s="693">
        <f t="shared" si="19"/>
        <v>2.3111514046595519E-2</v>
      </c>
      <c r="L91" s="693">
        <f t="shared" si="19"/>
        <v>2.6621070489787287E-2</v>
      </c>
      <c r="M91" s="694"/>
      <c r="N91" s="695"/>
      <c r="O91" s="692">
        <f t="shared" si="20"/>
        <v>4.2439449777777784E-2</v>
      </c>
      <c r="P91" s="693">
        <f t="shared" si="20"/>
        <v>4.2616093333333334E-2</v>
      </c>
      <c r="Q91" s="693">
        <f t="shared" si="20"/>
        <v>4.909683911111111E-2</v>
      </c>
      <c r="R91" s="693">
        <f t="shared" si="20"/>
        <v>5.2011518222222233E-2</v>
      </c>
      <c r="S91" s="693">
        <f t="shared" si="20"/>
        <v>5.0933685333333333E-2</v>
      </c>
      <c r="T91" s="694"/>
      <c r="U91" s="695"/>
    </row>
    <row r="92" spans="1:21">
      <c r="I92" s="14"/>
    </row>
    <row r="93" spans="1:21">
      <c r="I93" s="14"/>
    </row>
    <row r="94" spans="1:21">
      <c r="I94" s="14"/>
    </row>
    <row r="95" spans="1:21">
      <c r="B95" s="1"/>
      <c r="D95" s="112"/>
      <c r="E95" s="112"/>
      <c r="F95" s="112"/>
      <c r="G95" s="112"/>
      <c r="H95" s="112"/>
      <c r="I95" s="112"/>
      <c r="J95" s="112"/>
    </row>
    <row r="97" spans="2:14" ht="15.5">
      <c r="B97" s="101" t="s">
        <v>93</v>
      </c>
      <c r="C97" s="24">
        <v>2022</v>
      </c>
      <c r="D97" s="25">
        <f t="shared" ref="D97:I97" si="21">C97+1</f>
        <v>2023</v>
      </c>
      <c r="E97" s="25">
        <f t="shared" si="21"/>
        <v>2024</v>
      </c>
      <c r="F97" s="25">
        <f t="shared" si="21"/>
        <v>2025</v>
      </c>
      <c r="G97" s="25">
        <f t="shared" si="21"/>
        <v>2026</v>
      </c>
      <c r="H97" s="25">
        <f t="shared" si="21"/>
        <v>2027</v>
      </c>
      <c r="I97" s="25">
        <f t="shared" si="21"/>
        <v>2028</v>
      </c>
    </row>
    <row r="98" spans="2:14">
      <c r="B98" s="102" t="s">
        <v>70</v>
      </c>
      <c r="C98" s="70"/>
      <c r="D98" s="70"/>
      <c r="E98" s="103">
        <v>0</v>
      </c>
      <c r="F98" s="103">
        <v>0</v>
      </c>
      <c r="G98" s="103">
        <v>0</v>
      </c>
      <c r="H98" s="103">
        <v>0</v>
      </c>
      <c r="I98" s="103">
        <v>0</v>
      </c>
    </row>
    <row r="99" spans="2:14">
      <c r="B99" s="102" t="s">
        <v>71</v>
      </c>
      <c r="C99" s="70"/>
      <c r="D99" s="70"/>
      <c r="E99" s="103">
        <v>0</v>
      </c>
      <c r="F99" s="103">
        <v>0</v>
      </c>
      <c r="G99" s="103">
        <v>0</v>
      </c>
      <c r="H99" s="103">
        <v>0</v>
      </c>
      <c r="I99" s="103">
        <v>0</v>
      </c>
    </row>
    <row r="100" spans="2:14">
      <c r="B100" s="102" t="s">
        <v>72</v>
      </c>
      <c r="C100" s="70"/>
      <c r="D100" s="70"/>
      <c r="E100" s="103">
        <v>0</v>
      </c>
      <c r="F100" s="103">
        <v>0</v>
      </c>
      <c r="G100" s="103">
        <v>0</v>
      </c>
      <c r="H100" s="103">
        <v>0</v>
      </c>
      <c r="I100" s="103">
        <v>0</v>
      </c>
      <c r="J100" s="81"/>
      <c r="K100" s="81"/>
      <c r="L100" s="81"/>
      <c r="M100" s="81"/>
      <c r="N100" s="81"/>
    </row>
    <row r="101" spans="2:14">
      <c r="B101" s="102" t="s">
        <v>52</v>
      </c>
      <c r="C101" s="70"/>
      <c r="D101" s="70"/>
      <c r="E101" s="103">
        <v>0</v>
      </c>
      <c r="F101" s="103">
        <v>0</v>
      </c>
      <c r="G101" s="103">
        <v>0</v>
      </c>
      <c r="H101" s="103">
        <v>0</v>
      </c>
      <c r="I101" s="103">
        <v>0</v>
      </c>
    </row>
    <row r="102" spans="2:14">
      <c r="B102" s="102" t="s">
        <v>73</v>
      </c>
      <c r="C102" s="70"/>
      <c r="D102" s="70"/>
      <c r="E102" s="103">
        <v>0.95193542636815776</v>
      </c>
      <c r="F102" s="103">
        <v>0.95193542636815776</v>
      </c>
      <c r="G102" s="103">
        <v>0.95193542636815776</v>
      </c>
      <c r="H102" s="103">
        <v>0.95193542636815776</v>
      </c>
      <c r="I102" s="103">
        <v>0.95193542636815776</v>
      </c>
    </row>
    <row r="103" spans="2:14">
      <c r="B103" s="102" t="s">
        <v>74</v>
      </c>
      <c r="C103" s="70"/>
      <c r="D103" s="70"/>
      <c r="E103" s="103">
        <v>4.1422258913848848</v>
      </c>
      <c r="F103" s="103">
        <v>4.1422258913848848</v>
      </c>
      <c r="G103" s="103">
        <v>4.1422258913848848</v>
      </c>
      <c r="H103" s="103">
        <v>4.1422258913848848</v>
      </c>
      <c r="I103" s="103">
        <v>4.1422258913848848</v>
      </c>
    </row>
    <row r="104" spans="2:14">
      <c r="B104" s="102" t="s">
        <v>75</v>
      </c>
      <c r="C104" s="70"/>
      <c r="D104" s="70"/>
      <c r="E104" s="103">
        <v>0</v>
      </c>
      <c r="F104" s="103">
        <v>0</v>
      </c>
      <c r="G104" s="103">
        <v>0</v>
      </c>
      <c r="H104" s="103">
        <v>0</v>
      </c>
      <c r="I104" s="103">
        <v>0</v>
      </c>
    </row>
    <row r="105" spans="2:14">
      <c r="B105" s="102" t="s">
        <v>76</v>
      </c>
      <c r="C105" s="70"/>
      <c r="D105" s="70"/>
      <c r="E105" s="103">
        <v>0</v>
      </c>
      <c r="F105" s="103">
        <v>0</v>
      </c>
      <c r="G105" s="103">
        <v>0</v>
      </c>
      <c r="H105" s="103">
        <v>0</v>
      </c>
      <c r="I105" s="103">
        <v>0</v>
      </c>
    </row>
    <row r="106" spans="2:14">
      <c r="B106" s="102" t="s">
        <v>77</v>
      </c>
      <c r="C106" s="70"/>
      <c r="D106" s="70"/>
      <c r="E106" s="103">
        <v>1.2350000000000001</v>
      </c>
      <c r="F106" s="103">
        <v>0</v>
      </c>
      <c r="G106" s="103">
        <v>0</v>
      </c>
      <c r="H106" s="103">
        <v>0</v>
      </c>
      <c r="I106" s="103">
        <v>0</v>
      </c>
    </row>
    <row r="107" spans="2:14">
      <c r="B107" s="102" t="s">
        <v>50</v>
      </c>
      <c r="C107" s="70"/>
      <c r="D107" s="70"/>
      <c r="E107" s="103">
        <v>2.3050000000000002</v>
      </c>
      <c r="F107" s="103">
        <v>0</v>
      </c>
      <c r="G107" s="103">
        <v>0</v>
      </c>
      <c r="H107" s="103">
        <v>0</v>
      </c>
      <c r="I107" s="103">
        <v>0</v>
      </c>
    </row>
    <row r="108" spans="2:14">
      <c r="B108" s="102" t="s">
        <v>51</v>
      </c>
      <c r="C108" s="70"/>
      <c r="D108" s="70"/>
      <c r="E108" s="103">
        <v>1.38</v>
      </c>
      <c r="F108" s="103">
        <v>0</v>
      </c>
      <c r="G108" s="103">
        <v>0</v>
      </c>
      <c r="H108" s="103">
        <v>0</v>
      </c>
      <c r="I108" s="103">
        <v>0</v>
      </c>
    </row>
    <row r="109" spans="2:14">
      <c r="B109" s="102" t="s">
        <v>78</v>
      </c>
      <c r="C109" s="70"/>
      <c r="D109" s="70"/>
      <c r="E109" s="103">
        <v>1.38</v>
      </c>
      <c r="F109" s="103">
        <v>0</v>
      </c>
      <c r="G109" s="103">
        <v>0</v>
      </c>
      <c r="H109" s="103">
        <v>0</v>
      </c>
      <c r="I109" s="103">
        <v>0</v>
      </c>
    </row>
    <row r="110" spans="2:14">
      <c r="B110" s="102" t="s">
        <v>79</v>
      </c>
      <c r="C110" s="70"/>
      <c r="D110" s="70"/>
      <c r="E110" s="103">
        <v>0.69</v>
      </c>
      <c r="F110" s="103">
        <v>0</v>
      </c>
      <c r="G110" s="103">
        <v>0</v>
      </c>
      <c r="H110" s="103">
        <v>0</v>
      </c>
      <c r="I110" s="103">
        <v>0</v>
      </c>
    </row>
    <row r="111" spans="2:14">
      <c r="B111" s="102" t="s">
        <v>80</v>
      </c>
      <c r="C111" s="70"/>
      <c r="D111" s="70"/>
      <c r="E111" s="103">
        <v>1.1499999999999999</v>
      </c>
      <c r="F111" s="103">
        <v>0</v>
      </c>
      <c r="G111" s="103">
        <v>0</v>
      </c>
      <c r="H111" s="103">
        <v>0</v>
      </c>
      <c r="I111" s="103">
        <v>0</v>
      </c>
    </row>
    <row r="112" spans="2:14">
      <c r="B112" s="102" t="s">
        <v>81</v>
      </c>
      <c r="C112" s="712">
        <v>0.23941679646380071</v>
      </c>
      <c r="D112" s="712">
        <v>0.23941679646380071</v>
      </c>
      <c r="E112" s="712">
        <v>0.23941679646380071</v>
      </c>
      <c r="F112" s="712">
        <v>0.23941679646380071</v>
      </c>
      <c r="G112" s="712">
        <v>0.23941679646380071</v>
      </c>
      <c r="H112" s="70"/>
      <c r="I112" s="70"/>
    </row>
    <row r="113" spans="2:12">
      <c r="B113" s="102" t="s">
        <v>82</v>
      </c>
      <c r="C113" s="712">
        <v>-1.1368683772161603E-15</v>
      </c>
      <c r="D113" s="712">
        <v>-1.1368683772161603E-15</v>
      </c>
      <c r="E113" s="712">
        <v>-1.1368683772161603E-15</v>
      </c>
      <c r="F113" s="712">
        <v>-1.1368683772161603E-15</v>
      </c>
      <c r="G113" s="712">
        <v>-1.1368683772161603E-15</v>
      </c>
      <c r="H113" s="70"/>
      <c r="I113" s="70"/>
    </row>
    <row r="114" spans="2:12">
      <c r="B114" s="102" t="s">
        <v>83</v>
      </c>
      <c r="C114" s="712">
        <v>-7.0993072540795777E-3</v>
      </c>
      <c r="D114" s="712">
        <v>-7.0993072540795777E-3</v>
      </c>
      <c r="E114" s="712">
        <v>-7.0993072540795777E-3</v>
      </c>
      <c r="F114" s="712">
        <v>-7.0993072540795777E-3</v>
      </c>
      <c r="G114" s="712">
        <v>-7.0993072540795777E-3</v>
      </c>
      <c r="H114" s="70"/>
      <c r="I114" s="70"/>
    </row>
    <row r="115" spans="2:12">
      <c r="B115" s="102" t="s">
        <v>84</v>
      </c>
      <c r="C115" s="712">
        <v>-7.2862331602607357E-3</v>
      </c>
      <c r="D115" s="712">
        <v>-7.2862331602607357E-3</v>
      </c>
      <c r="E115" s="712">
        <v>-7.2862331602607357E-3</v>
      </c>
      <c r="F115" s="712">
        <v>-7.2862331602607357E-3</v>
      </c>
      <c r="G115" s="712">
        <v>-7.2862331602607357E-3</v>
      </c>
      <c r="H115" s="70"/>
      <c r="I115" s="70"/>
    </row>
    <row r="116" spans="2:12">
      <c r="B116" s="102" t="s">
        <v>4</v>
      </c>
      <c r="C116" s="713">
        <v>1.149006</v>
      </c>
      <c r="D116" s="713">
        <v>1.149006</v>
      </c>
      <c r="E116" s="712">
        <v>1.149006</v>
      </c>
      <c r="F116" s="712">
        <v>1.149006</v>
      </c>
      <c r="G116" s="713">
        <v>1.149006</v>
      </c>
      <c r="H116" s="70"/>
      <c r="I116" s="70"/>
    </row>
    <row r="117" spans="2:12">
      <c r="B117" s="102" t="s">
        <v>85</v>
      </c>
      <c r="C117" s="712">
        <v>0</v>
      </c>
      <c r="D117" s="712">
        <v>0</v>
      </c>
      <c r="E117" s="712">
        <v>0</v>
      </c>
      <c r="F117" s="712">
        <v>0</v>
      </c>
      <c r="G117" s="712">
        <v>0</v>
      </c>
      <c r="H117" s="70"/>
      <c r="I117" s="70"/>
    </row>
    <row r="118" spans="2:12">
      <c r="B118" s="102" t="s">
        <v>86</v>
      </c>
      <c r="C118" s="712">
        <v>0</v>
      </c>
      <c r="D118" s="712">
        <v>0</v>
      </c>
      <c r="E118" s="712">
        <v>0</v>
      </c>
      <c r="F118" s="712">
        <v>0</v>
      </c>
      <c r="G118" s="712">
        <v>0</v>
      </c>
      <c r="H118" s="70"/>
      <c r="I118" s="70"/>
    </row>
    <row r="119" spans="2:12">
      <c r="B119" s="102" t="s">
        <v>87</v>
      </c>
      <c r="C119" s="712">
        <v>0</v>
      </c>
      <c r="D119" s="712">
        <v>0</v>
      </c>
      <c r="E119" s="712">
        <v>0</v>
      </c>
      <c r="F119" s="712">
        <v>0</v>
      </c>
      <c r="G119" s="712">
        <v>0</v>
      </c>
      <c r="H119" s="70"/>
      <c r="I119" s="70"/>
    </row>
    <row r="120" spans="2:12">
      <c r="B120" s="102" t="s">
        <v>88</v>
      </c>
      <c r="C120" s="712">
        <v>-4.3390000000000004</v>
      </c>
      <c r="D120" s="712">
        <v>-4.3390000000000004</v>
      </c>
      <c r="E120" s="712">
        <v>-4.3390000000000004</v>
      </c>
      <c r="F120" s="712">
        <v>-4.3390000000000004</v>
      </c>
      <c r="G120" s="712">
        <v>-4.3390000000000004</v>
      </c>
      <c r="H120" s="70"/>
      <c r="I120" s="70"/>
    </row>
    <row r="121" spans="2:12">
      <c r="B121" s="102" t="s">
        <v>89</v>
      </c>
      <c r="C121" s="712">
        <v>0</v>
      </c>
      <c r="D121" s="712">
        <v>0</v>
      </c>
      <c r="E121" s="712">
        <v>0</v>
      </c>
      <c r="F121" s="712">
        <v>0</v>
      </c>
      <c r="G121" s="712">
        <v>0</v>
      </c>
      <c r="H121" s="70"/>
      <c r="I121" s="70"/>
    </row>
    <row r="122" spans="2:12">
      <c r="B122" s="102" t="s">
        <v>90</v>
      </c>
      <c r="C122" s="712">
        <v>-4.3390000000000004</v>
      </c>
      <c r="D122" s="712">
        <v>-4.3390000000000004</v>
      </c>
      <c r="E122" s="712">
        <v>-4.3390000000000004</v>
      </c>
      <c r="F122" s="712">
        <v>-4.3390000000000004</v>
      </c>
      <c r="G122" s="712">
        <v>-4.3390000000000004</v>
      </c>
      <c r="H122" s="70"/>
      <c r="I122" s="70"/>
    </row>
    <row r="123" spans="2:12">
      <c r="B123" s="102" t="s">
        <v>91</v>
      </c>
      <c r="C123" s="712">
        <v>-13</v>
      </c>
      <c r="D123" s="712">
        <v>-13</v>
      </c>
      <c r="E123" s="712">
        <v>-13</v>
      </c>
      <c r="F123" s="712">
        <v>-13</v>
      </c>
      <c r="G123" s="712">
        <v>-13</v>
      </c>
      <c r="H123" s="70"/>
      <c r="I123" s="70"/>
    </row>
    <row r="124" spans="2:12">
      <c r="B124" s="102" t="s">
        <v>29</v>
      </c>
      <c r="C124" s="712">
        <v>0</v>
      </c>
      <c r="D124" s="712">
        <v>0</v>
      </c>
      <c r="E124" s="712">
        <v>0</v>
      </c>
      <c r="F124" s="712">
        <v>0</v>
      </c>
      <c r="G124" s="712">
        <v>0</v>
      </c>
      <c r="H124" s="70"/>
      <c r="I124" s="70"/>
    </row>
    <row r="125" spans="2:12">
      <c r="B125" s="102" t="s">
        <v>92</v>
      </c>
      <c r="C125" s="712">
        <v>1</v>
      </c>
      <c r="D125" s="712">
        <v>1</v>
      </c>
      <c r="E125" s="712">
        <v>1</v>
      </c>
      <c r="F125" s="712">
        <v>1</v>
      </c>
      <c r="G125" s="712">
        <v>1</v>
      </c>
      <c r="H125" s="70"/>
      <c r="I125" s="70"/>
    </row>
    <row r="126" spans="2:12">
      <c r="B126" s="104" t="s">
        <v>54</v>
      </c>
      <c r="C126" s="712">
        <v>4.3620000000000001</v>
      </c>
      <c r="D126" s="712">
        <v>4.3620000000000001</v>
      </c>
      <c r="E126" s="714">
        <v>4.3620000000000001</v>
      </c>
      <c r="F126" s="714">
        <v>4.3620000000000001</v>
      </c>
      <c r="G126" s="714">
        <v>4.3620000000000001</v>
      </c>
      <c r="H126" s="70"/>
      <c r="I126" s="70"/>
    </row>
    <row r="127" spans="2:12">
      <c r="B127" s="34"/>
    </row>
    <row r="128" spans="2:12">
      <c r="B128" s="754" t="str">
        <f>LEFT('RFPR cover'!C8,2)</f>
        <v>ED</v>
      </c>
      <c r="C128" s="215"/>
      <c r="D128" s="215"/>
      <c r="E128" s="215"/>
      <c r="F128" s="215"/>
      <c r="G128" s="215"/>
      <c r="H128" s="215"/>
      <c r="I128" s="215"/>
      <c r="J128" s="215"/>
      <c r="K128" s="215"/>
      <c r="L128" s="135"/>
    </row>
    <row r="129" spans="1:14">
      <c r="A129" s="36"/>
      <c r="B129" s="268" t="s">
        <v>94</v>
      </c>
      <c r="C129" s="80"/>
      <c r="D129" s="80"/>
      <c r="E129" s="80"/>
      <c r="F129" s="81"/>
      <c r="G129" s="81"/>
      <c r="H129" s="81"/>
      <c r="I129" s="81"/>
      <c r="J129" s="81"/>
      <c r="K129" s="81"/>
      <c r="L129" s="81"/>
      <c r="M129" s="81"/>
      <c r="N129" s="81"/>
    </row>
    <row r="130" spans="1:14">
      <c r="A130" s="36"/>
      <c r="B130" s="79"/>
      <c r="C130" s="80"/>
      <c r="D130" s="80"/>
      <c r="E130" s="80"/>
      <c r="F130" s="81"/>
      <c r="G130" s="81"/>
      <c r="H130" s="81"/>
      <c r="I130" s="81"/>
    </row>
    <row r="131" spans="1:14">
      <c r="A131" s="35"/>
      <c r="B131" s="216" t="s">
        <v>95</v>
      </c>
      <c r="C131" s="37"/>
      <c r="D131" s="37"/>
      <c r="E131" s="237" t="b">
        <f>OR((LEFT('RFPR cover'!$C$8,2)=Data!G131),'RFPR cover'!$C$7=Data!G131)</f>
        <v>1</v>
      </c>
      <c r="F131" s="278">
        <f t="shared" ref="F131:F133" si="22">IF(E131,1,0)</f>
        <v>1</v>
      </c>
      <c r="G131" s="238" t="str">
        <f>B141</f>
        <v>ED</v>
      </c>
    </row>
    <row r="132" spans="1:14" ht="16.5" customHeight="1">
      <c r="A132" s="35"/>
      <c r="B132" s="83" t="str">
        <f>IF(SUM($F$131:$F$138)=0,"",CHOOSE(MATCH(TRUE,$E$131:$E$138,0),B142,B153,B164,E164,B175,E175,B185,E185)&amp;"")</f>
        <v>Time to connect ODI</v>
      </c>
      <c r="C132" s="37"/>
      <c r="D132" s="37"/>
      <c r="E132" s="275" t="b">
        <f>OR((LEFT('RFPR cover'!$C$8,2)=Data!G132),'RFPR cover'!$C$7=Data!G132)</f>
        <v>0</v>
      </c>
      <c r="F132" s="228">
        <f t="shared" si="22"/>
        <v>0</v>
      </c>
      <c r="G132" s="229" t="str">
        <f>B152</f>
        <v>GD</v>
      </c>
    </row>
    <row r="133" spans="1:14">
      <c r="A133" s="35"/>
      <c r="B133" s="83" t="str">
        <f t="shared" ref="B133:B139" si="23">IF(SUM($F$131:$F$138)=0,"",CHOOSE(MATCH(TRUE,$E$131:$E$138,0),B143,B154,B165,E165,B176,E176,B186,E186)&amp;"")</f>
        <v>Broad Measure of Customer Service ODI</v>
      </c>
      <c r="C133" s="37"/>
      <c r="D133" s="37"/>
      <c r="E133" s="275" t="b">
        <f>OR((LEFT('RFPR cover'!$C$8,2)=Data!G133),'RFPR cover'!$C$7=Data!G133)</f>
        <v>0</v>
      </c>
      <c r="F133" s="228">
        <f t="shared" si="22"/>
        <v>0</v>
      </c>
      <c r="G133" s="230" t="str">
        <f>B163</f>
        <v>NGGT (TO)</v>
      </c>
    </row>
    <row r="134" spans="1:14">
      <c r="A134" s="35"/>
      <c r="B134" s="83" t="str">
        <f t="shared" si="23"/>
        <v>Interruptions incentive scheme ODI</v>
      </c>
      <c r="C134" s="37"/>
      <c r="D134" s="37"/>
      <c r="E134" s="275" t="b">
        <f>OR((LEFT('RFPR cover'!$C$8,2)=Data!G134),'RFPR cover'!$C$7=Data!G134)</f>
        <v>0</v>
      </c>
      <c r="F134" s="228">
        <f>IF(E134,1,0)</f>
        <v>0</v>
      </c>
      <c r="G134" s="230" t="str">
        <f>E163</f>
        <v>NGGT (TO+SO)</v>
      </c>
    </row>
    <row r="135" spans="1:14">
      <c r="A135" s="35"/>
      <c r="B135" s="83" t="str">
        <f t="shared" si="23"/>
        <v>Major connections ODI</v>
      </c>
      <c r="C135" s="37"/>
      <c r="D135" s="37"/>
      <c r="E135" s="275" t="b">
        <f>OR((LEFT('RFPR cover'!$C$8,2)=Data!G135),'RFPR cover'!$C$7=Data!G135)</f>
        <v>0</v>
      </c>
      <c r="F135" s="228">
        <f>IF(E135,1,0)</f>
        <v>0</v>
      </c>
      <c r="G135" s="230" t="str">
        <f>B174</f>
        <v>NGET (TO)</v>
      </c>
    </row>
    <row r="136" spans="1:14">
      <c r="A136" s="35"/>
      <c r="B136" s="83" t="str">
        <f t="shared" si="23"/>
        <v>Consumer Vulnerability ODI</v>
      </c>
      <c r="C136" s="37"/>
      <c r="D136" s="37"/>
      <c r="E136" s="275" t="b">
        <f>OR((LEFT('RFPR cover'!$C$8,2)=Data!G136),'RFPR cover'!$C$7=Data!G136)</f>
        <v>0</v>
      </c>
      <c r="F136" s="228">
        <f t="shared" ref="F136" si="24">IF(E136,1,0)</f>
        <v>0</v>
      </c>
      <c r="G136" s="230" t="str">
        <f>E174</f>
        <v>ESO</v>
      </c>
    </row>
    <row r="137" spans="1:14">
      <c r="A137" s="35"/>
      <c r="B137" s="83" t="str">
        <f t="shared" si="23"/>
        <v>Distribution System Operator ODI</v>
      </c>
      <c r="C137" s="37"/>
      <c r="D137" s="37"/>
      <c r="E137" s="275" t="b">
        <f>OR((LEFT('RFPR cover'!$C$8,2)=Data!G137),'RFPR cover'!$C$7=Data!G137)</f>
        <v>0</v>
      </c>
      <c r="F137" s="228">
        <f>IF(E137,1,0)</f>
        <v>0</v>
      </c>
      <c r="G137" s="230" t="str">
        <f>B184</f>
        <v>SPT</v>
      </c>
    </row>
    <row r="138" spans="1:14">
      <c r="A138" s="35"/>
      <c r="B138" s="83" t="str">
        <f t="shared" si="23"/>
        <v>Dig, Fix and Go ODI (ENWL only)</v>
      </c>
      <c r="C138" s="37"/>
      <c r="D138" s="37"/>
      <c r="E138" s="231" t="b">
        <f>OR((LEFT('RFPR cover'!$C$8,2)=Data!G138),'RFPR cover'!$C$7=Data!G138)</f>
        <v>0</v>
      </c>
      <c r="F138" s="232">
        <f>IF(E138,1,0)</f>
        <v>0</v>
      </c>
      <c r="G138" s="233" t="s">
        <v>54</v>
      </c>
    </row>
    <row r="139" spans="1:14">
      <c r="A139" s="35"/>
      <c r="B139" s="83" t="str">
        <f t="shared" si="23"/>
        <v>Collaborative Streetworks ODI (EPN, LPN and SPN only)</v>
      </c>
      <c r="C139" s="37"/>
      <c r="D139" s="37"/>
    </row>
    <row r="140" spans="1:14">
      <c r="A140" s="35"/>
      <c r="B140" s="37"/>
      <c r="C140" s="37"/>
      <c r="D140" s="37"/>
      <c r="E140" s="11"/>
      <c r="F140" s="82"/>
    </row>
    <row r="141" spans="1:14">
      <c r="A141" s="35"/>
      <c r="B141" s="815" t="s">
        <v>19</v>
      </c>
      <c r="C141" s="816"/>
      <c r="D141" s="37"/>
      <c r="E141" s="37"/>
    </row>
    <row r="142" spans="1:14">
      <c r="A142" s="35"/>
      <c r="B142" s="829" t="s">
        <v>96</v>
      </c>
      <c r="C142" s="830"/>
      <c r="D142" s="37"/>
      <c r="E142" s="37"/>
    </row>
    <row r="143" spans="1:14">
      <c r="A143" s="35"/>
      <c r="B143" s="809" t="s">
        <v>97</v>
      </c>
      <c r="C143" s="810"/>
      <c r="D143" s="37"/>
      <c r="E143" s="37"/>
    </row>
    <row r="144" spans="1:14">
      <c r="A144" s="35"/>
      <c r="B144" s="809" t="s">
        <v>98</v>
      </c>
      <c r="C144" s="810"/>
      <c r="D144" s="37"/>
      <c r="E144" s="37"/>
    </row>
    <row r="145" spans="1:7">
      <c r="A145" s="35"/>
      <c r="B145" s="809" t="s">
        <v>99</v>
      </c>
      <c r="C145" s="810"/>
      <c r="D145" s="37"/>
      <c r="E145" s="37"/>
    </row>
    <row r="146" spans="1:7">
      <c r="A146" s="35"/>
      <c r="B146" s="809" t="s">
        <v>100</v>
      </c>
      <c r="C146" s="810"/>
      <c r="D146" s="37"/>
      <c r="E146" s="37"/>
    </row>
    <row r="147" spans="1:7">
      <c r="A147" s="35"/>
      <c r="B147" s="809" t="s">
        <v>101</v>
      </c>
      <c r="C147" s="810"/>
      <c r="D147" s="37"/>
      <c r="E147" s="37"/>
    </row>
    <row r="148" spans="1:7">
      <c r="A148" s="35"/>
      <c r="B148" s="809" t="s">
        <v>102</v>
      </c>
      <c r="C148" s="810"/>
      <c r="D148" s="37"/>
      <c r="E148" s="37"/>
    </row>
    <row r="149" spans="1:7">
      <c r="A149" s="35"/>
      <c r="B149" s="827" t="s">
        <v>103</v>
      </c>
      <c r="C149" s="828"/>
      <c r="D149" s="37"/>
      <c r="E149" s="37"/>
    </row>
    <row r="150" spans="1:7">
      <c r="A150" s="35"/>
      <c r="B150" s="37"/>
      <c r="C150" s="37"/>
      <c r="D150" s="37"/>
      <c r="E150" s="37"/>
    </row>
    <row r="151" spans="1:7">
      <c r="A151" s="35"/>
      <c r="B151" s="37"/>
      <c r="C151" s="37"/>
      <c r="D151" s="37"/>
      <c r="E151" s="37"/>
    </row>
    <row r="152" spans="1:7">
      <c r="A152" s="35"/>
      <c r="B152" s="815" t="s">
        <v>25</v>
      </c>
      <c r="C152" s="816"/>
      <c r="D152" s="37"/>
      <c r="E152" s="37"/>
    </row>
    <row r="153" spans="1:7">
      <c r="A153" s="35"/>
      <c r="B153" s="829" t="s">
        <v>104</v>
      </c>
      <c r="C153" s="830"/>
      <c r="E153" s="37"/>
    </row>
    <row r="154" spans="1:7">
      <c r="A154" s="35"/>
      <c r="B154" s="809" t="s">
        <v>105</v>
      </c>
      <c r="C154" s="810"/>
      <c r="D154" s="37"/>
      <c r="E154" s="37"/>
    </row>
    <row r="155" spans="1:7" ht="25.5" customHeight="1">
      <c r="A155" s="35"/>
      <c r="B155" s="809" t="s">
        <v>106</v>
      </c>
      <c r="C155" s="810"/>
      <c r="D155" s="37"/>
      <c r="E155" s="37"/>
      <c r="G155" t="s">
        <v>107</v>
      </c>
    </row>
    <row r="156" spans="1:7" ht="25.5" customHeight="1">
      <c r="A156" s="35"/>
      <c r="B156" s="809" t="s">
        <v>108</v>
      </c>
      <c r="C156" s="810"/>
      <c r="D156" s="37"/>
      <c r="E156" s="37"/>
    </row>
    <row r="157" spans="1:7" ht="14.25" customHeight="1">
      <c r="A157" s="35"/>
      <c r="B157" s="809" t="s">
        <v>109</v>
      </c>
      <c r="C157" s="810"/>
      <c r="D157" s="37"/>
      <c r="E157" s="37"/>
    </row>
    <row r="158" spans="1:7" ht="25.5" customHeight="1">
      <c r="A158" s="35"/>
      <c r="B158" s="809" t="s">
        <v>110</v>
      </c>
      <c r="C158" s="810"/>
      <c r="D158" s="37"/>
      <c r="E158" s="37"/>
    </row>
    <row r="159" spans="1:7" ht="12" customHeight="1">
      <c r="A159" s="35"/>
      <c r="B159" s="809"/>
      <c r="C159" s="810"/>
      <c r="D159" s="37"/>
      <c r="E159" s="37"/>
    </row>
    <row r="160" spans="1:7">
      <c r="A160" s="35"/>
      <c r="B160" s="827"/>
      <c r="C160" s="828"/>
      <c r="D160" s="37"/>
      <c r="E160" s="37"/>
    </row>
    <row r="161" spans="1:9">
      <c r="A161" s="35"/>
      <c r="B161" s="37"/>
      <c r="C161" s="37"/>
      <c r="D161" s="37"/>
      <c r="E161" s="37"/>
    </row>
    <row r="162" spans="1:9">
      <c r="A162" s="35"/>
      <c r="B162" s="37"/>
      <c r="C162" s="37"/>
      <c r="D162" s="37"/>
      <c r="E162" s="37"/>
    </row>
    <row r="163" spans="1:9" ht="12.75" customHeight="1">
      <c r="A163" s="35"/>
      <c r="B163" s="802" t="s">
        <v>88</v>
      </c>
      <c r="C163" s="803"/>
      <c r="D163" s="37"/>
      <c r="E163" s="832" t="s">
        <v>90</v>
      </c>
      <c r="F163" s="832"/>
      <c r="G163" s="832"/>
      <c r="H163" s="833"/>
      <c r="I163" s="13"/>
    </row>
    <row r="164" spans="1:9" ht="12.75" customHeight="1">
      <c r="A164" s="35"/>
      <c r="B164" s="829" t="s">
        <v>111</v>
      </c>
      <c r="C164" s="830"/>
      <c r="E164" s="817"/>
      <c r="F164" s="818"/>
      <c r="G164" s="818"/>
      <c r="H164" s="818"/>
      <c r="I164" s="78"/>
    </row>
    <row r="165" spans="1:9" ht="12.75" customHeight="1">
      <c r="A165" s="35"/>
      <c r="B165" s="809" t="s">
        <v>112</v>
      </c>
      <c r="C165" s="810"/>
      <c r="E165" s="817"/>
      <c r="F165" s="818"/>
      <c r="G165" s="818"/>
      <c r="H165" s="818"/>
      <c r="I165" s="78"/>
    </row>
    <row r="166" spans="1:9" ht="12.75" customHeight="1">
      <c r="A166" s="35"/>
      <c r="B166" s="809"/>
      <c r="C166" s="810"/>
      <c r="D166" s="37"/>
      <c r="E166" s="834" t="s">
        <v>111</v>
      </c>
      <c r="F166" s="834"/>
      <c r="G166" s="834"/>
      <c r="H166" s="834"/>
      <c r="I166" s="78"/>
    </row>
    <row r="167" spans="1:9" ht="12.75" customHeight="1">
      <c r="A167" s="35"/>
      <c r="B167" s="809"/>
      <c r="C167" s="810"/>
      <c r="D167" s="37"/>
      <c r="E167" s="835" t="s">
        <v>112</v>
      </c>
      <c r="F167" s="835"/>
      <c r="G167" s="835"/>
      <c r="H167" s="835"/>
      <c r="I167" s="78"/>
    </row>
    <row r="168" spans="1:9" ht="12.75" customHeight="1">
      <c r="A168" s="35"/>
      <c r="B168" s="809"/>
      <c r="C168" s="810"/>
      <c r="D168" s="37"/>
      <c r="E168" s="831"/>
      <c r="F168" s="831"/>
      <c r="G168" s="831"/>
      <c r="H168" s="831"/>
      <c r="I168" s="78"/>
    </row>
    <row r="169" spans="1:9" ht="12.75" customHeight="1">
      <c r="A169" s="35"/>
      <c r="B169" s="809"/>
      <c r="C169" s="810"/>
      <c r="D169" s="37"/>
      <c r="E169" s="831"/>
      <c r="F169" s="831"/>
      <c r="G169" s="831"/>
      <c r="H169" s="831"/>
      <c r="I169" s="78"/>
    </row>
    <row r="170" spans="1:9" ht="12.75" customHeight="1">
      <c r="A170" s="35"/>
      <c r="B170" s="809"/>
      <c r="C170" s="810"/>
      <c r="D170" s="37"/>
      <c r="E170" s="803"/>
      <c r="F170" s="803"/>
      <c r="G170" s="803"/>
      <c r="H170" s="803"/>
      <c r="I170" s="78"/>
    </row>
    <row r="171" spans="1:9" ht="12" customHeight="1">
      <c r="A171" s="35"/>
      <c r="B171" s="827"/>
      <c r="C171" s="828"/>
      <c r="D171" s="37"/>
      <c r="E171" s="816"/>
      <c r="F171" s="816"/>
      <c r="G171" s="816"/>
      <c r="H171" s="816"/>
      <c r="I171" s="78"/>
    </row>
    <row r="172" spans="1:9">
      <c r="A172" s="35"/>
      <c r="B172" s="37"/>
      <c r="C172" s="37"/>
      <c r="D172" s="37"/>
      <c r="E172" s="37"/>
    </row>
    <row r="173" spans="1:9">
      <c r="A173" s="35"/>
      <c r="B173" s="37"/>
      <c r="C173" s="37"/>
      <c r="D173" s="37"/>
      <c r="E173" s="37"/>
    </row>
    <row r="174" spans="1:9">
      <c r="A174" s="35"/>
      <c r="B174" s="802" t="s">
        <v>91</v>
      </c>
      <c r="C174" s="803"/>
      <c r="D174" s="37"/>
      <c r="E174" s="802" t="s">
        <v>29</v>
      </c>
      <c r="F174" s="813"/>
      <c r="G174" s="813"/>
      <c r="H174" s="814"/>
      <c r="I174" s="13"/>
    </row>
    <row r="175" spans="1:9" ht="13.5" customHeight="1">
      <c r="A175" s="35"/>
      <c r="B175" s="829" t="s">
        <v>113</v>
      </c>
      <c r="C175" s="830"/>
      <c r="E175" s="815" t="s">
        <v>114</v>
      </c>
      <c r="F175" s="838"/>
      <c r="G175" s="838"/>
      <c r="H175" s="839"/>
      <c r="I175" s="78"/>
    </row>
    <row r="176" spans="1:9" ht="12.75" customHeight="1">
      <c r="A176" s="35"/>
      <c r="B176" s="809" t="s">
        <v>115</v>
      </c>
      <c r="C176" s="810"/>
      <c r="E176" s="804"/>
      <c r="F176" s="840"/>
      <c r="G176" s="840"/>
      <c r="H176" s="841"/>
      <c r="I176" s="78"/>
    </row>
    <row r="177" spans="1:9" ht="13.5" customHeight="1">
      <c r="A177" s="35"/>
      <c r="B177" s="809" t="s">
        <v>116</v>
      </c>
      <c r="C177" s="810"/>
      <c r="E177" s="789"/>
      <c r="F177" s="811"/>
      <c r="G177" s="811"/>
      <c r="H177" s="812"/>
      <c r="I177" s="78"/>
    </row>
    <row r="178" spans="1:9" ht="12.75" customHeight="1">
      <c r="A178" s="35"/>
      <c r="B178" s="809" t="s">
        <v>117</v>
      </c>
      <c r="C178" s="810"/>
      <c r="E178" s="789"/>
      <c r="F178" s="811"/>
      <c r="G178" s="811"/>
      <c r="H178" s="812"/>
      <c r="I178" s="78"/>
    </row>
    <row r="179" spans="1:9" ht="13.5" customHeight="1">
      <c r="A179" s="35"/>
      <c r="B179" s="809" t="s">
        <v>118</v>
      </c>
      <c r="C179" s="810"/>
      <c r="E179" s="789"/>
      <c r="F179" s="811"/>
      <c r="G179" s="811"/>
      <c r="H179" s="812"/>
      <c r="I179" s="78"/>
    </row>
    <row r="180" spans="1:9" ht="13.5" customHeight="1">
      <c r="A180" s="35"/>
      <c r="B180" s="809" t="s">
        <v>119</v>
      </c>
      <c r="C180" s="810"/>
      <c r="E180" s="789"/>
      <c r="F180" s="811"/>
      <c r="G180" s="811"/>
      <c r="H180" s="812"/>
      <c r="I180" s="78"/>
    </row>
    <row r="181" spans="1:9">
      <c r="A181" s="35"/>
      <c r="B181" s="827"/>
      <c r="C181" s="828"/>
      <c r="D181" s="37"/>
      <c r="E181" s="836"/>
      <c r="F181" s="836"/>
      <c r="G181" s="78"/>
      <c r="H181" s="78"/>
      <c r="I181" s="78"/>
    </row>
    <row r="182" spans="1:9" ht="12.75" customHeight="1">
      <c r="A182" s="35"/>
      <c r="B182" s="35"/>
      <c r="C182" s="35"/>
      <c r="D182" s="37"/>
      <c r="E182" s="78"/>
      <c r="F182" s="78"/>
      <c r="G182" s="78"/>
      <c r="H182" s="78"/>
      <c r="I182" s="78"/>
    </row>
    <row r="183" spans="1:9" ht="12.75" customHeight="1">
      <c r="A183" s="35"/>
      <c r="B183" s="35"/>
      <c r="C183" s="35"/>
      <c r="D183" s="37"/>
      <c r="E183" s="78"/>
      <c r="F183" s="78"/>
      <c r="G183" s="78"/>
      <c r="H183" s="78"/>
      <c r="I183" s="78"/>
    </row>
    <row r="184" spans="1:9" ht="12.75" customHeight="1">
      <c r="A184" s="35"/>
      <c r="B184" s="802" t="s">
        <v>92</v>
      </c>
      <c r="C184" s="803"/>
      <c r="D184" s="37"/>
      <c r="E184" s="802" t="s">
        <v>54</v>
      </c>
      <c r="F184" s="802"/>
      <c r="G184" s="802"/>
      <c r="H184" s="803"/>
      <c r="I184" s="115"/>
    </row>
    <row r="185" spans="1:9" ht="12.75" customHeight="1">
      <c r="A185" s="35"/>
      <c r="B185" s="829" t="s">
        <v>113</v>
      </c>
      <c r="C185" s="837"/>
      <c r="E185" s="806" t="s">
        <v>113</v>
      </c>
      <c r="F185" s="807"/>
      <c r="G185" s="807"/>
      <c r="H185" s="808"/>
      <c r="I185" s="78"/>
    </row>
    <row r="186" spans="1:9" ht="12.75" customHeight="1">
      <c r="A186" s="35"/>
      <c r="B186" s="809" t="s">
        <v>115</v>
      </c>
      <c r="C186" s="821"/>
      <c r="E186" s="806" t="s">
        <v>115</v>
      </c>
      <c r="F186" s="807"/>
      <c r="G186" s="807"/>
      <c r="H186" s="808"/>
      <c r="I186" s="78"/>
    </row>
    <row r="187" spans="1:9" ht="12.75" customHeight="1">
      <c r="A187" s="35"/>
      <c r="B187" s="809" t="s">
        <v>116</v>
      </c>
      <c r="C187" s="821"/>
      <c r="E187" s="806" t="s">
        <v>116</v>
      </c>
      <c r="F187" s="807"/>
      <c r="G187" s="807"/>
      <c r="H187" s="808"/>
      <c r="I187" s="78"/>
    </row>
    <row r="188" spans="1:9" ht="12.75" customHeight="1">
      <c r="A188" s="35"/>
      <c r="B188" s="809" t="s">
        <v>117</v>
      </c>
      <c r="C188" s="821"/>
      <c r="E188" s="806" t="s">
        <v>117</v>
      </c>
      <c r="F188" s="807"/>
      <c r="G188" s="807"/>
      <c r="H188" s="808"/>
      <c r="I188" s="78"/>
    </row>
    <row r="189" spans="1:9" ht="12.75" customHeight="1">
      <c r="A189" s="35"/>
      <c r="B189" s="809" t="s">
        <v>118</v>
      </c>
      <c r="C189" s="821"/>
      <c r="E189" s="806" t="s">
        <v>118</v>
      </c>
      <c r="F189" s="807"/>
      <c r="G189" s="807"/>
      <c r="H189" s="808"/>
      <c r="I189" s="78"/>
    </row>
    <row r="190" spans="1:9" ht="12.75" customHeight="1">
      <c r="A190" s="35"/>
      <c r="B190" s="809" t="s">
        <v>119</v>
      </c>
      <c r="C190" s="821"/>
      <c r="E190" s="806" t="s">
        <v>119</v>
      </c>
      <c r="F190" s="807"/>
      <c r="G190" s="807"/>
      <c r="H190" s="808"/>
      <c r="I190" s="78"/>
    </row>
    <row r="191" spans="1:9">
      <c r="A191" s="35"/>
      <c r="B191" s="791"/>
      <c r="C191" s="792"/>
      <c r="D191" s="37"/>
      <c r="E191" s="791"/>
      <c r="F191" s="791"/>
      <c r="G191" s="791"/>
      <c r="H191" s="792"/>
      <c r="I191" s="78"/>
    </row>
    <row r="192" spans="1:9" ht="12.65" customHeight="1">
      <c r="A192" s="35"/>
      <c r="D192" s="37"/>
      <c r="E192" s="37"/>
    </row>
    <row r="193" spans="1:13" ht="12.65" customHeight="1">
      <c r="A193" s="35"/>
      <c r="B193" s="268" t="s">
        <v>120</v>
      </c>
      <c r="C193" s="80"/>
      <c r="D193" s="80"/>
      <c r="E193" s="80"/>
      <c r="F193" s="81"/>
      <c r="G193" s="81"/>
      <c r="H193" s="81"/>
      <c r="I193" s="81"/>
      <c r="J193" s="81"/>
      <c r="K193" s="81"/>
      <c r="L193" s="81"/>
      <c r="M193" s="81"/>
    </row>
    <row r="194" spans="1:13" ht="12.65" customHeight="1">
      <c r="A194" s="35"/>
      <c r="B194" s="79"/>
      <c r="C194" s="80"/>
      <c r="D194" s="80"/>
      <c r="E194" s="80"/>
      <c r="F194" s="81"/>
      <c r="G194" s="81"/>
      <c r="H194" s="81"/>
      <c r="I194" s="81"/>
    </row>
    <row r="195" spans="1:13" ht="12.65" customHeight="1">
      <c r="A195" s="35"/>
      <c r="B195" s="216" t="s">
        <v>121</v>
      </c>
      <c r="C195" s="37"/>
      <c r="D195" s="37"/>
      <c r="E195" s="237" t="b">
        <f>OR((LEFT('RFPR cover'!$C$8,2)=Data!F195),'RFPR cover'!$C$7=Data!F195)</f>
        <v>1</v>
      </c>
      <c r="F195" s="238" t="str">
        <f>B206</f>
        <v>ED</v>
      </c>
    </row>
    <row r="196" spans="1:13" ht="19.5" customHeight="1">
      <c r="A196" s="35"/>
      <c r="B196" s="83" t="str">
        <f t="shared" ref="B196:B203" si="25">CHOOSE(MATCH(TRUE,$E$195:$E$203,0),B207,B218,B229,E229,B240,E240,B251,E251,B262)&amp;""</f>
        <v>Network Innovation Allowance</v>
      </c>
      <c r="C196" s="37"/>
      <c r="D196" s="37"/>
      <c r="E196" s="275" t="b">
        <f>OR((LEFT('RFPR cover'!$C$8,2)=Data!F196),'RFPR cover'!$C$7=Data!F196)</f>
        <v>0</v>
      </c>
      <c r="F196" s="229" t="str">
        <f>B217</f>
        <v>GD</v>
      </c>
    </row>
    <row r="197" spans="1:13" ht="22.5" customHeight="1">
      <c r="A197" s="35"/>
      <c r="B197" s="83" t="str">
        <f t="shared" si="25"/>
        <v>Carry-over Network Innovation Allowance</v>
      </c>
      <c r="C197" s="37"/>
      <c r="D197" s="37"/>
      <c r="E197" s="275" t="b">
        <f>OR((LEFT('RFPR cover'!$C$8,2)=Data!F197),'RFPR cover'!$C$7=Data!F197)</f>
        <v>0</v>
      </c>
      <c r="F197" s="230" t="str">
        <f>B228</f>
        <v>NGGT (TO)</v>
      </c>
    </row>
    <row r="198" spans="1:13" ht="19.5" customHeight="1">
      <c r="A198" s="35"/>
      <c r="B198" s="83" t="str">
        <f t="shared" si="25"/>
        <v/>
      </c>
      <c r="C198" s="37"/>
      <c r="D198" s="37"/>
      <c r="E198" s="275" t="b">
        <f>OR((LEFT('RFPR cover'!$C$8,2)=Data!F198),'RFPR cover'!$C$7=Data!F198)</f>
        <v>0</v>
      </c>
      <c r="F198" s="230" t="str">
        <f>E228</f>
        <v>NGGT (SO)</v>
      </c>
    </row>
    <row r="199" spans="1:13" ht="19.5" customHeight="1">
      <c r="A199" s="35"/>
      <c r="B199" s="83" t="str">
        <f t="shared" si="25"/>
        <v/>
      </c>
      <c r="C199" s="37"/>
      <c r="D199" s="37"/>
      <c r="E199" s="275" t="b">
        <f>OR((LEFT('RFPR cover'!$C$8,2)=Data!F199),'RFPR cover'!$C$7=Data!F199)</f>
        <v>0</v>
      </c>
      <c r="F199" s="230" t="str">
        <f>B239</f>
        <v>NGGT (TO+SO)</v>
      </c>
    </row>
    <row r="200" spans="1:13" ht="19.5" customHeight="1">
      <c r="A200" s="35"/>
      <c r="B200" s="83" t="str">
        <f t="shared" si="25"/>
        <v/>
      </c>
      <c r="C200" s="37"/>
      <c r="D200" s="37"/>
      <c r="E200" s="275" t="b">
        <f>OR((LEFT('RFPR cover'!$C$8,2)=Data!F200),'RFPR cover'!$C$7=Data!F200)</f>
        <v>0</v>
      </c>
      <c r="F200" s="230" t="str">
        <f>E239</f>
        <v>NGET (TO)</v>
      </c>
    </row>
    <row r="201" spans="1:13" ht="19.5" customHeight="1">
      <c r="A201" s="35"/>
      <c r="B201" s="83" t="str">
        <f t="shared" si="25"/>
        <v/>
      </c>
      <c r="C201" s="37"/>
      <c r="D201" s="37"/>
      <c r="E201" s="275" t="b">
        <f>OR((LEFT('RFPR cover'!$C$8,2)=Data!F201),'RFPR cover'!$C$7=Data!F201)</f>
        <v>0</v>
      </c>
      <c r="F201" s="230" t="str">
        <f>B250</f>
        <v>ESO</v>
      </c>
    </row>
    <row r="202" spans="1:13" ht="19.5" customHeight="1">
      <c r="A202" s="35"/>
      <c r="B202" s="83" t="str">
        <f t="shared" si="25"/>
        <v/>
      </c>
      <c r="C202" s="37"/>
      <c r="D202" s="37"/>
      <c r="E202" s="275" t="b">
        <f>OR((LEFT('RFPR cover'!$C$8,2)=Data!F202),'RFPR cover'!$C$7=Data!F202)</f>
        <v>0</v>
      </c>
      <c r="F202" s="230" t="str">
        <f>E250</f>
        <v>SPT</v>
      </c>
    </row>
    <row r="203" spans="1:13" ht="19.5" customHeight="1">
      <c r="A203" s="35"/>
      <c r="B203" s="83" t="str">
        <f t="shared" si="25"/>
        <v/>
      </c>
      <c r="C203" s="37"/>
      <c r="D203" s="37"/>
      <c r="E203" s="231" t="b">
        <f>OR((LEFT('RFPR cover'!$C$8,2)=Data!F203),'RFPR cover'!$C$7=Data!F203)</f>
        <v>0</v>
      </c>
      <c r="F203" s="233" t="str">
        <f>B261</f>
        <v>SHET</v>
      </c>
      <c r="G203" s="37"/>
      <c r="H203" s="37"/>
      <c r="I203" s="37"/>
    </row>
    <row r="204" spans="1:13" ht="12.75" customHeight="1">
      <c r="A204" s="35"/>
      <c r="B204" s="37"/>
      <c r="C204" s="37"/>
      <c r="D204" s="37"/>
      <c r="E204" s="11"/>
      <c r="F204" s="82"/>
    </row>
    <row r="205" spans="1:13" ht="12.75" customHeight="1">
      <c r="A205" s="35"/>
      <c r="B205" s="113"/>
      <c r="C205" s="113"/>
      <c r="D205" s="37"/>
      <c r="E205" s="11"/>
      <c r="F205" s="82"/>
    </row>
    <row r="206" spans="1:13" ht="12.75" customHeight="1">
      <c r="A206" s="35"/>
      <c r="B206" s="842" t="s">
        <v>19</v>
      </c>
      <c r="C206" s="843"/>
      <c r="D206" s="37"/>
      <c r="E206" s="37"/>
    </row>
    <row r="207" spans="1:13" ht="12.75" customHeight="1">
      <c r="A207" s="35"/>
      <c r="B207" s="804" t="s">
        <v>122</v>
      </c>
      <c r="C207" s="805"/>
      <c r="D207" s="37"/>
      <c r="E207" s="37"/>
    </row>
    <row r="208" spans="1:13" ht="12.75" customHeight="1">
      <c r="A208" s="35"/>
      <c r="B208" s="789" t="s">
        <v>123</v>
      </c>
      <c r="C208" s="790"/>
      <c r="D208" s="37"/>
      <c r="E208" s="37"/>
    </row>
    <row r="209" spans="1:5" ht="12.75" customHeight="1">
      <c r="A209" s="35"/>
      <c r="B209" s="789"/>
      <c r="C209" s="790"/>
      <c r="D209" s="37"/>
      <c r="E209" s="37"/>
    </row>
    <row r="210" spans="1:5" ht="12.75" customHeight="1">
      <c r="A210" s="35"/>
      <c r="B210" s="789"/>
      <c r="C210" s="790"/>
      <c r="D210" s="37"/>
      <c r="E210" s="37"/>
    </row>
    <row r="211" spans="1:5" ht="12.75" customHeight="1">
      <c r="A211" s="35"/>
      <c r="B211" s="789"/>
      <c r="C211" s="790"/>
      <c r="D211" s="37"/>
      <c r="E211" s="37"/>
    </row>
    <row r="212" spans="1:5" ht="12.75" customHeight="1">
      <c r="A212" s="35"/>
      <c r="B212" s="789"/>
      <c r="C212" s="790"/>
      <c r="D212" s="37"/>
      <c r="E212" s="37"/>
    </row>
    <row r="213" spans="1:5">
      <c r="A213" s="35"/>
      <c r="B213" s="789"/>
      <c r="C213" s="790"/>
      <c r="D213" s="37"/>
      <c r="E213" s="37"/>
    </row>
    <row r="214" spans="1:5" ht="12.75" customHeight="1">
      <c r="A214" s="35"/>
      <c r="B214" s="791"/>
      <c r="C214" s="792"/>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815" t="s">
        <v>25</v>
      </c>
      <c r="C217" s="816"/>
      <c r="D217" s="37"/>
      <c r="E217" s="37"/>
    </row>
    <row r="218" spans="1:5" ht="12.75" customHeight="1">
      <c r="A218" s="35"/>
      <c r="B218" s="804" t="s">
        <v>124</v>
      </c>
      <c r="C218" s="805"/>
      <c r="E218" s="37"/>
    </row>
    <row r="219" spans="1:5" ht="12.75" customHeight="1">
      <c r="A219" s="35"/>
      <c r="B219" s="789" t="s">
        <v>125</v>
      </c>
      <c r="C219" s="790"/>
      <c r="D219" s="37"/>
      <c r="E219" s="37"/>
    </row>
    <row r="220" spans="1:5" ht="12.75" customHeight="1">
      <c r="A220" s="35"/>
      <c r="B220" s="789"/>
      <c r="C220" s="790"/>
      <c r="D220" s="37"/>
      <c r="E220" s="37"/>
    </row>
    <row r="221" spans="1:5" ht="12.75" customHeight="1">
      <c r="A221" s="35"/>
      <c r="B221" s="789"/>
      <c r="C221" s="790"/>
      <c r="D221" s="37"/>
      <c r="E221" s="37"/>
    </row>
    <row r="222" spans="1:5">
      <c r="A222" s="35"/>
      <c r="B222" s="789"/>
      <c r="C222" s="790"/>
      <c r="D222" s="37"/>
      <c r="E222" s="37"/>
    </row>
    <row r="223" spans="1:5">
      <c r="A223" s="35"/>
      <c r="B223" s="789"/>
      <c r="C223" s="790"/>
      <c r="D223" s="37"/>
      <c r="E223" s="37"/>
    </row>
    <row r="224" spans="1:5" ht="12.75" customHeight="1">
      <c r="A224" s="35"/>
      <c r="B224" s="789"/>
      <c r="C224" s="790"/>
      <c r="D224" s="37"/>
      <c r="E224" s="37"/>
    </row>
    <row r="225" spans="1:9">
      <c r="A225" s="35"/>
      <c r="B225" s="791"/>
      <c r="C225" s="792"/>
      <c r="D225" s="37"/>
      <c r="E225" s="37"/>
    </row>
    <row r="226" spans="1:9">
      <c r="A226" s="35"/>
      <c r="B226" s="37"/>
      <c r="C226" s="37"/>
      <c r="D226" s="37"/>
      <c r="E226" s="37"/>
    </row>
    <row r="227" spans="1:9">
      <c r="A227" s="35"/>
      <c r="B227" s="37"/>
      <c r="C227" s="37"/>
      <c r="D227" s="37"/>
      <c r="E227" s="37"/>
    </row>
    <row r="228" spans="1:9">
      <c r="A228" s="35"/>
      <c r="B228" s="160" t="str">
        <f>B85</f>
        <v>NGGT (TO)</v>
      </c>
      <c r="C228" s="139"/>
      <c r="D228" s="37"/>
      <c r="E228" s="802" t="str">
        <f>B86</f>
        <v>NGGT (SO)</v>
      </c>
      <c r="F228" s="802"/>
      <c r="G228" s="802"/>
      <c r="H228" s="802"/>
      <c r="I228" s="803"/>
    </row>
    <row r="229" spans="1:9">
      <c r="A229" s="35"/>
      <c r="B229" s="769" t="s">
        <v>126</v>
      </c>
      <c r="C229" s="770"/>
      <c r="E229" s="817"/>
      <c r="F229" s="818"/>
      <c r="G229" s="818"/>
      <c r="H229" s="818"/>
      <c r="I229" s="819"/>
    </row>
    <row r="230" spans="1:9" ht="25.5" customHeight="1">
      <c r="A230" s="35"/>
      <c r="B230" s="789" t="s">
        <v>127</v>
      </c>
      <c r="C230" s="812"/>
      <c r="E230" s="817"/>
      <c r="F230" s="818"/>
      <c r="G230" s="818"/>
      <c r="H230" s="818"/>
      <c r="I230" s="819"/>
    </row>
    <row r="231" spans="1:9" ht="13.5" customHeight="1">
      <c r="A231" s="35"/>
      <c r="B231" s="789" t="s">
        <v>128</v>
      </c>
      <c r="C231" s="812"/>
      <c r="D231" s="37"/>
      <c r="E231" s="817"/>
      <c r="F231" s="818"/>
      <c r="G231" s="818"/>
      <c r="H231" s="818"/>
      <c r="I231" s="819"/>
    </row>
    <row r="232" spans="1:9" ht="13.5" customHeight="1">
      <c r="A232" s="35"/>
      <c r="B232" s="789"/>
      <c r="C232" s="790"/>
      <c r="D232" s="37"/>
      <c r="E232" s="793" t="s">
        <v>129</v>
      </c>
      <c r="F232" s="794"/>
      <c r="G232" s="794"/>
      <c r="H232" s="794"/>
      <c r="I232" s="795"/>
    </row>
    <row r="233" spans="1:9" ht="13.5" customHeight="1">
      <c r="A233" s="35"/>
      <c r="B233" s="161"/>
      <c r="C233" s="140"/>
      <c r="D233" s="37"/>
      <c r="E233" s="793" t="s">
        <v>130</v>
      </c>
      <c r="F233" s="794"/>
      <c r="G233" s="794"/>
      <c r="H233" s="794"/>
      <c r="I233" s="795"/>
    </row>
    <row r="234" spans="1:9" ht="13.5" customHeight="1">
      <c r="A234" s="35"/>
      <c r="B234" s="789"/>
      <c r="C234" s="790"/>
      <c r="D234" s="37"/>
      <c r="E234" s="793" t="s">
        <v>131</v>
      </c>
      <c r="F234" s="794"/>
      <c r="G234" s="794"/>
      <c r="H234" s="794"/>
      <c r="I234" s="795"/>
    </row>
    <row r="235" spans="1:9" ht="13.5" customHeight="1">
      <c r="A235" s="35"/>
      <c r="B235" s="789"/>
      <c r="C235" s="790"/>
      <c r="D235" s="37"/>
      <c r="E235" s="796" t="s">
        <v>132</v>
      </c>
      <c r="F235" s="797"/>
      <c r="G235" s="797"/>
      <c r="H235" s="797"/>
      <c r="I235" s="798"/>
    </row>
    <row r="236" spans="1:9" ht="12.75" customHeight="1">
      <c r="A236" s="35"/>
      <c r="B236" s="791"/>
      <c r="C236" s="792"/>
      <c r="D236" s="37"/>
      <c r="E236" s="799" t="s">
        <v>133</v>
      </c>
      <c r="F236" s="800"/>
      <c r="G236" s="800"/>
      <c r="H236" s="800"/>
      <c r="I236" s="801"/>
    </row>
    <row r="237" spans="1:9">
      <c r="A237" s="35"/>
      <c r="B237" s="37"/>
      <c r="C237" s="37"/>
      <c r="D237" s="37"/>
      <c r="E237" s="37"/>
    </row>
    <row r="238" spans="1:9" ht="12.75" customHeight="1">
      <c r="A238" s="35"/>
      <c r="B238" s="37"/>
      <c r="C238" s="37"/>
      <c r="D238" s="37"/>
      <c r="E238" s="37"/>
    </row>
    <row r="239" spans="1:9">
      <c r="A239" s="35"/>
      <c r="B239" s="802" t="s">
        <v>90</v>
      </c>
      <c r="C239" s="803"/>
      <c r="E239" s="802" t="s">
        <v>91</v>
      </c>
      <c r="F239" s="802"/>
      <c r="G239" s="802"/>
      <c r="H239" s="802"/>
      <c r="I239" s="803"/>
    </row>
    <row r="240" spans="1:9" ht="12.75" customHeight="1">
      <c r="A240" s="35"/>
      <c r="B240" s="804" t="s">
        <v>126</v>
      </c>
      <c r="C240" s="805"/>
      <c r="E240" s="804" t="s">
        <v>126</v>
      </c>
      <c r="F240" s="804"/>
      <c r="G240" s="804"/>
      <c r="H240" s="804"/>
      <c r="I240" s="805"/>
    </row>
    <row r="241" spans="1:9" ht="12.75" customHeight="1">
      <c r="A241" s="35"/>
      <c r="B241" s="789" t="s">
        <v>127</v>
      </c>
      <c r="C241" s="790"/>
      <c r="D241" s="37"/>
      <c r="E241" s="789" t="s">
        <v>134</v>
      </c>
      <c r="F241" s="789"/>
      <c r="G241" s="789"/>
      <c r="H241" s="789"/>
      <c r="I241" s="790"/>
    </row>
    <row r="242" spans="1:9" ht="12.75" customHeight="1">
      <c r="A242" s="35"/>
      <c r="B242" s="789" t="s">
        <v>128</v>
      </c>
      <c r="C242" s="790"/>
      <c r="D242" s="37"/>
      <c r="E242" s="789"/>
      <c r="F242" s="789"/>
      <c r="G242" s="789"/>
      <c r="H242" s="789"/>
      <c r="I242" s="790"/>
    </row>
    <row r="243" spans="1:9" ht="24" customHeight="1">
      <c r="A243" s="35"/>
      <c r="B243" s="789" t="s">
        <v>135</v>
      </c>
      <c r="C243" s="790"/>
      <c r="D243" s="37"/>
      <c r="E243" s="789"/>
      <c r="F243" s="789"/>
      <c r="G243" s="789"/>
      <c r="H243" s="789"/>
      <c r="I243" s="790"/>
    </row>
    <row r="244" spans="1:9">
      <c r="A244" s="35"/>
      <c r="B244" s="789" t="s">
        <v>130</v>
      </c>
      <c r="C244" s="790"/>
      <c r="E244" s="789"/>
      <c r="F244" s="789"/>
      <c r="G244" s="789"/>
      <c r="H244" s="789"/>
      <c r="I244" s="790"/>
    </row>
    <row r="245" spans="1:9">
      <c r="A245" s="35"/>
      <c r="B245" s="789" t="s">
        <v>131</v>
      </c>
      <c r="C245" s="790"/>
      <c r="E245" s="789"/>
      <c r="F245" s="789"/>
      <c r="G245" s="789"/>
      <c r="H245" s="789"/>
      <c r="I245" s="790"/>
    </row>
    <row r="246" spans="1:9" ht="12.75" customHeight="1">
      <c r="A246" s="35"/>
      <c r="B246" s="789" t="s">
        <v>136</v>
      </c>
      <c r="C246" s="790"/>
      <c r="D246" s="37"/>
      <c r="E246" s="789"/>
      <c r="F246" s="789"/>
      <c r="G246" s="789"/>
      <c r="H246" s="789"/>
      <c r="I246" s="790"/>
    </row>
    <row r="247" spans="1:9" ht="12.75" customHeight="1">
      <c r="A247" s="35"/>
      <c r="B247" s="791" t="s">
        <v>133</v>
      </c>
      <c r="C247" s="792"/>
      <c r="D247" s="37"/>
      <c r="E247" s="791"/>
      <c r="F247" s="791"/>
      <c r="G247" s="791"/>
      <c r="H247" s="791"/>
      <c r="I247" s="792"/>
    </row>
    <row r="248" spans="1:9" ht="12.75" customHeight="1">
      <c r="A248" s="35"/>
      <c r="B248" s="35"/>
      <c r="C248" s="35"/>
      <c r="D248" s="37"/>
      <c r="E248" s="78"/>
      <c r="F248" s="78"/>
      <c r="G248" s="78"/>
      <c r="H248" s="78"/>
      <c r="I248" s="78"/>
    </row>
    <row r="249" spans="1:9" ht="12.75" customHeight="1">
      <c r="A249" s="35"/>
      <c r="B249" s="35"/>
      <c r="C249" s="35"/>
      <c r="D249" s="37"/>
      <c r="E249" s="78"/>
      <c r="F249" s="78"/>
      <c r="G249" s="78"/>
      <c r="H249" s="78"/>
      <c r="I249" s="78"/>
    </row>
    <row r="250" spans="1:9" ht="12.75" customHeight="1">
      <c r="A250" s="35"/>
      <c r="B250" s="802" t="s">
        <v>29</v>
      </c>
      <c r="C250" s="803"/>
      <c r="D250" s="37"/>
      <c r="E250" s="802" t="s">
        <v>92</v>
      </c>
      <c r="F250" s="802"/>
      <c r="G250" s="802"/>
      <c r="H250" s="802"/>
      <c r="I250" s="803"/>
    </row>
    <row r="251" spans="1:9" ht="12.75" customHeight="1">
      <c r="A251" s="35"/>
      <c r="B251" s="804" t="s">
        <v>137</v>
      </c>
      <c r="C251" s="805"/>
      <c r="D251" s="37"/>
      <c r="E251" s="804" t="s">
        <v>138</v>
      </c>
      <c r="F251" s="804"/>
      <c r="G251" s="804"/>
      <c r="H251" s="804"/>
      <c r="I251" s="805"/>
    </row>
    <row r="252" spans="1:9" ht="25.5" customHeight="1">
      <c r="A252" s="35"/>
      <c r="B252" s="789" t="s">
        <v>139</v>
      </c>
      <c r="C252" s="790"/>
      <c r="E252" s="789" t="s">
        <v>125</v>
      </c>
      <c r="F252" s="789"/>
      <c r="G252" s="789"/>
      <c r="H252" s="789"/>
      <c r="I252" s="790"/>
    </row>
    <row r="253" spans="1:9" ht="25.5" customHeight="1">
      <c r="A253" s="35"/>
      <c r="B253" s="789"/>
      <c r="C253" s="790"/>
      <c r="E253" s="789"/>
      <c r="F253" s="789"/>
      <c r="G253" s="789"/>
      <c r="H253" s="789"/>
      <c r="I253" s="790"/>
    </row>
    <row r="254" spans="1:9" ht="25.5" customHeight="1">
      <c r="A254" s="35"/>
      <c r="B254" s="789"/>
      <c r="C254" s="790"/>
      <c r="E254" s="789"/>
      <c r="F254" s="789"/>
      <c r="G254" s="789"/>
      <c r="H254" s="789"/>
      <c r="I254" s="790"/>
    </row>
    <row r="255" spans="1:9" ht="25.5" customHeight="1">
      <c r="A255" s="35"/>
      <c r="B255" s="789"/>
      <c r="C255" s="790"/>
      <c r="E255" s="789"/>
      <c r="F255" s="789"/>
      <c r="G255" s="789"/>
      <c r="H255" s="789"/>
      <c r="I255" s="790"/>
    </row>
    <row r="256" spans="1:9" ht="25.5" customHeight="1">
      <c r="A256" s="35"/>
      <c r="B256" s="789"/>
      <c r="C256" s="790"/>
      <c r="E256" s="789"/>
      <c r="F256" s="789"/>
      <c r="G256" s="789"/>
      <c r="H256" s="789"/>
      <c r="I256" s="790"/>
    </row>
    <row r="257" spans="1:14">
      <c r="A257" s="35"/>
      <c r="B257" s="789"/>
      <c r="C257" s="790"/>
      <c r="E257" s="789"/>
      <c r="F257" s="789"/>
      <c r="G257" s="789"/>
      <c r="H257" s="789"/>
      <c r="I257" s="790"/>
    </row>
    <row r="258" spans="1:14">
      <c r="A258" s="35"/>
      <c r="B258" s="791"/>
      <c r="C258" s="792"/>
      <c r="D258" s="37"/>
      <c r="E258" s="791"/>
      <c r="F258" s="791"/>
      <c r="G258" s="791"/>
      <c r="H258" s="791"/>
      <c r="I258" s="792"/>
    </row>
    <row r="259" spans="1:14">
      <c r="A259" s="35"/>
      <c r="D259" s="37"/>
      <c r="E259" s="37"/>
    </row>
    <row r="260" spans="1:14">
      <c r="A260" s="35"/>
      <c r="D260" s="37"/>
      <c r="E260" s="37"/>
    </row>
    <row r="261" spans="1:14">
      <c r="A261" s="35"/>
      <c r="B261" s="802" t="s">
        <v>54</v>
      </c>
      <c r="C261" s="803"/>
      <c r="D261" s="37"/>
      <c r="E261" s="37"/>
    </row>
    <row r="262" spans="1:14">
      <c r="A262" s="35"/>
      <c r="B262" s="789" t="s">
        <v>138</v>
      </c>
      <c r="C262" s="790"/>
      <c r="D262" s="820"/>
      <c r="E262" s="820"/>
    </row>
    <row r="263" spans="1:14">
      <c r="A263" s="35"/>
      <c r="B263" s="789" t="s">
        <v>125</v>
      </c>
      <c r="C263" s="790"/>
      <c r="D263" s="820"/>
      <c r="E263" s="820"/>
    </row>
    <row r="264" spans="1:14">
      <c r="A264" s="35"/>
      <c r="B264" s="789"/>
      <c r="C264" s="790"/>
      <c r="D264" s="37"/>
      <c r="E264" s="37"/>
    </row>
    <row r="265" spans="1:14">
      <c r="A265" s="35"/>
      <c r="B265" s="789"/>
      <c r="C265" s="790"/>
      <c r="D265" s="37"/>
      <c r="E265" s="37"/>
    </row>
    <row r="266" spans="1:14">
      <c r="A266" s="35"/>
      <c r="B266" s="789"/>
      <c r="C266" s="790"/>
      <c r="D266" s="37"/>
      <c r="E266" s="37"/>
    </row>
    <row r="267" spans="1:14">
      <c r="A267" s="35"/>
      <c r="B267" s="789"/>
      <c r="C267" s="790"/>
      <c r="D267" s="37"/>
      <c r="E267" s="37"/>
    </row>
    <row r="268" spans="1:14">
      <c r="A268" s="35"/>
      <c r="B268" s="789"/>
      <c r="C268" s="790"/>
      <c r="D268" s="37"/>
      <c r="E268" s="37"/>
    </row>
    <row r="269" spans="1:14">
      <c r="A269" s="35"/>
      <c r="B269" s="791"/>
      <c r="C269" s="792"/>
      <c r="D269" s="37"/>
      <c r="E269" s="37"/>
    </row>
    <row r="270" spans="1:14">
      <c r="A270" s="35"/>
      <c r="D270" s="37"/>
      <c r="E270" s="37"/>
    </row>
    <row r="271" spans="1:14">
      <c r="A271" s="35"/>
      <c r="D271" s="37"/>
      <c r="E271" s="37"/>
    </row>
    <row r="272" spans="1:14">
      <c r="A272" s="35"/>
      <c r="B272" s="1"/>
      <c r="C272" s="1"/>
      <c r="D272" s="678"/>
      <c r="E272" s="678"/>
      <c r="F272" s="1"/>
      <c r="G272" s="1"/>
      <c r="H272" s="1"/>
      <c r="I272" s="1"/>
      <c r="J272" s="1"/>
      <c r="K272" s="1"/>
      <c r="L272" s="1"/>
      <c r="M272" s="1"/>
      <c r="N272" s="1"/>
    </row>
    <row r="273" spans="2:36">
      <c r="B273" s="268" t="s">
        <v>140</v>
      </c>
      <c r="C273" s="755"/>
      <c r="D273" s="755"/>
      <c r="E273" s="755"/>
      <c r="F273" s="267"/>
      <c r="G273" s="267"/>
      <c r="H273" s="267"/>
      <c r="I273" s="267"/>
      <c r="J273" s="267"/>
      <c r="K273" s="267"/>
      <c r="L273" s="267"/>
      <c r="M273" s="267"/>
      <c r="N273" s="267"/>
    </row>
    <row r="275" spans="2:36" ht="108">
      <c r="B275" s="245" t="s">
        <v>141</v>
      </c>
      <c r="C275" s="245" t="s">
        <v>142</v>
      </c>
      <c r="D275" s="245" t="s">
        <v>143</v>
      </c>
      <c r="E275" s="246" t="s">
        <v>144</v>
      </c>
      <c r="F275" s="246" t="s">
        <v>145</v>
      </c>
      <c r="G275" s="246" t="s">
        <v>146</v>
      </c>
      <c r="H275" s="246" t="s">
        <v>147</v>
      </c>
      <c r="I275" s="245" t="s">
        <v>148</v>
      </c>
      <c r="J275" s="245" t="s">
        <v>149</v>
      </c>
      <c r="K275" s="247" t="s">
        <v>150</v>
      </c>
      <c r="L275" s="247" t="s">
        <v>151</v>
      </c>
      <c r="M275" s="247" t="s">
        <v>152</v>
      </c>
      <c r="N275" s="247" t="s">
        <v>153</v>
      </c>
      <c r="O275" s="247" t="s">
        <v>154</v>
      </c>
      <c r="P275" s="247" t="s">
        <v>155</v>
      </c>
      <c r="Q275" s="247" t="s">
        <v>156</v>
      </c>
      <c r="R275" s="247" t="s">
        <v>157</v>
      </c>
      <c r="S275" s="247" t="s">
        <v>158</v>
      </c>
      <c r="T275" s="245" t="s">
        <v>159</v>
      </c>
      <c r="U275" s="245" t="s">
        <v>160</v>
      </c>
      <c r="V275" s="245" t="s">
        <v>161</v>
      </c>
      <c r="W275" s="245" t="s">
        <v>162</v>
      </c>
      <c r="X275" s="248" t="s">
        <v>163</v>
      </c>
      <c r="Y275" s="245" t="s">
        <v>164</v>
      </c>
      <c r="Z275" s="245" t="s">
        <v>165</v>
      </c>
      <c r="AA275" s="245" t="s">
        <v>166</v>
      </c>
      <c r="AB275" s="245" t="s">
        <v>167</v>
      </c>
      <c r="AC275" s="245" t="s">
        <v>168</v>
      </c>
      <c r="AD275" s="245" t="s">
        <v>169</v>
      </c>
      <c r="AE275" s="245" t="s">
        <v>170</v>
      </c>
      <c r="AF275" s="245" t="s">
        <v>171</v>
      </c>
      <c r="AG275" s="245" t="s">
        <v>172</v>
      </c>
      <c r="AH275" s="245" t="s">
        <v>173</v>
      </c>
      <c r="AI275" s="245" t="s">
        <v>174</v>
      </c>
      <c r="AJ275" s="249" t="s">
        <v>175</v>
      </c>
    </row>
    <row r="276" spans="2:36">
      <c r="B276" s="240" t="s">
        <v>19</v>
      </c>
      <c r="C276" t="s">
        <v>4</v>
      </c>
      <c r="D276" t="s">
        <v>176</v>
      </c>
      <c r="E276" t="s">
        <v>177</v>
      </c>
      <c r="F276" t="s">
        <v>178</v>
      </c>
      <c r="G276" t="s">
        <v>179</v>
      </c>
      <c r="H276" t="s">
        <v>180</v>
      </c>
      <c r="O276" t="s">
        <v>181</v>
      </c>
      <c r="Y276" t="s">
        <v>182</v>
      </c>
      <c r="Z276" t="s">
        <v>183</v>
      </c>
      <c r="AA276">
        <v>1</v>
      </c>
      <c r="AI276" t="s">
        <v>184</v>
      </c>
      <c r="AJ276" s="119" t="s">
        <v>184</v>
      </c>
    </row>
    <row r="277" spans="2:36">
      <c r="B277" s="240" t="s">
        <v>22</v>
      </c>
      <c r="C277" t="s">
        <v>185</v>
      </c>
      <c r="D277" t="s">
        <v>186</v>
      </c>
      <c r="E277" t="s">
        <v>187</v>
      </c>
      <c r="F277" t="s">
        <v>188</v>
      </c>
      <c r="G277" t="s">
        <v>189</v>
      </c>
      <c r="H277" t="s">
        <v>190</v>
      </c>
      <c r="O277" t="s">
        <v>191</v>
      </c>
      <c r="Y277" t="s">
        <v>192</v>
      </c>
      <c r="Z277" t="s">
        <v>193</v>
      </c>
      <c r="AA277">
        <v>2</v>
      </c>
      <c r="AI277" t="s">
        <v>194</v>
      </c>
      <c r="AJ277" s="119" t="s">
        <v>194</v>
      </c>
    </row>
    <row r="278" spans="2:36">
      <c r="B278" s="240" t="s">
        <v>25</v>
      </c>
      <c r="C278" t="s">
        <v>195</v>
      </c>
      <c r="D278" t="s">
        <v>196</v>
      </c>
      <c r="E278" t="s">
        <v>197</v>
      </c>
      <c r="F278" t="s">
        <v>198</v>
      </c>
      <c r="G278" t="s">
        <v>199</v>
      </c>
      <c r="O278" t="s">
        <v>200</v>
      </c>
      <c r="Y278" t="s">
        <v>201</v>
      </c>
      <c r="Z278" t="s">
        <v>202</v>
      </c>
      <c r="AA278">
        <v>3</v>
      </c>
      <c r="AI278" t="s">
        <v>203</v>
      </c>
      <c r="AJ278" s="119" t="s">
        <v>203</v>
      </c>
    </row>
    <row r="279" spans="2:36">
      <c r="B279" s="240" t="s">
        <v>27</v>
      </c>
      <c r="C279" t="s">
        <v>204</v>
      </c>
      <c r="D279" t="s">
        <v>205</v>
      </c>
      <c r="E279" t="s">
        <v>206</v>
      </c>
      <c r="G279" t="s">
        <v>207</v>
      </c>
      <c r="O279" t="s">
        <v>208</v>
      </c>
      <c r="Y279" t="s">
        <v>209</v>
      </c>
      <c r="Z279" t="s">
        <v>203</v>
      </c>
      <c r="AA279">
        <v>4</v>
      </c>
      <c r="AJ279" s="119"/>
    </row>
    <row r="280" spans="2:36">
      <c r="B280" s="240" t="s">
        <v>29</v>
      </c>
      <c r="C280" t="s">
        <v>87</v>
      </c>
      <c r="D280" t="s">
        <v>210</v>
      </c>
      <c r="E280" t="s">
        <v>211</v>
      </c>
      <c r="G280" t="s">
        <v>212</v>
      </c>
      <c r="O280" t="s">
        <v>213</v>
      </c>
      <c r="Y280" t="s">
        <v>214</v>
      </c>
      <c r="AA280">
        <v>5</v>
      </c>
      <c r="AJ280" s="119"/>
    </row>
    <row r="281" spans="2:36">
      <c r="B281" s="240"/>
      <c r="C281" t="s">
        <v>54</v>
      </c>
      <c r="D281" t="s">
        <v>215</v>
      </c>
      <c r="E281" t="s">
        <v>216</v>
      </c>
      <c r="O281" t="s">
        <v>217</v>
      </c>
      <c r="Y281" s="244" t="s">
        <v>218</v>
      </c>
      <c r="AA281">
        <v>6</v>
      </c>
      <c r="AJ281" s="119"/>
    </row>
    <row r="282" spans="2:36">
      <c r="B282" s="240"/>
      <c r="C282" t="s">
        <v>92</v>
      </c>
      <c r="D282" t="s">
        <v>219</v>
      </c>
      <c r="O282" t="s">
        <v>220</v>
      </c>
      <c r="Y282" t="s">
        <v>203</v>
      </c>
      <c r="AA282">
        <v>7</v>
      </c>
      <c r="AJ282" s="119"/>
    </row>
    <row r="283" spans="2:36">
      <c r="B283" s="240"/>
      <c r="C283" t="s">
        <v>221</v>
      </c>
      <c r="D283" t="s">
        <v>222</v>
      </c>
      <c r="O283" t="s">
        <v>223</v>
      </c>
      <c r="AA283">
        <v>8</v>
      </c>
      <c r="AJ283" s="119"/>
    </row>
    <row r="284" spans="2:36">
      <c r="B284" s="240"/>
      <c r="C284" t="s">
        <v>224</v>
      </c>
      <c r="D284" t="s">
        <v>225</v>
      </c>
      <c r="AA284">
        <v>9</v>
      </c>
      <c r="AJ284" s="119"/>
    </row>
    <row r="285" spans="2:36">
      <c r="B285" s="240"/>
      <c r="C285" t="s">
        <v>29</v>
      </c>
      <c r="D285" t="s">
        <v>226</v>
      </c>
      <c r="AA285">
        <v>10</v>
      </c>
      <c r="AJ285" s="119"/>
    </row>
    <row r="286" spans="2:36">
      <c r="B286" s="240"/>
      <c r="C286" t="s">
        <v>70</v>
      </c>
      <c r="D286" t="s">
        <v>216</v>
      </c>
      <c r="AA286">
        <v>11</v>
      </c>
      <c r="AJ286" s="119"/>
    </row>
    <row r="287" spans="2:36">
      <c r="B287" s="240"/>
      <c r="C287" t="s">
        <v>71</v>
      </c>
      <c r="AA287">
        <v>12</v>
      </c>
      <c r="AJ287" s="119"/>
    </row>
    <row r="288" spans="2:36">
      <c r="B288" s="240"/>
      <c r="C288" t="s">
        <v>72</v>
      </c>
      <c r="AA288" t="s">
        <v>203</v>
      </c>
      <c r="AJ288" s="119"/>
    </row>
    <row r="289" spans="2:36">
      <c r="B289" s="240"/>
      <c r="C289" t="s">
        <v>75</v>
      </c>
      <c r="AJ289" s="119"/>
    </row>
    <row r="290" spans="2:36">
      <c r="B290" s="240"/>
      <c r="C290" t="s">
        <v>76</v>
      </c>
      <c r="AJ290" s="119"/>
    </row>
    <row r="291" spans="2:36">
      <c r="B291" s="240"/>
      <c r="C291" t="s">
        <v>77</v>
      </c>
      <c r="AJ291" s="119"/>
    </row>
    <row r="292" spans="2:36">
      <c r="B292" s="240"/>
      <c r="C292" t="s">
        <v>50</v>
      </c>
      <c r="AJ292" s="119"/>
    </row>
    <row r="293" spans="2:36">
      <c r="B293" s="240"/>
      <c r="C293" t="s">
        <v>227</v>
      </c>
      <c r="AJ293" s="119"/>
    </row>
    <row r="294" spans="2:36">
      <c r="B294" s="240"/>
      <c r="C294" t="s">
        <v>228</v>
      </c>
      <c r="AJ294" s="119"/>
    </row>
    <row r="295" spans="2:36">
      <c r="B295" s="240"/>
      <c r="C295" t="s">
        <v>229</v>
      </c>
      <c r="AJ295" s="119"/>
    </row>
    <row r="296" spans="2:36">
      <c r="B296" s="240"/>
      <c r="C296" t="s">
        <v>230</v>
      </c>
      <c r="AJ296" s="119"/>
    </row>
    <row r="297" spans="2:36">
      <c r="B297" s="240"/>
      <c r="C297" t="s">
        <v>231</v>
      </c>
      <c r="AJ297" s="119"/>
    </row>
    <row r="298" spans="2:36">
      <c r="B298" s="240"/>
      <c r="C298" t="s">
        <v>232</v>
      </c>
      <c r="AJ298" s="119"/>
    </row>
    <row r="299" spans="2:36">
      <c r="B299" s="240"/>
      <c r="C299" t="s">
        <v>233</v>
      </c>
      <c r="AJ299" s="119"/>
    </row>
    <row r="300" spans="2:36">
      <c r="B300" s="240"/>
      <c r="C300" t="s">
        <v>234</v>
      </c>
      <c r="AJ300" s="119"/>
    </row>
    <row r="301" spans="2:36">
      <c r="B301" s="240"/>
      <c r="AJ301" s="119"/>
    </row>
    <row r="302" spans="2:36">
      <c r="B302" s="240"/>
      <c r="AJ302" s="119"/>
    </row>
    <row r="303" spans="2:36">
      <c r="B303" s="240"/>
      <c r="AJ303" s="119"/>
    </row>
    <row r="304" spans="2:36">
      <c r="B304" s="240"/>
      <c r="AJ304" s="119"/>
    </row>
    <row r="305" spans="1:36">
      <c r="B305" s="240"/>
      <c r="AJ305" s="119"/>
    </row>
    <row r="306" spans="1:36">
      <c r="B306" s="241"/>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242"/>
    </row>
    <row r="307" spans="1:36">
      <c r="B307" s="243" t="s">
        <v>235</v>
      </c>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row>
    <row r="310" spans="1:36">
      <c r="A310" s="35"/>
      <c r="B310" s="756" t="s">
        <v>236</v>
      </c>
      <c r="C310" s="80"/>
      <c r="D310" s="80"/>
      <c r="E310" s="80"/>
      <c r="F310" s="81"/>
      <c r="G310" s="81"/>
      <c r="H310" s="81"/>
      <c r="I310" s="81"/>
      <c r="J310" s="81"/>
      <c r="K310" s="81"/>
      <c r="L310" s="81"/>
      <c r="M310" s="81"/>
      <c r="N310" s="81"/>
      <c r="O310" s="81"/>
      <c r="P310" s="81"/>
      <c r="Q310" s="81"/>
      <c r="R310" s="81"/>
      <c r="S310" s="81"/>
    </row>
    <row r="311" spans="1:36">
      <c r="B311" s="79"/>
      <c r="C311" s="80"/>
      <c r="D311" s="80"/>
      <c r="E311" s="80"/>
      <c r="F311" s="81"/>
      <c r="G311" s="81"/>
      <c r="H311" s="81"/>
      <c r="I311" s="81"/>
      <c r="J311" s="81"/>
      <c r="K311" s="81"/>
      <c r="L311" s="267"/>
      <c r="M311" s="81"/>
      <c r="N311" s="81"/>
    </row>
    <row r="312" spans="1:36">
      <c r="A312" s="77" t="s">
        <v>237</v>
      </c>
      <c r="B312" s="77" t="s">
        <v>238</v>
      </c>
      <c r="C312" s="37"/>
      <c r="D312" s="37"/>
      <c r="E312" s="37"/>
      <c r="K312" s="77" t="s">
        <v>239</v>
      </c>
      <c r="L312" s="77" t="s">
        <v>240</v>
      </c>
      <c r="M312" s="81"/>
      <c r="N312" s="81"/>
    </row>
    <row r="313" spans="1:36">
      <c r="B313" s="268"/>
      <c r="C313" s="80"/>
      <c r="D313" s="80"/>
      <c r="E313" s="80"/>
      <c r="F313" s="81"/>
      <c r="G313" s="81"/>
      <c r="H313" s="81"/>
      <c r="I313" s="81"/>
      <c r="J313" s="81"/>
      <c r="K313" s="81"/>
      <c r="L313" s="268"/>
      <c r="M313" s="81"/>
      <c r="N313" s="81"/>
    </row>
    <row r="314" spans="1:36">
      <c r="A314" s="48" t="s">
        <v>6</v>
      </c>
      <c r="B314" s="261" t="s">
        <v>3</v>
      </c>
      <c r="C314" s="133">
        <v>2022</v>
      </c>
      <c r="D314" s="134">
        <f>C314+1</f>
        <v>2023</v>
      </c>
      <c r="E314" s="134">
        <f>D314+1</f>
        <v>2024</v>
      </c>
      <c r="F314" s="134">
        <f t="shared" ref="F314" si="26">E314+1</f>
        <v>2025</v>
      </c>
      <c r="G314" s="134">
        <f t="shared" ref="G314" si="27">F314+1</f>
        <v>2026</v>
      </c>
      <c r="H314" s="134">
        <f t="shared" ref="H314" si="28">G314+1</f>
        <v>2027</v>
      </c>
      <c r="I314" s="134">
        <f t="shared" ref="I314" si="29">H314+1</f>
        <v>2028</v>
      </c>
      <c r="K314" s="48" t="s">
        <v>6</v>
      </c>
      <c r="L314" s="261" t="s">
        <v>3</v>
      </c>
      <c r="M314" s="133">
        <v>2022</v>
      </c>
      <c r="N314" s="134">
        <f t="shared" ref="N314" si="30">M314+1</f>
        <v>2023</v>
      </c>
      <c r="O314" s="134">
        <f t="shared" ref="O314" si="31">N314+1</f>
        <v>2024</v>
      </c>
      <c r="P314" s="134">
        <f t="shared" ref="P314" si="32">O314+1</f>
        <v>2025</v>
      </c>
      <c r="Q314" s="134">
        <f t="shared" ref="Q314" si="33">P314+1</f>
        <v>2026</v>
      </c>
      <c r="R314" s="134">
        <f t="shared" ref="R314" si="34">Q314+1</f>
        <v>2027</v>
      </c>
      <c r="S314" s="134">
        <f t="shared" ref="S314" si="35">R314+1</f>
        <v>2028</v>
      </c>
    </row>
    <row r="315" spans="1:36">
      <c r="A315" s="12" t="s">
        <v>19</v>
      </c>
      <c r="B315" s="260" t="s">
        <v>70</v>
      </c>
      <c r="C315" s="263"/>
      <c r="D315" s="263"/>
      <c r="E315" s="265">
        <v>1.4366690915062783</v>
      </c>
      <c r="F315" s="265">
        <v>1.3797759532786635</v>
      </c>
      <c r="G315" s="265">
        <v>1.2994160329983981</v>
      </c>
      <c r="H315" s="265">
        <v>1.2615281568238033</v>
      </c>
      <c r="I315" s="265">
        <v>1.2611798067947679</v>
      </c>
      <c r="J315" t="b">
        <f>B315=L315</f>
        <v>1</v>
      </c>
      <c r="K315" s="12" t="s">
        <v>19</v>
      </c>
      <c r="L315" s="260" t="s">
        <v>70</v>
      </c>
      <c r="M315" s="263"/>
      <c r="N315" s="263"/>
      <c r="O315" s="394">
        <f t="shared" ref="O315:O328" si="36">((E315*H$34)/H$13)*(1-H$13)</f>
        <v>5.5194930254556516</v>
      </c>
      <c r="P315" s="394">
        <f t="shared" ref="P315:P328" si="37">((F315*I$34)/I$13)*(1-I$13)</f>
        <v>5.4713328744545455</v>
      </c>
      <c r="Q315" s="394">
        <f t="shared" ref="Q315:Q328" si="38">((G315*J$34)/J$13)*(1-J$13)</f>
        <v>5.3040469603909726</v>
      </c>
      <c r="R315" s="394">
        <f t="shared" ref="R315:R328" si="39">((H315*K$34)/K$13)*(1-K$13)</f>
        <v>5.2563890186629472</v>
      </c>
      <c r="S315" s="394">
        <f t="shared" ref="S315:S328" si="40">((I315*L$34)/L$13)*(1-L$13)</f>
        <v>5.3597536126116072</v>
      </c>
    </row>
    <row r="316" spans="1:36">
      <c r="A316" s="12" t="s">
        <v>19</v>
      </c>
      <c r="B316" s="260" t="s">
        <v>71</v>
      </c>
      <c r="C316" s="263"/>
      <c r="D316" s="263"/>
      <c r="E316" s="265">
        <v>1.368578491828039</v>
      </c>
      <c r="F316" s="265">
        <v>1.4008338175049104</v>
      </c>
      <c r="G316" s="265">
        <v>1.2944169556388054</v>
      </c>
      <c r="H316" s="265">
        <v>1.1615288221705597</v>
      </c>
      <c r="I316" s="265">
        <v>1.0171476978779488</v>
      </c>
      <c r="J316" t="b">
        <f t="shared" ref="J316:J343" si="41">B316=L316</f>
        <v>1</v>
      </c>
      <c r="K316" s="12" t="s">
        <v>19</v>
      </c>
      <c r="L316" s="260" t="s">
        <v>71</v>
      </c>
      <c r="M316" s="263"/>
      <c r="N316" s="263"/>
      <c r="O316" s="394">
        <f t="shared" si="36"/>
        <v>5.2578979286828105</v>
      </c>
      <c r="P316" s="394">
        <f t="shared" si="37"/>
        <v>5.5548352608623448</v>
      </c>
      <c r="Q316" s="394">
        <f t="shared" si="38"/>
        <v>5.2836413778827112</v>
      </c>
      <c r="R316" s="394">
        <f t="shared" si="39"/>
        <v>4.839723404263724</v>
      </c>
      <c r="S316" s="394">
        <f t="shared" si="40"/>
        <v>4.3226675680100435</v>
      </c>
    </row>
    <row r="317" spans="1:36">
      <c r="A317" s="12" t="s">
        <v>19</v>
      </c>
      <c r="B317" s="260" t="s">
        <v>72</v>
      </c>
      <c r="C317" s="263"/>
      <c r="D317" s="263"/>
      <c r="E317" s="265">
        <v>1.8517886877112844</v>
      </c>
      <c r="F317" s="265">
        <v>1.8549995484009258</v>
      </c>
      <c r="G317" s="265">
        <v>1.5955311955633462</v>
      </c>
      <c r="H317" s="265">
        <v>1.4243694121247401</v>
      </c>
      <c r="I317" s="265">
        <v>1.2090605175362352</v>
      </c>
      <c r="J317" t="b">
        <f t="shared" si="41"/>
        <v>1</v>
      </c>
      <c r="K317" s="12" t="s">
        <v>19</v>
      </c>
      <c r="L317" s="260" t="s">
        <v>72</v>
      </c>
      <c r="M317" s="263"/>
      <c r="N317" s="263"/>
      <c r="O317" s="394">
        <f t="shared" si="36"/>
        <v>7.1143277229719963</v>
      </c>
      <c r="P317" s="394">
        <f t="shared" si="37"/>
        <v>7.3557739480436757</v>
      </c>
      <c r="Q317" s="394">
        <f t="shared" si="38"/>
        <v>6.5127504764651256</v>
      </c>
      <c r="R317" s="394">
        <f t="shared" si="39"/>
        <v>5.9348970499891838</v>
      </c>
      <c r="S317" s="394">
        <f t="shared" si="40"/>
        <v>5.138257401377369</v>
      </c>
    </row>
    <row r="318" spans="1:36">
      <c r="A318" s="12" t="s">
        <v>19</v>
      </c>
      <c r="B318" s="260" t="s">
        <v>52</v>
      </c>
      <c r="C318" s="263"/>
      <c r="D318" s="263"/>
      <c r="E318" s="265">
        <v>1.9633660656588319</v>
      </c>
      <c r="F318" s="265">
        <v>2.1083575561921606</v>
      </c>
      <c r="G318" s="265">
        <v>2.5083164621053555</v>
      </c>
      <c r="H318" s="265">
        <v>2.4606563837546958</v>
      </c>
      <c r="I318" s="265">
        <v>2.3736687667861531</v>
      </c>
      <c r="J318" t="b">
        <f t="shared" si="41"/>
        <v>1</v>
      </c>
      <c r="K318" s="12" t="s">
        <v>19</v>
      </c>
      <c r="L318" s="260" t="s">
        <v>52</v>
      </c>
      <c r="M318" s="263"/>
      <c r="N318" s="263"/>
      <c r="O318" s="394">
        <f t="shared" si="36"/>
        <v>7.542993282091409</v>
      </c>
      <c r="P318" s="394">
        <f t="shared" si="37"/>
        <v>8.3604341566380853</v>
      </c>
      <c r="Q318" s="394">
        <f t="shared" si="38"/>
        <v>10.23862101795765</v>
      </c>
      <c r="R318" s="394">
        <f t="shared" si="39"/>
        <v>10.25277725614615</v>
      </c>
      <c r="S318" s="394">
        <f t="shared" si="40"/>
        <v>10.087601846606258</v>
      </c>
    </row>
    <row r="319" spans="1:36">
      <c r="A319" s="12" t="s">
        <v>19</v>
      </c>
      <c r="B319" s="260" t="s">
        <v>73</v>
      </c>
      <c r="C319" s="263"/>
      <c r="D319" s="263"/>
      <c r="E319" s="265">
        <v>1.3074390315981681</v>
      </c>
      <c r="F319" s="265">
        <v>1.3001216768501926</v>
      </c>
      <c r="G319" s="265">
        <v>1.5417405565806881</v>
      </c>
      <c r="H319" s="265">
        <v>1.5753974334268079</v>
      </c>
      <c r="I319" s="265">
        <v>1.5749617313468214</v>
      </c>
      <c r="J319" t="b">
        <f t="shared" si="41"/>
        <v>1</v>
      </c>
      <c r="K319" s="12" t="s">
        <v>19</v>
      </c>
      <c r="L319" s="260" t="s">
        <v>73</v>
      </c>
      <c r="M319" s="263"/>
      <c r="N319" s="263"/>
      <c r="O319" s="394">
        <f t="shared" si="36"/>
        <v>5.0230081921986169</v>
      </c>
      <c r="P319" s="394">
        <f t="shared" si="37"/>
        <v>5.1554735784736394</v>
      </c>
      <c r="Q319" s="394">
        <f t="shared" si="38"/>
        <v>6.2931840959156196</v>
      </c>
      <c r="R319" s="394">
        <f t="shared" si="39"/>
        <v>6.5641830697965577</v>
      </c>
      <c r="S319" s="394">
        <f t="shared" si="40"/>
        <v>6.6932619629905235</v>
      </c>
    </row>
    <row r="320" spans="1:36">
      <c r="A320" s="12" t="s">
        <v>19</v>
      </c>
      <c r="B320" s="260" t="s">
        <v>74</v>
      </c>
      <c r="C320" s="263"/>
      <c r="D320" s="263"/>
      <c r="E320" s="265">
        <v>2.0191738224902593</v>
      </c>
      <c r="F320" s="265">
        <v>1.5784133044437496</v>
      </c>
      <c r="G320" s="265">
        <v>1.7691618048462701</v>
      </c>
      <c r="H320" s="265">
        <v>1.741401016001106</v>
      </c>
      <c r="I320" s="265">
        <v>1.6345343485877493</v>
      </c>
      <c r="J320" t="b">
        <f t="shared" si="41"/>
        <v>1</v>
      </c>
      <c r="K320" s="12" t="s">
        <v>19</v>
      </c>
      <c r="L320" s="260" t="s">
        <v>74</v>
      </c>
      <c r="M320" s="263"/>
      <c r="N320" s="263"/>
      <c r="O320" s="394">
        <f t="shared" si="36"/>
        <v>7.757399317843479</v>
      </c>
      <c r="P320" s="394">
        <f t="shared" si="37"/>
        <v>6.2590050084278879</v>
      </c>
      <c r="Q320" s="394">
        <f t="shared" si="38"/>
        <v>7.2214880031776811</v>
      </c>
      <c r="R320" s="394">
        <f t="shared" si="39"/>
        <v>7.2558675191545277</v>
      </c>
      <c r="S320" s="394">
        <f t="shared" si="40"/>
        <v>6.9464332782538598</v>
      </c>
    </row>
    <row r="321" spans="1:19">
      <c r="A321" s="12" t="s">
        <v>19</v>
      </c>
      <c r="B321" s="260" t="s">
        <v>75</v>
      </c>
      <c r="C321" s="263"/>
      <c r="D321" s="263"/>
      <c r="E321" s="265">
        <v>1.5418188657920666</v>
      </c>
      <c r="F321" s="265">
        <v>1.5421689490890813</v>
      </c>
      <c r="G321" s="265">
        <v>1.1986919632990878</v>
      </c>
      <c r="H321" s="265">
        <v>1.2051150219812068</v>
      </c>
      <c r="I321" s="265">
        <v>1.2030871425295599</v>
      </c>
      <c r="J321" t="b">
        <f t="shared" si="41"/>
        <v>1</v>
      </c>
      <c r="K321" s="12" t="s">
        <v>19</v>
      </c>
      <c r="L321" s="260" t="s">
        <v>75</v>
      </c>
      <c r="M321" s="263"/>
      <c r="N321" s="263"/>
      <c r="O321" s="394">
        <f t="shared" si="36"/>
        <v>5.9234645796777521</v>
      </c>
      <c r="P321" s="394">
        <f t="shared" si="37"/>
        <v>6.1152824478960905</v>
      </c>
      <c r="Q321" s="394">
        <f t="shared" si="38"/>
        <v>4.8929044300852116</v>
      </c>
      <c r="R321" s="394">
        <f t="shared" si="39"/>
        <v>5.0213333198337127</v>
      </c>
      <c r="S321" s="394">
        <f t="shared" si="40"/>
        <v>5.1128717917291473</v>
      </c>
    </row>
    <row r="322" spans="1:19">
      <c r="A322" s="12" t="s">
        <v>19</v>
      </c>
      <c r="B322" s="260" t="s">
        <v>76</v>
      </c>
      <c r="C322" s="263"/>
      <c r="D322" s="263"/>
      <c r="E322" s="265">
        <v>1.3630193716187557</v>
      </c>
      <c r="F322" s="265">
        <v>1.3768904698776971</v>
      </c>
      <c r="G322" s="265">
        <v>1.3602523162213354</v>
      </c>
      <c r="H322" s="265">
        <v>1.3398436564847218</v>
      </c>
      <c r="I322" s="265">
        <v>1.3157905788825448</v>
      </c>
      <c r="J322" t="b">
        <f t="shared" si="41"/>
        <v>1</v>
      </c>
      <c r="K322" s="12" t="s">
        <v>19</v>
      </c>
      <c r="L322" s="260" t="s">
        <v>76</v>
      </c>
      <c r="M322" s="263"/>
      <c r="N322" s="263"/>
      <c r="O322" s="394">
        <f t="shared" si="36"/>
        <v>5.2365405225798929</v>
      </c>
      <c r="P322" s="394">
        <f t="shared" si="37"/>
        <v>5.4598908427588304</v>
      </c>
      <c r="Q322" s="394">
        <f t="shared" si="38"/>
        <v>5.5523727428315084</v>
      </c>
      <c r="R322" s="394">
        <f t="shared" si="39"/>
        <v>5.5827049476273851</v>
      </c>
      <c r="S322" s="394">
        <f t="shared" si="40"/>
        <v>5.5918381111169051</v>
      </c>
    </row>
    <row r="323" spans="1:19">
      <c r="A323" s="12" t="s">
        <v>19</v>
      </c>
      <c r="B323" s="260" t="s">
        <v>77</v>
      </c>
      <c r="C323" s="263"/>
      <c r="D323" s="263"/>
      <c r="E323" s="265">
        <v>0.88691188538891907</v>
      </c>
      <c r="F323" s="265">
        <v>0.97956684032180519</v>
      </c>
      <c r="G323" s="265">
        <v>0.7570821246417444</v>
      </c>
      <c r="H323" s="265">
        <v>0.71183271144208338</v>
      </c>
      <c r="I323" s="265">
        <v>0.66972194319581801</v>
      </c>
      <c r="J323" t="b">
        <f t="shared" si="41"/>
        <v>1</v>
      </c>
      <c r="K323" s="12" t="s">
        <v>19</v>
      </c>
      <c r="L323" s="260" t="s">
        <v>77</v>
      </c>
      <c r="M323" s="263"/>
      <c r="N323" s="263"/>
      <c r="O323" s="394">
        <f t="shared" si="36"/>
        <v>3.4073984013015624</v>
      </c>
      <c r="P323" s="394">
        <f t="shared" si="37"/>
        <v>3.8843525598795758</v>
      </c>
      <c r="Q323" s="394">
        <f t="shared" si="38"/>
        <v>3.0903106010677748</v>
      </c>
      <c r="R323" s="394">
        <f t="shared" si="39"/>
        <v>2.9659818746890121</v>
      </c>
      <c r="S323" s="394">
        <f t="shared" si="40"/>
        <v>2.8461798905674822</v>
      </c>
    </row>
    <row r="324" spans="1:19">
      <c r="A324" s="12" t="s">
        <v>19</v>
      </c>
      <c r="B324" s="260" t="s">
        <v>50</v>
      </c>
      <c r="C324" s="263"/>
      <c r="D324" s="263"/>
      <c r="E324" s="265">
        <v>2.5538076548384012</v>
      </c>
      <c r="F324" s="265">
        <v>2.7027627943750261</v>
      </c>
      <c r="G324" s="265">
        <v>2.4755882180772915</v>
      </c>
      <c r="H324" s="265">
        <v>2.1518380701030111</v>
      </c>
      <c r="I324" s="265">
        <v>1.7678169461084547</v>
      </c>
      <c r="J324" t="b">
        <f t="shared" si="41"/>
        <v>1</v>
      </c>
      <c r="K324" s="12" t="s">
        <v>19</v>
      </c>
      <c r="L324" s="260" t="s">
        <v>50</v>
      </c>
      <c r="M324" s="263"/>
      <c r="N324" s="263"/>
      <c r="O324" s="394">
        <f t="shared" si="36"/>
        <v>9.8113919360909492</v>
      </c>
      <c r="P324" s="394">
        <f t="shared" si="37"/>
        <v>10.717475466634793</v>
      </c>
      <c r="Q324" s="394">
        <f t="shared" si="38"/>
        <v>10.105028589630114</v>
      </c>
      <c r="R324" s="394">
        <f t="shared" si="39"/>
        <v>8.9660289708540546</v>
      </c>
      <c r="S324" s="394">
        <f t="shared" si="40"/>
        <v>7.512856780843375</v>
      </c>
    </row>
    <row r="325" spans="1:19">
      <c r="A325" s="12" t="s">
        <v>19</v>
      </c>
      <c r="B325" s="260" t="s">
        <v>51</v>
      </c>
      <c r="C325" s="263"/>
      <c r="D325" s="263"/>
      <c r="E325" s="265">
        <v>2.1594507853983487</v>
      </c>
      <c r="F325" s="265">
        <v>2.108783385973247</v>
      </c>
      <c r="G325" s="265">
        <v>1.9571099436141921</v>
      </c>
      <c r="H325" s="265">
        <v>1.6739883971269975</v>
      </c>
      <c r="I325" s="265">
        <v>1.4057277322201749</v>
      </c>
      <c r="J325" t="b">
        <f t="shared" si="41"/>
        <v>1</v>
      </c>
      <c r="K325" s="12" t="s">
        <v>19</v>
      </c>
      <c r="L325" s="260" t="s">
        <v>51</v>
      </c>
      <c r="M325" s="263"/>
      <c r="N325" s="263"/>
      <c r="O325" s="394">
        <f t="shared" si="36"/>
        <v>8.29632489435987</v>
      </c>
      <c r="P325" s="394">
        <f t="shared" si="37"/>
        <v>8.3621227325801755</v>
      </c>
      <c r="Q325" s="394">
        <f t="shared" si="38"/>
        <v>7.9886678199780228</v>
      </c>
      <c r="R325" s="394">
        <f t="shared" si="39"/>
        <v>6.9749804476670967</v>
      </c>
      <c r="S325" s="394">
        <f t="shared" si="40"/>
        <v>5.9740524313211365</v>
      </c>
    </row>
    <row r="326" spans="1:19">
      <c r="A326" s="12" t="s">
        <v>19</v>
      </c>
      <c r="B326" s="260" t="s">
        <v>78</v>
      </c>
      <c r="C326" s="263"/>
      <c r="D326" s="263"/>
      <c r="E326" s="265">
        <v>2.3320557909214585</v>
      </c>
      <c r="F326" s="265">
        <v>2.3253369118631113</v>
      </c>
      <c r="G326" s="265">
        <v>2.1691122806593768</v>
      </c>
      <c r="H326" s="265">
        <v>1.831433598356611</v>
      </c>
      <c r="I326" s="265">
        <v>1.6964022421334342</v>
      </c>
      <c r="J326" t="b">
        <f t="shared" si="41"/>
        <v>1</v>
      </c>
      <c r="K326" s="12" t="s">
        <v>19</v>
      </c>
      <c r="L326" s="260" t="s">
        <v>78</v>
      </c>
      <c r="M326" s="263"/>
      <c r="N326" s="263"/>
      <c r="O326" s="394">
        <f t="shared" si="36"/>
        <v>8.9594505436662715</v>
      </c>
      <c r="P326" s="394">
        <f t="shared" si="37"/>
        <v>9.2208392672935222</v>
      </c>
      <c r="Q326" s="394">
        <f t="shared" si="38"/>
        <v>8.8540337403950442</v>
      </c>
      <c r="R326" s="394">
        <f t="shared" si="39"/>
        <v>7.6310048275494937</v>
      </c>
      <c r="S326" s="394">
        <f t="shared" si="40"/>
        <v>7.2093590435964661</v>
      </c>
    </row>
    <row r="327" spans="1:19">
      <c r="A327" s="12" t="s">
        <v>19</v>
      </c>
      <c r="B327" s="260" t="s">
        <v>79</v>
      </c>
      <c r="C327" s="263"/>
      <c r="D327" s="263"/>
      <c r="E327" s="265">
        <v>0.94083766340920505</v>
      </c>
      <c r="F327" s="265">
        <v>0.89327362005723643</v>
      </c>
      <c r="G327" s="265">
        <v>0.85016201774887534</v>
      </c>
      <c r="H327" s="265">
        <v>0.70172058348408528</v>
      </c>
      <c r="I327" s="265">
        <v>0.70273163357435342</v>
      </c>
      <c r="J327" t="b">
        <f t="shared" si="41"/>
        <v>1</v>
      </c>
      <c r="K327" s="12" t="s">
        <v>19</v>
      </c>
      <c r="L327" s="260" t="s">
        <v>79</v>
      </c>
      <c r="M327" s="263"/>
      <c r="N327" s="263"/>
      <c r="O327" s="394">
        <f t="shared" si="36"/>
        <v>3.6145741228611969</v>
      </c>
      <c r="P327" s="394">
        <f t="shared" si="37"/>
        <v>3.5421673436825754</v>
      </c>
      <c r="Q327" s="394">
        <f t="shared" si="38"/>
        <v>3.4702505983981018</v>
      </c>
      <c r="R327" s="394">
        <f t="shared" si="39"/>
        <v>2.9238478342665122</v>
      </c>
      <c r="S327" s="394">
        <f t="shared" si="40"/>
        <v>2.9864642547036242</v>
      </c>
    </row>
    <row r="328" spans="1:19">
      <c r="A328" s="12" t="s">
        <v>19</v>
      </c>
      <c r="B328" s="260" t="s">
        <v>80</v>
      </c>
      <c r="C328" s="263"/>
      <c r="D328" s="263"/>
      <c r="E328" s="265">
        <v>1.3538563803454693</v>
      </c>
      <c r="F328" s="265">
        <v>1.399085447927888</v>
      </c>
      <c r="G328" s="265">
        <v>1.3245039630700681</v>
      </c>
      <c r="H328" s="265">
        <v>1.0767587664923539</v>
      </c>
      <c r="I328" s="265">
        <v>1.0135822369351568</v>
      </c>
      <c r="J328" t="b">
        <f t="shared" si="41"/>
        <v>1</v>
      </c>
      <c r="K328" s="12" t="s">
        <v>19</v>
      </c>
      <c r="L328" s="260" t="s">
        <v>80</v>
      </c>
      <c r="M328" s="263"/>
      <c r="N328" s="263"/>
      <c r="O328" s="394">
        <f t="shared" si="36"/>
        <v>5.2013375195193969</v>
      </c>
      <c r="P328" s="394">
        <f t="shared" si="37"/>
        <v>5.5479023150310098</v>
      </c>
      <c r="Q328" s="394">
        <f t="shared" si="38"/>
        <v>5.4064526225191285</v>
      </c>
      <c r="R328" s="394">
        <f t="shared" si="39"/>
        <v>4.4865133808741291</v>
      </c>
      <c r="S328" s="394">
        <f t="shared" si="40"/>
        <v>4.3075150956458348</v>
      </c>
    </row>
    <row r="329" spans="1:19">
      <c r="A329" s="12" t="s">
        <v>25</v>
      </c>
      <c r="B329" s="260" t="s">
        <v>81</v>
      </c>
      <c r="C329" s="265">
        <v>1.8560134718227432</v>
      </c>
      <c r="D329" s="265">
        <v>1.8152215314521964</v>
      </c>
      <c r="E329" s="265">
        <v>1.7979279925217375</v>
      </c>
      <c r="F329" s="265">
        <v>1.7736992270475671</v>
      </c>
      <c r="G329" s="265">
        <v>1.7484964755788579</v>
      </c>
      <c r="H329" s="263"/>
      <c r="I329" s="263"/>
      <c r="J329" t="b">
        <f t="shared" si="41"/>
        <v>1</v>
      </c>
      <c r="K329" s="12" t="s">
        <v>25</v>
      </c>
      <c r="L329" s="260" t="s">
        <v>81</v>
      </c>
      <c r="M329" s="394">
        <f t="shared" ref="M329:M343" si="42">((C329*F$34)/F$13)*(1-F$13)</f>
        <v>8.3695193812070094</v>
      </c>
      <c r="N329" s="394">
        <f t="shared" ref="N329:N343" si="43">((D329*G$34)/G$13)*(1-G$13)</f>
        <v>9.2393774561373583</v>
      </c>
      <c r="O329" s="394">
        <f t="shared" ref="O329:O343" si="44">((E329*H$34)/H$13)*(1-H$13)</f>
        <v>6.9074020410578614</v>
      </c>
      <c r="P329" s="394">
        <f t="shared" ref="P329:P343" si="45">((F329*I$34)/I$13)*(1-I$13)</f>
        <v>7.0333874621309782</v>
      </c>
      <c r="Q329" s="394">
        <f t="shared" ref="Q329:Q343" si="46">((G329*J$34)/J$13)*(1-J$13)</f>
        <v>7.1371348213615597</v>
      </c>
      <c r="R329" s="263"/>
      <c r="S329" s="263"/>
    </row>
    <row r="330" spans="1:19">
      <c r="A330" s="12" t="s">
        <v>25</v>
      </c>
      <c r="B330" s="260" t="s">
        <v>82</v>
      </c>
      <c r="C330" s="265">
        <v>1.338141135548405</v>
      </c>
      <c r="D330" s="265">
        <v>1.3118504623849501</v>
      </c>
      <c r="E330" s="265">
        <v>1.305225167423345</v>
      </c>
      <c r="F330" s="265">
        <v>1.2886796623765773</v>
      </c>
      <c r="G330" s="265">
        <v>1.2709115989265294</v>
      </c>
      <c r="H330" s="263"/>
      <c r="I330" s="263"/>
      <c r="J330" t="b">
        <f t="shared" si="41"/>
        <v>1</v>
      </c>
      <c r="K330" s="12" t="s">
        <v>25</v>
      </c>
      <c r="L330" s="260" t="s">
        <v>82</v>
      </c>
      <c r="M330" s="394">
        <f t="shared" si="42"/>
        <v>6.0342224551656374</v>
      </c>
      <c r="N330" s="394">
        <f t="shared" si="43"/>
        <v>6.6772464836764049</v>
      </c>
      <c r="O330" s="394">
        <f t="shared" si="44"/>
        <v>5.0145028182440408</v>
      </c>
      <c r="P330" s="394">
        <f t="shared" si="45"/>
        <v>5.1101016687873475</v>
      </c>
      <c r="Q330" s="394">
        <f t="shared" si="46"/>
        <v>5.187695574031908</v>
      </c>
      <c r="R330" s="263"/>
      <c r="S330" s="263"/>
    </row>
    <row r="331" spans="1:19">
      <c r="A331" s="12" t="s">
        <v>25</v>
      </c>
      <c r="B331" s="260" t="s">
        <v>83</v>
      </c>
      <c r="C331" s="265">
        <v>0.99104421987024149</v>
      </c>
      <c r="D331" s="265">
        <v>0.97030415837322381</v>
      </c>
      <c r="E331" s="265">
        <v>0.96243789501775268</v>
      </c>
      <c r="F331" s="265">
        <v>0.94766848511264923</v>
      </c>
      <c r="G331" s="265">
        <v>0.93824870565692475</v>
      </c>
      <c r="H331" s="263"/>
      <c r="I331" s="263"/>
      <c r="J331" t="b">
        <f t="shared" si="41"/>
        <v>1</v>
      </c>
      <c r="K331" s="12" t="s">
        <v>25</v>
      </c>
      <c r="L331" s="260" t="s">
        <v>83</v>
      </c>
      <c r="M331" s="394">
        <f t="shared" si="42"/>
        <v>4.4690213361928297</v>
      </c>
      <c r="N331" s="394">
        <f t="shared" si="43"/>
        <v>4.9387946380835395</v>
      </c>
      <c r="O331" s="394">
        <f t="shared" si="44"/>
        <v>3.6975593617143607</v>
      </c>
      <c r="P331" s="394">
        <f t="shared" si="45"/>
        <v>3.7578635316557047</v>
      </c>
      <c r="Q331" s="394">
        <f t="shared" si="46"/>
        <v>3.8298089826143551</v>
      </c>
      <c r="R331" s="263"/>
      <c r="S331" s="263"/>
    </row>
    <row r="332" spans="1:19">
      <c r="A332" s="12" t="s">
        <v>25</v>
      </c>
      <c r="B332" s="260" t="s">
        <v>84</v>
      </c>
      <c r="C332" s="265">
        <v>1.2910496821028619</v>
      </c>
      <c r="D332" s="265">
        <v>1.2750295337136959</v>
      </c>
      <c r="E332" s="265">
        <v>1.2614754781555608</v>
      </c>
      <c r="F332" s="265">
        <v>1.2360763844788194</v>
      </c>
      <c r="G332" s="265">
        <v>1.2156373101435318</v>
      </c>
      <c r="H332" s="263"/>
      <c r="I332" s="263"/>
      <c r="J332" t="b">
        <f t="shared" si="41"/>
        <v>1</v>
      </c>
      <c r="K332" s="12" t="s">
        <v>25</v>
      </c>
      <c r="L332" s="260" t="s">
        <v>84</v>
      </c>
      <c r="M332" s="394">
        <f t="shared" si="42"/>
        <v>5.8218679446595178</v>
      </c>
      <c r="N332" s="394">
        <f t="shared" si="43"/>
        <v>6.4898299880120653</v>
      </c>
      <c r="O332" s="394">
        <f t="shared" si="44"/>
        <v>4.8464222865426088</v>
      </c>
      <c r="P332" s="394">
        <f t="shared" si="45"/>
        <v>4.9015098006784941</v>
      </c>
      <c r="Q332" s="394">
        <f t="shared" si="46"/>
        <v>4.9620731282854713</v>
      </c>
      <c r="R332" s="263"/>
      <c r="S332" s="263"/>
    </row>
    <row r="333" spans="1:19">
      <c r="A333" s="12" t="s">
        <v>25</v>
      </c>
      <c r="B333" s="260" t="s">
        <v>4</v>
      </c>
      <c r="C333" s="265">
        <v>1.2693796122665177</v>
      </c>
      <c r="D333" s="265">
        <v>1.2456515312513812</v>
      </c>
      <c r="E333" s="265">
        <v>1.2761225755818488</v>
      </c>
      <c r="F333" s="265">
        <v>1.2778726893812531</v>
      </c>
      <c r="G333" s="265">
        <v>1.2727838897081032</v>
      </c>
      <c r="H333" s="263"/>
      <c r="I333" s="263"/>
      <c r="J333" t="b">
        <f t="shared" si="41"/>
        <v>1</v>
      </c>
      <c r="K333" s="12" t="s">
        <v>25</v>
      </c>
      <c r="L333" s="260" t="s">
        <v>4</v>
      </c>
      <c r="M333" s="394">
        <f t="shared" si="42"/>
        <v>5.724148788930937</v>
      </c>
      <c r="N333" s="394">
        <f t="shared" si="43"/>
        <v>6.3402975761529419</v>
      </c>
      <c r="O333" s="394">
        <f t="shared" si="44"/>
        <v>4.902694501602797</v>
      </c>
      <c r="P333" s="394">
        <f t="shared" si="45"/>
        <v>5.067247938453697</v>
      </c>
      <c r="Q333" s="394">
        <f t="shared" si="46"/>
        <v>5.1953380210825717</v>
      </c>
      <c r="R333" s="263"/>
      <c r="S333" s="263"/>
    </row>
    <row r="334" spans="1:19">
      <c r="A334" s="12" t="s">
        <v>25</v>
      </c>
      <c r="B334" s="260" t="s">
        <v>85</v>
      </c>
      <c r="C334" s="265">
        <v>0.9684370522563619</v>
      </c>
      <c r="D334" s="265">
        <v>0.97408615926807074</v>
      </c>
      <c r="E334" s="265">
        <v>0.97438656582868766</v>
      </c>
      <c r="F334" s="265">
        <v>0.96522259273076072</v>
      </c>
      <c r="G334" s="265">
        <v>0.95735847603512469</v>
      </c>
      <c r="H334" s="263"/>
      <c r="I334" s="263"/>
      <c r="J334" t="b">
        <f t="shared" si="41"/>
        <v>1</v>
      </c>
      <c r="K334" s="12" t="s">
        <v>25</v>
      </c>
      <c r="L334" s="260" t="s">
        <v>85</v>
      </c>
      <c r="M334" s="394">
        <f t="shared" si="42"/>
        <v>4.3670764255706338</v>
      </c>
      <c r="N334" s="394">
        <f t="shared" si="43"/>
        <v>4.9580448139995239</v>
      </c>
      <c r="O334" s="394">
        <f t="shared" si="44"/>
        <v>3.7434645778802311</v>
      </c>
      <c r="P334" s="394">
        <f t="shared" si="45"/>
        <v>3.8274721995444758</v>
      </c>
      <c r="Q334" s="394">
        <f t="shared" si="46"/>
        <v>3.9078125757009934</v>
      </c>
      <c r="R334" s="263"/>
      <c r="S334" s="263"/>
    </row>
    <row r="335" spans="1:19">
      <c r="A335" s="12" t="s">
        <v>25</v>
      </c>
      <c r="B335" s="260" t="s">
        <v>86</v>
      </c>
      <c r="C335" s="265">
        <v>2.0413918945479947</v>
      </c>
      <c r="D335" s="265">
        <v>2.002834526545016</v>
      </c>
      <c r="E335" s="265">
        <v>2.0176858680119603</v>
      </c>
      <c r="F335" s="265">
        <v>2.010800066369304</v>
      </c>
      <c r="G335" s="265">
        <v>2.012461933717149</v>
      </c>
      <c r="H335" s="263"/>
      <c r="I335" s="263"/>
      <c r="J335" t="b">
        <f t="shared" si="41"/>
        <v>1</v>
      </c>
      <c r="K335" s="12" t="s">
        <v>25</v>
      </c>
      <c r="L335" s="260" t="s">
        <v>86</v>
      </c>
      <c r="M335" s="394">
        <f t="shared" si="42"/>
        <v>9.2054660623121105</v>
      </c>
      <c r="N335" s="394">
        <f t="shared" si="43"/>
        <v>10.194317251255503</v>
      </c>
      <c r="O335" s="394">
        <f t="shared" si="44"/>
        <v>7.7516827931310583</v>
      </c>
      <c r="P335" s="394">
        <f t="shared" si="45"/>
        <v>7.973581856488412</v>
      </c>
      <c r="Q335" s="394">
        <f t="shared" si="46"/>
        <v>8.2146074323897018</v>
      </c>
      <c r="R335" s="263"/>
      <c r="S335" s="263"/>
    </row>
    <row r="336" spans="1:19">
      <c r="A336" s="12" t="s">
        <v>25</v>
      </c>
      <c r="B336" s="260" t="s">
        <v>87</v>
      </c>
      <c r="C336" s="265">
        <v>1.30814382516961</v>
      </c>
      <c r="D336" s="265">
        <v>1.2655629156032961</v>
      </c>
      <c r="E336" s="265">
        <v>1.253112719644278</v>
      </c>
      <c r="F336" s="265">
        <v>1.2591017686030721</v>
      </c>
      <c r="G336" s="265">
        <v>1.2643657265074015</v>
      </c>
      <c r="H336" s="264"/>
      <c r="I336" s="264"/>
      <c r="J336" t="b">
        <f t="shared" si="41"/>
        <v>1</v>
      </c>
      <c r="K336" s="12" t="s">
        <v>25</v>
      </c>
      <c r="L336" s="260" t="s">
        <v>87</v>
      </c>
      <c r="M336" s="394">
        <f t="shared" si="42"/>
        <v>5.8989523860573323</v>
      </c>
      <c r="N336" s="394">
        <f t="shared" si="43"/>
        <v>6.4416454240678966</v>
      </c>
      <c r="O336" s="394">
        <f t="shared" si="44"/>
        <v>4.8142936721320346</v>
      </c>
      <c r="P336" s="394">
        <f t="shared" si="45"/>
        <v>4.992814146725844</v>
      </c>
      <c r="Q336" s="394">
        <f t="shared" si="46"/>
        <v>5.160976175605164</v>
      </c>
      <c r="R336" s="264"/>
      <c r="S336" s="264"/>
    </row>
    <row r="337" spans="1:19">
      <c r="A337" s="12" t="s">
        <v>27</v>
      </c>
      <c r="B337" s="260" t="s">
        <v>88</v>
      </c>
      <c r="C337" s="265">
        <v>2.4079045095034153</v>
      </c>
      <c r="D337" s="265">
        <v>2.4996671737090232</v>
      </c>
      <c r="E337" s="265">
        <v>2.5160510965805876</v>
      </c>
      <c r="F337" s="265">
        <v>2.3238778201799244</v>
      </c>
      <c r="G337" s="265">
        <v>2.2881683619967679</v>
      </c>
      <c r="H337" s="263"/>
      <c r="I337" s="263"/>
      <c r="J337" t="b">
        <f t="shared" si="41"/>
        <v>1</v>
      </c>
      <c r="K337" s="12" t="s">
        <v>27</v>
      </c>
      <c r="L337" s="260" t="s">
        <v>88</v>
      </c>
      <c r="M337" s="394">
        <f t="shared" si="42"/>
        <v>10.858220463557757</v>
      </c>
      <c r="N337" s="394">
        <f t="shared" si="43"/>
        <v>12.723168016929149</v>
      </c>
      <c r="O337" s="394">
        <f t="shared" si="44"/>
        <v>9.6663362227041478</v>
      </c>
      <c r="P337" s="394">
        <f t="shared" si="45"/>
        <v>9.2150534175879262</v>
      </c>
      <c r="Q337" s="394">
        <f t="shared" si="46"/>
        <v>9.3400051539357207</v>
      </c>
      <c r="R337" s="263"/>
      <c r="S337" s="263"/>
    </row>
    <row r="338" spans="1:19">
      <c r="A338" s="12" t="s">
        <v>27</v>
      </c>
      <c r="B338" s="260" t="s">
        <v>89</v>
      </c>
      <c r="C338" s="265">
        <v>0.35535269898445798</v>
      </c>
      <c r="D338" s="265">
        <v>0.33811521212748413</v>
      </c>
      <c r="E338" s="265">
        <v>0.35287450221706412</v>
      </c>
      <c r="F338" s="265">
        <v>0.33060618568728362</v>
      </c>
      <c r="G338" s="265">
        <v>0.30228187223292602</v>
      </c>
      <c r="H338" s="263"/>
      <c r="I338" s="263"/>
      <c r="J338" t="b">
        <f t="shared" si="41"/>
        <v>1</v>
      </c>
      <c r="K338" s="12" t="s">
        <v>27</v>
      </c>
      <c r="L338" s="260" t="s">
        <v>89</v>
      </c>
      <c r="M338" s="394">
        <f t="shared" si="42"/>
        <v>1.6024298026208954</v>
      </c>
      <c r="N338" s="394">
        <f t="shared" si="43"/>
        <v>1.7209877771825268</v>
      </c>
      <c r="O338" s="394">
        <f t="shared" si="44"/>
        <v>1.3556972620648244</v>
      </c>
      <c r="P338" s="394">
        <f t="shared" si="45"/>
        <v>1.3109784149742585</v>
      </c>
      <c r="Q338" s="394">
        <f t="shared" si="46"/>
        <v>1.2338752215475552</v>
      </c>
      <c r="R338" s="263"/>
      <c r="S338" s="263"/>
    </row>
    <row r="339" spans="1:19">
      <c r="A339" s="12" t="s">
        <v>27</v>
      </c>
      <c r="B339" s="260" t="s">
        <v>90</v>
      </c>
      <c r="C339" s="265">
        <f>C337+C338</f>
        <v>2.7632572084878735</v>
      </c>
      <c r="D339" s="265">
        <f t="shared" ref="D339:G339" si="47">D337+D338</f>
        <v>2.8377823858365074</v>
      </c>
      <c r="E339" s="265">
        <f t="shared" si="47"/>
        <v>2.8689255987976519</v>
      </c>
      <c r="F339" s="265">
        <f t="shared" si="47"/>
        <v>2.6544840058672081</v>
      </c>
      <c r="G339" s="265">
        <f t="shared" si="47"/>
        <v>2.590450234229694</v>
      </c>
      <c r="H339" s="263"/>
      <c r="I339" s="263"/>
      <c r="J339" t="b">
        <f t="shared" si="41"/>
        <v>1</v>
      </c>
      <c r="K339" s="12" t="s">
        <v>27</v>
      </c>
      <c r="L339" s="260" t="s">
        <v>90</v>
      </c>
      <c r="M339" s="394">
        <f t="shared" si="42"/>
        <v>12.460650266178657</v>
      </c>
      <c r="N339" s="394">
        <f t="shared" si="43"/>
        <v>14.444155794111674</v>
      </c>
      <c r="O339" s="394">
        <f t="shared" si="44"/>
        <v>11.022033484768972</v>
      </c>
      <c r="P339" s="394">
        <f t="shared" si="45"/>
        <v>10.526031832562186</v>
      </c>
      <c r="Q339" s="394">
        <f t="shared" si="46"/>
        <v>10.573880375483277</v>
      </c>
      <c r="R339" s="263"/>
      <c r="S339" s="263"/>
    </row>
    <row r="340" spans="1:19">
      <c r="A340" s="12" t="s">
        <v>22</v>
      </c>
      <c r="B340" s="260" t="s">
        <v>91</v>
      </c>
      <c r="C340" s="265">
        <v>5.794647515116063</v>
      </c>
      <c r="D340" s="265">
        <v>5.6654995528096048</v>
      </c>
      <c r="E340" s="265">
        <v>5.4459801653220365</v>
      </c>
      <c r="F340" s="265">
        <v>5.2315625946540782</v>
      </c>
      <c r="G340" s="265">
        <v>5.0709512798558656</v>
      </c>
      <c r="H340" s="263"/>
      <c r="I340" s="263"/>
      <c r="J340" t="b">
        <f t="shared" si="41"/>
        <v>1</v>
      </c>
      <c r="K340" s="12" t="s">
        <v>22</v>
      </c>
      <c r="L340" s="260" t="s">
        <v>91</v>
      </c>
      <c r="M340" s="394">
        <f t="shared" si="42"/>
        <v>26.130421692143145</v>
      </c>
      <c r="N340" s="394">
        <f t="shared" si="43"/>
        <v>28.837080179468916</v>
      </c>
      <c r="O340" s="394">
        <f t="shared" si="44"/>
        <v>20.922736987227402</v>
      </c>
      <c r="P340" s="394">
        <f t="shared" si="45"/>
        <v>20.745121945980653</v>
      </c>
      <c r="Q340" s="394">
        <f t="shared" si="46"/>
        <v>20.698962487130842</v>
      </c>
      <c r="R340" s="263"/>
      <c r="S340" s="263"/>
    </row>
    <row r="341" spans="1:19">
      <c r="A341" s="12" t="s">
        <v>29</v>
      </c>
      <c r="B341" s="260" t="s">
        <v>29</v>
      </c>
      <c r="C341" s="265">
        <v>0.79565936041617891</v>
      </c>
      <c r="D341" s="265">
        <v>0.81379329751844121</v>
      </c>
      <c r="E341" s="265">
        <v>0.83527031824680331</v>
      </c>
      <c r="F341" s="265">
        <v>0.86914049425217754</v>
      </c>
      <c r="G341" s="265">
        <v>0.88933875020036712</v>
      </c>
      <c r="H341" s="263"/>
      <c r="I341" s="263"/>
      <c r="J341" t="b">
        <f t="shared" si="41"/>
        <v>1</v>
      </c>
      <c r="K341" s="12" t="s">
        <v>29</v>
      </c>
      <c r="L341" s="260" t="s">
        <v>29</v>
      </c>
      <c r="M341" s="394">
        <f t="shared" si="42"/>
        <v>3.5879515633591113</v>
      </c>
      <c r="N341" s="394">
        <f t="shared" si="43"/>
        <v>4.1421629904490684</v>
      </c>
      <c r="O341" s="394">
        <f t="shared" si="44"/>
        <v>3.2089983164457925</v>
      </c>
      <c r="P341" s="394">
        <f t="shared" si="45"/>
        <v>3.446470383413911</v>
      </c>
      <c r="Q341" s="394">
        <f t="shared" si="46"/>
        <v>3.6301649163689969</v>
      </c>
      <c r="R341" s="263"/>
      <c r="S341" s="263"/>
    </row>
    <row r="342" spans="1:19">
      <c r="A342" s="12" t="s">
        <v>22</v>
      </c>
      <c r="B342" s="260" t="s">
        <v>92</v>
      </c>
      <c r="C342" s="265">
        <v>1.067077173491312</v>
      </c>
      <c r="D342" s="265">
        <v>1.1377699704587949</v>
      </c>
      <c r="E342" s="265">
        <v>1.1288688837653649</v>
      </c>
      <c r="F342" s="265">
        <v>1.0874595680858687</v>
      </c>
      <c r="G342" s="265">
        <v>1.0132559350168759</v>
      </c>
      <c r="H342" s="263"/>
      <c r="I342" s="263"/>
      <c r="J342" t="b">
        <f t="shared" si="41"/>
        <v>1</v>
      </c>
      <c r="K342" s="12" t="s">
        <v>22</v>
      </c>
      <c r="L342" s="260" t="s">
        <v>92</v>
      </c>
      <c r="M342" s="394">
        <f t="shared" si="42"/>
        <v>4.8118848383187114</v>
      </c>
      <c r="N342" s="394">
        <f t="shared" si="43"/>
        <v>5.7911863831392072</v>
      </c>
      <c r="O342" s="394">
        <f t="shared" si="44"/>
        <v>4.3369652534698586</v>
      </c>
      <c r="P342" s="394">
        <f t="shared" si="45"/>
        <v>4.3121879826722163</v>
      </c>
      <c r="Q342" s="394">
        <f t="shared" si="46"/>
        <v>4.1359787210129024</v>
      </c>
      <c r="R342" s="263"/>
      <c r="S342" s="263"/>
    </row>
    <row r="343" spans="1:19">
      <c r="A343" s="12" t="s">
        <v>22</v>
      </c>
      <c r="B343" s="260" t="s">
        <v>54</v>
      </c>
      <c r="C343" s="265">
        <v>1.4458842789006556</v>
      </c>
      <c r="D343" s="265">
        <v>1.7460048691359407</v>
      </c>
      <c r="E343" s="265">
        <v>1.7400275177290305</v>
      </c>
      <c r="F343" s="265">
        <v>1.7353254561791309</v>
      </c>
      <c r="G343" s="265">
        <v>1.6416771715292762</v>
      </c>
      <c r="H343" s="263"/>
      <c r="I343" s="263"/>
      <c r="J343" t="b">
        <f t="shared" si="41"/>
        <v>1</v>
      </c>
      <c r="K343" s="12" t="s">
        <v>22</v>
      </c>
      <c r="L343" s="260" t="s">
        <v>54</v>
      </c>
      <c r="M343" s="394">
        <f t="shared" si="42"/>
        <v>6.5200800958395675</v>
      </c>
      <c r="N343" s="394">
        <f t="shared" si="43"/>
        <v>8.8870684633709125</v>
      </c>
      <c r="O343" s="394">
        <f t="shared" si="44"/>
        <v>6.6849560591137163</v>
      </c>
      <c r="P343" s="394">
        <f t="shared" si="45"/>
        <v>6.8812209646859701</v>
      </c>
      <c r="Q343" s="394">
        <f t="shared" si="46"/>
        <v>6.7011123385175608</v>
      </c>
      <c r="R343" s="263"/>
      <c r="S343" s="263"/>
    </row>
    <row r="344" spans="1:19">
      <c r="K344" s="81"/>
      <c r="L344" s="81"/>
      <c r="M344" s="81"/>
    </row>
    <row r="345" spans="1:19">
      <c r="K345" s="81"/>
      <c r="L345" s="81"/>
      <c r="M345" s="276"/>
    </row>
    <row r="346" spans="1:19">
      <c r="K346" s="81"/>
      <c r="M346" s="81"/>
    </row>
    <row r="347" spans="1:19">
      <c r="K347" s="77" t="s">
        <v>241</v>
      </c>
      <c r="L347" s="77" t="s">
        <v>242</v>
      </c>
      <c r="M347" s="81"/>
      <c r="N347" s="81"/>
    </row>
    <row r="348" spans="1:19">
      <c r="C348" s="710"/>
      <c r="D348" s="710"/>
      <c r="E348" s="710"/>
      <c r="F348" s="710"/>
      <c r="G348" s="710"/>
      <c r="J348" s="266"/>
      <c r="K348" s="81"/>
      <c r="L348" s="268"/>
      <c r="M348" s="81"/>
      <c r="N348" s="81"/>
    </row>
    <row r="349" spans="1:19">
      <c r="C349" s="717"/>
      <c r="D349" s="717"/>
      <c r="E349" s="717"/>
      <c r="F349" s="717"/>
      <c r="G349" s="717"/>
      <c r="J349" s="266"/>
      <c r="K349" s="48" t="s">
        <v>6</v>
      </c>
      <c r="L349" s="261" t="s">
        <v>3</v>
      </c>
      <c r="M349" s="133">
        <v>2022</v>
      </c>
      <c r="N349" s="134">
        <f t="shared" ref="N349:S349" si="48">M349+1</f>
        <v>2023</v>
      </c>
      <c r="O349" s="134">
        <f t="shared" si="48"/>
        <v>2024</v>
      </c>
      <c r="P349" s="134">
        <f t="shared" si="48"/>
        <v>2025</v>
      </c>
      <c r="Q349" s="134">
        <f t="shared" si="48"/>
        <v>2026</v>
      </c>
      <c r="R349" s="134">
        <f t="shared" si="48"/>
        <v>2027</v>
      </c>
      <c r="S349" s="134">
        <f t="shared" si="48"/>
        <v>2028</v>
      </c>
    </row>
    <row r="350" spans="1:19">
      <c r="J350" s="266"/>
      <c r="K350" s="12" t="s">
        <v>19</v>
      </c>
      <c r="L350" s="260" t="s">
        <v>70</v>
      </c>
      <c r="M350" s="263"/>
      <c r="N350" s="263"/>
      <c r="O350" s="394">
        <f t="shared" ref="O350:O363" si="49">E315*H$34</f>
        <v>1.8398310084852172</v>
      </c>
      <c r="P350" s="394">
        <f t="shared" ref="P350:P363" si="50">F315*I$34</f>
        <v>1.8237776248181818</v>
      </c>
      <c r="Q350" s="394">
        <f t="shared" ref="Q350:Q363" si="51">G315*J$34</f>
        <v>1.7680156534636575</v>
      </c>
      <c r="R350" s="394">
        <f t="shared" ref="R350:R363" si="52">H315*K$34</f>
        <v>1.7521296728876492</v>
      </c>
      <c r="S350" s="394">
        <f t="shared" ref="S350:S363" si="53">I315*L$34</f>
        <v>1.7865845375372025</v>
      </c>
    </row>
    <row r="351" spans="1:19">
      <c r="J351" s="266"/>
      <c r="K351" s="12" t="s">
        <v>19</v>
      </c>
      <c r="L351" s="260" t="s">
        <v>71</v>
      </c>
      <c r="M351" s="263"/>
      <c r="N351" s="263"/>
      <c r="O351" s="394">
        <f t="shared" si="49"/>
        <v>1.75263264289427</v>
      </c>
      <c r="P351" s="394">
        <f t="shared" si="50"/>
        <v>1.8516117536207817</v>
      </c>
      <c r="Q351" s="394">
        <f t="shared" si="51"/>
        <v>1.7612137926275704</v>
      </c>
      <c r="R351" s="394">
        <f t="shared" si="52"/>
        <v>1.6132411347545745</v>
      </c>
      <c r="S351" s="394">
        <f t="shared" si="53"/>
        <v>1.4408891893366811</v>
      </c>
    </row>
    <row r="352" spans="1:19">
      <c r="J352" s="266"/>
      <c r="K352" s="12" t="s">
        <v>19</v>
      </c>
      <c r="L352" s="260" t="s">
        <v>72</v>
      </c>
      <c r="M352" s="263"/>
      <c r="N352" s="263"/>
      <c r="O352" s="394">
        <f t="shared" si="49"/>
        <v>2.3714425743239986</v>
      </c>
      <c r="P352" s="394">
        <f t="shared" si="50"/>
        <v>2.4519246493478919</v>
      </c>
      <c r="Q352" s="394">
        <f t="shared" si="51"/>
        <v>2.1709168254883751</v>
      </c>
      <c r="R352" s="394">
        <f t="shared" si="52"/>
        <v>1.9782990166630612</v>
      </c>
      <c r="S352" s="394">
        <f t="shared" si="53"/>
        <v>1.7127524671257897</v>
      </c>
    </row>
    <row r="353" spans="10:19">
      <c r="J353" s="266"/>
      <c r="K353" s="12" t="s">
        <v>19</v>
      </c>
      <c r="L353" s="260" t="s">
        <v>52</v>
      </c>
      <c r="M353" s="263"/>
      <c r="N353" s="263"/>
      <c r="O353" s="394">
        <f t="shared" si="49"/>
        <v>2.5143310940304695</v>
      </c>
      <c r="P353" s="394">
        <f t="shared" si="50"/>
        <v>2.7868113855460286</v>
      </c>
      <c r="Q353" s="394">
        <f t="shared" si="51"/>
        <v>3.4128736726525499</v>
      </c>
      <c r="R353" s="394">
        <f t="shared" si="52"/>
        <v>3.4175924187153832</v>
      </c>
      <c r="S353" s="394">
        <f t="shared" si="53"/>
        <v>3.3625339488687525</v>
      </c>
    </row>
    <row r="354" spans="10:19">
      <c r="J354" s="266"/>
      <c r="K354" s="12" t="s">
        <v>19</v>
      </c>
      <c r="L354" s="260" t="s">
        <v>73</v>
      </c>
      <c r="M354" s="263"/>
      <c r="N354" s="263"/>
      <c r="O354" s="394">
        <f t="shared" si="49"/>
        <v>1.6743360640662055</v>
      </c>
      <c r="P354" s="394">
        <f t="shared" si="50"/>
        <v>1.7184911928245463</v>
      </c>
      <c r="Q354" s="394">
        <f t="shared" si="51"/>
        <v>2.0977280319718732</v>
      </c>
      <c r="R354" s="394">
        <f t="shared" si="52"/>
        <v>2.1880610232655191</v>
      </c>
      <c r="S354" s="394">
        <f t="shared" si="53"/>
        <v>2.2310873209968412</v>
      </c>
    </row>
    <row r="355" spans="10:19">
      <c r="J355" s="266"/>
      <c r="K355" s="12" t="s">
        <v>19</v>
      </c>
      <c r="L355" s="260" t="s">
        <v>74</v>
      </c>
      <c r="M355" s="263"/>
      <c r="N355" s="263"/>
      <c r="O355" s="394">
        <f t="shared" si="49"/>
        <v>2.585799772614493</v>
      </c>
      <c r="P355" s="394">
        <f t="shared" si="50"/>
        <v>2.086335002809296</v>
      </c>
      <c r="Q355" s="394">
        <f t="shared" si="51"/>
        <v>2.4071626677258937</v>
      </c>
      <c r="R355" s="394">
        <f t="shared" si="52"/>
        <v>2.4186225063848426</v>
      </c>
      <c r="S355" s="394">
        <f t="shared" si="53"/>
        <v>2.3154777594179534</v>
      </c>
    </row>
    <row r="356" spans="10:19">
      <c r="J356" s="266"/>
      <c r="K356" s="12" t="s">
        <v>19</v>
      </c>
      <c r="L356" s="260" t="s">
        <v>75</v>
      </c>
      <c r="M356" s="263"/>
      <c r="N356" s="263"/>
      <c r="O356" s="394">
        <f t="shared" si="49"/>
        <v>1.9744881932259173</v>
      </c>
      <c r="P356" s="394">
        <f t="shared" si="50"/>
        <v>2.0384274826320303</v>
      </c>
      <c r="Q356" s="394">
        <f t="shared" si="51"/>
        <v>1.6309681433617373</v>
      </c>
      <c r="R356" s="394">
        <f t="shared" si="52"/>
        <v>1.6737777732779042</v>
      </c>
      <c r="S356" s="394">
        <f t="shared" si="53"/>
        <v>1.7042905972430491</v>
      </c>
    </row>
    <row r="357" spans="10:19">
      <c r="J357" s="266"/>
      <c r="K357" s="12" t="s">
        <v>19</v>
      </c>
      <c r="L357" s="260" t="s">
        <v>76</v>
      </c>
      <c r="M357" s="263"/>
      <c r="N357" s="263"/>
      <c r="O357" s="394">
        <f t="shared" si="49"/>
        <v>1.745513507526631</v>
      </c>
      <c r="P357" s="394">
        <f t="shared" si="50"/>
        <v>1.8199636142529434</v>
      </c>
      <c r="Q357" s="394">
        <f t="shared" si="51"/>
        <v>1.8507909142771695</v>
      </c>
      <c r="R357" s="394">
        <f t="shared" si="52"/>
        <v>1.8609016492091284</v>
      </c>
      <c r="S357" s="394">
        <f t="shared" si="53"/>
        <v>1.8639460370389682</v>
      </c>
    </row>
    <row r="358" spans="10:19">
      <c r="J358" s="266"/>
      <c r="K358" s="12" t="s">
        <v>19</v>
      </c>
      <c r="L358" s="260" t="s">
        <v>77</v>
      </c>
      <c r="M358" s="263"/>
      <c r="N358" s="263"/>
      <c r="O358" s="394">
        <f t="shared" si="49"/>
        <v>1.1357994671005207</v>
      </c>
      <c r="P358" s="394">
        <f t="shared" si="50"/>
        <v>1.2947841866265253</v>
      </c>
      <c r="Q358" s="394">
        <f t="shared" si="51"/>
        <v>1.0301035336892583</v>
      </c>
      <c r="R358" s="394">
        <f t="shared" si="52"/>
        <v>0.98866062489633733</v>
      </c>
      <c r="S358" s="394">
        <f t="shared" si="53"/>
        <v>0.94872663018916081</v>
      </c>
    </row>
    <row r="359" spans="10:19">
      <c r="J359" s="266"/>
      <c r="K359" s="12" t="s">
        <v>19</v>
      </c>
      <c r="L359" s="260" t="s">
        <v>50</v>
      </c>
      <c r="M359" s="263"/>
      <c r="N359" s="263"/>
      <c r="O359" s="394">
        <f t="shared" si="49"/>
        <v>3.2704639786969829</v>
      </c>
      <c r="P359" s="394">
        <f t="shared" si="50"/>
        <v>3.5724918222115978</v>
      </c>
      <c r="Q359" s="394">
        <f t="shared" si="51"/>
        <v>3.3683428632100383</v>
      </c>
      <c r="R359" s="394">
        <f t="shared" si="52"/>
        <v>2.9886763236180185</v>
      </c>
      <c r="S359" s="394">
        <f t="shared" si="53"/>
        <v>2.5042855936144583</v>
      </c>
    </row>
    <row r="360" spans="10:19">
      <c r="J360" s="266"/>
      <c r="K360" s="12" t="s">
        <v>19</v>
      </c>
      <c r="L360" s="260" t="s">
        <v>51</v>
      </c>
      <c r="M360" s="263"/>
      <c r="N360" s="263"/>
      <c r="O360" s="394">
        <f t="shared" si="49"/>
        <v>2.7654416314532897</v>
      </c>
      <c r="P360" s="394">
        <f t="shared" si="50"/>
        <v>2.787374244193392</v>
      </c>
      <c r="Q360" s="394">
        <f t="shared" si="51"/>
        <v>2.6628892733260074</v>
      </c>
      <c r="R360" s="394">
        <f t="shared" si="52"/>
        <v>2.324993482555699</v>
      </c>
      <c r="S360" s="394">
        <f t="shared" si="53"/>
        <v>1.9913508104403788</v>
      </c>
    </row>
    <row r="361" spans="10:19">
      <c r="J361" s="266"/>
      <c r="K361" s="12" t="s">
        <v>19</v>
      </c>
      <c r="L361" s="260" t="s">
        <v>78</v>
      </c>
      <c r="M361" s="263"/>
      <c r="N361" s="263"/>
      <c r="O361" s="394">
        <f t="shared" si="49"/>
        <v>2.9864835145554238</v>
      </c>
      <c r="P361" s="394">
        <f t="shared" si="50"/>
        <v>3.0736130890978406</v>
      </c>
      <c r="Q361" s="394">
        <f t="shared" si="51"/>
        <v>2.9513445801316815</v>
      </c>
      <c r="R361" s="394">
        <f t="shared" si="52"/>
        <v>2.5436682758498312</v>
      </c>
      <c r="S361" s="394">
        <f t="shared" si="53"/>
        <v>2.403119681198822</v>
      </c>
    </row>
    <row r="362" spans="10:19">
      <c r="J362" s="266"/>
      <c r="K362" s="12" t="s">
        <v>19</v>
      </c>
      <c r="L362" s="260" t="s">
        <v>79</v>
      </c>
      <c r="M362" s="263"/>
      <c r="N362" s="263"/>
      <c r="O362" s="394">
        <f t="shared" si="49"/>
        <v>1.2048580409537324</v>
      </c>
      <c r="P362" s="394">
        <f t="shared" si="50"/>
        <v>1.1807224478941918</v>
      </c>
      <c r="Q362" s="394">
        <f t="shared" si="51"/>
        <v>1.1567501994660339</v>
      </c>
      <c r="R362" s="394">
        <f t="shared" si="52"/>
        <v>0.97461594475550406</v>
      </c>
      <c r="S362" s="394">
        <f t="shared" si="53"/>
        <v>0.99548808490120799</v>
      </c>
    </row>
    <row r="363" spans="10:19">
      <c r="J363" s="266"/>
      <c r="K363" s="12" t="s">
        <v>19</v>
      </c>
      <c r="L363" s="260" t="s">
        <v>80</v>
      </c>
      <c r="M363" s="263"/>
      <c r="N363" s="263"/>
      <c r="O363" s="394">
        <f t="shared" si="49"/>
        <v>1.7337791731731325</v>
      </c>
      <c r="P363" s="394">
        <f t="shared" si="50"/>
        <v>1.8493007716770034</v>
      </c>
      <c r="Q363" s="394">
        <f t="shared" si="51"/>
        <v>1.8021508741730428</v>
      </c>
      <c r="R363" s="394">
        <f t="shared" si="52"/>
        <v>1.4955044602913763</v>
      </c>
      <c r="S363" s="394">
        <f t="shared" si="53"/>
        <v>1.4358383652152784</v>
      </c>
    </row>
    <row r="364" spans="10:19">
      <c r="J364" s="266"/>
      <c r="K364" s="12" t="s">
        <v>25</v>
      </c>
      <c r="L364" s="260" t="s">
        <v>81</v>
      </c>
      <c r="M364" s="394">
        <f t="shared" ref="M364:M378" si="54">C329*F$34</f>
        <v>1.9632205955917676</v>
      </c>
      <c r="N364" s="394">
        <f t="shared" ref="N364:N378" si="55">D329*G$34</f>
        <v>2.1672613786001209</v>
      </c>
      <c r="O364" s="394">
        <f t="shared" ref="O364:O378" si="56">E329*H$34</f>
        <v>2.3024673470192871</v>
      </c>
      <c r="P364" s="394">
        <f t="shared" ref="P364:P378" si="57">F329*I$34</f>
        <v>2.3444624873769926</v>
      </c>
      <c r="Q364" s="394">
        <f t="shared" ref="Q364:Q378" si="58">G329*J$34</f>
        <v>2.3790449404538534</v>
      </c>
      <c r="R364" s="263"/>
      <c r="S364" s="263"/>
    </row>
    <row r="365" spans="10:19">
      <c r="J365" s="266"/>
      <c r="K365" s="12" t="s">
        <v>25</v>
      </c>
      <c r="L365" s="260" t="s">
        <v>82</v>
      </c>
      <c r="M365" s="394">
        <f t="shared" si="54"/>
        <v>1.4154348968907049</v>
      </c>
      <c r="N365" s="394">
        <f t="shared" si="55"/>
        <v>1.5662676937018727</v>
      </c>
      <c r="O365" s="394">
        <f t="shared" si="56"/>
        <v>1.6715009394146803</v>
      </c>
      <c r="P365" s="394">
        <f t="shared" si="57"/>
        <v>1.7033672229291157</v>
      </c>
      <c r="Q365" s="394">
        <f t="shared" si="58"/>
        <v>1.7292318580106358</v>
      </c>
      <c r="R365" s="263"/>
      <c r="S365" s="263"/>
    </row>
    <row r="366" spans="10:19">
      <c r="J366" s="266"/>
      <c r="K366" s="12" t="s">
        <v>25</v>
      </c>
      <c r="L366" s="260" t="s">
        <v>83</v>
      </c>
      <c r="M366" s="394">
        <f t="shared" si="54"/>
        <v>1.0482889554032562</v>
      </c>
      <c r="N366" s="394">
        <f t="shared" si="55"/>
        <v>1.158482692883793</v>
      </c>
      <c r="O366" s="394">
        <f t="shared" si="56"/>
        <v>1.2325197872381202</v>
      </c>
      <c r="P366" s="394">
        <f t="shared" si="57"/>
        <v>1.2526211772185682</v>
      </c>
      <c r="Q366" s="394">
        <f t="shared" si="58"/>
        <v>1.276602994204785</v>
      </c>
      <c r="R366" s="263"/>
      <c r="S366" s="263"/>
    </row>
    <row r="367" spans="10:19">
      <c r="J367" s="266"/>
      <c r="K367" s="12" t="s">
        <v>25</v>
      </c>
      <c r="L367" s="260" t="s">
        <v>84</v>
      </c>
      <c r="M367" s="394">
        <f t="shared" si="54"/>
        <v>1.3656233450435906</v>
      </c>
      <c r="N367" s="394">
        <f t="shared" si="55"/>
        <v>1.522305799657151</v>
      </c>
      <c r="O367" s="394">
        <f t="shared" si="56"/>
        <v>1.6154740955142031</v>
      </c>
      <c r="P367" s="394">
        <f t="shared" si="57"/>
        <v>1.6338366002261646</v>
      </c>
      <c r="Q367" s="394">
        <f t="shared" si="58"/>
        <v>1.654024376095157</v>
      </c>
      <c r="R367" s="263"/>
      <c r="S367" s="263"/>
    </row>
    <row r="368" spans="10:19">
      <c r="J368" s="266"/>
      <c r="K368" s="12" t="s">
        <v>25</v>
      </c>
      <c r="L368" s="260" t="s">
        <v>4</v>
      </c>
      <c r="M368" s="394">
        <f t="shared" si="54"/>
        <v>1.3427015677739234</v>
      </c>
      <c r="N368" s="394">
        <f t="shared" si="55"/>
        <v>1.4872302956408134</v>
      </c>
      <c r="O368" s="394">
        <f t="shared" si="56"/>
        <v>1.6342315005342658</v>
      </c>
      <c r="P368" s="394">
        <f t="shared" si="57"/>
        <v>1.6890826461512323</v>
      </c>
      <c r="Q368" s="394">
        <f t="shared" si="58"/>
        <v>1.7317793403608572</v>
      </c>
      <c r="R368" s="263"/>
      <c r="S368" s="263"/>
    </row>
    <row r="369" spans="2:19">
      <c r="J369" s="266"/>
      <c r="K369" s="12" t="s">
        <v>25</v>
      </c>
      <c r="L369" s="260" t="s">
        <v>85</v>
      </c>
      <c r="M369" s="394">
        <f t="shared" si="54"/>
        <v>1.0243759516770621</v>
      </c>
      <c r="N369" s="394">
        <f t="shared" si="55"/>
        <v>1.1629981662468019</v>
      </c>
      <c r="O369" s="394">
        <f t="shared" si="56"/>
        <v>1.2478215259600771</v>
      </c>
      <c r="P369" s="394">
        <f t="shared" si="57"/>
        <v>1.2758240665148253</v>
      </c>
      <c r="Q369" s="394">
        <f t="shared" si="58"/>
        <v>1.3026041919003311</v>
      </c>
      <c r="R369" s="263"/>
      <c r="S369" s="263"/>
    </row>
    <row r="370" spans="2:19">
      <c r="J370" s="266"/>
      <c r="K370" s="12" t="s">
        <v>25</v>
      </c>
      <c r="L370" s="260" t="s">
        <v>86</v>
      </c>
      <c r="M370" s="394">
        <f t="shared" si="54"/>
        <v>2.1593068541225939</v>
      </c>
      <c r="N370" s="394">
        <f t="shared" si="55"/>
        <v>2.3912596021463526</v>
      </c>
      <c r="O370" s="394">
        <f t="shared" si="56"/>
        <v>2.5838942643770193</v>
      </c>
      <c r="P370" s="394">
        <f t="shared" si="57"/>
        <v>2.6578606188294707</v>
      </c>
      <c r="Q370" s="394">
        <f t="shared" si="58"/>
        <v>2.7382024774632341</v>
      </c>
      <c r="R370" s="263"/>
      <c r="S370" s="263"/>
    </row>
    <row r="371" spans="2:19">
      <c r="J371" s="266"/>
      <c r="K371" s="12" t="s">
        <v>25</v>
      </c>
      <c r="L371" s="260" t="s">
        <v>87</v>
      </c>
      <c r="M371" s="394">
        <f t="shared" si="54"/>
        <v>1.3837048806801149</v>
      </c>
      <c r="N371" s="394">
        <f t="shared" si="55"/>
        <v>1.5110032476208646</v>
      </c>
      <c r="O371" s="394">
        <f t="shared" si="56"/>
        <v>1.604764557377345</v>
      </c>
      <c r="P371" s="394">
        <f t="shared" si="57"/>
        <v>1.6642713822419479</v>
      </c>
      <c r="Q371" s="394">
        <f t="shared" si="58"/>
        <v>1.7203253918683881</v>
      </c>
      <c r="R371" s="264"/>
      <c r="S371" s="264"/>
    </row>
    <row r="372" spans="2:19">
      <c r="J372" s="266"/>
      <c r="K372" s="12" t="s">
        <v>27</v>
      </c>
      <c r="L372" s="260" t="s">
        <v>88</v>
      </c>
      <c r="M372" s="394">
        <f t="shared" si="54"/>
        <v>2.5469899852789801</v>
      </c>
      <c r="N372" s="394">
        <f t="shared" si="55"/>
        <v>2.9844468187858495</v>
      </c>
      <c r="O372" s="394">
        <f t="shared" si="56"/>
        <v>3.2221120742347158</v>
      </c>
      <c r="P372" s="394">
        <f t="shared" si="57"/>
        <v>3.0716844725293089</v>
      </c>
      <c r="Q372" s="394">
        <f t="shared" si="58"/>
        <v>3.1133350513119069</v>
      </c>
      <c r="R372" s="263"/>
      <c r="S372" s="263"/>
    </row>
    <row r="373" spans="2:19">
      <c r="J373" s="266"/>
      <c r="K373" s="12" t="s">
        <v>27</v>
      </c>
      <c r="L373" s="260" t="s">
        <v>89</v>
      </c>
      <c r="M373" s="394">
        <f t="shared" si="54"/>
        <v>0.37587859567650633</v>
      </c>
      <c r="N373" s="394">
        <f t="shared" si="55"/>
        <v>0.40368849094404946</v>
      </c>
      <c r="O373" s="394">
        <f t="shared" si="56"/>
        <v>0.4518990873549415</v>
      </c>
      <c r="P373" s="394">
        <f t="shared" si="57"/>
        <v>0.43699280499141946</v>
      </c>
      <c r="Q373" s="394">
        <f t="shared" si="58"/>
        <v>0.41129174051585171</v>
      </c>
      <c r="R373" s="263"/>
      <c r="S373" s="263"/>
    </row>
    <row r="374" spans="2:19">
      <c r="J374" s="266"/>
      <c r="K374" s="12" t="s">
        <v>27</v>
      </c>
      <c r="L374" s="260" t="s">
        <v>90</v>
      </c>
      <c r="M374" s="394">
        <f t="shared" si="54"/>
        <v>2.9228685809554871</v>
      </c>
      <c r="N374" s="394">
        <f t="shared" si="55"/>
        <v>3.3881353097298992</v>
      </c>
      <c r="O374" s="394">
        <f t="shared" si="56"/>
        <v>3.6740111615896573</v>
      </c>
      <c r="P374" s="394">
        <f t="shared" si="57"/>
        <v>3.5086772775207287</v>
      </c>
      <c r="Q374" s="394">
        <f t="shared" si="58"/>
        <v>3.524626791827759</v>
      </c>
      <c r="R374" s="263"/>
      <c r="S374" s="263"/>
    </row>
    <row r="375" spans="2:19">
      <c r="K375" s="12" t="s">
        <v>22</v>
      </c>
      <c r="L375" s="260" t="s">
        <v>91</v>
      </c>
      <c r="M375" s="394">
        <f t="shared" si="54"/>
        <v>6.1293581747002444</v>
      </c>
      <c r="N375" s="394">
        <f t="shared" si="55"/>
        <v>6.7642533754309806</v>
      </c>
      <c r="O375" s="394">
        <f t="shared" si="56"/>
        <v>6.9742456624091336</v>
      </c>
      <c r="P375" s="394">
        <f t="shared" si="57"/>
        <v>6.9150406486602174</v>
      </c>
      <c r="Q375" s="394">
        <f t="shared" si="58"/>
        <v>6.8996541623769474</v>
      </c>
      <c r="R375" s="263"/>
      <c r="S375" s="263"/>
    </row>
    <row r="376" spans="2:19">
      <c r="I376" s="266"/>
      <c r="K376" s="12" t="s">
        <v>29</v>
      </c>
      <c r="L376" s="260" t="s">
        <v>29</v>
      </c>
      <c r="M376" s="394">
        <f t="shared" si="54"/>
        <v>0.84161826794843342</v>
      </c>
      <c r="N376" s="394">
        <f t="shared" si="55"/>
        <v>0.97161847924113942</v>
      </c>
      <c r="O376" s="394">
        <f t="shared" si="56"/>
        <v>1.0696661054819308</v>
      </c>
      <c r="P376" s="394">
        <f t="shared" si="57"/>
        <v>1.1488234611379704</v>
      </c>
      <c r="Q376" s="394">
        <f t="shared" si="58"/>
        <v>1.210054972122999</v>
      </c>
      <c r="R376" s="263"/>
      <c r="S376" s="263"/>
    </row>
    <row r="377" spans="2:19">
      <c r="I377" s="266"/>
      <c r="K377" s="12" t="s">
        <v>22</v>
      </c>
      <c r="L377" s="260" t="s">
        <v>92</v>
      </c>
      <c r="M377" s="394">
        <f t="shared" si="54"/>
        <v>1.1287137275068582</v>
      </c>
      <c r="N377" s="394">
        <f t="shared" si="55"/>
        <v>1.3584264355511719</v>
      </c>
      <c r="O377" s="394">
        <f t="shared" si="56"/>
        <v>1.4456550844899529</v>
      </c>
      <c r="P377" s="394">
        <f t="shared" si="57"/>
        <v>1.4373959942240722</v>
      </c>
      <c r="Q377" s="394">
        <f t="shared" si="58"/>
        <v>1.3786595736709675</v>
      </c>
      <c r="R377" s="263"/>
      <c r="S377" s="263"/>
    </row>
    <row r="378" spans="2:19">
      <c r="I378" s="266"/>
      <c r="K378" s="12" t="s">
        <v>22</v>
      </c>
      <c r="L378" s="260" t="s">
        <v>54</v>
      </c>
      <c r="M378" s="394">
        <f t="shared" si="54"/>
        <v>1.5294015039623674</v>
      </c>
      <c r="N378" s="394">
        <f t="shared" si="55"/>
        <v>2.0846209975808314</v>
      </c>
      <c r="O378" s="394">
        <f t="shared" si="56"/>
        <v>2.2283186863712388</v>
      </c>
      <c r="P378" s="394">
        <f t="shared" si="57"/>
        <v>2.29374032156199</v>
      </c>
      <c r="Q378" s="394">
        <f t="shared" si="58"/>
        <v>2.2337041128391868</v>
      </c>
      <c r="R378" s="263"/>
      <c r="S378" s="263"/>
    </row>
    <row r="379" spans="2:19">
      <c r="I379" s="266"/>
      <c r="K379" s="81"/>
      <c r="L379" s="81"/>
      <c r="M379" s="81"/>
    </row>
    <row r="380" spans="2:19">
      <c r="I380" s="266"/>
    </row>
    <row r="381" spans="2:19">
      <c r="I381" s="266"/>
    </row>
    <row r="382" spans="2:19">
      <c r="I382" s="266"/>
    </row>
    <row r="383" spans="2:19">
      <c r="I383" s="266"/>
    </row>
    <row r="384" spans="2:19">
      <c r="B384" s="1" t="s">
        <v>243</v>
      </c>
    </row>
    <row r="386" spans="2:3">
      <c r="B386" s="207" t="s">
        <v>81</v>
      </c>
      <c r="C386" s="207">
        <v>0.34</v>
      </c>
    </row>
    <row r="387" spans="2:3">
      <c r="B387" s="207" t="s">
        <v>82</v>
      </c>
      <c r="C387" s="207">
        <v>0.24</v>
      </c>
    </row>
    <row r="388" spans="2:3">
      <c r="B388" s="207" t="s">
        <v>84</v>
      </c>
      <c r="C388" s="207">
        <v>0.24</v>
      </c>
    </row>
    <row r="389" spans="2:3">
      <c r="B389" s="207" t="s">
        <v>83</v>
      </c>
      <c r="C389" s="207">
        <v>0.18</v>
      </c>
    </row>
    <row r="390" spans="2:3">
      <c r="B390" s="207" t="s">
        <v>70</v>
      </c>
      <c r="C390" s="764">
        <v>1</v>
      </c>
    </row>
    <row r="391" spans="2:3">
      <c r="B391" s="207" t="s">
        <v>51</v>
      </c>
      <c r="C391" s="764">
        <v>1</v>
      </c>
    </row>
    <row r="392" spans="2:3">
      <c r="B392" s="207" t="s">
        <v>79</v>
      </c>
      <c r="C392" s="764">
        <v>1</v>
      </c>
    </row>
    <row r="393" spans="2:3">
      <c r="B393" s="207" t="s">
        <v>80</v>
      </c>
      <c r="C393" s="764">
        <v>1</v>
      </c>
    </row>
    <row r="394" spans="2:3">
      <c r="B394" s="207" t="s">
        <v>78</v>
      </c>
      <c r="C394" s="764">
        <v>1</v>
      </c>
    </row>
    <row r="395" spans="2:3">
      <c r="B395" s="207" t="s">
        <v>221</v>
      </c>
      <c r="C395" s="764">
        <v>1</v>
      </c>
    </row>
    <row r="396" spans="2:3">
      <c r="B396" s="207" t="s">
        <v>89</v>
      </c>
      <c r="C396" s="764">
        <v>1</v>
      </c>
    </row>
    <row r="397" spans="2:3">
      <c r="B397" s="207" t="s">
        <v>88</v>
      </c>
      <c r="C397" s="764">
        <v>1</v>
      </c>
    </row>
    <row r="398" spans="2:3">
      <c r="B398" s="207" t="s">
        <v>90</v>
      </c>
      <c r="C398" s="764">
        <v>1</v>
      </c>
    </row>
    <row r="399" spans="2:3">
      <c r="B399" s="207" t="s">
        <v>4</v>
      </c>
      <c r="C399" s="764">
        <v>1</v>
      </c>
    </row>
    <row r="400" spans="2:3">
      <c r="B400" s="207" t="s">
        <v>71</v>
      </c>
      <c r="C400" s="764">
        <v>1</v>
      </c>
    </row>
    <row r="401" spans="2:3">
      <c r="B401" s="207" t="s">
        <v>72</v>
      </c>
      <c r="C401" s="764">
        <v>1</v>
      </c>
    </row>
    <row r="402" spans="2:3">
      <c r="B402" s="207" t="s">
        <v>85</v>
      </c>
      <c r="C402" s="764">
        <v>1</v>
      </c>
    </row>
    <row r="403" spans="2:3">
      <c r="B403" s="207" t="s">
        <v>86</v>
      </c>
      <c r="C403" s="764">
        <v>1</v>
      </c>
    </row>
    <row r="404" spans="2:3">
      <c r="B404" s="207" t="s">
        <v>54</v>
      </c>
      <c r="C404" s="764">
        <v>1</v>
      </c>
    </row>
    <row r="405" spans="2:3">
      <c r="B405" s="207" t="s">
        <v>75</v>
      </c>
      <c r="C405" s="764">
        <v>1</v>
      </c>
    </row>
    <row r="406" spans="2:3">
      <c r="B406" s="207" t="s">
        <v>244</v>
      </c>
      <c r="C406" s="764">
        <v>1</v>
      </c>
    </row>
    <row r="407" spans="2:3">
      <c r="B407" s="207" t="s">
        <v>92</v>
      </c>
      <c r="C407" s="764">
        <v>1</v>
      </c>
    </row>
    <row r="408" spans="2:3">
      <c r="B408" s="207" t="s">
        <v>77</v>
      </c>
      <c r="C408" s="764">
        <v>1</v>
      </c>
    </row>
    <row r="409" spans="2:3">
      <c r="B409" s="207" t="s">
        <v>50</v>
      </c>
      <c r="C409" s="764">
        <v>1</v>
      </c>
    </row>
    <row r="410" spans="2:3">
      <c r="B410" s="207" t="s">
        <v>52</v>
      </c>
      <c r="C410" s="764">
        <v>1</v>
      </c>
    </row>
    <row r="411" spans="2:3">
      <c r="B411" s="207" t="s">
        <v>73</v>
      </c>
      <c r="C411" s="764">
        <v>1</v>
      </c>
    </row>
    <row r="412" spans="2:3">
      <c r="B412" s="207" t="s">
        <v>74</v>
      </c>
      <c r="C412" s="764">
        <v>1</v>
      </c>
    </row>
    <row r="413" spans="2:3">
      <c r="B413" s="207" t="s">
        <v>87</v>
      </c>
      <c r="C413" s="764">
        <v>1</v>
      </c>
    </row>
  </sheetData>
  <sortState xmlns:xlrd2="http://schemas.microsoft.com/office/spreadsheetml/2017/richdata2" ref="B386:C413">
    <sortCondition ref="B386:B413"/>
  </sortState>
  <mergeCells count="150">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209:C209"/>
    <mergeCell ref="B206:C20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19:C219"/>
    <mergeCell ref="B220:C220"/>
    <mergeCell ref="E247:I247"/>
    <mergeCell ref="B241:C241"/>
    <mergeCell ref="E229:I229"/>
    <mergeCell ref="E230:I230"/>
    <mergeCell ref="E231:I231"/>
    <mergeCell ref="E228:I228"/>
    <mergeCell ref="B230:C230"/>
    <mergeCell ref="B231:C231"/>
    <mergeCell ref="B235:C235"/>
    <mergeCell ref="E240:I240"/>
    <mergeCell ref="E241:I241"/>
    <mergeCell ref="E242:I242"/>
    <mergeCell ref="E243:I243"/>
    <mergeCell ref="E246:I246"/>
    <mergeCell ref="B240:C240"/>
    <mergeCell ref="B268:C268"/>
    <mergeCell ref="B251:C251"/>
    <mergeCell ref="E185:H185"/>
    <mergeCell ref="B168:C168"/>
    <mergeCell ref="E177:H177"/>
    <mergeCell ref="E178:H178"/>
    <mergeCell ref="E179:H179"/>
    <mergeCell ref="B225:C225"/>
    <mergeCell ref="E174:H174"/>
    <mergeCell ref="E180:H180"/>
    <mergeCell ref="B267:C267"/>
    <mergeCell ref="B223:C223"/>
    <mergeCell ref="B217:C217"/>
    <mergeCell ref="B245:C245"/>
    <mergeCell ref="E245:I245"/>
    <mergeCell ref="B266:C266"/>
    <mergeCell ref="B261:C261"/>
    <mergeCell ref="B262:C262"/>
    <mergeCell ref="B263:C263"/>
    <mergeCell ref="E184:H184"/>
    <mergeCell ref="E257:I257"/>
    <mergeCell ref="B232:C232"/>
    <mergeCell ref="B234:C234"/>
    <mergeCell ref="B222:C222"/>
    <mergeCell ref="B264:C264"/>
    <mergeCell ref="B265:C265"/>
    <mergeCell ref="B236:C236"/>
    <mergeCell ref="E232:I232"/>
    <mergeCell ref="E234:I234"/>
    <mergeCell ref="E235:I235"/>
    <mergeCell ref="E236:I236"/>
    <mergeCell ref="B244:C244"/>
    <mergeCell ref="E258:I258"/>
    <mergeCell ref="E233:I233"/>
    <mergeCell ref="B250:C250"/>
    <mergeCell ref="E244:I244"/>
    <mergeCell ref="E239:I239"/>
    <mergeCell ref="B252:C252"/>
    <mergeCell ref="B253:C253"/>
    <mergeCell ref="B254:C254"/>
    <mergeCell ref="B255:C255"/>
    <mergeCell ref="B257:C257"/>
    <mergeCell ref="B258:C258"/>
    <mergeCell ref="E251:I251"/>
    <mergeCell ref="E252:I252"/>
    <mergeCell ref="E250:I250"/>
    <mergeCell ref="B256:C256"/>
    <mergeCell ref="E256:I256"/>
  </mergeCells>
  <conditionalFormatting sqref="C97:I97">
    <cfRule type="expression" dxfId="85" priority="13">
      <formula>AND(#REF!="Actuals",#REF!="Forecast")</formula>
    </cfRule>
  </conditionalFormatting>
  <conditionalFormatting sqref="H61">
    <cfRule type="expression" dxfId="83" priority="18">
      <formula>AND(#REF!="Actuals",#REF!="Forecast")</formula>
    </cfRule>
  </conditionalFormatting>
  <conditionalFormatting sqref="H62:U62">
    <cfRule type="expression" dxfId="81" priority="6">
      <formula>AND(#REF!="Actuals",#REF!="Forecast")</formula>
    </cfRule>
  </conditionalFormatting>
  <conditionalFormatting sqref="O61">
    <cfRule type="expression" dxfId="78"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zoomScale="80" zoomScaleNormal="80" workbookViewId="0">
      <selection activeCell="C10" sqref="C10"/>
    </sheetView>
  </sheetViews>
  <sheetFormatPr defaultRowHeight="13.5"/>
  <cols>
    <col min="1" max="1" width="8.3828125" customWidth="1"/>
    <col min="2" max="2" width="23.765625" customWidth="1"/>
    <col min="3" max="3" width="25.765625" customWidth="1"/>
    <col min="4" max="4" width="9.765625" customWidth="1"/>
  </cols>
  <sheetData>
    <row r="1" spans="1:13" ht="20">
      <c r="A1" s="772" t="s">
        <v>245</v>
      </c>
      <c r="B1" s="92"/>
      <c r="C1" s="92"/>
      <c r="D1" s="92"/>
      <c r="E1" s="92"/>
      <c r="F1" s="92"/>
      <c r="G1" s="92"/>
      <c r="H1" s="92"/>
      <c r="I1" s="8" t="s">
        <v>246</v>
      </c>
      <c r="J1" s="9"/>
      <c r="K1" s="9"/>
      <c r="L1" s="9"/>
      <c r="M1" s="9"/>
    </row>
    <row r="2" spans="1:13" ht="20">
      <c r="A2" s="774" t="str">
        <f>Licensee</f>
        <v>ENWL</v>
      </c>
      <c r="B2" s="92"/>
      <c r="C2" s="92"/>
      <c r="D2" s="92"/>
      <c r="E2" s="92"/>
      <c r="F2" s="92"/>
      <c r="G2" s="92"/>
      <c r="H2" s="92"/>
      <c r="I2" s="9"/>
      <c r="J2" s="9"/>
      <c r="K2" s="9"/>
      <c r="L2" s="9"/>
      <c r="M2" s="9"/>
    </row>
    <row r="3" spans="1:13" ht="20">
      <c r="A3" s="772">
        <f>Reporting_Year</f>
        <v>2025</v>
      </c>
      <c r="B3" s="92"/>
      <c r="C3" s="92"/>
      <c r="D3" s="92"/>
      <c r="E3" s="92"/>
      <c r="F3" s="92"/>
      <c r="G3" s="92"/>
      <c r="H3" s="92"/>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247</v>
      </c>
      <c r="C6" s="4"/>
      <c r="D6" s="4"/>
      <c r="E6" s="4"/>
      <c r="F6" s="4"/>
      <c r="G6" s="4"/>
      <c r="H6" s="4"/>
      <c r="I6" s="4"/>
      <c r="J6" s="4"/>
      <c r="K6" s="4"/>
      <c r="L6" s="4"/>
      <c r="M6" s="4"/>
    </row>
    <row r="7" spans="1:13">
      <c r="A7" s="4"/>
      <c r="B7" s="4"/>
      <c r="C7" s="4"/>
      <c r="D7" s="4"/>
      <c r="E7" s="4"/>
      <c r="F7" s="4"/>
      <c r="G7" s="4"/>
      <c r="H7" s="4"/>
      <c r="I7" s="4"/>
      <c r="J7" s="4"/>
      <c r="K7" s="4"/>
      <c r="L7" s="4"/>
      <c r="M7" s="4"/>
    </row>
    <row r="8" spans="1:13">
      <c r="A8" s="4"/>
      <c r="B8" s="217" t="s">
        <v>248</v>
      </c>
      <c r="C8" s="217" t="s">
        <v>249</v>
      </c>
      <c r="D8" s="846" t="s">
        <v>250</v>
      </c>
      <c r="E8" s="847"/>
      <c r="F8" s="847"/>
      <c r="G8" s="847"/>
      <c r="H8" s="847"/>
      <c r="I8" s="4"/>
      <c r="J8" s="4"/>
      <c r="K8" s="4"/>
      <c r="L8" s="4"/>
      <c r="M8" s="4"/>
    </row>
    <row r="9" spans="1:13">
      <c r="A9" s="4"/>
      <c r="B9" s="218" t="s">
        <v>251</v>
      </c>
      <c r="C9" s="219">
        <v>45930</v>
      </c>
      <c r="D9" s="844"/>
      <c r="E9" s="845"/>
      <c r="F9" s="845"/>
      <c r="G9" s="845"/>
      <c r="H9" s="845"/>
      <c r="I9" s="4"/>
      <c r="J9" s="4"/>
      <c r="K9" s="4"/>
      <c r="L9" s="4"/>
      <c r="M9" s="4"/>
    </row>
    <row r="10" spans="1:13">
      <c r="A10" s="4"/>
      <c r="B10" s="218" t="s">
        <v>252</v>
      </c>
      <c r="C10" s="219"/>
      <c r="D10" s="844"/>
      <c r="E10" s="845"/>
      <c r="F10" s="845"/>
      <c r="G10" s="845"/>
      <c r="H10" s="845"/>
      <c r="I10" s="4"/>
      <c r="J10" s="4"/>
      <c r="K10" s="4"/>
      <c r="L10" s="4"/>
      <c r="M10" s="4"/>
    </row>
    <row r="11" spans="1:13">
      <c r="A11" s="4"/>
      <c r="B11" s="218" t="s">
        <v>253</v>
      </c>
      <c r="C11" s="219"/>
      <c r="D11" s="844"/>
      <c r="E11" s="845"/>
      <c r="F11" s="845"/>
      <c r="G11" s="845"/>
      <c r="H11" s="845"/>
      <c r="I11" s="4"/>
      <c r="J11" s="4"/>
      <c r="K11" s="4"/>
      <c r="L11" s="4"/>
      <c r="M11" s="4"/>
    </row>
    <row r="12" spans="1:13">
      <c r="A12" s="4"/>
      <c r="B12" s="218" t="s">
        <v>254</v>
      </c>
      <c r="C12" s="219"/>
      <c r="D12" s="844"/>
      <c r="E12" s="845"/>
      <c r="F12" s="845"/>
      <c r="G12" s="845"/>
      <c r="H12" s="845"/>
      <c r="I12" s="4"/>
      <c r="J12" s="4"/>
      <c r="K12" s="4"/>
      <c r="L12" s="4"/>
      <c r="M12" s="4"/>
    </row>
    <row r="13" spans="1:13">
      <c r="A13" s="4"/>
      <c r="B13" s="218" t="s">
        <v>255</v>
      </c>
      <c r="C13" s="219"/>
      <c r="D13" s="844"/>
      <c r="E13" s="845"/>
      <c r="F13" s="845"/>
      <c r="G13" s="845"/>
      <c r="H13" s="845"/>
      <c r="I13" s="4"/>
      <c r="J13" s="4"/>
      <c r="K13" s="4"/>
      <c r="L13" s="4"/>
      <c r="M13" s="4"/>
    </row>
    <row r="14" spans="1:13">
      <c r="A14" s="4"/>
      <c r="B14" s="218" t="s">
        <v>256</v>
      </c>
      <c r="C14" s="219"/>
      <c r="D14" s="844"/>
      <c r="E14" s="845"/>
      <c r="F14" s="845"/>
      <c r="G14" s="845"/>
      <c r="H14" s="845"/>
      <c r="I14" s="4"/>
      <c r="J14" s="4"/>
      <c r="K14" s="4"/>
      <c r="L14" s="4"/>
      <c r="M14" s="4"/>
    </row>
    <row r="15" spans="1:13">
      <c r="A15" s="4"/>
      <c r="B15" s="218" t="s">
        <v>257</v>
      </c>
      <c r="C15" s="219"/>
      <c r="D15" s="844"/>
      <c r="E15" s="845"/>
      <c r="F15" s="845"/>
      <c r="G15" s="845"/>
      <c r="H15" s="845"/>
      <c r="I15" s="4"/>
      <c r="J15" s="4"/>
      <c r="K15" s="4"/>
      <c r="L15" s="4"/>
      <c r="M15" s="4"/>
    </row>
    <row r="16" spans="1:13">
      <c r="A16" s="4"/>
      <c r="B16" s="218" t="s">
        <v>258</v>
      </c>
      <c r="C16" s="219"/>
      <c r="D16" s="844"/>
      <c r="E16" s="845"/>
      <c r="F16" s="845"/>
      <c r="G16" s="845"/>
      <c r="H16" s="845"/>
      <c r="I16" s="4"/>
      <c r="J16" s="4"/>
      <c r="K16" s="4"/>
      <c r="L16" s="4"/>
      <c r="M16" s="4"/>
    </row>
    <row r="17" spans="1:13">
      <c r="A17" s="4"/>
      <c r="B17" s="218" t="s">
        <v>259</v>
      </c>
      <c r="C17" s="219"/>
      <c r="D17" s="844"/>
      <c r="E17" s="845"/>
      <c r="F17" s="845"/>
      <c r="G17" s="845"/>
      <c r="H17" s="845"/>
      <c r="I17" s="4"/>
      <c r="J17" s="4"/>
      <c r="K17" s="4"/>
      <c r="L17" s="4"/>
      <c r="M17" s="4"/>
    </row>
    <row r="18" spans="1:13">
      <c r="A18" s="4"/>
      <c r="B18" s="218" t="s">
        <v>260</v>
      </c>
      <c r="C18" s="219"/>
      <c r="D18" s="844"/>
      <c r="E18" s="845"/>
      <c r="F18" s="845"/>
      <c r="G18" s="845"/>
      <c r="H18" s="845"/>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261</v>
      </c>
      <c r="C21" s="4"/>
      <c r="D21" s="4"/>
      <c r="E21" s="4"/>
      <c r="F21" s="4"/>
      <c r="G21" s="4"/>
      <c r="H21" s="4"/>
      <c r="I21" s="4"/>
      <c r="J21" s="4"/>
      <c r="K21" s="4"/>
      <c r="L21" s="4"/>
    </row>
    <row r="22" spans="1:13">
      <c r="A22" s="4"/>
      <c r="B22" s="47" t="s">
        <v>262</v>
      </c>
      <c r="C22" s="4"/>
      <c r="D22" s="4"/>
      <c r="E22" s="4"/>
      <c r="F22" s="4"/>
      <c r="G22" s="4"/>
      <c r="H22" s="4"/>
      <c r="I22" s="4"/>
      <c r="J22" s="4"/>
      <c r="K22" s="4"/>
      <c r="L22" s="4"/>
    </row>
    <row r="23" spans="1:13">
      <c r="A23" s="4"/>
      <c r="B23" s="47" t="s">
        <v>263</v>
      </c>
      <c r="C23" s="4"/>
      <c r="D23" s="4"/>
      <c r="E23" s="4"/>
      <c r="F23" s="4"/>
      <c r="G23" s="4"/>
      <c r="H23" s="4"/>
      <c r="I23" s="4"/>
      <c r="J23" s="4"/>
      <c r="K23" s="4"/>
      <c r="L23" s="4"/>
    </row>
    <row r="24" spans="1:13">
      <c r="B24" s="47" t="s">
        <v>264</v>
      </c>
    </row>
    <row r="25" spans="1:13">
      <c r="B25" s="47" t="s">
        <v>265</v>
      </c>
    </row>
    <row r="26" spans="1:13">
      <c r="B26" s="47" t="s">
        <v>266</v>
      </c>
    </row>
    <row r="27" spans="1:13">
      <c r="B27" s="47" t="s">
        <v>267</v>
      </c>
    </row>
    <row r="28" spans="1:13">
      <c r="B28" s="47" t="s">
        <v>268</v>
      </c>
    </row>
    <row r="29" spans="1:13">
      <c r="B29" s="47" t="s">
        <v>269</v>
      </c>
    </row>
    <row r="30" spans="1:13">
      <c r="B30" s="47" t="s">
        <v>270</v>
      </c>
    </row>
    <row r="31" spans="1:13">
      <c r="B31" s="185" t="s">
        <v>271</v>
      </c>
    </row>
    <row r="32" spans="1:13">
      <c r="B32" s="47" t="s">
        <v>272</v>
      </c>
    </row>
    <row r="33" spans="2:5">
      <c r="B33" s="47" t="s">
        <v>273</v>
      </c>
    </row>
    <row r="34" spans="2:5">
      <c r="B34" s="47" t="s">
        <v>274</v>
      </c>
    </row>
    <row r="35" spans="2:5">
      <c r="B35" s="47" t="s">
        <v>275</v>
      </c>
      <c r="E35" s="47"/>
    </row>
    <row r="36" spans="2:5">
      <c r="B36" s="47" t="s">
        <v>276</v>
      </c>
    </row>
    <row r="37" spans="2:5">
      <c r="B37" s="47" t="s">
        <v>277</v>
      </c>
    </row>
    <row r="38" spans="2:5">
      <c r="B38" s="47" t="s">
        <v>278</v>
      </c>
    </row>
    <row r="39" spans="2:5">
      <c r="B39" s="47" t="s">
        <v>279</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23"/>
  <sheetViews>
    <sheetView zoomScale="80" zoomScaleNormal="80" workbookViewId="0">
      <selection activeCell="A2" sqref="A2:A3"/>
    </sheetView>
  </sheetViews>
  <sheetFormatPr defaultRowHeight="13.5"/>
  <cols>
    <col min="1" max="1" width="9.765625" customWidth="1"/>
    <col min="2" max="2" width="21.765625" customWidth="1"/>
    <col min="3" max="3" width="142.15234375" customWidth="1"/>
    <col min="4" max="4" width="18.84375" customWidth="1"/>
    <col min="5" max="5" width="35.4609375" customWidth="1"/>
    <col min="6" max="6" width="41.765625" customWidth="1"/>
  </cols>
  <sheetData>
    <row r="1" spans="1:10" ht="20">
      <c r="A1" s="6" t="s">
        <v>280</v>
      </c>
      <c r="B1" s="6"/>
      <c r="C1" s="6"/>
      <c r="D1" s="6"/>
      <c r="E1" s="6"/>
    </row>
    <row r="2" spans="1:10" ht="20">
      <c r="A2" s="774" t="str">
        <f>Licensee</f>
        <v>ENWL</v>
      </c>
      <c r="B2" s="6"/>
      <c r="C2" s="6"/>
      <c r="D2" s="6"/>
      <c r="E2" s="6"/>
    </row>
    <row r="3" spans="1:10" ht="20">
      <c r="A3" s="772">
        <f>Reporting_Year</f>
        <v>2025</v>
      </c>
      <c r="B3" s="6"/>
      <c r="C3" s="6"/>
      <c r="D3" s="6"/>
      <c r="E3" s="6"/>
    </row>
    <row r="4" spans="1:10" ht="20">
      <c r="A4" s="84"/>
      <c r="B4" s="84"/>
      <c r="C4" s="84"/>
      <c r="D4" s="84"/>
      <c r="E4" s="84"/>
    </row>
    <row r="5" spans="1:10" ht="14">
      <c r="A5" s="251" t="s">
        <v>281</v>
      </c>
      <c r="B5" s="252" t="s">
        <v>282</v>
      </c>
      <c r="C5" s="253" t="s">
        <v>283</v>
      </c>
      <c r="D5" s="239" t="s">
        <v>284</v>
      </c>
    </row>
    <row r="6" spans="1:10">
      <c r="A6" s="208" t="s">
        <v>285</v>
      </c>
      <c r="B6" s="250" t="s">
        <v>286</v>
      </c>
      <c r="C6" s="254" t="s">
        <v>287</v>
      </c>
      <c r="D6" s="250" t="s">
        <v>288</v>
      </c>
    </row>
    <row r="7" spans="1:10">
      <c r="A7" s="208" t="s">
        <v>285</v>
      </c>
      <c r="B7" s="250" t="s">
        <v>289</v>
      </c>
      <c r="C7" s="254" t="s">
        <v>290</v>
      </c>
      <c r="D7" s="250" t="s">
        <v>288</v>
      </c>
    </row>
    <row r="8" spans="1:10" ht="27">
      <c r="A8" s="208" t="s">
        <v>285</v>
      </c>
      <c r="B8" s="250" t="s">
        <v>291</v>
      </c>
      <c r="C8" s="254" t="s">
        <v>292</v>
      </c>
      <c r="D8" s="250" t="s">
        <v>288</v>
      </c>
    </row>
    <row r="9" spans="1:10" ht="34" customHeight="1">
      <c r="A9" s="208" t="s">
        <v>285</v>
      </c>
      <c r="B9" s="250" t="s">
        <v>293</v>
      </c>
      <c r="C9" s="254" t="s">
        <v>294</v>
      </c>
      <c r="D9" s="250" t="s">
        <v>288</v>
      </c>
    </row>
    <row r="10" spans="1:10">
      <c r="A10" s="208" t="s">
        <v>285</v>
      </c>
      <c r="B10" s="250" t="s">
        <v>295</v>
      </c>
      <c r="C10" s="254" t="s">
        <v>296</v>
      </c>
      <c r="D10" s="250" t="s">
        <v>288</v>
      </c>
    </row>
    <row r="11" spans="1:10" ht="27">
      <c r="A11" s="208" t="s">
        <v>285</v>
      </c>
      <c r="B11" s="250" t="s">
        <v>262</v>
      </c>
      <c r="C11" s="254" t="s">
        <v>297</v>
      </c>
      <c r="D11" s="250" t="s">
        <v>298</v>
      </c>
      <c r="J11" s="110"/>
    </row>
    <row r="12" spans="1:10" ht="27">
      <c r="A12" s="208" t="s">
        <v>285</v>
      </c>
      <c r="B12" s="250" t="s">
        <v>299</v>
      </c>
      <c r="C12" s="254" t="s">
        <v>300</v>
      </c>
      <c r="D12" s="250" t="s">
        <v>301</v>
      </c>
    </row>
    <row r="13" spans="1:10">
      <c r="A13" s="208" t="s">
        <v>285</v>
      </c>
      <c r="B13" s="250" t="s">
        <v>302</v>
      </c>
      <c r="C13" s="254" t="s">
        <v>303</v>
      </c>
      <c r="D13" s="250" t="s">
        <v>304</v>
      </c>
    </row>
    <row r="14" spans="1:10">
      <c r="A14" s="208" t="s">
        <v>285</v>
      </c>
      <c r="B14" s="250" t="s">
        <v>305</v>
      </c>
      <c r="C14" s="254" t="s">
        <v>306</v>
      </c>
      <c r="D14" s="250" t="s">
        <v>87</v>
      </c>
    </row>
    <row r="15" spans="1:10">
      <c r="A15" s="208" t="s">
        <v>285</v>
      </c>
      <c r="B15" s="250" t="s">
        <v>307</v>
      </c>
      <c r="C15" s="254" t="s">
        <v>308</v>
      </c>
      <c r="D15" s="250" t="s">
        <v>309</v>
      </c>
    </row>
    <row r="16" spans="1:10" ht="74.25" customHeight="1">
      <c r="A16" s="208" t="s">
        <v>285</v>
      </c>
      <c r="B16" s="250" t="s">
        <v>269</v>
      </c>
      <c r="C16" s="254" t="s">
        <v>310</v>
      </c>
      <c r="D16" s="250" t="s">
        <v>92</v>
      </c>
    </row>
    <row r="17" spans="1:4" ht="20.25" customHeight="1">
      <c r="A17" s="208" t="s">
        <v>285</v>
      </c>
      <c r="B17" s="250" t="s">
        <v>307</v>
      </c>
      <c r="C17" s="254" t="s">
        <v>311</v>
      </c>
      <c r="D17" s="250" t="s">
        <v>221</v>
      </c>
    </row>
    <row r="18" spans="1:4" ht="21" customHeight="1">
      <c r="A18" s="208" t="s">
        <v>285</v>
      </c>
      <c r="B18" s="250" t="s">
        <v>307</v>
      </c>
      <c r="C18" s="254" t="s">
        <v>312</v>
      </c>
      <c r="D18" s="250" t="s">
        <v>221</v>
      </c>
    </row>
    <row r="19" spans="1:4" ht="21" customHeight="1">
      <c r="A19" s="208" t="s">
        <v>285</v>
      </c>
      <c r="B19" s="250" t="s">
        <v>313</v>
      </c>
      <c r="C19" s="254" t="s">
        <v>314</v>
      </c>
      <c r="D19" s="250" t="s">
        <v>221</v>
      </c>
    </row>
    <row r="20" spans="1:4" ht="38.5" customHeight="1">
      <c r="A20" s="208" t="s">
        <v>285</v>
      </c>
      <c r="B20" s="250" t="s">
        <v>315</v>
      </c>
      <c r="C20" s="723" t="s">
        <v>316</v>
      </c>
      <c r="D20" s="250" t="s">
        <v>221</v>
      </c>
    </row>
    <row r="21" spans="1:4">
      <c r="A21" s="208" t="s">
        <v>285</v>
      </c>
      <c r="B21" s="250" t="s">
        <v>289</v>
      </c>
      <c r="C21" s="254" t="s">
        <v>317</v>
      </c>
      <c r="D21" s="250" t="s">
        <v>221</v>
      </c>
    </row>
    <row r="22" spans="1:4" ht="27">
      <c r="A22" s="743" t="s">
        <v>285</v>
      </c>
      <c r="B22" s="250" t="s">
        <v>318</v>
      </c>
      <c r="C22" s="254" t="s">
        <v>319</v>
      </c>
      <c r="D22" s="255" t="s">
        <v>288</v>
      </c>
    </row>
    <row r="23" spans="1:4" ht="27">
      <c r="A23" s="743" t="s">
        <v>285</v>
      </c>
      <c r="B23" s="250" t="s">
        <v>320</v>
      </c>
      <c r="C23" s="254" t="s">
        <v>321</v>
      </c>
      <c r="D23" s="255" t="s">
        <v>288</v>
      </c>
    </row>
    <row r="24" spans="1:4">
      <c r="A24" s="743" t="s">
        <v>285</v>
      </c>
      <c r="B24" s="250" t="s">
        <v>322</v>
      </c>
      <c r="C24" s="254" t="s">
        <v>323</v>
      </c>
      <c r="D24" s="255" t="s">
        <v>288</v>
      </c>
    </row>
    <row r="25" spans="1:4">
      <c r="A25" s="743" t="s">
        <v>285</v>
      </c>
      <c r="B25" s="250" t="s">
        <v>324</v>
      </c>
      <c r="C25" s="254" t="s">
        <v>325</v>
      </c>
      <c r="D25" s="255" t="s">
        <v>288</v>
      </c>
    </row>
    <row r="26" spans="1:4" ht="57.65" customHeight="1">
      <c r="A26" s="743" t="s">
        <v>285</v>
      </c>
      <c r="B26" s="250" t="s">
        <v>326</v>
      </c>
      <c r="C26" s="254" t="s">
        <v>327</v>
      </c>
      <c r="D26" s="207" t="s">
        <v>4</v>
      </c>
    </row>
    <row r="27" spans="1:4" ht="63.65" customHeight="1">
      <c r="A27" s="743" t="s">
        <v>285</v>
      </c>
      <c r="B27" s="250" t="s">
        <v>328</v>
      </c>
      <c r="C27" s="254" t="s">
        <v>329</v>
      </c>
      <c r="D27" s="207" t="s">
        <v>4</v>
      </c>
    </row>
    <row r="28" spans="1:4" ht="24" customHeight="1">
      <c r="A28" s="743" t="s">
        <v>285</v>
      </c>
      <c r="B28" s="250" t="s">
        <v>330</v>
      </c>
      <c r="C28" s="254" t="s">
        <v>331</v>
      </c>
      <c r="D28" s="207" t="s">
        <v>332</v>
      </c>
    </row>
    <row r="29" spans="1:4" ht="40.5">
      <c r="A29" s="743" t="s">
        <v>285</v>
      </c>
      <c r="B29" s="250" t="s">
        <v>333</v>
      </c>
      <c r="C29" s="254" t="s">
        <v>334</v>
      </c>
      <c r="D29" s="250" t="s">
        <v>335</v>
      </c>
    </row>
    <row r="30" spans="1:4">
      <c r="A30" s="743" t="s">
        <v>285</v>
      </c>
      <c r="B30" s="250" t="s">
        <v>269</v>
      </c>
      <c r="C30" s="254" t="s">
        <v>336</v>
      </c>
      <c r="D30" s="250" t="s">
        <v>29</v>
      </c>
    </row>
    <row r="31" spans="1:4">
      <c r="A31" s="743" t="s">
        <v>285</v>
      </c>
      <c r="B31" s="250" t="s">
        <v>337</v>
      </c>
      <c r="C31" s="254" t="s">
        <v>338</v>
      </c>
      <c r="D31" s="250" t="s">
        <v>339</v>
      </c>
    </row>
    <row r="32" spans="1:4">
      <c r="A32" s="743" t="s">
        <v>285</v>
      </c>
      <c r="B32" s="250" t="s">
        <v>340</v>
      </c>
      <c r="C32" s="254" t="s">
        <v>341</v>
      </c>
      <c r="D32" s="250" t="s">
        <v>288</v>
      </c>
    </row>
    <row r="33" spans="1:4">
      <c r="A33" s="743" t="s">
        <v>285</v>
      </c>
      <c r="B33" s="250" t="s">
        <v>340</v>
      </c>
      <c r="C33" s="254" t="s">
        <v>342</v>
      </c>
      <c r="D33" s="250" t="s">
        <v>288</v>
      </c>
    </row>
    <row r="34" spans="1:4">
      <c r="A34" s="743" t="s">
        <v>285</v>
      </c>
      <c r="B34" s="250" t="s">
        <v>343</v>
      </c>
      <c r="C34" s="254" t="s">
        <v>344</v>
      </c>
      <c r="D34" s="250" t="s">
        <v>288</v>
      </c>
    </row>
    <row r="35" spans="1:4">
      <c r="A35" s="743" t="s">
        <v>285</v>
      </c>
      <c r="B35" s="250" t="s">
        <v>345</v>
      </c>
      <c r="C35" s="254" t="s">
        <v>346</v>
      </c>
      <c r="D35" s="250" t="s">
        <v>288</v>
      </c>
    </row>
    <row r="36" spans="1:4">
      <c r="A36" s="743" t="s">
        <v>285</v>
      </c>
      <c r="B36" s="250" t="s">
        <v>347</v>
      </c>
      <c r="C36" s="254" t="s">
        <v>348</v>
      </c>
      <c r="D36" s="250" t="s">
        <v>349</v>
      </c>
    </row>
    <row r="37" spans="1:4" ht="15" customHeight="1">
      <c r="A37" s="743" t="s">
        <v>285</v>
      </c>
      <c r="B37" s="250" t="s">
        <v>347</v>
      </c>
      <c r="C37" s="254" t="s">
        <v>350</v>
      </c>
      <c r="D37" s="250" t="s">
        <v>349</v>
      </c>
    </row>
    <row r="38" spans="1:4" ht="17.5" customHeight="1">
      <c r="A38" s="743" t="s">
        <v>285</v>
      </c>
      <c r="B38" s="250" t="s">
        <v>347</v>
      </c>
      <c r="C38" s="254" t="s">
        <v>351</v>
      </c>
      <c r="D38" s="250" t="s">
        <v>221</v>
      </c>
    </row>
    <row r="39" spans="1:4" ht="26.15" customHeight="1">
      <c r="A39" s="743" t="s">
        <v>285</v>
      </c>
      <c r="B39" s="250" t="s">
        <v>347</v>
      </c>
      <c r="C39" s="254" t="s">
        <v>352</v>
      </c>
      <c r="D39" s="250" t="s">
        <v>349</v>
      </c>
    </row>
    <row r="40" spans="1:4">
      <c r="A40" s="743" t="s">
        <v>285</v>
      </c>
      <c r="B40" s="250" t="s">
        <v>343</v>
      </c>
      <c r="C40" s="254" t="s">
        <v>353</v>
      </c>
      <c r="D40" s="250" t="s">
        <v>221</v>
      </c>
    </row>
    <row r="41" spans="1:4">
      <c r="A41" s="743" t="s">
        <v>285</v>
      </c>
      <c r="B41" s="250" t="s">
        <v>354</v>
      </c>
      <c r="C41" s="254" t="s">
        <v>355</v>
      </c>
      <c r="D41" s="250" t="s">
        <v>288</v>
      </c>
    </row>
    <row r="42" spans="1:4">
      <c r="A42" s="743" t="s">
        <v>285</v>
      </c>
      <c r="B42" s="250" t="s">
        <v>356</v>
      </c>
      <c r="C42" s="254" t="s">
        <v>357</v>
      </c>
      <c r="D42" s="250" t="s">
        <v>358</v>
      </c>
    </row>
    <row r="43" spans="1:4">
      <c r="A43" s="743" t="s">
        <v>285</v>
      </c>
      <c r="B43" s="250" t="s">
        <v>359</v>
      </c>
      <c r="C43" s="254" t="s">
        <v>360</v>
      </c>
      <c r="D43" s="250" t="s">
        <v>288</v>
      </c>
    </row>
    <row r="44" spans="1:4">
      <c r="A44" s="743"/>
      <c r="B44" s="759" t="s">
        <v>361</v>
      </c>
      <c r="C44" s="254" t="s">
        <v>362</v>
      </c>
      <c r="D44" s="250" t="s">
        <v>288</v>
      </c>
    </row>
    <row r="45" spans="1:4">
      <c r="A45" s="743"/>
      <c r="B45" s="759" t="s">
        <v>363</v>
      </c>
      <c r="C45" s="254" t="s">
        <v>364</v>
      </c>
      <c r="D45" s="250" t="s">
        <v>288</v>
      </c>
    </row>
    <row r="46" spans="1:4">
      <c r="A46" s="743" t="s">
        <v>285</v>
      </c>
      <c r="B46" s="250" t="s">
        <v>365</v>
      </c>
      <c r="C46" s="254" t="s">
        <v>366</v>
      </c>
      <c r="D46" s="250" t="s">
        <v>288</v>
      </c>
    </row>
    <row r="47" spans="1:4">
      <c r="A47" s="743" t="s">
        <v>285</v>
      </c>
      <c r="B47" s="250" t="s">
        <v>367</v>
      </c>
      <c r="C47" s="254" t="s">
        <v>368</v>
      </c>
      <c r="D47" s="250" t="s">
        <v>288</v>
      </c>
    </row>
    <row r="48" spans="1:4">
      <c r="A48" s="743" t="s">
        <v>285</v>
      </c>
      <c r="B48" s="250" t="s">
        <v>367</v>
      </c>
      <c r="C48" s="254" t="s">
        <v>369</v>
      </c>
      <c r="D48" s="250" t="s">
        <v>288</v>
      </c>
    </row>
    <row r="49" spans="1:4">
      <c r="A49" s="743" t="s">
        <v>285</v>
      </c>
      <c r="B49" s="250" t="s">
        <v>367</v>
      </c>
      <c r="C49" s="254" t="s">
        <v>370</v>
      </c>
      <c r="D49" s="250" t="s">
        <v>371</v>
      </c>
    </row>
    <row r="50" spans="1:4">
      <c r="A50" s="743" t="s">
        <v>285</v>
      </c>
      <c r="B50" s="250" t="s">
        <v>367</v>
      </c>
      <c r="C50" s="254" t="s">
        <v>372</v>
      </c>
      <c r="D50" s="250" t="s">
        <v>373</v>
      </c>
    </row>
    <row r="51" spans="1:4">
      <c r="A51" s="743" t="s">
        <v>285</v>
      </c>
      <c r="B51" s="250" t="s">
        <v>374</v>
      </c>
      <c r="C51" s="254" t="s">
        <v>375</v>
      </c>
      <c r="D51" s="250" t="s">
        <v>376</v>
      </c>
    </row>
    <row r="52" spans="1:4">
      <c r="A52" s="743" t="s">
        <v>285</v>
      </c>
      <c r="B52" s="250" t="s">
        <v>307</v>
      </c>
      <c r="C52" s="254" t="s">
        <v>377</v>
      </c>
      <c r="D52" s="250" t="s">
        <v>378</v>
      </c>
    </row>
    <row r="53" spans="1:4">
      <c r="A53" s="743" t="s">
        <v>285</v>
      </c>
      <c r="B53" s="250" t="s">
        <v>379</v>
      </c>
      <c r="C53" s="254" t="s">
        <v>380</v>
      </c>
      <c r="D53" s="250" t="s">
        <v>378</v>
      </c>
    </row>
    <row r="54" spans="1:4">
      <c r="A54" s="743" t="s">
        <v>285</v>
      </c>
      <c r="B54" s="250" t="s">
        <v>381</v>
      </c>
      <c r="C54" s="254" t="s">
        <v>382</v>
      </c>
      <c r="D54" s="207" t="s">
        <v>288</v>
      </c>
    </row>
    <row r="55" spans="1:4" ht="54">
      <c r="A55" s="743" t="s">
        <v>383</v>
      </c>
      <c r="B55" s="250" t="s">
        <v>384</v>
      </c>
      <c r="C55" s="254" t="s">
        <v>385</v>
      </c>
      <c r="D55" s="255" t="s">
        <v>288</v>
      </c>
    </row>
    <row r="56" spans="1:4" ht="54">
      <c r="A56" s="743" t="s">
        <v>383</v>
      </c>
      <c r="B56" s="250" t="s">
        <v>386</v>
      </c>
      <c r="C56" s="254" t="s">
        <v>387</v>
      </c>
      <c r="D56" s="255" t="s">
        <v>288</v>
      </c>
    </row>
    <row r="57" spans="1:4">
      <c r="A57" s="743" t="s">
        <v>383</v>
      </c>
      <c r="B57" s="250" t="s">
        <v>388</v>
      </c>
      <c r="C57" s="254" t="s">
        <v>389</v>
      </c>
      <c r="D57" s="255" t="s">
        <v>288</v>
      </c>
    </row>
    <row r="58" spans="1:4">
      <c r="A58" s="743" t="s">
        <v>383</v>
      </c>
      <c r="B58" s="250" t="s">
        <v>374</v>
      </c>
      <c r="C58" s="254" t="s">
        <v>390</v>
      </c>
      <c r="D58" s="255" t="s">
        <v>288</v>
      </c>
    </row>
    <row r="59" spans="1:4">
      <c r="A59" s="743" t="s">
        <v>383</v>
      </c>
      <c r="B59" s="250" t="s">
        <v>391</v>
      </c>
      <c r="C59" s="254" t="s">
        <v>392</v>
      </c>
      <c r="D59" s="255" t="s">
        <v>393</v>
      </c>
    </row>
    <row r="60" spans="1:4">
      <c r="A60" s="743" t="s">
        <v>383</v>
      </c>
      <c r="B60" s="250" t="s">
        <v>343</v>
      </c>
      <c r="C60" s="254" t="s">
        <v>394</v>
      </c>
      <c r="D60" s="255" t="s">
        <v>393</v>
      </c>
    </row>
    <row r="61" spans="1:4">
      <c r="A61" s="743" t="s">
        <v>383</v>
      </c>
      <c r="B61" s="250" t="s">
        <v>395</v>
      </c>
      <c r="C61" s="254" t="s">
        <v>396</v>
      </c>
      <c r="D61" s="255" t="s">
        <v>397</v>
      </c>
    </row>
    <row r="62" spans="1:4">
      <c r="A62" s="743" t="s">
        <v>383</v>
      </c>
      <c r="B62" s="250" t="s">
        <v>384</v>
      </c>
      <c r="C62" s="254" t="s">
        <v>398</v>
      </c>
      <c r="D62" s="255" t="s">
        <v>221</v>
      </c>
    </row>
    <row r="63" spans="1:4">
      <c r="A63" s="743" t="s">
        <v>383</v>
      </c>
      <c r="B63" s="250" t="s">
        <v>399</v>
      </c>
      <c r="C63" s="254" t="s">
        <v>400</v>
      </c>
      <c r="D63" s="255" t="s">
        <v>288</v>
      </c>
    </row>
    <row r="64" spans="1:4">
      <c r="A64" s="743" t="s">
        <v>383</v>
      </c>
      <c r="B64" s="250" t="s">
        <v>278</v>
      </c>
      <c r="C64" s="254" t="s">
        <v>401</v>
      </c>
      <c r="D64" s="255" t="s">
        <v>288</v>
      </c>
    </row>
    <row r="65" spans="1:4">
      <c r="A65" s="743" t="s">
        <v>383</v>
      </c>
      <c r="B65" s="250" t="s">
        <v>278</v>
      </c>
      <c r="C65" s="254" t="s">
        <v>402</v>
      </c>
      <c r="D65" s="255" t="s">
        <v>288</v>
      </c>
    </row>
    <row r="66" spans="1:4">
      <c r="A66" s="743" t="s">
        <v>383</v>
      </c>
      <c r="B66" s="250" t="s">
        <v>279</v>
      </c>
      <c r="C66" s="254" t="s">
        <v>403</v>
      </c>
      <c r="D66" s="255" t="s">
        <v>288</v>
      </c>
    </row>
    <row r="67" spans="1:4">
      <c r="A67" s="743" t="s">
        <v>383</v>
      </c>
      <c r="B67" s="250" t="s">
        <v>340</v>
      </c>
      <c r="C67" s="254" t="s">
        <v>404</v>
      </c>
      <c r="D67" s="255" t="s">
        <v>288</v>
      </c>
    </row>
    <row r="68" spans="1:4">
      <c r="A68" s="743" t="s">
        <v>405</v>
      </c>
      <c r="B68" s="250" t="s">
        <v>406</v>
      </c>
      <c r="C68" s="254" t="s">
        <v>407</v>
      </c>
      <c r="D68" s="255" t="s">
        <v>288</v>
      </c>
    </row>
    <row r="69" spans="1:4">
      <c r="A69" s="743" t="s">
        <v>405</v>
      </c>
      <c r="B69" s="250" t="s">
        <v>408</v>
      </c>
      <c r="C69" s="254" t="s">
        <v>409</v>
      </c>
      <c r="D69" s="255" t="s">
        <v>288</v>
      </c>
    </row>
    <row r="70" spans="1:4">
      <c r="A70" s="743" t="s">
        <v>405</v>
      </c>
      <c r="B70" s="752" t="s">
        <v>408</v>
      </c>
      <c r="C70" s="254" t="s">
        <v>410</v>
      </c>
      <c r="D70" s="255" t="s">
        <v>288</v>
      </c>
    </row>
    <row r="71" spans="1:4">
      <c r="A71" s="743" t="s">
        <v>405</v>
      </c>
      <c r="B71" s="752" t="s">
        <v>408</v>
      </c>
      <c r="C71" s="254" t="s">
        <v>411</v>
      </c>
      <c r="D71" s="255" t="s">
        <v>288</v>
      </c>
    </row>
    <row r="72" spans="1:4">
      <c r="A72" s="743" t="s">
        <v>405</v>
      </c>
      <c r="B72" s="752" t="s">
        <v>408</v>
      </c>
      <c r="C72" s="254" t="s">
        <v>412</v>
      </c>
      <c r="D72" s="255" t="s">
        <v>288</v>
      </c>
    </row>
    <row r="73" spans="1:4" ht="27">
      <c r="A73" s="743" t="s">
        <v>405</v>
      </c>
      <c r="B73" s="752" t="s">
        <v>413</v>
      </c>
      <c r="C73" s="254" t="s">
        <v>414</v>
      </c>
      <c r="D73" s="255" t="s">
        <v>288</v>
      </c>
    </row>
    <row r="74" spans="1:4" ht="27">
      <c r="A74" s="743" t="s">
        <v>415</v>
      </c>
      <c r="B74" s="752" t="s">
        <v>416</v>
      </c>
      <c r="C74" s="254" t="s">
        <v>417</v>
      </c>
      <c r="D74" s="255" t="s">
        <v>418</v>
      </c>
    </row>
    <row r="75" spans="1:4" ht="27">
      <c r="A75" s="743" t="s">
        <v>415</v>
      </c>
      <c r="B75" s="752" t="s">
        <v>419</v>
      </c>
      <c r="C75" s="254" t="s">
        <v>420</v>
      </c>
      <c r="D75" s="255" t="s">
        <v>418</v>
      </c>
    </row>
    <row r="76" spans="1:4">
      <c r="A76" s="743" t="s">
        <v>415</v>
      </c>
      <c r="B76" s="752" t="s">
        <v>421</v>
      </c>
      <c r="C76" s="254" t="s">
        <v>422</v>
      </c>
      <c r="D76" s="255" t="s">
        <v>423</v>
      </c>
    </row>
    <row r="77" spans="1:4">
      <c r="A77" s="743" t="s">
        <v>415</v>
      </c>
      <c r="B77" s="760" t="s">
        <v>424</v>
      </c>
      <c r="C77" s="724" t="s">
        <v>425</v>
      </c>
      <c r="D77" s="720" t="s">
        <v>423</v>
      </c>
    </row>
    <row r="78" spans="1:4" ht="40.5">
      <c r="A78" s="743" t="s">
        <v>415</v>
      </c>
      <c r="B78" s="250" t="s">
        <v>426</v>
      </c>
      <c r="C78" s="254" t="s">
        <v>427</v>
      </c>
      <c r="D78" s="207" t="s">
        <v>288</v>
      </c>
    </row>
    <row r="79" spans="1:4">
      <c r="A79" s="743" t="s">
        <v>415</v>
      </c>
      <c r="B79" s="250" t="s">
        <v>428</v>
      </c>
      <c r="C79" s="254" t="s">
        <v>429</v>
      </c>
      <c r="D79" s="207" t="s">
        <v>288</v>
      </c>
    </row>
    <row r="80" spans="1:4">
      <c r="A80" s="743" t="s">
        <v>415</v>
      </c>
      <c r="B80" s="250" t="s">
        <v>333</v>
      </c>
      <c r="C80" s="254" t="s">
        <v>430</v>
      </c>
      <c r="D80" s="207" t="s">
        <v>288</v>
      </c>
    </row>
    <row r="81" spans="1:4">
      <c r="A81" s="743" t="s">
        <v>415</v>
      </c>
      <c r="B81" s="250" t="s">
        <v>333</v>
      </c>
      <c r="C81" s="254" t="s">
        <v>431</v>
      </c>
      <c r="D81" s="207" t="s">
        <v>288</v>
      </c>
    </row>
    <row r="82" spans="1:4">
      <c r="A82" s="743" t="s">
        <v>415</v>
      </c>
      <c r="B82" s="250" t="s">
        <v>432</v>
      </c>
      <c r="C82" s="254" t="s">
        <v>433</v>
      </c>
      <c r="D82" s="207" t="s">
        <v>288</v>
      </c>
    </row>
    <row r="83" spans="1:4">
      <c r="A83" s="743" t="s">
        <v>415</v>
      </c>
      <c r="B83" s="250" t="s">
        <v>434</v>
      </c>
      <c r="C83" s="254" t="s">
        <v>435</v>
      </c>
      <c r="D83" s="207" t="s">
        <v>288</v>
      </c>
    </row>
    <row r="84" spans="1:4">
      <c r="A84" s="745" t="s">
        <v>415</v>
      </c>
      <c r="B84" s="761" t="s">
        <v>436</v>
      </c>
      <c r="C84" s="724" t="s">
        <v>437</v>
      </c>
      <c r="D84" s="207" t="s">
        <v>288</v>
      </c>
    </row>
    <row r="85" spans="1:4">
      <c r="A85" s="743" t="s">
        <v>415</v>
      </c>
      <c r="B85" s="250" t="s">
        <v>279</v>
      </c>
      <c r="C85" s="725" t="s">
        <v>438</v>
      </c>
      <c r="D85" s="207" t="s">
        <v>288</v>
      </c>
    </row>
    <row r="86" spans="1:4">
      <c r="A86" s="743" t="s">
        <v>439</v>
      </c>
      <c r="B86" s="761" t="s">
        <v>307</v>
      </c>
      <c r="C86" s="726" t="s">
        <v>440</v>
      </c>
      <c r="D86" s="207" t="s">
        <v>288</v>
      </c>
    </row>
    <row r="87" spans="1:4">
      <c r="A87" s="743" t="s">
        <v>439</v>
      </c>
      <c r="B87" s="762" t="s">
        <v>441</v>
      </c>
      <c r="C87" s="727" t="s">
        <v>442</v>
      </c>
      <c r="D87" s="108" t="s">
        <v>443</v>
      </c>
    </row>
    <row r="88" spans="1:4">
      <c r="A88" s="743" t="s">
        <v>439</v>
      </c>
      <c r="B88" s="250" t="s">
        <v>444</v>
      </c>
      <c r="C88" s="728" t="s">
        <v>445</v>
      </c>
      <c r="D88" s="729" t="s">
        <v>288</v>
      </c>
    </row>
    <row r="89" spans="1:4">
      <c r="A89" s="743" t="s">
        <v>439</v>
      </c>
      <c r="B89" s="250" t="s">
        <v>446</v>
      </c>
      <c r="C89" s="725" t="s">
        <v>447</v>
      </c>
      <c r="D89" s="207" t="s">
        <v>448</v>
      </c>
    </row>
    <row r="90" spans="1:4" ht="40.5">
      <c r="A90" s="743" t="s">
        <v>439</v>
      </c>
      <c r="B90" s="250" t="s">
        <v>449</v>
      </c>
      <c r="C90" s="730" t="s">
        <v>450</v>
      </c>
      <c r="D90" s="182" t="s">
        <v>448</v>
      </c>
    </row>
    <row r="91" spans="1:4" ht="27">
      <c r="A91" s="743" t="s">
        <v>439</v>
      </c>
      <c r="B91" s="757" t="s">
        <v>451</v>
      </c>
      <c r="C91" s="744" t="s">
        <v>452</v>
      </c>
      <c r="D91" s="740" t="s">
        <v>453</v>
      </c>
    </row>
    <row r="92" spans="1:4">
      <c r="A92" s="743" t="s">
        <v>439</v>
      </c>
      <c r="B92" s="757" t="s">
        <v>454</v>
      </c>
      <c r="C92" s="108" t="s">
        <v>455</v>
      </c>
      <c r="D92" s="108" t="s">
        <v>456</v>
      </c>
    </row>
    <row r="93" spans="1:4">
      <c r="A93" s="743" t="s">
        <v>439</v>
      </c>
      <c r="B93" s="757" t="s">
        <v>457</v>
      </c>
      <c r="C93" s="739" t="s">
        <v>458</v>
      </c>
      <c r="D93" s="108" t="s">
        <v>456</v>
      </c>
    </row>
    <row r="94" spans="1:4">
      <c r="A94" s="743" t="s">
        <v>439</v>
      </c>
      <c r="B94" s="757" t="s">
        <v>459</v>
      </c>
      <c r="C94" s="739" t="s">
        <v>460</v>
      </c>
      <c r="D94" s="108" t="s">
        <v>461</v>
      </c>
    </row>
    <row r="95" spans="1:4">
      <c r="A95" s="743" t="s">
        <v>439</v>
      </c>
      <c r="B95" s="757" t="s">
        <v>462</v>
      </c>
      <c r="C95" s="739" t="s">
        <v>463</v>
      </c>
      <c r="D95" s="108" t="s">
        <v>461</v>
      </c>
    </row>
    <row r="96" spans="1:4">
      <c r="A96" s="743" t="s">
        <v>439</v>
      </c>
      <c r="B96" s="757" t="s">
        <v>324</v>
      </c>
      <c r="C96" s="739" t="s">
        <v>464</v>
      </c>
      <c r="D96" s="108" t="s">
        <v>465</v>
      </c>
    </row>
    <row r="97" spans="1:4" ht="126" customHeight="1">
      <c r="A97" s="743" t="s">
        <v>439</v>
      </c>
      <c r="B97" s="757" t="s">
        <v>261</v>
      </c>
      <c r="C97" s="739" t="s">
        <v>466</v>
      </c>
      <c r="D97" s="741" t="s">
        <v>467</v>
      </c>
    </row>
    <row r="98" spans="1:4" ht="46.5" customHeight="1">
      <c r="A98" s="743" t="s">
        <v>439</v>
      </c>
      <c r="B98" s="757" t="s">
        <v>468</v>
      </c>
      <c r="C98" s="742" t="s">
        <v>469</v>
      </c>
      <c r="D98" s="741" t="s">
        <v>465</v>
      </c>
    </row>
    <row r="99" spans="1:4">
      <c r="A99" s="743" t="s">
        <v>439</v>
      </c>
      <c r="B99" s="757" t="s">
        <v>340</v>
      </c>
      <c r="C99" s="742" t="s">
        <v>470</v>
      </c>
      <c r="D99" s="741" t="s">
        <v>471</v>
      </c>
    </row>
    <row r="100" spans="1:4">
      <c r="A100" s="743" t="s">
        <v>439</v>
      </c>
      <c r="B100" s="757" t="s">
        <v>472</v>
      </c>
      <c r="C100" s="742" t="s">
        <v>473</v>
      </c>
      <c r="D100" s="741" t="s">
        <v>288</v>
      </c>
    </row>
    <row r="101" spans="1:4">
      <c r="A101" s="743" t="s">
        <v>439</v>
      </c>
      <c r="B101" s="757" t="s">
        <v>324</v>
      </c>
      <c r="C101" s="742" t="s">
        <v>474</v>
      </c>
      <c r="D101" s="741" t="s">
        <v>288</v>
      </c>
    </row>
    <row r="102" spans="1:4">
      <c r="A102" s="743" t="s">
        <v>439</v>
      </c>
      <c r="B102" s="757" t="s">
        <v>324</v>
      </c>
      <c r="C102" s="742" t="s">
        <v>475</v>
      </c>
      <c r="D102" s="741" t="s">
        <v>476</v>
      </c>
    </row>
    <row r="103" spans="1:4">
      <c r="A103" s="743" t="s">
        <v>439</v>
      </c>
      <c r="B103" s="757" t="s">
        <v>278</v>
      </c>
      <c r="C103" s="742" t="s">
        <v>477</v>
      </c>
      <c r="D103" s="741" t="s">
        <v>288</v>
      </c>
    </row>
    <row r="104" spans="1:4" ht="27">
      <c r="A104" s="743" t="s">
        <v>439</v>
      </c>
      <c r="B104" s="757" t="s">
        <v>478</v>
      </c>
      <c r="C104" s="742" t="s">
        <v>479</v>
      </c>
      <c r="D104" s="741" t="s">
        <v>288</v>
      </c>
    </row>
    <row r="105" spans="1:4" ht="27">
      <c r="A105" s="743" t="s">
        <v>439</v>
      </c>
      <c r="B105" s="757" t="s">
        <v>266</v>
      </c>
      <c r="C105" s="742" t="s">
        <v>480</v>
      </c>
      <c r="D105" s="741" t="s">
        <v>288</v>
      </c>
    </row>
    <row r="106" spans="1:4">
      <c r="A106" s="743" t="s">
        <v>439</v>
      </c>
      <c r="B106" s="757" t="s">
        <v>481</v>
      </c>
      <c r="C106" s="748" t="s">
        <v>482</v>
      </c>
      <c r="D106" s="741" t="s">
        <v>204</v>
      </c>
    </row>
    <row r="107" spans="1:4" ht="14.5">
      <c r="A107" s="743" t="s">
        <v>483</v>
      </c>
      <c r="B107" s="758" t="s">
        <v>484</v>
      </c>
      <c r="C107" s="750" t="s">
        <v>485</v>
      </c>
      <c r="D107" s="749" t="s">
        <v>486</v>
      </c>
    </row>
    <row r="108" spans="1:4" ht="27">
      <c r="A108" s="743" t="s">
        <v>483</v>
      </c>
      <c r="B108" s="758" t="s">
        <v>487</v>
      </c>
      <c r="C108" s="751" t="s">
        <v>488</v>
      </c>
      <c r="D108" s="749" t="s">
        <v>456</v>
      </c>
    </row>
    <row r="109" spans="1:4" ht="27">
      <c r="A109" s="743" t="s">
        <v>483</v>
      </c>
      <c r="B109" s="758" t="s">
        <v>489</v>
      </c>
      <c r="C109" s="751" t="s">
        <v>490</v>
      </c>
      <c r="D109" s="749" t="s">
        <v>288</v>
      </c>
    </row>
    <row r="110" spans="1:4" ht="14.5">
      <c r="A110" s="743" t="s">
        <v>483</v>
      </c>
      <c r="B110" s="758" t="s">
        <v>491</v>
      </c>
      <c r="C110" s="751" t="s">
        <v>492</v>
      </c>
      <c r="D110" s="749" t="s">
        <v>288</v>
      </c>
    </row>
    <row r="111" spans="1:4">
      <c r="A111" s="743" t="s">
        <v>483</v>
      </c>
      <c r="B111" s="250" t="s">
        <v>278</v>
      </c>
      <c r="C111" s="254" t="s">
        <v>493</v>
      </c>
      <c r="D111" s="749" t="s">
        <v>288</v>
      </c>
    </row>
    <row r="112" spans="1:4">
      <c r="A112" s="743" t="s">
        <v>483</v>
      </c>
      <c r="B112" s="761" t="s">
        <v>279</v>
      </c>
      <c r="C112" s="724" t="s">
        <v>494</v>
      </c>
      <c r="D112" s="765" t="s">
        <v>288</v>
      </c>
    </row>
    <row r="113" spans="1:4">
      <c r="A113" s="743" t="s">
        <v>495</v>
      </c>
      <c r="B113" s="250" t="s">
        <v>496</v>
      </c>
      <c r="C113" s="207" t="s">
        <v>497</v>
      </c>
      <c r="D113" s="766" t="s">
        <v>498</v>
      </c>
    </row>
    <row r="114" spans="1:4" ht="25.5" customHeight="1">
      <c r="A114" s="743" t="s">
        <v>495</v>
      </c>
      <c r="B114" s="763" t="s">
        <v>499</v>
      </c>
      <c r="C114" s="182" t="s">
        <v>500</v>
      </c>
      <c r="D114" s="766" t="s">
        <v>288</v>
      </c>
    </row>
    <row r="115" spans="1:4" ht="27">
      <c r="A115" s="743" t="s">
        <v>495</v>
      </c>
      <c r="B115" s="763" t="s">
        <v>501</v>
      </c>
      <c r="C115" s="182" t="s">
        <v>502</v>
      </c>
      <c r="D115" s="766" t="s">
        <v>288</v>
      </c>
    </row>
    <row r="116" spans="1:4" ht="27">
      <c r="A116" s="743" t="s">
        <v>495</v>
      </c>
      <c r="B116" s="763" t="s">
        <v>503</v>
      </c>
      <c r="C116" s="182" t="s">
        <v>502</v>
      </c>
      <c r="D116" s="766" t="s">
        <v>288</v>
      </c>
    </row>
    <row r="117" spans="1:4" ht="27">
      <c r="A117" s="743" t="s">
        <v>495</v>
      </c>
      <c r="B117" s="763" t="s">
        <v>504</v>
      </c>
      <c r="C117" s="182" t="s">
        <v>502</v>
      </c>
      <c r="D117" s="766" t="s">
        <v>288</v>
      </c>
    </row>
    <row r="118" spans="1:4">
      <c r="A118" s="743" t="s">
        <v>495</v>
      </c>
      <c r="B118" s="763" t="s">
        <v>277</v>
      </c>
      <c r="C118" s="182" t="s">
        <v>505</v>
      </c>
      <c r="D118" s="766" t="s">
        <v>288</v>
      </c>
    </row>
    <row r="119" spans="1:4" ht="27">
      <c r="A119" s="743" t="s">
        <v>495</v>
      </c>
      <c r="B119" s="758" t="s">
        <v>489</v>
      </c>
      <c r="C119" s="751" t="s">
        <v>506</v>
      </c>
      <c r="D119" s="749" t="s">
        <v>288</v>
      </c>
    </row>
    <row r="120" spans="1:4">
      <c r="A120" s="743" t="s">
        <v>495</v>
      </c>
      <c r="B120" s="250" t="s">
        <v>278</v>
      </c>
      <c r="C120" s="254" t="s">
        <v>507</v>
      </c>
      <c r="D120" s="749" t="s">
        <v>288</v>
      </c>
    </row>
    <row r="121" spans="1:4">
      <c r="A121" s="743" t="s">
        <v>495</v>
      </c>
      <c r="B121" s="250" t="s">
        <v>279</v>
      </c>
      <c r="C121" s="254" t="s">
        <v>508</v>
      </c>
      <c r="D121" s="767" t="s">
        <v>288</v>
      </c>
    </row>
    <row r="122" spans="1:4">
      <c r="A122" s="743" t="s">
        <v>509</v>
      </c>
      <c r="B122" s="250" t="s">
        <v>510</v>
      </c>
      <c r="C122" s="207" t="s">
        <v>511</v>
      </c>
      <c r="D122" s="766" t="s">
        <v>512</v>
      </c>
    </row>
    <row r="123" spans="1:4">
      <c r="A123" s="743" t="s">
        <v>509</v>
      </c>
      <c r="B123" s="250" t="s">
        <v>278</v>
      </c>
      <c r="C123" s="207" t="s">
        <v>513</v>
      </c>
      <c r="D123" s="766" t="s">
        <v>288</v>
      </c>
    </row>
  </sheetData>
  <phoneticPr fontId="248"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7"/>
  <sheetViews>
    <sheetView zoomScale="80" zoomScaleNormal="80" workbookViewId="0">
      <selection activeCell="B6" sqref="B6"/>
    </sheetView>
  </sheetViews>
  <sheetFormatPr defaultColWidth="9" defaultRowHeight="13.5"/>
  <cols>
    <col min="1" max="1" width="8.3828125" customWidth="1"/>
    <col min="2" max="2" width="65.3828125" style="34" bestFit="1" customWidth="1"/>
    <col min="3" max="3" width="9.84375" customWidth="1"/>
    <col min="4" max="4" width="10.61328125" bestFit="1" customWidth="1"/>
    <col min="5" max="5" width="10.84375" bestFit="1" customWidth="1"/>
    <col min="6" max="8" width="9.15234375" customWidth="1"/>
    <col min="9" max="9" width="2.61328125" customWidth="1"/>
    <col min="10" max="11" width="13.765625" customWidth="1"/>
    <col min="12" max="12" width="5.15234375" customWidth="1"/>
    <col min="16" max="16" width="10.4609375" bestFit="1" customWidth="1"/>
  </cols>
  <sheetData>
    <row r="1" spans="1:20" ht="20">
      <c r="A1" s="773" t="s">
        <v>514</v>
      </c>
      <c r="B1" s="302"/>
      <c r="C1" s="303"/>
      <c r="D1" s="303"/>
      <c r="E1" s="303"/>
      <c r="F1" s="303"/>
      <c r="G1" s="304"/>
      <c r="H1" s="304"/>
      <c r="I1" s="305"/>
      <c r="J1" s="305"/>
      <c r="K1" s="305"/>
      <c r="L1" s="306" t="s">
        <v>246</v>
      </c>
    </row>
    <row r="2" spans="1:20" ht="20">
      <c r="A2" s="774" t="str">
        <f>Licensee</f>
        <v>ENWL</v>
      </c>
      <c r="B2" s="307"/>
      <c r="C2" s="92"/>
      <c r="D2" s="92"/>
      <c r="E2" s="92"/>
      <c r="F2" s="92"/>
      <c r="G2" s="6"/>
      <c r="H2" s="6"/>
      <c r="I2" s="308"/>
      <c r="J2" s="308"/>
      <c r="K2" s="308"/>
      <c r="L2" s="309"/>
    </row>
    <row r="3" spans="1:20" ht="20">
      <c r="A3" s="772">
        <f>Reporting_Year</f>
        <v>2025</v>
      </c>
      <c r="B3" s="6" t="str">
        <f>IF(Licensee=Data!$B$86,"Only required to be completed to show Operational Performance","")</f>
        <v/>
      </c>
      <c r="C3" s="6"/>
      <c r="D3" s="6"/>
      <c r="E3" s="6"/>
      <c r="F3" s="6"/>
      <c r="G3" s="6"/>
      <c r="H3" s="310"/>
      <c r="I3" s="311"/>
      <c r="J3" s="311"/>
      <c r="K3" s="311"/>
      <c r="L3" s="312"/>
    </row>
    <row r="4" spans="1:20" ht="12.75" customHeight="1"/>
    <row r="5" spans="1:20">
      <c r="D5" s="313" t="str">
        <f t="shared" ref="D5:H5" si="0">IF(D6&lt;=Reporting_Year,"Actuals","Forecast")</f>
        <v>Actuals</v>
      </c>
      <c r="E5" s="313" t="str">
        <f t="shared" si="0"/>
        <v>Actuals</v>
      </c>
      <c r="F5" s="313" t="str">
        <f t="shared" si="0"/>
        <v>Forecast</v>
      </c>
      <c r="G5" s="313" t="str">
        <f t="shared" si="0"/>
        <v>Forecast</v>
      </c>
      <c r="H5" s="313" t="str">
        <f t="shared" si="0"/>
        <v>Forecast</v>
      </c>
      <c r="I5" s="314"/>
      <c r="J5" s="314"/>
    </row>
    <row r="6" spans="1:20" ht="31.5" customHeight="1">
      <c r="C6" s="315"/>
      <c r="D6" s="316">
        <f>RIIO_2_start_date</f>
        <v>2024</v>
      </c>
      <c r="E6" s="316">
        <f>D6+1</f>
        <v>2025</v>
      </c>
      <c r="F6" s="316">
        <f>E6+1</f>
        <v>2026</v>
      </c>
      <c r="G6" s="316">
        <f t="shared" ref="G6:H6" si="1">F6+1</f>
        <v>2027</v>
      </c>
      <c r="H6" s="316">
        <f t="shared" si="1"/>
        <v>2028</v>
      </c>
      <c r="I6" s="10"/>
      <c r="J6" s="317" t="str">
        <f>"Cumulative to "&amp;'RFPR cover'!$C$9</f>
        <v>Cumulative to 2025</v>
      </c>
      <c r="K6" s="318" t="s">
        <v>515</v>
      </c>
    </row>
    <row r="7" spans="1:20">
      <c r="C7" s="315"/>
      <c r="D7" s="319" t="str">
        <f>RIIO_2_start_date-1&amp;"/"&amp;RIGHT(RIIO_2_start_date,2)</f>
        <v>2023/24</v>
      </c>
      <c r="E7" s="319" t="str">
        <f>RIIO_2_start_date&amp;"/"&amp;RIGHT(RIIO_2_start_date+1,2)</f>
        <v>2024/25</v>
      </c>
      <c r="F7" s="319" t="str">
        <f>RIIO_2_start_date+1&amp;"/"&amp;RIGHT(RIIO_2_start_date+2,2)</f>
        <v>2025/26</v>
      </c>
      <c r="G7" s="319" t="str">
        <f>RIIO_2_start_date+2&amp;"/"&amp;RIGHT(RIIO_2_start_date+3,2)</f>
        <v>2026/27</v>
      </c>
      <c r="H7" s="319" t="str">
        <f>RIIO_2_start_date+3&amp;"/"&amp;RIGHT(RIIO_2_start_date+4,2)</f>
        <v>2027/28</v>
      </c>
      <c r="I7" s="315"/>
      <c r="J7" s="315"/>
      <c r="K7" s="315"/>
      <c r="L7" s="315"/>
    </row>
    <row r="8" spans="1:20">
      <c r="C8" s="34"/>
      <c r="D8" s="34"/>
      <c r="E8" s="34"/>
      <c r="F8" s="34"/>
      <c r="G8" s="34"/>
      <c r="H8" s="34"/>
      <c r="I8" s="34"/>
      <c r="J8" s="34"/>
      <c r="K8" s="34"/>
      <c r="L8" s="34"/>
      <c r="M8" s="34"/>
      <c r="N8" s="34"/>
      <c r="O8" s="34"/>
      <c r="P8" s="34"/>
      <c r="Q8" s="34"/>
      <c r="R8" s="34"/>
      <c r="S8" s="34"/>
      <c r="T8" s="34"/>
    </row>
    <row r="9" spans="1:20">
      <c r="B9" s="320" t="s">
        <v>516</v>
      </c>
      <c r="C9" s="38"/>
      <c r="D9" s="38"/>
      <c r="E9" s="38"/>
      <c r="F9" s="38"/>
      <c r="G9" s="38"/>
      <c r="H9" s="38"/>
      <c r="I9" s="321"/>
      <c r="J9" s="38"/>
      <c r="K9" s="38"/>
      <c r="L9" s="38"/>
    </row>
    <row r="10" spans="1:20">
      <c r="B10" s="322"/>
      <c r="I10" s="10"/>
    </row>
    <row r="11" spans="1:20">
      <c r="B11" s="158" t="s">
        <v>517</v>
      </c>
      <c r="C11" s="157" t="s">
        <v>518</v>
      </c>
      <c r="D11" s="60">
        <f>IFERROR(Equity_Return_on_the_RAV/NPV_neutral_equity_element_of_RAV,0)</f>
        <v>5.2833944000000001E-2</v>
      </c>
      <c r="E11" s="60">
        <f>IFERROR(Equity_Return_on_the_RAV/NPV_neutral_equity_element_of_RAV,0)</f>
        <v>5.587545800000001E-2</v>
      </c>
      <c r="F11" s="60">
        <f>IFERROR(Equity_Return_on_the_RAV/NPV_neutral_equity_element_of_RAV,0)</f>
        <v>5.4475395999999995E-2</v>
      </c>
      <c r="G11" s="60">
        <f>IFERROR(Equity_Return_on_the_RAV/NPV_neutral_equity_element_of_RAV,0)</f>
        <v>5.4934037000000012E-2</v>
      </c>
      <c r="H11" s="60">
        <f>IFERROR(Equity_Return_on_the_RAV/NPV_neutral_equity_element_of_RAV,0)</f>
        <v>5.5127149E-2</v>
      </c>
      <c r="I11" s="323"/>
      <c r="J11" s="61">
        <f>IFERROR(AVERAGE(D69:INDEX(D69:H69,0,MATCH('RFPR cover'!$C$9,$D$6:$H$6,0)))/AVERAGE($D$96:INDEX($D$96:$H$96,0,MATCH('RFPR cover'!$C$9,$D$6:$H$6,0))),0)</f>
        <v>5.4386290103771912E-2</v>
      </c>
      <c r="K11" s="61">
        <f t="shared" ref="K11:K19" si="2">IFERROR(AVERAGE(D69:H69)/AVERAGE($D$96:$H$96),0)</f>
        <v>5.4688599528957493E-2</v>
      </c>
    </row>
    <row r="12" spans="1:20">
      <c r="B12" s="158" t="str">
        <f t="shared" ref="B12:B18" si="3">B70</f>
        <v>Totex outperformance</v>
      </c>
      <c r="C12" s="157" t="s">
        <v>518</v>
      </c>
      <c r="D12" s="60">
        <f>IFERROR(Totex_outperformance/NPV_neutral_equity_element_of_RAV,0)</f>
        <v>-5.7714005279952741E-4</v>
      </c>
      <c r="E12" s="60">
        <f>IFERROR(Totex_outperformance/NPV_neutral_equity_element_of_RAV,0)</f>
        <v>-7.5875643112040076E-3</v>
      </c>
      <c r="F12" s="60">
        <f>IFERROR(Totex_outperformance/NPV_neutral_equity_element_of_RAV,0)</f>
        <v>-8.4210567053237886E-3</v>
      </c>
      <c r="G12" s="60">
        <f>IFERROR(Totex_outperformance/NPV_neutral_equity_element_of_RAV,0)</f>
        <v>4.8867768358394955E-3</v>
      </c>
      <c r="H12" s="60">
        <f>IFERROR(Totex_outperformance/NPV_neutral_equity_element_of_RAV,0)</f>
        <v>5.937318545088519E-3</v>
      </c>
      <c r="I12" s="323"/>
      <c r="J12" s="61">
        <f>IFERROR(AVERAGE(D70:INDEX(D70:H70,0,MATCH('RFPR cover'!$C$9,$D$6:$H$6,0)))/AVERAGE($D$96:INDEX($D$96:$H$96,0,MATCH('RFPR cover'!$C$9,$D$6:$H$6,0))),0)</f>
        <v>-4.1551623085978847E-3</v>
      </c>
      <c r="K12" s="61">
        <f t="shared" si="2"/>
        <v>-7.8018530071879142E-4</v>
      </c>
      <c r="M12" s="323"/>
    </row>
    <row r="13" spans="1:20">
      <c r="A13" s="324" t="s">
        <v>519</v>
      </c>
      <c r="B13" s="158" t="str">
        <f t="shared" si="3"/>
        <v>Business Plan Incentive</v>
      </c>
      <c r="C13" s="157" t="s">
        <v>518</v>
      </c>
      <c r="D13" s="60">
        <f>IFERROR(Business_Plan_Incentive/NPV_neutral_equity_element_of_RAV,0)</f>
        <v>0</v>
      </c>
      <c r="E13" s="60">
        <f>IFERROR(Business_Plan_Incentive/NPV_neutral_equity_element_of_RAV,0)</f>
        <v>0</v>
      </c>
      <c r="F13" s="60">
        <f>IFERROR(Business_Plan_Incentive/NPV_neutral_equity_element_of_RAV,0)</f>
        <v>0</v>
      </c>
      <c r="G13" s="60">
        <f>IFERROR(Business_Plan_Incentive/NPV_neutral_equity_element_of_RAV,0)</f>
        <v>0</v>
      </c>
      <c r="H13" s="60">
        <f>IFERROR(Business_Plan_Incentive/NPV_neutral_equity_element_of_RAV,0)</f>
        <v>0</v>
      </c>
      <c r="I13" s="323"/>
      <c r="J13" s="61">
        <f>IFERROR(AVERAGE(D71:INDEX(D71:H71,0,MATCH('RFPR cover'!$C$9,$D$6:$H$6,0)))/AVERAGE($D$96:INDEX($D$96:$H$96,0,MATCH('RFPR cover'!$C$9,$D$6:$H$6,0))),0)</f>
        <v>0</v>
      </c>
      <c r="K13" s="61">
        <f t="shared" si="2"/>
        <v>0</v>
      </c>
    </row>
    <row r="14" spans="1:20">
      <c r="A14" s="324" t="s">
        <v>520</v>
      </c>
      <c r="B14" s="158" t="str">
        <f t="shared" si="3"/>
        <v>Time to connect ODI</v>
      </c>
      <c r="C14" s="157" t="s">
        <v>518</v>
      </c>
      <c r="D14" s="60">
        <f>IFERROR(ODI_1/NPV_neutral_equity_element_of_RAV,0)</f>
        <v>1.0950577417940554E-3</v>
      </c>
      <c r="E14" s="60">
        <f>IFERROR(ODI_1/NPV_neutral_equity_element_of_RAV,0)</f>
        <v>1.2143992158646047E-3</v>
      </c>
      <c r="F14" s="60">
        <f>IFERROR(ODI_1/NPV_neutral_equity_element_of_RAV,0)</f>
        <v>1.2633336737051099E-3</v>
      </c>
      <c r="G14" s="60">
        <f>IFERROR(ODI_1/NPV_neutral_equity_element_of_RAV,0)</f>
        <v>1.2851849488825133E-3</v>
      </c>
      <c r="H14" s="60">
        <f>IFERROR(ODI_1/NPV_neutral_equity_element_of_RAV,0)</f>
        <v>1.1910142707004525E-3</v>
      </c>
      <c r="I14" s="323"/>
      <c r="J14" s="61">
        <f>IFERROR(AVERAGE(D72:INDEX(D72:H72,0,MATCH('RFPR cover'!$C$9,$D$6:$H$6,0)))/AVERAGE($D$96:INDEX($D$96:$H$96,0,MATCH('RFPR cover'!$C$9,$D$6:$H$6,0))),0)</f>
        <v>1.1559679569999738E-3</v>
      </c>
      <c r="K14" s="61">
        <f t="shared" si="2"/>
        <v>1.2123868344493132E-3</v>
      </c>
    </row>
    <row r="15" spans="1:20">
      <c r="A15" s="324" t="s">
        <v>521</v>
      </c>
      <c r="B15" s="158" t="str">
        <f t="shared" si="3"/>
        <v>Broad Measure of Customer Service ODI</v>
      </c>
      <c r="C15" s="157" t="s">
        <v>518</v>
      </c>
      <c r="D15" s="60">
        <f>IFERROR(ODI_2/NPV_neutral_equity_element_of_RAV,0)</f>
        <v>1.4490189564491118E-3</v>
      </c>
      <c r="E15" s="60">
        <f>IFERROR(ODI_2/NPV_neutral_equity_element_of_RAV,0)</f>
        <v>2.2445056846124686E-3</v>
      </c>
      <c r="F15" s="60">
        <f>IFERROR(ODI_2/NPV_neutral_equity_element_of_RAV,0)</f>
        <v>2.6525764303209193E-3</v>
      </c>
      <c r="G15" s="60">
        <f>IFERROR(ODI_2/NPV_neutral_equity_element_of_RAV,0)</f>
        <v>2.7312459880036886E-3</v>
      </c>
      <c r="H15" s="60">
        <f>IFERROR(ODI_2/NPV_neutral_equity_element_of_RAV,0)</f>
        <v>2.6497506998684308E-3</v>
      </c>
      <c r="I15" s="323"/>
      <c r="J15" s="61">
        <f>IFERROR(AVERAGE(D73:INDEX(D73:H73,0,MATCH('RFPR cover'!$C$9,$D$6:$H$6,0)))/AVERAGE($D$96:INDEX($D$96:$H$96,0,MATCH('RFPR cover'!$C$9,$D$6:$H$6,0))),0)</f>
        <v>1.8550242298315956E-3</v>
      </c>
      <c r="K15" s="61">
        <f t="shared" si="2"/>
        <v>2.3783418257108677E-3</v>
      </c>
    </row>
    <row r="16" spans="1:20">
      <c r="A16" s="324" t="s">
        <v>522</v>
      </c>
      <c r="B16" s="158" t="str">
        <f t="shared" si="3"/>
        <v>Interruptions incentive scheme ODI</v>
      </c>
      <c r="C16" s="157" t="s">
        <v>518</v>
      </c>
      <c r="D16" s="60">
        <f>IFERROR(ODI_3/NPV_neutral_equity_element_of_RAV,0)</f>
        <v>1.0925451031915832E-3</v>
      </c>
      <c r="E16" s="60">
        <f>IFERROR(ODI_3/NPV_neutral_equity_element_of_RAV,0)</f>
        <v>5.1786595680543973E-4</v>
      </c>
      <c r="F16" s="60">
        <f>IFERROR(ODI_3/NPV_neutral_equity_element_of_RAV,0)</f>
        <v>2.3158137594836816E-3</v>
      </c>
      <c r="G16" s="60">
        <f>IFERROR(ODI_3/NPV_neutral_equity_element_of_RAV,0)</f>
        <v>2.6608625659055151E-3</v>
      </c>
      <c r="H16" s="60">
        <f>IFERROR(ODI_3/NPV_neutral_equity_element_of_RAV,0)</f>
        <v>3.1452884930905753E-3</v>
      </c>
      <c r="I16" s="323"/>
      <c r="J16" s="61">
        <f>IFERROR(AVERAGE(D74:INDEX(D74:H74,0,MATCH('RFPR cover'!$C$9,$D$6:$H$6,0)))/AVERAGE($D$96:INDEX($D$96:$H$96,0,MATCH('RFPR cover'!$C$9,$D$6:$H$6,0))),0)</f>
        <v>7.9923692384028058E-4</v>
      </c>
      <c r="K16" s="61">
        <f t="shared" si="2"/>
        <v>2.0261035422506901E-3</v>
      </c>
    </row>
    <row r="17" spans="1:11">
      <c r="A17" s="324" t="s">
        <v>523</v>
      </c>
      <c r="B17" s="158" t="str">
        <f t="shared" si="3"/>
        <v>Major connections ODI</v>
      </c>
      <c r="C17" s="157" t="s">
        <v>518</v>
      </c>
      <c r="D17" s="60">
        <f>IFERROR(ODI_4/NPV_neutral_equity_element_of_RAV,0)</f>
        <v>0</v>
      </c>
      <c r="E17" s="60">
        <f>IFERROR(ODI_4/NPV_neutral_equity_element_of_RAV,0)</f>
        <v>0</v>
      </c>
      <c r="F17" s="60">
        <f>IFERROR(ODI_4/NPV_neutral_equity_element_of_RAV,0)</f>
        <v>0</v>
      </c>
      <c r="G17" s="60">
        <f>IFERROR(ODI_4/NPV_neutral_equity_element_of_RAV,0)</f>
        <v>0</v>
      </c>
      <c r="H17" s="60">
        <f>IFERROR(ODI_4/NPV_neutral_equity_element_of_RAV,0)</f>
        <v>0</v>
      </c>
      <c r="I17" s="323"/>
      <c r="J17" s="61">
        <f>IFERROR(AVERAGE(D75:INDEX(D75:H75,0,MATCH('RFPR cover'!$C$9,$D$6:$H$6,0)))/AVERAGE($D$96:INDEX($D$96:$H$96,0,MATCH('RFPR cover'!$C$9,$D$6:$H$6,0))),0)</f>
        <v>0</v>
      </c>
      <c r="K17" s="61">
        <f t="shared" si="2"/>
        <v>0</v>
      </c>
    </row>
    <row r="18" spans="1:11">
      <c r="A18" s="324" t="s">
        <v>524</v>
      </c>
      <c r="B18" s="158" t="str">
        <f t="shared" si="3"/>
        <v>Consumer Vulnerability ODI</v>
      </c>
      <c r="C18" s="157" t="s">
        <v>518</v>
      </c>
      <c r="D18" s="60">
        <f>IFERROR(ODI_5/NPV_neutral_equity_element_of_RAV,0)</f>
        <v>0</v>
      </c>
      <c r="E18" s="60">
        <f>IFERROR(ODI_5/NPV_neutral_equity_element_of_RAV,0)</f>
        <v>3.7778833688260276E-3</v>
      </c>
      <c r="F18" s="60">
        <f>IFERROR(ODI_5/NPV_neutral_equity_element_of_RAV,0)</f>
        <v>0</v>
      </c>
      <c r="G18" s="60">
        <f>IFERROR(ODI_5/NPV_neutral_equity_element_of_RAV,0)</f>
        <v>0</v>
      </c>
      <c r="H18" s="60">
        <f>IFERROR(ODI_5/NPV_neutral_equity_element_of_RAV,0)</f>
        <v>2.9496297215604018E-3</v>
      </c>
      <c r="I18" s="323"/>
      <c r="J18" s="61">
        <f>IFERROR(AVERAGE(D76:INDEX(D76:H76,0,MATCH('RFPR cover'!$C$9,$D$6:$H$6,0)))/AVERAGE($D$96:INDEX($D$96:$H$96,0,MATCH('RFPR cover'!$C$9,$D$6:$H$6,0))),0)</f>
        <v>1.9281787057701481E-3</v>
      </c>
      <c r="K18" s="61">
        <f t="shared" si="2"/>
        <v>1.3744892638025725E-3</v>
      </c>
    </row>
    <row r="19" spans="1:11">
      <c r="A19" s="324" t="s">
        <v>525</v>
      </c>
      <c r="B19" s="158" t="str">
        <f>B77</f>
        <v>Distribution System Operator ODI</v>
      </c>
      <c r="C19" s="157" t="s">
        <v>518</v>
      </c>
      <c r="D19" s="60">
        <f>IFERROR(ODI_6/NPV_neutral_equity_element_of_RAV,0)</f>
        <v>2.3404156008365943E-4</v>
      </c>
      <c r="E19" s="60">
        <f>IFERROR(ODI_6/NPV_neutral_equity_element_of_RAV,0)</f>
        <v>2.5863139104822367E-3</v>
      </c>
      <c r="F19" s="60">
        <f>IFERROR(ODI_6/NPV_neutral_equity_element_of_RAV,0)</f>
        <v>1.7951549418342451E-3</v>
      </c>
      <c r="G19" s="60">
        <f>IFERROR(ODI_6/NPV_neutral_equity_element_of_RAV,0)</f>
        <v>1.8959706732063191E-3</v>
      </c>
      <c r="H19" s="60">
        <f>IFERROR(ODI_6/NPV_neutral_equity_element_of_RAV,0)</f>
        <v>2.1633567587831183E-3</v>
      </c>
      <c r="I19" s="323"/>
      <c r="J19" s="61">
        <f>IFERROR(AVERAGE(D77:INDEX(D77:H77,0,MATCH('RFPR cover'!$C$9,$D$6:$H$6,0)))/AVERAGE($D$96:INDEX($D$96:$H$96,0,MATCH('RFPR cover'!$C$9,$D$6:$H$6,0))),0)</f>
        <v>1.4346083890220194E-3</v>
      </c>
      <c r="K19" s="61">
        <f t="shared" si="2"/>
        <v>1.7692594229490172E-3</v>
      </c>
    </row>
    <row r="20" spans="1:11">
      <c r="A20" s="324" t="s">
        <v>526</v>
      </c>
      <c r="B20" s="158" t="str">
        <f t="shared" ref="B20:B21" si="4">B78</f>
        <v>Dig, Fix and Go ODI (ENWL only)</v>
      </c>
      <c r="C20" s="157" t="s">
        <v>518</v>
      </c>
      <c r="D20" s="60">
        <f>IFERROR(ODI_7/NPV_neutral_equity_element_of_RAV,0)</f>
        <v>4.940671011286732E-4</v>
      </c>
      <c r="E20" s="60">
        <f>IFERROR(ODI_7/NPV_neutral_equity_element_of_RAV,0)</f>
        <v>8.6281088350263443E-4</v>
      </c>
      <c r="F20" s="60">
        <f>IFERROR(ODI_7/NPV_neutral_equity_element_of_RAV,0)</f>
        <v>7.8258533941172608E-4</v>
      </c>
      <c r="G20" s="60">
        <f>IFERROR(ODI_7/NPV_neutral_equity_element_of_RAV,0)</f>
        <v>8.3178478934207468E-4</v>
      </c>
      <c r="H20" s="60">
        <f>IFERROR(ODI_7/NPV_neutral_equity_element_of_RAV,0)</f>
        <v>7.865679257494406E-4</v>
      </c>
      <c r="I20" s="323"/>
      <c r="J20" s="61">
        <f>IFERROR(AVERAGE(D78:INDEX(D78:H78,0,MATCH('RFPR cover'!$C$9,$D$6:$H$6,0)))/AVERAGE($D$96:INDEX($D$96:$H$96,0,MATCH('RFPR cover'!$C$9,$D$6:$H$6,0))),0)</f>
        <v>6.8226875788854216E-4</v>
      </c>
      <c r="K20" s="61">
        <f t="shared" ref="K20:K21" si="5">IFERROR(AVERAGE(D78:H78)/AVERAGE($D$96:$H$96),0)</f>
        <v>7.5739033731282929E-4</v>
      </c>
    </row>
    <row r="21" spans="1:11">
      <c r="A21" s="324" t="s">
        <v>527</v>
      </c>
      <c r="B21" s="158" t="str">
        <f t="shared" si="4"/>
        <v>Collaborative Streetworks ODI (EPN, LPN and SPN only)</v>
      </c>
      <c r="C21" s="157" t="s">
        <v>518</v>
      </c>
      <c r="D21" s="60">
        <f>IFERROR(ODI_8/NPV_neutral_equity_element_of_RAV,0)</f>
        <v>0</v>
      </c>
      <c r="E21" s="60">
        <f>IFERROR(ODI_8/NPV_neutral_equity_element_of_RAV,0)</f>
        <v>0</v>
      </c>
      <c r="F21" s="60">
        <f>IFERROR(ODI_8/NPV_neutral_equity_element_of_RAV,0)</f>
        <v>0</v>
      </c>
      <c r="G21" s="60">
        <f>IFERROR(ODI_8/NPV_neutral_equity_element_of_RAV,0)</f>
        <v>0</v>
      </c>
      <c r="H21" s="60">
        <f>IFERROR(ODI_8/NPV_neutral_equity_element_of_RAV,0)</f>
        <v>0</v>
      </c>
      <c r="I21" s="323"/>
      <c r="J21" s="61">
        <f>IFERROR(AVERAGE(D79:INDEX(D79:H79,0,MATCH('RFPR cover'!$C$9,$D$6:$H$6,0)))/AVERAGE($D$96:INDEX($D$96:$H$96,0,MATCH('RFPR cover'!$C$9,$D$6:$H$6,0))),0)</f>
        <v>0</v>
      </c>
      <c r="K21" s="61">
        <f t="shared" si="5"/>
        <v>0</v>
      </c>
    </row>
    <row r="22" spans="1:11">
      <c r="A22" s="324" t="s">
        <v>527</v>
      </c>
      <c r="B22" s="158" t="str">
        <f t="shared" ref="B22" si="6">B80</f>
        <v>Network innovation input for RORE</v>
      </c>
      <c r="C22" s="157" t="s">
        <v>518</v>
      </c>
      <c r="D22" s="60">
        <f>IFERROR(ORA_1/NPV_neutral_equity_element_of_RAV,0)</f>
        <v>0</v>
      </c>
      <c r="E22" s="60">
        <f>IFERROR(ORA_1/NPV_neutral_equity_element_of_RAV,0)</f>
        <v>-1.6800008904839439E-5</v>
      </c>
      <c r="F22" s="60">
        <f>IFERROR(ORA_1/NPV_neutral_equity_element_of_RAV,0)</f>
        <v>-2.6614746309731164E-4</v>
      </c>
      <c r="G22" s="60">
        <f>IFERROR(ORA_1/NPV_neutral_equity_element_of_RAV,0)</f>
        <v>-2.4751963182845146E-4</v>
      </c>
      <c r="H22" s="60">
        <f>IFERROR(ORA_1/NPV_neutral_equity_element_of_RAV,0)</f>
        <v>-2.2938287134668044E-4</v>
      </c>
      <c r="I22" s="323"/>
      <c r="J22" s="61">
        <f>IFERROR(AVERAGE(D80:INDEX(D80:H80,0,MATCH('RFPR cover'!$C$9,$D$6:$H$6,0)))/AVERAGE($D$96:INDEX($D$96:$H$96,0,MATCH('RFPR cover'!$C$9,$D$6:$H$6,0))),0)</f>
        <v>-8.5744890099999259E-6</v>
      </c>
      <c r="K22" s="61">
        <f>IFERROR(AVERAGE(D80:H80)/AVERAGE($D$96:$H$96),0)</f>
        <v>-1.6009514384998787E-4</v>
      </c>
    </row>
    <row r="23" spans="1:11">
      <c r="A23" s="324" t="s">
        <v>528</v>
      </c>
      <c r="B23" s="158" t="str">
        <f t="shared" ref="B23" si="7">B81</f>
        <v>Carry-over Network innovation input for RORE</v>
      </c>
      <c r="C23" s="157" t="s">
        <v>518</v>
      </c>
      <c r="D23" s="60">
        <f>IFERROR(ORA_2/NPV_neutral_equity_element_of_RAV,0)</f>
        <v>-7.4518969446763175E-5</v>
      </c>
      <c r="E23" s="60">
        <f>IFERROR(ORA_2/NPV_neutral_equity_element_of_RAV,0)</f>
        <v>0</v>
      </c>
      <c r="F23" s="60">
        <f>IFERROR(ORA_2/NPV_neutral_equity_element_of_RAV,0)</f>
        <v>0</v>
      </c>
      <c r="G23" s="60">
        <f>IFERROR(ORA_2/NPV_neutral_equity_element_of_RAV,0)</f>
        <v>0</v>
      </c>
      <c r="H23" s="60">
        <f>IFERROR(ORA_2/NPV_neutral_equity_element_of_RAV,0)</f>
        <v>0</v>
      </c>
      <c r="I23" s="323"/>
      <c r="J23" s="61">
        <f>IFERROR(AVERAGE(D81:INDEX(D81:H81,0,MATCH('RFPR cover'!$C$9,$D$6:$H$6,0)))/AVERAGE($D$96:INDEX($D$96:$H$96,0,MATCH('RFPR cover'!$C$9,$D$6:$H$6,0))),0)</f>
        <v>-3.6485532192231087E-5</v>
      </c>
      <c r="K23" s="61">
        <f>IFERROR(AVERAGE(D81:H81)/AVERAGE($D$96:$H$96),0)</f>
        <v>-1.3276687694482704E-5</v>
      </c>
    </row>
    <row r="24" spans="1:11">
      <c r="A24" s="324" t="s">
        <v>529</v>
      </c>
      <c r="B24" s="158" t="str">
        <f t="shared" ref="B24:B29" si="8">B82</f>
        <v>Strategic innovation input for RORE</v>
      </c>
      <c r="C24" s="157" t="s">
        <v>518</v>
      </c>
      <c r="D24" s="60">
        <f>IFERROR(ORA_3/NPV_neutral_equity_element_of_RAV,0)</f>
        <v>-3.2329937358104542E-5</v>
      </c>
      <c r="E24" s="60">
        <f>IFERROR(ORA_3/NPV_neutral_equity_element_of_RAV,0)</f>
        <v>-4.3479993438288164E-5</v>
      </c>
      <c r="F24" s="60">
        <f>IFERROR(ORA_3/NPV_neutral_equity_element_of_RAV,0)</f>
        <v>0</v>
      </c>
      <c r="G24" s="60">
        <f>IFERROR(ORA_3/NPV_neutral_equity_element_of_RAV,0)</f>
        <v>0</v>
      </c>
      <c r="H24" s="60">
        <f>IFERROR(ORA_3/NPV_neutral_equity_element_of_RAV,0)</f>
        <v>0</v>
      </c>
      <c r="I24" s="323"/>
      <c r="J24" s="61">
        <f>IFERROR(AVERAGE(D82:INDEX(D82:H82,0,MATCH('RFPR cover'!$C$9,$D$6:$H$6,0)))/AVERAGE($D$96:INDEX($D$96:$H$96,0,MATCH('RFPR cover'!$C$9,$D$6:$H$6,0))),0)</f>
        <v>-3.8020769658370577E-5</v>
      </c>
      <c r="K24" s="61">
        <f>IFERROR(AVERAGE(D82:H82)/AVERAGE($D$96:$H$96),0)</f>
        <v>-1.3835343883665088E-5</v>
      </c>
    </row>
    <row r="25" spans="1:11">
      <c r="A25" s="324" t="s">
        <v>530</v>
      </c>
      <c r="B25" s="158" t="str">
        <f t="shared" si="8"/>
        <v/>
      </c>
      <c r="C25" s="157" t="s">
        <v>518</v>
      </c>
      <c r="D25" s="60">
        <f>IFERROR(ORA_4/NPV_neutral_equity_element_of_RAV,0)</f>
        <v>0</v>
      </c>
      <c r="E25" s="60">
        <f>IFERROR(ORA_4/NPV_neutral_equity_element_of_RAV,0)</f>
        <v>0</v>
      </c>
      <c r="F25" s="60">
        <f>IFERROR(ORA_4/NPV_neutral_equity_element_of_RAV,0)</f>
        <v>0</v>
      </c>
      <c r="G25" s="60">
        <f>IFERROR(ORA_4/NPV_neutral_equity_element_of_RAV,0)</f>
        <v>0</v>
      </c>
      <c r="H25" s="60">
        <f>IFERROR(ORA_4/NPV_neutral_equity_element_of_RAV,0)</f>
        <v>0</v>
      </c>
      <c r="I25" s="323"/>
      <c r="J25" s="61">
        <f>IFERROR(AVERAGE(D83:INDEX(D83:H83,0,MATCH('RFPR cover'!$C$9,$D$6:$H$6,0)))/AVERAGE($D$96:INDEX($D$96:$H$96,0,MATCH('RFPR cover'!$C$9,$D$6:$H$6,0))),0)</f>
        <v>0</v>
      </c>
      <c r="K25" s="61">
        <f t="shared" ref="K25:K30" si="9">IFERROR(AVERAGE(D83:H83)/AVERAGE($D$96:$H$96),0)</f>
        <v>0</v>
      </c>
    </row>
    <row r="26" spans="1:11">
      <c r="A26" s="324" t="s">
        <v>531</v>
      </c>
      <c r="B26" s="158" t="str">
        <f t="shared" si="8"/>
        <v/>
      </c>
      <c r="C26" s="157" t="s">
        <v>518</v>
      </c>
      <c r="D26" s="60">
        <f>IFERROR(ORA_5/NPV_neutral_equity_element_of_RAV,0)</f>
        <v>0</v>
      </c>
      <c r="E26" s="60">
        <f>IFERROR(ORA_5/NPV_neutral_equity_element_of_RAV,0)</f>
        <v>0</v>
      </c>
      <c r="F26" s="60">
        <f>IFERROR(ORA_5/NPV_neutral_equity_element_of_RAV,0)</f>
        <v>0</v>
      </c>
      <c r="G26" s="60">
        <f>IFERROR(ORA_5/NPV_neutral_equity_element_of_RAV,0)</f>
        <v>0</v>
      </c>
      <c r="H26" s="60">
        <f>IFERROR(ORA_5/NPV_neutral_equity_element_of_RAV,0)</f>
        <v>0</v>
      </c>
      <c r="I26" s="323"/>
      <c r="J26" s="61">
        <f>IFERROR(AVERAGE(D84:INDEX(D84:H84,0,MATCH('RFPR cover'!$C$9,$D$6:$H$6,0)))/AVERAGE($D$96:INDEX($D$96:$H$96,0,MATCH('RFPR cover'!$C$9,$D$6:$H$6,0))),0)</f>
        <v>0</v>
      </c>
      <c r="K26" s="61">
        <f t="shared" si="9"/>
        <v>0</v>
      </c>
    </row>
    <row r="27" spans="1:11">
      <c r="A27" s="324" t="s">
        <v>532</v>
      </c>
      <c r="B27" s="158" t="str">
        <f t="shared" si="8"/>
        <v/>
      </c>
      <c r="C27" s="157" t="s">
        <v>518</v>
      </c>
      <c r="D27" s="60">
        <f>IFERROR(ORA_6/NPV_neutral_equity_element_of_RAV,0)</f>
        <v>0</v>
      </c>
      <c r="E27" s="60">
        <f>IFERROR(ORA_6/NPV_neutral_equity_element_of_RAV,0)</f>
        <v>0</v>
      </c>
      <c r="F27" s="60">
        <f>IFERROR(ORA_6/NPV_neutral_equity_element_of_RAV,0)</f>
        <v>0</v>
      </c>
      <c r="G27" s="60">
        <f>IFERROR(ORA_6/NPV_neutral_equity_element_of_RAV,0)</f>
        <v>0</v>
      </c>
      <c r="H27" s="60">
        <f>IFERROR(ORA_6/NPV_neutral_equity_element_of_RAV,0)</f>
        <v>0</v>
      </c>
      <c r="I27" s="323"/>
      <c r="J27" s="61">
        <f>IFERROR(AVERAGE(D85:INDEX(D85:H85,0,MATCH('RFPR cover'!$C$9,$D$6:$H$6,0)))/AVERAGE($D$96:INDEX($D$96:$H$96,0,MATCH('RFPR cover'!$C$9,$D$6:$H$6,0))),0)</f>
        <v>0</v>
      </c>
      <c r="K27" s="61">
        <f t="shared" si="9"/>
        <v>0</v>
      </c>
    </row>
    <row r="28" spans="1:11">
      <c r="A28" s="324" t="s">
        <v>533</v>
      </c>
      <c r="B28" s="158" t="str">
        <f t="shared" si="8"/>
        <v/>
      </c>
      <c r="C28" s="157" t="s">
        <v>518</v>
      </c>
      <c r="D28" s="60">
        <f>IFERROR(ORA_7/NPV_neutral_equity_element_of_RAV,0)</f>
        <v>0</v>
      </c>
      <c r="E28" s="60">
        <f>IFERROR(ORA_7/NPV_neutral_equity_element_of_RAV,0)</f>
        <v>0</v>
      </c>
      <c r="F28" s="60">
        <f>IFERROR(ORA_7/NPV_neutral_equity_element_of_RAV,0)</f>
        <v>0</v>
      </c>
      <c r="G28" s="60">
        <f>IFERROR(ORA_7/NPV_neutral_equity_element_of_RAV,0)</f>
        <v>0</v>
      </c>
      <c r="H28" s="60">
        <f>IFERROR(ORA_7/NPV_neutral_equity_element_of_RAV,0)</f>
        <v>0</v>
      </c>
      <c r="I28" s="323"/>
      <c r="J28" s="61">
        <f>IFERROR(AVERAGE(D86:INDEX(D86:H86,0,MATCH('RFPR cover'!$C$9,$D$6:$H$6,0)))/AVERAGE($D$96:INDEX($D$96:$H$96,0,MATCH('RFPR cover'!$C$9,$D$6:$H$6,0))),0)</f>
        <v>0</v>
      </c>
      <c r="K28" s="61">
        <f t="shared" si="9"/>
        <v>0</v>
      </c>
    </row>
    <row r="29" spans="1:11">
      <c r="A29" s="324" t="s">
        <v>534</v>
      </c>
      <c r="B29" s="158" t="str">
        <f t="shared" si="8"/>
        <v/>
      </c>
      <c r="C29" s="157" t="s">
        <v>518</v>
      </c>
      <c r="D29" s="60">
        <f>IFERROR(ORA_8/NPV_neutral_equity_element_of_RAV,0)</f>
        <v>0</v>
      </c>
      <c r="E29" s="60">
        <f>IFERROR(ORA_8/NPV_neutral_equity_element_of_RAV,0)</f>
        <v>0</v>
      </c>
      <c r="F29" s="60">
        <f>IFERROR(ORA_8/NPV_neutral_equity_element_of_RAV,0)</f>
        <v>0</v>
      </c>
      <c r="G29" s="60">
        <f>IFERROR(ORA_8/NPV_neutral_equity_element_of_RAV,0)</f>
        <v>0</v>
      </c>
      <c r="H29" s="60">
        <f>IFERROR(ORA_8/NPV_neutral_equity_element_of_RAV,0)</f>
        <v>0</v>
      </c>
      <c r="I29" s="323"/>
      <c r="J29" s="61">
        <f>IFERROR(AVERAGE(D87:INDEX(D87:H87,0,MATCH('RFPR cover'!$C$9,$D$6:$H$6,0)))/AVERAGE($D$96:INDEX($D$96:$H$96,0,MATCH('RFPR cover'!$C$9,$D$6:$H$6,0))),0)</f>
        <v>0</v>
      </c>
      <c r="K29" s="61">
        <f t="shared" si="9"/>
        <v>0</v>
      </c>
    </row>
    <row r="30" spans="1:11" ht="14" thickBot="1">
      <c r="B30" s="158" t="str">
        <f t="shared" ref="B30:B32" si="10">B88</f>
        <v>Penalties and fines (Other Activities)</v>
      </c>
      <c r="C30" s="157" t="s">
        <v>518</v>
      </c>
      <c r="D30" s="325">
        <f>IFERROR(Penalties_and_fines/NPV_neutral_equity_element_of_RAV,0)</f>
        <v>-4.9159964027490363E-4</v>
      </c>
      <c r="E30" s="325">
        <f>IFERROR(Penalties_and_fines/NPV_neutral_equity_element_of_RAV,0)</f>
        <v>-7.8601518156534375E-4</v>
      </c>
      <c r="F30" s="325">
        <f>IFERROR(Penalties_and_fines/NPV_neutral_equity_element_of_RAV,0)</f>
        <v>0</v>
      </c>
      <c r="G30" s="325">
        <f>IFERROR(Penalties_and_fines/NPV_neutral_equity_element_of_RAV,0)</f>
        <v>0</v>
      </c>
      <c r="H30" s="325">
        <f>IFERROR(Penalties_and_fines/NPV_neutral_equity_element_of_RAV,0)</f>
        <v>0</v>
      </c>
      <c r="I30" s="323"/>
      <c r="J30" s="61">
        <f>IFERROR(AVERAGE(D88:INDEX(D88:H88,0,MATCH('RFPR cover'!$C$9,$D$6:$H$6,0)))/AVERAGE($D$96:INDEX($D$96:$H$96,0,MATCH('RFPR cover'!$C$9,$D$6:$H$6,0))),0)</f>
        <v>-6.4186520486283994E-4</v>
      </c>
      <c r="K30" s="61">
        <f t="shared" si="9"/>
        <v>-2.3356775562489001E-4</v>
      </c>
    </row>
    <row r="31" spans="1:11" ht="14" thickBot="1">
      <c r="B31" s="159" t="str">
        <f t="shared" si="10"/>
        <v>RoRE - Operational performance</v>
      </c>
      <c r="C31" s="58" t="s">
        <v>518</v>
      </c>
      <c r="D31" s="146">
        <f>SUM(D11:D30)</f>
        <v>5.6023085862767781E-2</v>
      </c>
      <c r="E31" s="147">
        <f t="shared" ref="E31:H31" si="11">SUM(E11:E30)</f>
        <v>5.8645377524980946E-2</v>
      </c>
      <c r="F31" s="147">
        <f t="shared" si="11"/>
        <v>5.4597655976334578E-2</v>
      </c>
      <c r="G31" s="147">
        <f t="shared" si="11"/>
        <v>6.8978343169351183E-2</v>
      </c>
      <c r="H31" s="148">
        <f t="shared" si="11"/>
        <v>7.3720692543494268E-2</v>
      </c>
      <c r="I31" s="326"/>
      <c r="J31" s="150">
        <f>SUM(J11:J30)</f>
        <v>5.7361466762803147E-2</v>
      </c>
      <c r="K31" s="148">
        <f>SUM(K11:K30)</f>
        <v>6.3005610523660965E-2</v>
      </c>
    </row>
    <row r="32" spans="1:11">
      <c r="B32" s="158" t="str">
        <f t="shared" si="10"/>
        <v>Debt performance - at notional gearing</v>
      </c>
      <c r="C32" s="157" t="s">
        <v>518</v>
      </c>
      <c r="D32" s="327">
        <f>IFERROR(Debt_performance___at_notional_gearing/NPV_neutral_equity_element_of_RAV,0)</f>
        <v>4.7788227513298552E-2</v>
      </c>
      <c r="E32" s="327">
        <f>IFERROR(Debt_performance___at_notional_gearing/NPV_neutral_equity_element_of_RAV,0)</f>
        <v>-1.9968365977231109E-4</v>
      </c>
      <c r="F32" s="327">
        <f>IFERROR(Debt_performance___at_notional_gearing/NPV_neutral_equity_element_of_RAV,0)</f>
        <v>2.7377815166520184E-5</v>
      </c>
      <c r="G32" s="327">
        <f>IFERROR(Debt_performance___at_notional_gearing/NPV_neutral_equity_element_of_RAV,0)</f>
        <v>-5.3020233793258835E-3</v>
      </c>
      <c r="H32" s="327">
        <f>IFERROR(Debt_performance___at_notional_gearing/NPV_neutral_equity_element_of_RAV,0)</f>
        <v>-1.4433284898082429E-2</v>
      </c>
      <c r="I32" s="323"/>
      <c r="J32" s="149">
        <f>IFERROR(AVERAGE(D90:INDEX(D90:H90,0,MATCH('RFPR cover'!$C$9,$D$6:$H$6,0)))/AVERAGE($D$96:INDEX($D$96:$H$96,0,MATCH('RFPR cover'!$C$9,$D$6:$H$6,0))),0)</f>
        <v>2.3295870437950839E-2</v>
      </c>
      <c r="K32" s="149">
        <f>IFERROR(AVERAGE(D90:H90)/AVERAGE($D$96:$H$96),0)</f>
        <v>4.0692563219870224E-3</v>
      </c>
    </row>
    <row r="33" spans="1:13" ht="14" thickBot="1">
      <c r="B33" s="158" t="str">
        <f>B92</f>
        <v>Tax performance - at notional gearing</v>
      </c>
      <c r="C33" s="157" t="s">
        <v>518</v>
      </c>
      <c r="D33" s="325">
        <f>IFERROR(Tax_performance___at_notional_gearing/NPV_neutral_equity_element_of_RAV,0)</f>
        <v>1.8670196628377125E-2</v>
      </c>
      <c r="E33" s="325">
        <f>IFERROR(Tax_performance___at_notional_gearing/NPV_neutral_equity_element_of_RAV,0)</f>
        <v>1.5383212968163197E-2</v>
      </c>
      <c r="F33" s="325">
        <f>IFERROR(Tax_performance___at_notional_gearing/NPV_neutral_equity_element_of_RAV,0)</f>
        <v>3.4980004701169673E-3</v>
      </c>
      <c r="G33" s="325">
        <f>IFERROR(Tax_performance___at_notional_gearing/NPV_neutral_equity_element_of_RAV,0)</f>
        <v>3.1898430786207084E-3</v>
      </c>
      <c r="H33" s="325">
        <f>IFERROR(Tax_performance___at_notional_gearing/NPV_neutral_equity_element_of_RAV,0)</f>
        <v>2.843474038464462E-3</v>
      </c>
      <c r="I33" s="323"/>
      <c r="J33" s="33">
        <f>IFERROR(AVERAGE(D92:INDEX(D92:H92,0,MATCH('RFPR cover'!$C$9,$D$6:$H$6,0)))/AVERAGE($D$96:INDEX($D$96:$H$96,0,MATCH('RFPR cover'!$C$9,$D$6:$H$6,0))),0)</f>
        <v>1.6992566251500665E-2</v>
      </c>
      <c r="K33" s="33">
        <f>IFERROR(AVERAGE(D92:H92)/AVERAGE($D$96:$H$96),0)</f>
        <v>8.194076937942614E-3</v>
      </c>
    </row>
    <row r="34" spans="1:13" ht="14" thickBot="1">
      <c r="B34" s="159" t="str">
        <f>B94</f>
        <v>RoRE - including financing and tax</v>
      </c>
      <c r="C34" s="58" t="s">
        <v>518</v>
      </c>
      <c r="D34" s="146">
        <f>SUM(D31:D33)</f>
        <v>0.12248151000444346</v>
      </c>
      <c r="E34" s="147">
        <f t="shared" ref="E34:H34" si="12">SUM(E31:E33)</f>
        <v>7.382890683337183E-2</v>
      </c>
      <c r="F34" s="147">
        <f t="shared" si="12"/>
        <v>5.8123034261618065E-2</v>
      </c>
      <c r="G34" s="147">
        <f t="shared" si="12"/>
        <v>6.6866162868646009E-2</v>
      </c>
      <c r="H34" s="148">
        <f t="shared" si="12"/>
        <v>6.2130881683876295E-2</v>
      </c>
      <c r="I34" s="326"/>
      <c r="J34" s="150">
        <f>SUM(J31:J33)</f>
        <v>9.7649903452254661E-2</v>
      </c>
      <c r="K34" s="148">
        <f>SUM(K31:K33)</f>
        <v>7.5268943783590614E-2</v>
      </c>
    </row>
    <row r="38" spans="1:13">
      <c r="B38" s="320" t="s">
        <v>535</v>
      </c>
      <c r="C38" s="38"/>
      <c r="D38" s="38"/>
      <c r="E38" s="38"/>
      <c r="F38" s="38"/>
      <c r="G38" s="38"/>
      <c r="H38" s="38"/>
      <c r="I38" s="321"/>
      <c r="J38" s="38"/>
      <c r="K38" s="38"/>
      <c r="L38" s="38"/>
    </row>
    <row r="39" spans="1:13">
      <c r="B39" s="322"/>
      <c r="I39" s="10"/>
    </row>
    <row r="40" spans="1:13">
      <c r="B40" s="158" t="s">
        <v>517</v>
      </c>
      <c r="C40" s="157" t="s">
        <v>518</v>
      </c>
      <c r="D40" s="60">
        <f>IFERROR(Equity_Return_on_the_RAV/Equity_RAV_based_on_actual_gearing,0)</f>
        <v>4.4042454303290415E-2</v>
      </c>
      <c r="E40" s="60">
        <f>IFERROR(Equity_Return_on_the_RAV/Equity_RAV_based_on_actual_gearing,0)</f>
        <v>4.5905390266911504E-2</v>
      </c>
      <c r="F40" s="60">
        <f>IFERROR(Equity_Return_on_the_RAV/Equity_RAV_based_on_actual_gearing,0)</f>
        <v>4.3675965478985411E-2</v>
      </c>
      <c r="G40" s="60">
        <f>IFERROR(Equity_Return_on_the_RAV/Equity_RAV_based_on_actual_gearing,0)</f>
        <v>4.568323506958772E-2</v>
      </c>
      <c r="H40" s="60">
        <f>IFERROR(Equity_Return_on_the_RAV/Equity_RAV_based_on_actual_gearing,0)</f>
        <v>4.8034863419837107E-2</v>
      </c>
      <c r="I40" s="323"/>
      <c r="J40" s="30">
        <f>IFERROR(AVERAGE(D69:INDEX(D69:H69,0,MATCH('RFPR cover'!$C$9,$D$6:$H$6,0)))/AVERAGE($D$97:INDEX($D$97:$H$97,0,MATCH('RFPR cover'!$C$9,$D$6:$H$6,0))),0)</f>
        <v>4.5000039750707287E-2</v>
      </c>
      <c r="K40" s="61">
        <f t="shared" ref="K40:K48" si="13">IFERROR(AVERAGE(D69:H69)/AVERAGE($D$97:$H$97),0)</f>
        <v>4.5535829740174782E-2</v>
      </c>
      <c r="M40" s="328"/>
    </row>
    <row r="41" spans="1:13">
      <c r="B41" s="158" t="str">
        <f t="shared" ref="B41:B50" si="14">B70</f>
        <v>Totex outperformance</v>
      </c>
      <c r="C41" s="157" t="s">
        <v>518</v>
      </c>
      <c r="D41" s="60">
        <f>IFERROR(Totex_outperformance/Equity_RAV_based_on_actual_gearing,0)</f>
        <v>-4.8110480644832803E-4</v>
      </c>
      <c r="E41" s="60">
        <f>IFERROR(Totex_outperformance/Equity_RAV_based_on_actual_gearing,0)</f>
        <v>-6.2336867266682538E-3</v>
      </c>
      <c r="F41" s="60">
        <f>IFERROR(Totex_outperformance/Equity_RAV_based_on_actual_gearing,0)</f>
        <v>-6.7516311759954969E-3</v>
      </c>
      <c r="G41" s="60">
        <f>IFERROR(Totex_outperformance/Equity_RAV_based_on_actual_gearing,0)</f>
        <v>4.0638516139687988E-3</v>
      </c>
      <c r="H41" s="60">
        <f>IFERROR(Totex_outperformance/Equity_RAV_based_on_actual_gearing,0)</f>
        <v>5.1734633581974818E-3</v>
      </c>
      <c r="I41" s="323"/>
      <c r="J41" s="30">
        <f>IFERROR(AVERAGE(D70:INDEX(D70:H70,0,MATCH('RFPR cover'!$C$9,$D$6:$H$6,0)))/AVERAGE($D$97:INDEX($D$97:$H$97,0,MATCH('RFPR cover'!$C$9,$D$6:$H$6,0))),0)</f>
        <v>-3.4380441964468075E-3</v>
      </c>
      <c r="K41" s="61">
        <f t="shared" si="13"/>
        <v>-6.4961226517615993E-4</v>
      </c>
    </row>
    <row r="42" spans="1:13">
      <c r="A42" s="324" t="s">
        <v>519</v>
      </c>
      <c r="B42" s="158" t="str">
        <f t="shared" si="14"/>
        <v>Business Plan Incentive</v>
      </c>
      <c r="C42" s="157" t="s">
        <v>518</v>
      </c>
      <c r="D42" s="60">
        <f>IFERROR(Business_Plan_Incentive/Equity_RAV_based_on_actual_gearing,0)</f>
        <v>0</v>
      </c>
      <c r="E42" s="60">
        <f>IFERROR(Business_Plan_Incentive/Equity_RAV_based_on_actual_gearing,0)</f>
        <v>0</v>
      </c>
      <c r="F42" s="60">
        <f>IFERROR(Business_Plan_Incentive/Equity_RAV_based_on_actual_gearing,0)</f>
        <v>0</v>
      </c>
      <c r="G42" s="60">
        <f>IFERROR(Business_Plan_Incentive/Equity_RAV_based_on_actual_gearing,0)</f>
        <v>0</v>
      </c>
      <c r="H42" s="60">
        <f>IFERROR(Business_Plan_Incentive/Equity_RAV_based_on_actual_gearing,0)</f>
        <v>0</v>
      </c>
      <c r="I42" s="323"/>
      <c r="J42" s="30">
        <f>IFERROR(AVERAGE(D71:INDEX(D71:H71,0,MATCH('RFPR cover'!$C$9,$D$6:$H$6,0)))/AVERAGE($D$97:INDEX($D$97:$H$97,0,MATCH('RFPR cover'!$C$9,$D$6:$H$6,0))),0)</f>
        <v>0</v>
      </c>
      <c r="K42" s="61">
        <f t="shared" si="13"/>
        <v>0</v>
      </c>
    </row>
    <row r="43" spans="1:13">
      <c r="A43" s="324" t="s">
        <v>520</v>
      </c>
      <c r="B43" s="158" t="str">
        <f t="shared" si="14"/>
        <v>Time to connect ODI</v>
      </c>
      <c r="C43" s="157" t="s">
        <v>518</v>
      </c>
      <c r="D43" s="60">
        <f>IFERROR(ODI_1/Equity_RAV_based_on_actual_gearing,0)</f>
        <v>9.1284176234182092E-4</v>
      </c>
      <c r="E43" s="60">
        <f>IFERROR(ODI_1/Equity_RAV_based_on_actual_gearing,0)</f>
        <v>9.9770940479979573E-4</v>
      </c>
      <c r="F43" s="60">
        <f>IFERROR(ODI_1/Equity_RAV_based_on_actual_gearing,0)</f>
        <v>1.0128851182868721E-3</v>
      </c>
      <c r="G43" s="60">
        <f>IFERROR(ODI_1/Equity_RAV_based_on_actual_gearing,0)</f>
        <v>1.068761906715429E-3</v>
      </c>
      <c r="H43" s="60">
        <f>IFERROR(ODI_1/Equity_RAV_based_on_actual_gearing,0)</f>
        <v>1.0377864421062864E-3</v>
      </c>
      <c r="I43" s="323"/>
      <c r="J43" s="30">
        <f>IFERROR(AVERAGE(D72:INDEX(D72:H72,0,MATCH('RFPR cover'!$C$9,$D$6:$H$6,0)))/AVERAGE($D$97:INDEX($D$97:$H$97,0,MATCH('RFPR cover'!$C$9,$D$6:$H$6,0))),0)</f>
        <v>9.5646538707252256E-4</v>
      </c>
      <c r="K43" s="61">
        <f t="shared" si="13"/>
        <v>1.0094798723723284E-3</v>
      </c>
    </row>
    <row r="44" spans="1:13">
      <c r="A44" s="324" t="s">
        <v>521</v>
      </c>
      <c r="B44" s="158" t="str">
        <f t="shared" si="14"/>
        <v>Broad Measure of Customer Service ODI</v>
      </c>
      <c r="C44" s="157" t="s">
        <v>518</v>
      </c>
      <c r="D44" s="60">
        <f>IFERROR(ODI_2/Equity_RAV_based_on_actual_gearing,0)</f>
        <v>1.2079043573580569E-3</v>
      </c>
      <c r="E44" s="60">
        <f>IFERROR(ODI_2/Equity_RAV_based_on_actual_gearing,0)</f>
        <v>1.8440101092045949E-3</v>
      </c>
      <c r="F44" s="60">
        <f>IFERROR(ODI_2/Equity_RAV_based_on_actual_gearing,0)</f>
        <v>2.1267185758698632E-3</v>
      </c>
      <c r="G44" s="60">
        <f>IFERROR(ODI_2/Equity_RAV_based_on_actual_gearing,0)</f>
        <v>2.2713086333494997E-3</v>
      </c>
      <c r="H44" s="60">
        <f>IFERROR(ODI_2/Equity_RAV_based_on_actual_gearing,0)</f>
        <v>2.3088517232189502E-3</v>
      </c>
      <c r="I44" s="323"/>
      <c r="J44" s="30">
        <f>IFERROR(AVERAGE(D73:INDEX(D73:H73,0,MATCH('RFPR cover'!$C$9,$D$6:$H$6,0)))/AVERAGE($D$97:INDEX($D$97:$H$97,0,MATCH('RFPR cover'!$C$9,$D$6:$H$6,0))),0)</f>
        <v>1.534875129773883E-3</v>
      </c>
      <c r="K44" s="61">
        <f t="shared" si="13"/>
        <v>1.9802988076548208E-3</v>
      </c>
    </row>
    <row r="45" spans="1:13">
      <c r="A45" s="324" t="s">
        <v>522</v>
      </c>
      <c r="B45" s="158" t="str">
        <f t="shared" si="14"/>
        <v>Interruptions incentive scheme ODI</v>
      </c>
      <c r="C45" s="157" t="s">
        <v>518</v>
      </c>
      <c r="D45" s="60">
        <f>IFERROR(ODI_3/Equity_RAV_based_on_actual_gearing,0)</f>
        <v>9.1074722306551652E-4</v>
      </c>
      <c r="E45" s="60">
        <f>IFERROR(ODI_3/Equity_RAV_based_on_actual_gearing,0)</f>
        <v>4.2546119001120753E-4</v>
      </c>
      <c r="F45" s="60">
        <f>IFERROR(ODI_3/Equity_RAV_based_on_actual_gearing,0)</f>
        <v>1.856717146488824E-3</v>
      </c>
      <c r="G45" s="60">
        <f>IFERROR(ODI_3/Equity_RAV_based_on_actual_gearing,0)</f>
        <v>2.2127776643491169E-3</v>
      </c>
      <c r="H45" s="60">
        <f>IFERROR(ODI_3/Equity_RAV_based_on_actual_gearing,0)</f>
        <v>2.7406369805482054E-3</v>
      </c>
      <c r="I45" s="323"/>
      <c r="J45" s="30">
        <f>IFERROR(AVERAGE(D74:INDEX(D74:H74,0,MATCH('RFPR cover'!$C$9,$D$6:$H$6,0)))/AVERAGE($D$97:INDEX($D$97:$H$97,0,MATCH('RFPR cover'!$C$9,$D$6:$H$6,0))),0)</f>
        <v>6.6130072991596217E-4</v>
      </c>
      <c r="K45" s="61">
        <f t="shared" si="13"/>
        <v>1.6870116757522894E-3</v>
      </c>
    </row>
    <row r="46" spans="1:13">
      <c r="A46" s="324" t="s">
        <v>523</v>
      </c>
      <c r="B46" s="158" t="str">
        <f t="shared" si="14"/>
        <v>Major connections ODI</v>
      </c>
      <c r="C46" s="157" t="s">
        <v>518</v>
      </c>
      <c r="D46" s="60">
        <f>IFERROR(ODI_4/Equity_RAV_based_on_actual_gearing,0)</f>
        <v>0</v>
      </c>
      <c r="E46" s="60">
        <f>IFERROR(ODI_4/Equity_RAV_based_on_actual_gearing,0)</f>
        <v>0</v>
      </c>
      <c r="F46" s="60">
        <f>IFERROR(ODI_4/Equity_RAV_based_on_actual_gearing,0)</f>
        <v>0</v>
      </c>
      <c r="G46" s="60">
        <f>IFERROR(ODI_4/Equity_RAV_based_on_actual_gearing,0)</f>
        <v>0</v>
      </c>
      <c r="H46" s="60">
        <f>IFERROR(ODI_4/Equity_RAV_based_on_actual_gearing,0)</f>
        <v>0</v>
      </c>
      <c r="I46" s="323"/>
      <c r="J46" s="30">
        <f>IFERROR(AVERAGE(D75:INDEX(D75:H75,0,MATCH('RFPR cover'!$C$9,$D$6:$H$6,0)))/AVERAGE($D$97:INDEX($D$97:$H$97,0,MATCH('RFPR cover'!$C$9,$D$6:$H$6,0))),0)</f>
        <v>0</v>
      </c>
      <c r="K46" s="61">
        <f t="shared" si="13"/>
        <v>0</v>
      </c>
    </row>
    <row r="47" spans="1:13">
      <c r="A47" s="324" t="s">
        <v>524</v>
      </c>
      <c r="B47" s="158" t="str">
        <f t="shared" si="14"/>
        <v>Consumer Vulnerability ODI</v>
      </c>
      <c r="C47" s="157" t="s">
        <v>518</v>
      </c>
      <c r="D47" s="60">
        <f>IFERROR(ODI_5/Equity_RAV_based_on_actual_gearing,0)</f>
        <v>0</v>
      </c>
      <c r="E47" s="60">
        <f>IFERROR(ODI_5/Equity_RAV_based_on_actual_gearing,0)</f>
        <v>3.1037814567682499E-3</v>
      </c>
      <c r="F47" s="60">
        <f>IFERROR(ODI_5/Equity_RAV_based_on_actual_gearing,0)</f>
        <v>0</v>
      </c>
      <c r="G47" s="60">
        <f>IFERROR(ODI_5/Equity_RAV_based_on_actual_gearing,0)</f>
        <v>0</v>
      </c>
      <c r="H47" s="60">
        <f>IFERROR(ODI_5/Equity_RAV_based_on_actual_gearing,0)</f>
        <v>2.5701503412455819E-3</v>
      </c>
      <c r="I47" s="323"/>
      <c r="J47" s="30">
        <f>IFERROR(AVERAGE(D76:INDEX(D76:H76,0,MATCH('RFPR cover'!$C$9,$D$6:$H$6,0)))/AVERAGE($D$97:INDEX($D$97:$H$97,0,MATCH('RFPR cover'!$C$9,$D$6:$H$6,0))),0)</f>
        <v>1.5954042506037061E-3</v>
      </c>
      <c r="K47" s="61">
        <f t="shared" si="13"/>
        <v>1.1444525849134543E-3</v>
      </c>
    </row>
    <row r="48" spans="1:13">
      <c r="A48" s="324" t="s">
        <v>525</v>
      </c>
      <c r="B48" s="158" t="str">
        <f t="shared" si="14"/>
        <v>Distribution System Operator ODI</v>
      </c>
      <c r="C48" s="157" t="s">
        <v>518</v>
      </c>
      <c r="D48" s="60">
        <f>IFERROR(ODI_6/Equity_RAV_based_on_actual_gearing,0)</f>
        <v>1.950973925977468E-4</v>
      </c>
      <c r="E48" s="60">
        <f>IFERROR(ODI_6/Equity_RAV_based_on_actual_gearing,0)</f>
        <v>2.1248282101495992E-3</v>
      </c>
      <c r="F48" s="60">
        <f>IFERROR(ODI_6/Equity_RAV_based_on_actual_gearing,0)</f>
        <v>1.4392759121747837E-3</v>
      </c>
      <c r="G48" s="60">
        <f>IFERROR(ODI_6/Equity_RAV_based_on_actual_gearing,0)</f>
        <v>1.5766923146232409E-3</v>
      </c>
      <c r="H48" s="60">
        <f>IFERROR(ODI_6/Equity_RAV_based_on_actual_gearing,0)</f>
        <v>1.8850339319475521E-3</v>
      </c>
      <c r="I48" s="323"/>
      <c r="J48" s="30">
        <f>IFERROR(AVERAGE(D77:INDEX(D77:H77,0,MATCH('RFPR cover'!$C$9,$D$6:$H$6,0)))/AVERAGE($D$97:INDEX($D$97:$H$97,0,MATCH('RFPR cover'!$C$9,$D$6:$H$6,0))),0)</f>
        <v>1.1870166986847242E-3</v>
      </c>
      <c r="K48" s="61">
        <f t="shared" si="13"/>
        <v>1.4731533910819475E-3</v>
      </c>
    </row>
    <row r="49" spans="1:11">
      <c r="A49" s="324" t="s">
        <v>526</v>
      </c>
      <c r="B49" s="158" t="str">
        <f t="shared" si="14"/>
        <v>Dig, Fix and Go ODI (ENWL only)</v>
      </c>
      <c r="C49" s="157" t="s">
        <v>518</v>
      </c>
      <c r="D49" s="60">
        <f>IFERROR(ODI_7/Equity_RAV_based_on_actual_gearing,0)</f>
        <v>4.1185507037329549E-4</v>
      </c>
      <c r="E49" s="60">
        <f>IFERROR(ODI_7/Equity_RAV_based_on_actual_gearing,0)</f>
        <v>7.0885629847950685E-4</v>
      </c>
      <c r="F49" s="60">
        <f>IFERROR(ODI_7/Equity_RAV_based_on_actual_gearing,0)</f>
        <v>6.2744234605484339E-4</v>
      </c>
      <c r="G49" s="60">
        <f>IFERROR(ODI_7/Equity_RAV_based_on_actual_gearing,0)</f>
        <v>6.9171359204533783E-4</v>
      </c>
      <c r="H49" s="60">
        <f>IFERROR(ODI_7/Equity_RAV_based_on_actual_gearing,0)</f>
        <v>6.8537342433215521E-4</v>
      </c>
      <c r="I49" s="323"/>
      <c r="J49" s="30">
        <f>IFERROR(AVERAGE(D78:INDEX(D78:H78,0,MATCH('RFPR cover'!$C$9,$D$6:$H$6,0)))/AVERAGE($D$97:INDEX($D$97:$H$97,0,MATCH('RFPR cover'!$C$9,$D$6:$H$6,0))),0)</f>
        <v>5.6451949870213274E-4</v>
      </c>
      <c r="K49" s="61">
        <f t="shared" ref="K49:K50" si="15">IFERROR(AVERAGE(D78:H78)/AVERAGE($D$97:$H$97),0)</f>
        <v>6.3063230259661357E-4</v>
      </c>
    </row>
    <row r="50" spans="1:11">
      <c r="A50" s="324" t="s">
        <v>527</v>
      </c>
      <c r="B50" s="158" t="str">
        <f t="shared" si="14"/>
        <v>Collaborative Streetworks ODI (EPN, LPN and SPN only)</v>
      </c>
      <c r="C50" s="157" t="s">
        <v>518</v>
      </c>
      <c r="D50" s="60">
        <f>IFERROR(ODI_8/Equity_RAV_based_on_actual_gearing,0)</f>
        <v>0</v>
      </c>
      <c r="E50" s="60">
        <f>IFERROR(ODI_8/Equity_RAV_based_on_actual_gearing,0)</f>
        <v>0</v>
      </c>
      <c r="F50" s="60">
        <f>IFERROR(ODI_8/Equity_RAV_based_on_actual_gearing,0)</f>
        <v>0</v>
      </c>
      <c r="G50" s="60">
        <f>IFERROR(ODI_8/Equity_RAV_based_on_actual_gearing,0)</f>
        <v>0</v>
      </c>
      <c r="H50" s="60">
        <f>IFERROR(ODI_8/Equity_RAV_based_on_actual_gearing,0)</f>
        <v>0</v>
      </c>
      <c r="I50" s="323"/>
      <c r="J50" s="30">
        <f>IFERROR(AVERAGE(D79:INDEX(D79:H79,0,MATCH('RFPR cover'!$C$9,$D$6:$H$6,0)))/AVERAGE($D$97:INDEX($D$97:$H$97,0,MATCH('RFPR cover'!$C$9,$D$6:$H$6,0))),0)</f>
        <v>0</v>
      </c>
      <c r="K50" s="61">
        <f t="shared" si="15"/>
        <v>0</v>
      </c>
    </row>
    <row r="51" spans="1:11">
      <c r="A51" s="324" t="s">
        <v>527</v>
      </c>
      <c r="B51" s="158" t="str">
        <f t="shared" ref="B51" si="16">B80</f>
        <v>Network innovation input for RORE</v>
      </c>
      <c r="C51" s="157" t="s">
        <v>518</v>
      </c>
      <c r="D51" s="60">
        <f>IFERROR(ORA_1/Equity_RAV_based_on_actual_gearing,0)</f>
        <v>0</v>
      </c>
      <c r="E51" s="60">
        <f>IFERROR(ORA_1/Equity_RAV_based_on_actual_gearing,0)</f>
        <v>-1.3802320247007962E-5</v>
      </c>
      <c r="F51" s="60">
        <f>IFERROR(ORA_1/Equity_RAV_based_on_actual_gearing,0)</f>
        <v>-2.1338527599795191E-4</v>
      </c>
      <c r="G51" s="60">
        <f>IFERROR(ORA_1/Equity_RAV_based_on_actual_gearing,0)</f>
        <v>-2.0583773089818527E-4</v>
      </c>
      <c r="H51" s="60">
        <f>IFERROR(ORA_1/Equity_RAV_based_on_actual_gearing,0)</f>
        <v>-1.9987202487086462E-4</v>
      </c>
      <c r="I51" s="323"/>
      <c r="J51" s="30">
        <f>IFERROR(AVERAGE(D80:INDEX(D80:H80,0,MATCH('RFPR cover'!$C$9,$D$6:$H$6,0)))/AVERAGE($D$97:INDEX($D$97:$H$97,0,MATCH('RFPR cover'!$C$9,$D$6:$H$6,0))),0)</f>
        <v>-7.0946620105135468E-6</v>
      </c>
      <c r="K51" s="61">
        <f>IFERROR(AVERAGE(D80:H80)/AVERAGE($D$97:$H$97),0)</f>
        <v>-1.3330136948783565E-4</v>
      </c>
    </row>
    <row r="52" spans="1:11">
      <c r="A52" s="324" t="s">
        <v>528</v>
      </c>
      <c r="B52" s="158" t="str">
        <f t="shared" ref="B52" si="17">B81</f>
        <v>Carry-over Network innovation input for RORE</v>
      </c>
      <c r="C52" s="157" t="s">
        <v>518</v>
      </c>
      <c r="D52" s="60">
        <f>IFERROR(ORA_2/Equity_RAV_based_on_actual_gearing,0)</f>
        <v>-6.2119123769888577E-5</v>
      </c>
      <c r="E52" s="60">
        <f>IFERROR(ORA_2/Equity_RAV_based_on_actual_gearing,0)</f>
        <v>0</v>
      </c>
      <c r="F52" s="60">
        <f>IFERROR(ORA_2/Equity_RAV_based_on_actual_gearing,0)</f>
        <v>0</v>
      </c>
      <c r="G52" s="60">
        <f>IFERROR(ORA_2/Equity_RAV_based_on_actual_gearing,0)</f>
        <v>0</v>
      </c>
      <c r="H52" s="60">
        <f>IFERROR(ORA_2/Equity_RAV_based_on_actual_gearing,0)</f>
        <v>0</v>
      </c>
      <c r="I52" s="323"/>
      <c r="J52" s="30">
        <f>IFERROR(AVERAGE(D81:INDEX(D81:H81,0,MATCH('RFPR cover'!$C$9,$D$6:$H$6,0)))/AVERAGE($D$97:INDEX($D$97:$H$97,0,MATCH('RFPR cover'!$C$9,$D$6:$H$6,0))),0)</f>
        <v>-3.0188681666709973E-5</v>
      </c>
      <c r="K52" s="61">
        <f>IFERROR(AVERAGE(D81:H81)/AVERAGE($D$97:$H$97),0)</f>
        <v>-1.1054680419258537E-5</v>
      </c>
    </row>
    <row r="53" spans="1:11">
      <c r="A53" s="324" t="s">
        <v>529</v>
      </c>
      <c r="B53" s="235" t="str">
        <f>B82</f>
        <v>Strategic innovation input for RORE</v>
      </c>
      <c r="C53" s="157" t="s">
        <v>518</v>
      </c>
      <c r="D53" s="60">
        <f>IFERROR(ORA_3/Equity_RAV_based_on_actual_gearing,0)</f>
        <v>-2.6950283869070249E-5</v>
      </c>
      <c r="E53" s="60">
        <f>IFERROR(ORA_3/Equity_RAV_based_on_actual_gearing,0)</f>
        <v>-3.5721694980779745E-5</v>
      </c>
      <c r="F53" s="60">
        <f>IFERROR(ORA_3/Equity_RAV_based_on_actual_gearing,0)</f>
        <v>0</v>
      </c>
      <c r="G53" s="60">
        <f>IFERROR(ORA_3/Equity_RAV_based_on_actual_gearing,0)</f>
        <v>0</v>
      </c>
      <c r="H53" s="60">
        <f>IFERROR(ORA_3/Equity_RAV_based_on_actual_gearing,0)</f>
        <v>0</v>
      </c>
      <c r="I53" s="323"/>
      <c r="J53" s="30">
        <f>IFERROR(AVERAGE(D82:INDEX(D82:H82,0,MATCH('RFPR cover'!$C$9,$D$6:$H$6,0)))/AVERAGE($D$97:INDEX($D$97:$H$97,0,MATCH('RFPR cover'!$C$9,$D$6:$H$6,0))),0)</f>
        <v>-3.1458960387160161E-5</v>
      </c>
      <c r="K53" s="61">
        <f>IFERROR(AVERAGE(D82:H82)/AVERAGE($D$97:$H$97),0)</f>
        <v>-1.1519839032443248E-5</v>
      </c>
    </row>
    <row r="54" spans="1:11">
      <c r="A54" s="324" t="s">
        <v>530</v>
      </c>
      <c r="B54" s="158" t="str">
        <f t="shared" ref="B54:B58" si="18">B83</f>
        <v/>
      </c>
      <c r="C54" s="157" t="s">
        <v>518</v>
      </c>
      <c r="D54" s="60">
        <f>IFERROR(ORA_4/Equity_RAV_based_on_actual_gearing,0)</f>
        <v>0</v>
      </c>
      <c r="E54" s="60">
        <f>IFERROR(ORA_4/Equity_RAV_based_on_actual_gearing,0)</f>
        <v>0</v>
      </c>
      <c r="F54" s="60">
        <f>IFERROR(ORA_4/Equity_RAV_based_on_actual_gearing,0)</f>
        <v>0</v>
      </c>
      <c r="G54" s="60">
        <f>IFERROR(ORA_4/Equity_RAV_based_on_actual_gearing,0)</f>
        <v>0</v>
      </c>
      <c r="H54" s="60">
        <f>IFERROR(ORA_4/Equity_RAV_based_on_actual_gearing,0)</f>
        <v>0</v>
      </c>
      <c r="I54" s="323"/>
      <c r="J54" s="30">
        <f>IFERROR(AVERAGE(D83:INDEX(D83:H83,0,MATCH('RFPR cover'!$C$9,$D$6:$H$6,0)))/AVERAGE($D$97:INDEX($D$97:$H$97,0,MATCH('RFPR cover'!$C$9,$D$6:$H$6,0))),0)</f>
        <v>0</v>
      </c>
      <c r="K54" s="61">
        <f t="shared" ref="K54:K59" si="19">IFERROR(AVERAGE(D83:H83)/AVERAGE($D$97:$H$97),0)</f>
        <v>0</v>
      </c>
    </row>
    <row r="55" spans="1:11">
      <c r="A55" s="324" t="s">
        <v>531</v>
      </c>
      <c r="B55" s="158" t="str">
        <f t="shared" si="18"/>
        <v/>
      </c>
      <c r="C55" s="157" t="s">
        <v>518</v>
      </c>
      <c r="D55" s="60">
        <f>IFERROR(ORA_5/Equity_RAV_based_on_actual_gearing,0)</f>
        <v>0</v>
      </c>
      <c r="E55" s="60">
        <f>IFERROR(ORA_5/Equity_RAV_based_on_actual_gearing,0)</f>
        <v>0</v>
      </c>
      <c r="F55" s="60">
        <f>IFERROR(ORA_5/Equity_RAV_based_on_actual_gearing,0)</f>
        <v>0</v>
      </c>
      <c r="G55" s="60">
        <f>IFERROR(ORA_5/Equity_RAV_based_on_actual_gearing,0)</f>
        <v>0</v>
      </c>
      <c r="H55" s="60">
        <f>IFERROR(ORA_5/Equity_RAV_based_on_actual_gearing,0)</f>
        <v>0</v>
      </c>
      <c r="I55" s="323"/>
      <c r="J55" s="30">
        <f>IFERROR(AVERAGE(D84:INDEX(D84:H84,0,MATCH('RFPR cover'!$C$9,$D$6:$H$6,0)))/AVERAGE($D$97:INDEX($D$97:$H$97,0,MATCH('RFPR cover'!$C$9,$D$6:$H$6,0))),0)</f>
        <v>0</v>
      </c>
      <c r="K55" s="61">
        <f t="shared" si="19"/>
        <v>0</v>
      </c>
    </row>
    <row r="56" spans="1:11">
      <c r="A56" s="324" t="s">
        <v>532</v>
      </c>
      <c r="B56" s="158" t="str">
        <f t="shared" si="18"/>
        <v/>
      </c>
      <c r="C56" s="157" t="s">
        <v>518</v>
      </c>
      <c r="D56" s="60">
        <f>IFERROR(ORA_6/Equity_RAV_based_on_actual_gearing,0)</f>
        <v>0</v>
      </c>
      <c r="E56" s="60">
        <f>IFERROR(ORA_6/Equity_RAV_based_on_actual_gearing,0)</f>
        <v>0</v>
      </c>
      <c r="F56" s="60">
        <f>IFERROR(ORA_6/Equity_RAV_based_on_actual_gearing,0)</f>
        <v>0</v>
      </c>
      <c r="G56" s="60">
        <f>IFERROR(ORA_6/Equity_RAV_based_on_actual_gearing,0)</f>
        <v>0</v>
      </c>
      <c r="H56" s="60">
        <f>IFERROR(ORA_6/Equity_RAV_based_on_actual_gearing,0)</f>
        <v>0</v>
      </c>
      <c r="I56" s="323"/>
      <c r="J56" s="30">
        <f>IFERROR(AVERAGE(D85:INDEX(D85:H85,0,MATCH('RFPR cover'!$C$9,$D$6:$H$6,0)))/AVERAGE($D$97:INDEX($D$97:$H$97,0,MATCH('RFPR cover'!$C$9,$D$6:$H$6,0))),0)</f>
        <v>0</v>
      </c>
      <c r="K56" s="61">
        <f t="shared" si="19"/>
        <v>0</v>
      </c>
    </row>
    <row r="57" spans="1:11">
      <c r="A57" s="324" t="s">
        <v>533</v>
      </c>
      <c r="B57" s="158" t="str">
        <f t="shared" si="18"/>
        <v/>
      </c>
      <c r="C57" s="157" t="s">
        <v>518</v>
      </c>
      <c r="D57" s="60">
        <f>IFERROR(ORA_7/Equity_RAV_based_on_actual_gearing,0)</f>
        <v>0</v>
      </c>
      <c r="E57" s="60">
        <f>IFERROR(ORA_7/Equity_RAV_based_on_actual_gearing,0)</f>
        <v>0</v>
      </c>
      <c r="F57" s="60">
        <f>IFERROR(ORA_7/Equity_RAV_based_on_actual_gearing,0)</f>
        <v>0</v>
      </c>
      <c r="G57" s="60">
        <f>IFERROR(ORA_7/Equity_RAV_based_on_actual_gearing,0)</f>
        <v>0</v>
      </c>
      <c r="H57" s="60">
        <f>IFERROR(ORA_7/Equity_RAV_based_on_actual_gearing,0)</f>
        <v>0</v>
      </c>
      <c r="I57" s="323"/>
      <c r="J57" s="30">
        <f>IFERROR(AVERAGE(D86:INDEX(D86:H86,0,MATCH('RFPR cover'!$C$9,$D$6:$H$6,0)))/AVERAGE($D$97:INDEX($D$97:$H$97,0,MATCH('RFPR cover'!$C$9,$D$6:$H$6,0))),0)</f>
        <v>0</v>
      </c>
      <c r="K57" s="61">
        <f t="shared" si="19"/>
        <v>0</v>
      </c>
    </row>
    <row r="58" spans="1:11">
      <c r="A58" s="324" t="s">
        <v>534</v>
      </c>
      <c r="B58" s="158" t="str">
        <f t="shared" si="18"/>
        <v/>
      </c>
      <c r="C58" s="157" t="s">
        <v>518</v>
      </c>
      <c r="D58" s="60">
        <f>IFERROR(ORA_8/Equity_RAV_based_on_actual_gearing,0)</f>
        <v>0</v>
      </c>
      <c r="E58" s="60">
        <f>IFERROR(ORA_8/Equity_RAV_based_on_actual_gearing,0)</f>
        <v>0</v>
      </c>
      <c r="F58" s="60">
        <f>IFERROR(ORA_8/Equity_RAV_based_on_actual_gearing,0)</f>
        <v>0</v>
      </c>
      <c r="G58" s="60">
        <f>IFERROR(ORA_8/Equity_RAV_based_on_actual_gearing,0)</f>
        <v>0</v>
      </c>
      <c r="H58" s="60">
        <f>IFERROR(ORA_8/Equity_RAV_based_on_actual_gearing,0)</f>
        <v>0</v>
      </c>
      <c r="I58" s="323"/>
      <c r="J58" s="30">
        <f>IFERROR(AVERAGE(D87:INDEX(D87:H87,0,MATCH('RFPR cover'!$C$9,$D$6:$H$6,0)))/AVERAGE($D$97:INDEX($D$97:$H$97,0,MATCH('RFPR cover'!$C$9,$D$6:$H$6,0))),0)</f>
        <v>0</v>
      </c>
      <c r="K58" s="61">
        <f t="shared" si="19"/>
        <v>0</v>
      </c>
    </row>
    <row r="59" spans="1:11" ht="14" thickBot="1">
      <c r="B59" s="158" t="str">
        <f t="shared" ref="B59:B60" si="20">B88</f>
        <v>Penalties and fines (Other Activities)</v>
      </c>
      <c r="C59" s="157" t="s">
        <v>518</v>
      </c>
      <c r="D59" s="325">
        <f>IFERROR(Penalties_and_fines/Equity_RAV_based_on_actual_gearing,0)</f>
        <v>-4.0979819133550675E-4</v>
      </c>
      <c r="E59" s="325">
        <f>IFERROR(Penalties_and_fines/Equity_RAV_based_on_actual_gearing,0)</f>
        <v>-6.4576354193775752E-4</v>
      </c>
      <c r="F59" s="325">
        <f>IFERROR(Penalties_and_fines/Equity_RAV_based_on_actual_gearing,0)</f>
        <v>0</v>
      </c>
      <c r="G59" s="325">
        <f>IFERROR(Penalties_and_fines/Equity_RAV_based_on_actual_gearing,0)</f>
        <v>0</v>
      </c>
      <c r="H59" s="325">
        <f>IFERROR(Penalties_and_fines/Equity_RAV_based_on_actual_gearing,0)</f>
        <v>0</v>
      </c>
      <c r="I59" s="323"/>
      <c r="J59" s="30">
        <f>IFERROR(AVERAGE(D88:INDEX(D88:H88,0,MATCH('RFPR cover'!$C$9,$D$6:$H$6,0)))/AVERAGE($D$97:INDEX($D$97:$H$97,0,MATCH('RFPR cover'!$C$9,$D$6:$H$6,0))),0)</f>
        <v>-5.3108898728542711E-4</v>
      </c>
      <c r="K59" s="61">
        <f t="shared" si="19"/>
        <v>-1.944774897243101E-4</v>
      </c>
    </row>
    <row r="60" spans="1:11" ht="14" thickBot="1">
      <c r="B60" s="159" t="str">
        <f t="shared" si="20"/>
        <v>RoRE - Operational performance</v>
      </c>
      <c r="C60" s="58" t="s">
        <v>518</v>
      </c>
      <c r="D60" s="146">
        <f t="shared" ref="D60:H60" si="21">SUM(D40:D59)</f>
        <v>4.6700927703604046E-2</v>
      </c>
      <c r="E60" s="147">
        <f t="shared" si="21"/>
        <v>4.8181062652490662E-2</v>
      </c>
      <c r="F60" s="147">
        <f t="shared" si="21"/>
        <v>4.377398812586715E-2</v>
      </c>
      <c r="G60" s="147">
        <f t="shared" si="21"/>
        <v>5.7362503063740959E-2</v>
      </c>
      <c r="H60" s="148">
        <f t="shared" si="21"/>
        <v>6.4236287596562455E-2</v>
      </c>
      <c r="I60" s="326"/>
      <c r="J60" s="150">
        <f>SUM(J40:J59)</f>
        <v>4.7461745957663615E-2</v>
      </c>
      <c r="K60" s="148">
        <f>SUM(K40:K59)</f>
        <v>5.2460892730706234E-2</v>
      </c>
    </row>
    <row r="61" spans="1:11">
      <c r="B61" s="158" t="s">
        <v>536</v>
      </c>
      <c r="C61" s="157" t="s">
        <v>518</v>
      </c>
      <c r="D61" s="327">
        <f>IFERROR((Debt_performance___at_notional_gearing+Debt_performance___impact_of_actual_gearing)/Equity_RAV_based_on_actual_gearing,0)</f>
        <v>3.9693431440267053E-2</v>
      </c>
      <c r="E61" s="327">
        <f>IFERROR((Debt_performance___at_notional_gearing+Debt_performance___impact_of_actual_gearing)/Equity_RAV_based_on_actual_gearing,0)</f>
        <v>5.5160501869928854E-3</v>
      </c>
      <c r="F61" s="327">
        <f>IFERROR((Debt_performance___at_notional_gearing+Debt_performance___impact_of_actual_gearing)/Equity_RAV_based_on_actual_gearing,0)</f>
        <v>6.3423215180543127E-3</v>
      </c>
      <c r="G61" s="327">
        <f>IFERROR((Debt_performance___at_notional_gearing+Debt_performance___impact_of_actual_gearing)/Equity_RAV_based_on_actual_gearing,0)</f>
        <v>1.5579711828994189E-3</v>
      </c>
      <c r="H61" s="327">
        <f>IFERROR((Debt_performance___at_notional_gearing+Debt_performance___impact_of_actual_gearing)/Equity_RAV_based_on_actual_gearing,0)</f>
        <v>-7.2344325273757289E-3</v>
      </c>
      <c r="I61" s="323"/>
      <c r="J61" s="149">
        <f>IFERROR((AVERAGE(D90:INDEX(D90:H90,0,MATCH('RFPR cover'!$C$9,$D$6:$H$6,0)))+AVERAGE(D91:INDEX(D91:H91,0,MATCH('RFPR cover'!$C$9,$D$6:$H$6,0))))/AVERAGE($D$97:INDEX($D$97:$H$97,0,MATCH('RFPR cover'!$C$9,$D$6:$H$6,0))),0)</f>
        <v>2.2125590377529376E-2</v>
      </c>
      <c r="K61" s="149">
        <f>IFERROR((AVERAGE(D90:H90)+AVERAGE(D91:H91))/AVERAGE($D$97:$H$97),0)</f>
        <v>8.1498375410826301E-3</v>
      </c>
    </row>
    <row r="62" spans="1:11" ht="14" thickBot="1">
      <c r="B62" s="158" t="s">
        <v>537</v>
      </c>
      <c r="C62" s="157" t="s">
        <v>518</v>
      </c>
      <c r="D62" s="151">
        <f>IFERROR((Tax_performance___at_notional_gearing+Tax_performance___impact_of_actual_gearing)/D$97,0)</f>
        <v>1.5599230203038474E-2</v>
      </c>
      <c r="E62" s="151">
        <f>IFERROR((Tax_performance___at_notional_gearing+Tax_performance___impact_of_actual_gearing)/E$97,0)</f>
        <v>1.1218302642678993E-2</v>
      </c>
      <c r="F62" s="151">
        <f>IFERROR((Tax_performance___at_notional_gearing+Tax_performance___impact_of_actual_gearing)/F$97,0)</f>
        <v>1.224449416430065E-3</v>
      </c>
      <c r="G62" s="151">
        <f>IFERROR((Tax_performance___at_notional_gearing+Tax_performance___impact_of_actual_gearing)/G$97,0)</f>
        <v>1.1608930989105361E-3</v>
      </c>
      <c r="H62" s="151">
        <f>IFERROR((Tax_performance___at_notional_gearing+Tax_performance___impact_of_actual_gearing)/H$97,0)</f>
        <v>1.1421610039640984E-3</v>
      </c>
      <c r="I62" s="323"/>
      <c r="J62" s="33">
        <f>IFERROR((AVERAGE(D92:INDEX(D92:H92,0,MATCH('RFPR cover'!$C$9,$D$6:$H$6,0)))+AVERAGE(D93:INDEX(D93:H93,0,MATCH('RFPR cover'!$C$9,$D$6:$H$6,0))))/AVERAGE($D$97:INDEX($D$97:$H$97,0,MATCH('RFPR cover'!$C$9,$D$6:$H$6,0))),0)</f>
        <v>1.3347347926938416E-2</v>
      </c>
      <c r="K62" s="33">
        <f>IFERROR((AVERAGE(D92:H92)+AVERAGE(D93:H93))/AVERAGE($D$97:$H$97),0)</f>
        <v>5.6322987855110477E-3</v>
      </c>
    </row>
    <row r="63" spans="1:11" ht="14" thickBot="1">
      <c r="B63" s="159" t="str">
        <f>B94</f>
        <v>RoRE - including financing and tax</v>
      </c>
      <c r="C63" s="58" t="s">
        <v>518</v>
      </c>
      <c r="D63" s="146">
        <f>SUM(D60:D62)</f>
        <v>0.10199358934690958</v>
      </c>
      <c r="E63" s="147">
        <f t="shared" ref="E63:H63" si="22">SUM(E60:E62)</f>
        <v>6.4915415482162536E-2</v>
      </c>
      <c r="F63" s="147">
        <f t="shared" si="22"/>
        <v>5.1340759060351529E-2</v>
      </c>
      <c r="G63" s="147">
        <f t="shared" si="22"/>
        <v>6.0081367345550911E-2</v>
      </c>
      <c r="H63" s="148">
        <f t="shared" si="22"/>
        <v>5.8144016073150825E-2</v>
      </c>
      <c r="I63" s="326"/>
      <c r="J63" s="150">
        <f>SUM(J60:J62)</f>
        <v>8.2934684262131395E-2</v>
      </c>
      <c r="K63" s="148">
        <f>SUM(K60:K62)</f>
        <v>6.624302905729991E-2</v>
      </c>
    </row>
    <row r="64" spans="1:11">
      <c r="B64" s="57"/>
      <c r="C64" s="58"/>
      <c r="D64" s="59"/>
      <c r="E64" s="59"/>
      <c r="F64" s="59"/>
      <c r="G64" s="59"/>
      <c r="H64" s="59"/>
      <c r="I64" s="326"/>
      <c r="J64" s="59"/>
      <c r="K64" s="59"/>
    </row>
    <row r="65" spans="1:12">
      <c r="B65" s="57"/>
      <c r="C65" s="58"/>
      <c r="D65" s="59"/>
      <c r="E65" s="59"/>
      <c r="F65" s="59"/>
      <c r="G65" s="59"/>
      <c r="H65" s="59"/>
      <c r="I65" s="326"/>
      <c r="J65" s="59"/>
      <c r="K65" s="59"/>
    </row>
    <row r="66" spans="1:12">
      <c r="B66" s="64" t="s">
        <v>538</v>
      </c>
      <c r="C66" s="65"/>
      <c r="D66" s="66"/>
      <c r="E66" s="66"/>
      <c r="F66" s="66"/>
      <c r="G66" s="66"/>
      <c r="H66" s="66"/>
      <c r="I66" s="329"/>
      <c r="J66" s="66"/>
      <c r="K66" s="66"/>
      <c r="L66" s="38"/>
    </row>
    <row r="67" spans="1:12">
      <c r="B67" s="68" t="str">
        <f>"Input values provided in "&amp;Data!C9&amp;" prices"</f>
        <v>Input values provided in £m 20/21 prices</v>
      </c>
      <c r="C67" s="67"/>
      <c r="D67" s="67"/>
      <c r="E67" s="67"/>
      <c r="F67" s="67"/>
      <c r="G67" s="67"/>
      <c r="H67" s="67"/>
      <c r="I67" s="67"/>
      <c r="J67" s="67"/>
      <c r="K67" s="67"/>
      <c r="L67" s="67"/>
    </row>
    <row r="69" spans="1:12">
      <c r="B69" s="330" t="s">
        <v>539</v>
      </c>
      <c r="C69" s="331" t="str">
        <f>Data!$C$9</f>
        <v>£m 20/21</v>
      </c>
      <c r="D69" s="31">
        <f>'R7 - RAV'!F44</f>
        <v>41.970243221250087</v>
      </c>
      <c r="E69" s="32">
        <f>'R7 - RAV'!G44</f>
        <v>46.269461106183783</v>
      </c>
      <c r="F69" s="32">
        <f>'R7 - RAV'!H44</f>
        <v>47.752136123699039</v>
      </c>
      <c r="G69" s="32">
        <f>'R7 - RAV'!I44</f>
        <v>51.778158917844792</v>
      </c>
      <c r="H69" s="32">
        <f>'R7 - RAV'!J44</f>
        <v>56.068545075722433</v>
      </c>
      <c r="I69" s="34"/>
      <c r="J69" s="18">
        <f>SUM(D69:INDEX(D69:H69,0,MATCH('RFPR cover'!$C$9,$D$6:$H$6,0)))</f>
        <v>88.23970432743387</v>
      </c>
      <c r="K69" s="18">
        <f t="shared" ref="K69:K88" si="23">SUM(D69:H69)</f>
        <v>243.83854444470012</v>
      </c>
      <c r="L69" s="34"/>
    </row>
    <row r="70" spans="1:12">
      <c r="B70" s="330" t="s">
        <v>540</v>
      </c>
      <c r="C70" s="331" t="str">
        <f>Data!$C$9</f>
        <v>£m 20/21</v>
      </c>
      <c r="D70" s="46">
        <f>'R3 - Totex - Reconciliation'!D102</f>
        <v>-0.45846867666591917</v>
      </c>
      <c r="E70" s="46">
        <f>'R3 - Totex - Reconciliation'!E102</f>
        <v>-6.2831254428003422</v>
      </c>
      <c r="F70" s="46">
        <f>'R3 - Totex - Reconciliation'!F102</f>
        <v>-7.3817443401055787</v>
      </c>
      <c r="G70" s="46">
        <f>'R3 - Totex - Reconciliation'!G102</f>
        <v>4.6060388316653311</v>
      </c>
      <c r="H70" s="46">
        <f>'R3 - Totex - Reconciliation'!H102</f>
        <v>6.0387090301770971</v>
      </c>
      <c r="I70" s="34"/>
      <c r="J70" s="18">
        <f>SUM(D70:INDEX(D70:H70,0,MATCH('RFPR cover'!$C$9,$D$6:$H$6,0)))</f>
        <v>-6.7415941194662619</v>
      </c>
      <c r="K70" s="18">
        <f t="shared" si="23"/>
        <v>-3.4785905977294131</v>
      </c>
      <c r="L70" s="34"/>
    </row>
    <row r="71" spans="1:12">
      <c r="A71" s="324" t="s">
        <v>519</v>
      </c>
      <c r="B71" s="330" t="s">
        <v>541</v>
      </c>
      <c r="C71" s="331" t="str">
        <f>Data!$C$9</f>
        <v>£m 20/21</v>
      </c>
      <c r="D71" s="43">
        <f>'R4 - Incentives and Other Rev'!D12</f>
        <v>0</v>
      </c>
      <c r="E71" s="43">
        <f>'R4 - Incentives and Other Rev'!E12</f>
        <v>0</v>
      </c>
      <c r="F71" s="43">
        <f>'R4 - Incentives and Other Rev'!F12</f>
        <v>0</v>
      </c>
      <c r="G71" s="43">
        <f>'R4 - Incentives and Other Rev'!G12</f>
        <v>0</v>
      </c>
      <c r="H71" s="43">
        <f>'R4 - Incentives and Other Rev'!H12</f>
        <v>0</v>
      </c>
      <c r="I71" s="34"/>
      <c r="J71" s="18">
        <f>SUM(D71:INDEX(D71:H71,0,MATCH('RFPR cover'!$C$9,$D$6:$H$6,0)))</f>
        <v>0</v>
      </c>
      <c r="K71" s="18">
        <f t="shared" si="23"/>
        <v>0</v>
      </c>
      <c r="L71" s="34"/>
    </row>
    <row r="72" spans="1:12">
      <c r="A72" s="324" t="s">
        <v>520</v>
      </c>
      <c r="B72" s="234" t="str">
        <f>'R4 - Incentives and Other Rev'!B14</f>
        <v>Time to connect ODI</v>
      </c>
      <c r="C72" s="331" t="str">
        <f>Data!$C$9</f>
        <v>£m 20/21</v>
      </c>
      <c r="D72" s="43">
        <f>'R4 - Incentives and Other Rev'!D14</f>
        <v>0.86989227539797853</v>
      </c>
      <c r="E72" s="43">
        <f>'R4 - Incentives and Other Rev'!E14</f>
        <v>1.0056221335282371</v>
      </c>
      <c r="F72" s="43">
        <f>'R4 - Incentives and Other Rev'!F14</f>
        <v>1.1074151999999999</v>
      </c>
      <c r="G72" s="43">
        <f>'R4 - Incentives and Other Rev'!G14</f>
        <v>1.2113529999999999</v>
      </c>
      <c r="H72" s="43">
        <f>'R4 - Incentives and Other Rev'!H14</f>
        <v>1.2113529999999999</v>
      </c>
      <c r="I72" s="332"/>
      <c r="J72" s="18">
        <f>SUM(D72:INDEX(D72:H72,0,MATCH('RFPR cover'!$C$9,$D$6:$H$6,0)))</f>
        <v>1.8755144089262157</v>
      </c>
      <c r="K72" s="18">
        <f t="shared" si="23"/>
        <v>5.4056356089262154</v>
      </c>
      <c r="L72" s="34"/>
    </row>
    <row r="73" spans="1:12">
      <c r="A73" s="324" t="s">
        <v>521</v>
      </c>
      <c r="B73" s="234" t="str">
        <f>'R4 - Incentives and Other Rev'!B15</f>
        <v>Broad Measure of Customer Service ODI</v>
      </c>
      <c r="C73" s="331" t="str">
        <f>Data!$C$9</f>
        <v>£m 20/21</v>
      </c>
      <c r="D73" s="43">
        <f>'R4 - Incentives and Other Rev'!D15</f>
        <v>1.1510720841580784</v>
      </c>
      <c r="E73" s="43">
        <f>'R4 - Incentives and Other Rev'!E15</f>
        <v>1.8586347601264408</v>
      </c>
      <c r="F73" s="43">
        <f>'R4 - Incentives and Other Rev'!F15</f>
        <v>2.3252000000000042</v>
      </c>
      <c r="G73" s="43">
        <f>'R4 - Incentives and Other Rev'!G15</f>
        <v>2.5743400000000176</v>
      </c>
      <c r="H73" s="43">
        <f>'R4 - Incentives and Other Rev'!H15</f>
        <v>2.6950000000000029</v>
      </c>
      <c r="I73" s="332"/>
      <c r="J73" s="18">
        <f>SUM(D73:INDEX(D73:H73,0,MATCH('RFPR cover'!$C$9,$D$6:$H$6,0)))</f>
        <v>3.0097068442845192</v>
      </c>
      <c r="K73" s="18">
        <f t="shared" si="23"/>
        <v>10.604246844284543</v>
      </c>
      <c r="L73" s="34"/>
    </row>
    <row r="74" spans="1:12">
      <c r="A74" s="324" t="s">
        <v>522</v>
      </c>
      <c r="B74" s="234" t="str">
        <f>'R4 - Incentives and Other Rev'!B16</f>
        <v>Interruptions incentive scheme ODI</v>
      </c>
      <c r="C74" s="331" t="str">
        <f>Data!$C$9</f>
        <v>£m 20/21</v>
      </c>
      <c r="D74" s="43">
        <f>'R4 - Incentives and Other Rev'!D16</f>
        <v>0.86789628484173953</v>
      </c>
      <c r="E74" s="43">
        <f>'R4 - Incentives and Other Rev'!E16</f>
        <v>0.42883547812039308</v>
      </c>
      <c r="F74" s="43">
        <f>'R4 - Incentives and Other Rev'!F16</f>
        <v>2.0299999999999998</v>
      </c>
      <c r="G74" s="43">
        <f>'R4 - Incentives and Other Rev'!G16</f>
        <v>2.508</v>
      </c>
      <c r="H74" s="43">
        <f>'R4 - Incentives and Other Rev'!H16</f>
        <v>3.1989999999999998</v>
      </c>
      <c r="I74" s="332"/>
      <c r="J74" s="18">
        <f>SUM(D74:INDEX(D74:H74,0,MATCH('RFPR cover'!$C$9,$D$6:$H$6,0)))</f>
        <v>1.2967317629621327</v>
      </c>
      <c r="K74" s="18">
        <f t="shared" si="23"/>
        <v>9.0337317629621321</v>
      </c>
      <c r="L74" s="34"/>
    </row>
    <row r="75" spans="1:12">
      <c r="A75" s="324" t="s">
        <v>523</v>
      </c>
      <c r="B75" s="234" t="str">
        <f>'R4 - Incentives and Other Rev'!B17</f>
        <v>Major connections ODI</v>
      </c>
      <c r="C75" s="331" t="str">
        <f>Data!$C$9</f>
        <v>£m 20/21</v>
      </c>
      <c r="D75" s="43">
        <f>'R4 - Incentives and Other Rev'!D17</f>
        <v>0</v>
      </c>
      <c r="E75" s="43">
        <f>'R4 - Incentives and Other Rev'!E17</f>
        <v>0</v>
      </c>
      <c r="F75" s="43">
        <f>'R4 - Incentives and Other Rev'!F17</f>
        <v>0</v>
      </c>
      <c r="G75" s="43">
        <f>'R4 - Incentives and Other Rev'!G17</f>
        <v>0</v>
      </c>
      <c r="H75" s="43">
        <f>'R4 - Incentives and Other Rev'!H17</f>
        <v>0</v>
      </c>
      <c r="I75" s="332"/>
      <c r="J75" s="18">
        <f>SUM(D75:INDEX(D75:H75,0,MATCH('RFPR cover'!$C$9,$D$6:$H$6,0)))</f>
        <v>0</v>
      </c>
      <c r="K75" s="18">
        <f t="shared" si="23"/>
        <v>0</v>
      </c>
      <c r="L75" s="34"/>
    </row>
    <row r="76" spans="1:12">
      <c r="A76" s="324" t="s">
        <v>524</v>
      </c>
      <c r="B76" s="234" t="str">
        <f>'R4 - Incentives and Other Rev'!B18</f>
        <v>Consumer Vulnerability ODI</v>
      </c>
      <c r="C76" s="331" t="str">
        <f>Data!$C$9</f>
        <v>£m 20/21</v>
      </c>
      <c r="D76" s="43">
        <f>'R4 - Incentives and Other Rev'!D18</f>
        <v>0</v>
      </c>
      <c r="E76" s="43">
        <f>'R4 - Incentives and Other Rev'!E18</f>
        <v>3.1283972222222221</v>
      </c>
      <c r="F76" s="43">
        <f>'R4 - Incentives and Other Rev'!F18</f>
        <v>0</v>
      </c>
      <c r="G76" s="43">
        <f>'R4 - Incentives and Other Rev'!G18</f>
        <v>0</v>
      </c>
      <c r="H76" s="43">
        <f>'R4 - Incentives and Other Rev'!H18</f>
        <v>3</v>
      </c>
      <c r="I76" s="332"/>
      <c r="J76" s="18">
        <f>SUM(D76:INDEX(D76:H76,0,MATCH('RFPR cover'!$C$9,$D$6:$H$6,0)))</f>
        <v>3.1283972222222221</v>
      </c>
      <c r="K76" s="18">
        <f t="shared" si="23"/>
        <v>6.1283972222222225</v>
      </c>
      <c r="L76" s="34"/>
    </row>
    <row r="77" spans="1:12">
      <c r="A77" s="324" t="s">
        <v>525</v>
      </c>
      <c r="B77" s="234" t="str">
        <f>'R4 - Incentives and Other Rev'!B19</f>
        <v>Distribution System Operator ODI</v>
      </c>
      <c r="C77" s="331" t="str">
        <f>Data!$C$9</f>
        <v>£m 20/21</v>
      </c>
      <c r="D77" s="43">
        <f>'R4 - Incentives and Other Rev'!D19</f>
        <v>0.18591800000000003</v>
      </c>
      <c r="E77" s="43">
        <f>'R4 - Incentives and Other Rev'!E19</f>
        <v>2.1416799999999987</v>
      </c>
      <c r="F77" s="43">
        <f>'R4 - Incentives and Other Rev'!F19</f>
        <v>1.5735999999999983</v>
      </c>
      <c r="G77" s="43">
        <f>'R4 - Incentives and Other Rev'!G19</f>
        <v>1.7870499999999991</v>
      </c>
      <c r="H77" s="43">
        <f>'R4 - Incentives and Other Rev'!H19</f>
        <v>2.2003000000000008</v>
      </c>
      <c r="I77" s="332"/>
      <c r="J77" s="18">
        <f>SUM(D77:INDEX(D77:H77,0,MATCH('RFPR cover'!$C$9,$D$6:$H$6,0)))</f>
        <v>2.3275979999999987</v>
      </c>
      <c r="K77" s="18">
        <f t="shared" ref="K77:K82" si="24">SUM(D77:H77)</f>
        <v>7.8885479999999966</v>
      </c>
      <c r="L77" s="34"/>
    </row>
    <row r="78" spans="1:12">
      <c r="A78" s="324" t="s">
        <v>526</v>
      </c>
      <c r="B78" s="234" t="str">
        <f>'R4 - Incentives and Other Rev'!B20</f>
        <v>Dig, Fix and Go ODI (ENWL only)</v>
      </c>
      <c r="C78" s="331" t="str">
        <f>Data!$C$9</f>
        <v>£m 20/21</v>
      </c>
      <c r="D78" s="43">
        <f>'R4 - Incentives and Other Rev'!D20</f>
        <v>0.39247716206816541</v>
      </c>
      <c r="E78" s="43">
        <f>'R4 - Incentives and Other Rev'!E20</f>
        <v>0.7144781634938403</v>
      </c>
      <c r="F78" s="43">
        <f>'R4 - Incentives and Other Rev'!F20</f>
        <v>0.68599999999999928</v>
      </c>
      <c r="G78" s="43">
        <f>'R4 - Incentives and Other Rev'!G20</f>
        <v>0.78399999999999981</v>
      </c>
      <c r="H78" s="43">
        <f>'R4 - Incentives and Other Rev'!H20</f>
        <v>0.8</v>
      </c>
      <c r="I78" s="323"/>
      <c r="J78" s="18">
        <f>SUM(D78:INDEX(D78:H78,0,MATCH('RFPR cover'!$C$9,$D$6:$H$6,0)))</f>
        <v>1.1069553255620057</v>
      </c>
      <c r="K78" s="18">
        <f t="shared" ref="K78:K79" si="25">SUM(D78:H78)</f>
        <v>3.3769553255620046</v>
      </c>
      <c r="L78" s="34"/>
    </row>
    <row r="79" spans="1:12">
      <c r="A79" s="324" t="s">
        <v>527</v>
      </c>
      <c r="B79" s="234" t="str">
        <f>'R4 - Incentives and Other Rev'!B21</f>
        <v>Collaborative Streetworks ODI (EPN, LPN and SPN only)</v>
      </c>
      <c r="C79" s="331" t="str">
        <f>Data!$C$9</f>
        <v>£m 20/21</v>
      </c>
      <c r="D79" s="43">
        <f>'R4 - Incentives and Other Rev'!D21</f>
        <v>0</v>
      </c>
      <c r="E79" s="43">
        <f>'R4 - Incentives and Other Rev'!E21</f>
        <v>0</v>
      </c>
      <c r="F79" s="43">
        <f>'R4 - Incentives and Other Rev'!F21</f>
        <v>0</v>
      </c>
      <c r="G79" s="43">
        <f>'R4 - Incentives and Other Rev'!G21</f>
        <v>0</v>
      </c>
      <c r="H79" s="43">
        <f>'R4 - Incentives and Other Rev'!H21</f>
        <v>0</v>
      </c>
      <c r="I79" s="323"/>
      <c r="J79" s="18">
        <f>SUM(D79:INDEX(D79:H79,0,MATCH('RFPR cover'!$C$9,$D$6:$H$6,0)))</f>
        <v>0</v>
      </c>
      <c r="K79" s="18">
        <f t="shared" si="25"/>
        <v>0</v>
      </c>
      <c r="L79" s="34"/>
    </row>
    <row r="80" spans="1:12">
      <c r="A80" s="324" t="s">
        <v>527</v>
      </c>
      <c r="B80" s="234" t="str">
        <f>'R4 - Incentives and Other Rev'!B45</f>
        <v>Network innovation input for RORE</v>
      </c>
      <c r="C80" s="331" t="str">
        <f>Data!$C$9</f>
        <v>£m 20/21</v>
      </c>
      <c r="D80" s="43">
        <f>-'R4 - Incentives and Other Rev'!D45</f>
        <v>0</v>
      </c>
      <c r="E80" s="43">
        <f>-'R4 - Incentives and Other Rev'!E45</f>
        <v>-1.3911785002388877E-2</v>
      </c>
      <c r="F80" s="43">
        <f>-'R4 - Incentives and Other Rev'!F45</f>
        <v>-0.23329999999999984</v>
      </c>
      <c r="G80" s="43">
        <f>-'R4 - Incentives and Other Rev'!G45</f>
        <v>-0.23329999999999984</v>
      </c>
      <c r="H80" s="43">
        <f>-'R4 - Incentives and Other Rev'!H45</f>
        <v>-0.23329999999999984</v>
      </c>
      <c r="I80" s="34"/>
      <c r="J80" s="18">
        <f>SUM(D80:INDEX(D80:H80,0,MATCH('RFPR cover'!$C$9,$D$6:$H$6,0)))</f>
        <v>-1.3911785002388877E-2</v>
      </c>
      <c r="K80" s="18">
        <f t="shared" si="24"/>
        <v>-0.7138117850023884</v>
      </c>
      <c r="L80" s="34"/>
    </row>
    <row r="81" spans="1:12">
      <c r="A81" s="324" t="s">
        <v>528</v>
      </c>
      <c r="B81" s="234" t="str">
        <f>'R4 - Incentives and Other Rev'!B52</f>
        <v>Carry-over Network innovation input for RORE</v>
      </c>
      <c r="C81" s="331" t="str">
        <f>Data!$C$9</f>
        <v>£m 20/21</v>
      </c>
      <c r="D81" s="43">
        <f>-'R4 - Incentives and Other Rev'!D52</f>
        <v>-5.9196399804594457E-2</v>
      </c>
      <c r="E81" s="43">
        <f>-'R4 - Incentives and Other Rev'!E52</f>
        <v>0</v>
      </c>
      <c r="F81" s="43">
        <f>-'R4 - Incentives and Other Rev'!F52</f>
        <v>0</v>
      </c>
      <c r="G81" s="43">
        <f>-'R4 - Incentives and Other Rev'!G52</f>
        <v>0</v>
      </c>
      <c r="H81" s="43">
        <f>-'R4 - Incentives and Other Rev'!H52</f>
        <v>0</v>
      </c>
      <c r="I81" s="34"/>
      <c r="J81" s="18">
        <f>SUM(D81:INDEX(D81:H81,0,MATCH('RFPR cover'!$C$9,$D$6:$H$6,0)))</f>
        <v>-5.9196399804594457E-2</v>
      </c>
      <c r="K81" s="18">
        <f t="shared" si="24"/>
        <v>-5.9196399804594457E-2</v>
      </c>
      <c r="L81" s="34"/>
    </row>
    <row r="82" spans="1:12">
      <c r="A82" s="324" t="s">
        <v>529</v>
      </c>
      <c r="B82" s="234" t="str">
        <f>'R4 - Incentives and Other Rev'!B59</f>
        <v>Strategic innovation input for RORE</v>
      </c>
      <c r="C82" s="331" t="str">
        <f>Data!$C$9</f>
        <v>£m 20/21</v>
      </c>
      <c r="D82" s="43">
        <f>-'R4 - Incentives and Other Rev'!D59</f>
        <v>-2.56822646866459E-2</v>
      </c>
      <c r="E82" s="43">
        <f>-'R4 - Incentives and Other Rev'!E59</f>
        <v>-3.6005000000000002E-2</v>
      </c>
      <c r="F82" s="43">
        <f>-'R4 - Incentives and Other Rev'!F59</f>
        <v>0</v>
      </c>
      <c r="G82" s="43">
        <f>-'R4 - Incentives and Other Rev'!G59</f>
        <v>0</v>
      </c>
      <c r="H82" s="43">
        <f>-'R4 - Incentives and Other Rev'!H59</f>
        <v>0</v>
      </c>
      <c r="I82" s="34"/>
      <c r="J82" s="18">
        <f>SUM(D82:INDEX(D82:H82,0,MATCH('RFPR cover'!$C$9,$D$6:$H$6,0)))</f>
        <v>-6.1687264686645898E-2</v>
      </c>
      <c r="K82" s="18">
        <f t="shared" si="24"/>
        <v>-6.1687264686645898E-2</v>
      </c>
      <c r="L82" s="34"/>
    </row>
    <row r="83" spans="1:12">
      <c r="A83" s="324" t="s">
        <v>530</v>
      </c>
      <c r="B83" s="234" t="str">
        <f>'R4 - Incentives and Other Rev'!B66</f>
        <v/>
      </c>
      <c r="C83" s="331" t="str">
        <f>Data!$C$9</f>
        <v>£m 20/21</v>
      </c>
      <c r="D83" s="44">
        <f>'R4 - Incentives and Other Rev'!D66</f>
        <v>0</v>
      </c>
      <c r="E83" s="44">
        <f>'R4 - Incentives and Other Rev'!E66</f>
        <v>0</v>
      </c>
      <c r="F83" s="44">
        <f>'R4 - Incentives and Other Rev'!F66</f>
        <v>0</v>
      </c>
      <c r="G83" s="44">
        <f>'R4 - Incentives and Other Rev'!G66</f>
        <v>0</v>
      </c>
      <c r="H83" s="44">
        <f>'R4 - Incentives and Other Rev'!H66</f>
        <v>0</v>
      </c>
      <c r="I83" s="34"/>
      <c r="J83" s="18">
        <f>SUM(D83:INDEX(D83:H83,0,MATCH('RFPR cover'!$C$9,$D$6:$H$6,0)))</f>
        <v>0</v>
      </c>
      <c r="K83" s="18">
        <f t="shared" si="23"/>
        <v>0</v>
      </c>
      <c r="L83" s="34"/>
    </row>
    <row r="84" spans="1:12">
      <c r="A84" s="324" t="s">
        <v>531</v>
      </c>
      <c r="B84" s="234" t="str">
        <f>'R4 - Incentives and Other Rev'!B67</f>
        <v/>
      </c>
      <c r="C84" s="331" t="str">
        <f>Data!$C$9</f>
        <v>£m 20/21</v>
      </c>
      <c r="D84" s="44">
        <f>'R4 - Incentives and Other Rev'!D67</f>
        <v>0</v>
      </c>
      <c r="E84" s="44">
        <f>'R4 - Incentives and Other Rev'!E67</f>
        <v>0</v>
      </c>
      <c r="F84" s="44">
        <f>'R4 - Incentives and Other Rev'!F67</f>
        <v>0</v>
      </c>
      <c r="G84" s="44">
        <f>'R4 - Incentives and Other Rev'!G67</f>
        <v>0</v>
      </c>
      <c r="H84" s="44">
        <f>'R4 - Incentives and Other Rev'!H67</f>
        <v>0</v>
      </c>
      <c r="I84" s="34"/>
      <c r="J84" s="18">
        <f>SUM(D84:INDEX(D84:H84,0,MATCH('RFPR cover'!$C$9,$D$6:$H$6,0)))</f>
        <v>0</v>
      </c>
      <c r="K84" s="18">
        <f t="shared" si="23"/>
        <v>0</v>
      </c>
      <c r="L84" s="34"/>
    </row>
    <row r="85" spans="1:12">
      <c r="A85" s="324" t="s">
        <v>532</v>
      </c>
      <c r="B85" s="234" t="str">
        <f>'R4 - Incentives and Other Rev'!B68</f>
        <v/>
      </c>
      <c r="C85" s="331" t="str">
        <f>Data!$C$9</f>
        <v>£m 20/21</v>
      </c>
      <c r="D85" s="44">
        <f>'R4 - Incentives and Other Rev'!D68</f>
        <v>0</v>
      </c>
      <c r="E85" s="44">
        <f>'R4 - Incentives and Other Rev'!E68</f>
        <v>0</v>
      </c>
      <c r="F85" s="44">
        <f>'R4 - Incentives and Other Rev'!F68</f>
        <v>0</v>
      </c>
      <c r="G85" s="44">
        <f>'R4 - Incentives and Other Rev'!G68</f>
        <v>0</v>
      </c>
      <c r="H85" s="44">
        <f>'R4 - Incentives and Other Rev'!H68</f>
        <v>0</v>
      </c>
      <c r="I85" s="34"/>
      <c r="J85" s="18">
        <f>SUM(D85:INDEX(D85:H85,0,MATCH('RFPR cover'!$C$9,$D$6:$H$6,0)))</f>
        <v>0</v>
      </c>
      <c r="K85" s="18">
        <f t="shared" si="23"/>
        <v>0</v>
      </c>
      <c r="L85" s="34"/>
    </row>
    <row r="86" spans="1:12">
      <c r="A86" s="324" t="s">
        <v>533</v>
      </c>
      <c r="B86" s="234" t="str">
        <f>'R4 - Incentives and Other Rev'!B69</f>
        <v/>
      </c>
      <c r="C86" s="331" t="str">
        <f>Data!$C$9</f>
        <v>£m 20/21</v>
      </c>
      <c r="D86" s="44">
        <f>'R4 - Incentives and Other Rev'!D69</f>
        <v>0</v>
      </c>
      <c r="E86" s="44">
        <f>'R4 - Incentives and Other Rev'!E69</f>
        <v>0</v>
      </c>
      <c r="F86" s="44">
        <f>'R4 - Incentives and Other Rev'!F69</f>
        <v>0</v>
      </c>
      <c r="G86" s="44">
        <f>'R4 - Incentives and Other Rev'!G69</f>
        <v>0</v>
      </c>
      <c r="H86" s="44">
        <f>'R4 - Incentives and Other Rev'!H69</f>
        <v>0</v>
      </c>
      <c r="I86" s="34"/>
      <c r="J86" s="18">
        <f>SUM(D86:INDEX(D86:H86,0,MATCH('RFPR cover'!$C$9,$D$6:$H$6,0)))</f>
        <v>0</v>
      </c>
      <c r="K86" s="18">
        <f>SUM(D86:H86)</f>
        <v>0</v>
      </c>
      <c r="L86" s="34"/>
    </row>
    <row r="87" spans="1:12">
      <c r="A87" s="324" t="s">
        <v>534</v>
      </c>
      <c r="B87" s="234" t="str">
        <f>'R4 - Incentives and Other Rev'!B70</f>
        <v/>
      </c>
      <c r="C87" s="331" t="str">
        <f>Data!$C$9</f>
        <v>£m 20/21</v>
      </c>
      <c r="D87" s="44">
        <f>'R4 - Incentives and Other Rev'!D70</f>
        <v>0</v>
      </c>
      <c r="E87" s="44">
        <f>'R4 - Incentives and Other Rev'!E70</f>
        <v>0</v>
      </c>
      <c r="F87" s="44">
        <f>'R4 - Incentives and Other Rev'!F70</f>
        <v>0</v>
      </c>
      <c r="G87" s="44">
        <f>'R4 - Incentives and Other Rev'!G70</f>
        <v>0</v>
      </c>
      <c r="H87" s="44">
        <f>'R4 - Incentives and Other Rev'!H70</f>
        <v>0</v>
      </c>
      <c r="I87" s="34"/>
      <c r="J87" s="18">
        <f>SUM(D87:INDEX(D87:H87,0,MATCH('RFPR cover'!$C$9,$D$6:$H$6,0)))</f>
        <v>0</v>
      </c>
      <c r="K87" s="18">
        <f>SUM(D87:H87)</f>
        <v>0</v>
      </c>
      <c r="L87" s="34"/>
    </row>
    <row r="88" spans="1:12" ht="14" thickBot="1">
      <c r="B88" s="330" t="s">
        <v>542</v>
      </c>
      <c r="C88" s="331" t="str">
        <f>Data!$C$9</f>
        <v>£m 20/21</v>
      </c>
      <c r="D88" s="44">
        <f>-'R10 - Pensions &amp; Oth Activities'!D54</f>
        <v>-0.39051705982458462</v>
      </c>
      <c r="E88" s="44">
        <f>-'R10 - Pensions &amp; Oth Activities'!E54</f>
        <v>-0.6508850249121475</v>
      </c>
      <c r="F88" s="44">
        <f>-'R10 - Pensions &amp; Oth Activities'!F54</f>
        <v>0</v>
      </c>
      <c r="G88" s="44">
        <f>-'R10 - Pensions &amp; Oth Activities'!G54</f>
        <v>0</v>
      </c>
      <c r="H88" s="44">
        <f>-'R10 - Pensions &amp; Oth Activities'!H54</f>
        <v>0</v>
      </c>
      <c r="I88" s="34"/>
      <c r="J88" s="137">
        <f>SUM(D88:INDEX(D88:H88,0,MATCH('RFPR cover'!$C$9,$D$6:$H$6,0)))</f>
        <v>-1.041402084736732</v>
      </c>
      <c r="K88" s="137">
        <f t="shared" si="23"/>
        <v>-1.041402084736732</v>
      </c>
      <c r="L88" s="34"/>
    </row>
    <row r="89" spans="1:12" ht="14" thickBot="1">
      <c r="B89" s="333" t="s">
        <v>543</v>
      </c>
      <c r="C89" s="334" t="str">
        <f>Data!$C$9</f>
        <v>£m 20/21</v>
      </c>
      <c r="D89" s="142">
        <f>SUM(D69:D88)</f>
        <v>44.503634626734325</v>
      </c>
      <c r="E89" s="144">
        <f>SUM(E69:E88)</f>
        <v>48.563181610960022</v>
      </c>
      <c r="F89" s="144">
        <f>SUM(F69:F88)</f>
        <v>47.859306983593463</v>
      </c>
      <c r="G89" s="144">
        <f>SUM(G69:G88)</f>
        <v>65.015640749510155</v>
      </c>
      <c r="H89" s="143">
        <f>SUM(H69:H88)</f>
        <v>74.979607105899532</v>
      </c>
      <c r="I89" s="77"/>
      <c r="J89" s="142">
        <f>SUM(J69:J88)</f>
        <v>93.066816237694368</v>
      </c>
      <c r="K89" s="143">
        <f>SUM(K69:K88)</f>
        <v>280.92137107669748</v>
      </c>
      <c r="L89" s="34"/>
    </row>
    <row r="90" spans="1:12">
      <c r="B90" s="330" t="s">
        <v>544</v>
      </c>
      <c r="C90" s="331" t="str">
        <f>Data!$C$9</f>
        <v>£m 20/21</v>
      </c>
      <c r="D90" s="44">
        <f>IFERROR('R5 - Financing'!D85,0)</f>
        <v>37.96202554640962</v>
      </c>
      <c r="E90" s="44">
        <f>IFERROR('R5 - Financing'!E85,0)</f>
        <v>-0.1653544446897488</v>
      </c>
      <c r="F90" s="44">
        <f>IFERROR('R5 - Financing'!F85,0)</f>
        <v>2.3998892208165756E-2</v>
      </c>
      <c r="G90" s="44">
        <f>IFERROR('R5 - Financing'!G85,0)</f>
        <v>-4.99743008366314</v>
      </c>
      <c r="H90" s="44">
        <f>IFERROR('R5 - Financing'!H85,0)</f>
        <v>-14.679759421240494</v>
      </c>
      <c r="I90" s="34"/>
      <c r="J90" s="141">
        <f>SUM(D90:INDEX(D90:H90,0,MATCH('RFPR cover'!$C$9,$D$6:$H$6,0)))</f>
        <v>37.796671101719873</v>
      </c>
      <c r="K90" s="141">
        <f>SUM(D90:H90)</f>
        <v>18.143480489024402</v>
      </c>
      <c r="L90" s="34"/>
    </row>
    <row r="91" spans="1:12">
      <c r="B91" s="330" t="s">
        <v>545</v>
      </c>
      <c r="C91" s="331" t="str">
        <f>Data!$C$9</f>
        <v>£m 20/21</v>
      </c>
      <c r="D91" s="44">
        <f>IFERROR('R5 - Financing'!D87,0)</f>
        <v>-0.13618231883179988</v>
      </c>
      <c r="E91" s="44">
        <f>IFERROR('R5 - Financing'!E87,0)</f>
        <v>5.7251518476276431</v>
      </c>
      <c r="F91" s="44">
        <f>IFERROR('R5 - Financing'!F87,0)</f>
        <v>6.9102359243321843</v>
      </c>
      <c r="G91" s="44">
        <f>IFERROR('R5 - Financing'!G87,0)</f>
        <v>6.7632612332021029</v>
      </c>
      <c r="H91" s="44">
        <f>IFERROR('R5 - Financing'!H87,0)</f>
        <v>6.2353905320614142</v>
      </c>
      <c r="I91" s="34"/>
      <c r="J91" s="18">
        <f>SUM(D91:INDEX(D91:H91,0,MATCH('RFPR cover'!$C$9,$D$6:$H$6,0)))</f>
        <v>5.5889695287958432</v>
      </c>
      <c r="K91" s="18">
        <f>SUM(D91:H91)</f>
        <v>25.497857218391545</v>
      </c>
      <c r="L91" s="34"/>
    </row>
    <row r="92" spans="1:12">
      <c r="B92" s="330" t="s">
        <v>546</v>
      </c>
      <c r="C92" s="331" t="str">
        <f>Data!$C$9</f>
        <v>£m 20/21</v>
      </c>
      <c r="D92" s="44">
        <f>IFERROR('R8 - Tax'!E62,0)</f>
        <v>14.831236022840756</v>
      </c>
      <c r="E92" s="44">
        <f>IFERROR('R8 - Tax'!F62,0)</f>
        <v>12.738561787154728</v>
      </c>
      <c r="F92" s="44">
        <f>IFERROR('R8 - Tax'!G62,0)</f>
        <v>3.0662832558351418</v>
      </c>
      <c r="G92" s="44">
        <f>IFERROR('R8 - Tax'!H62,0)</f>
        <v>3.0065913751762006</v>
      </c>
      <c r="H92" s="44">
        <f>IFERROR('R8 - Tax'!I62,0)</f>
        <v>2.8920315160374281</v>
      </c>
      <c r="I92" s="34"/>
      <c r="J92" s="18">
        <f>SUM(D92:INDEX(D92:H92,0,MATCH('RFPR cover'!$C$9,$D$6:$H$6,0)))</f>
        <v>27.569797809995485</v>
      </c>
      <c r="K92" s="18">
        <f>SUM(D92:H92)</f>
        <v>36.534703957044258</v>
      </c>
      <c r="L92" s="34"/>
    </row>
    <row r="93" spans="1:12" ht="14" thickBot="1">
      <c r="B93" s="330" t="s">
        <v>547</v>
      </c>
      <c r="C93" s="331" t="str">
        <f>Data!$C$9</f>
        <v>£m 20/21</v>
      </c>
      <c r="D93" s="44">
        <f>IFERROR('R8 - Tax'!E64,0)</f>
        <v>3.4045579707949969E-2</v>
      </c>
      <c r="E93" s="44">
        <f>IFERROR('R8 - Tax'!F64,0)</f>
        <v>-1.4312879619069108</v>
      </c>
      <c r="F93" s="44">
        <f>IFERROR('R8 - Tax'!G64,0)</f>
        <v>-1.7275589810830461</v>
      </c>
      <c r="G93" s="44">
        <f>IFERROR('R8 - Tax'!H64,0)</f>
        <v>-1.6908153083005253</v>
      </c>
      <c r="H93" s="44">
        <f>IFERROR('R8 - Tax'!I64,0)</f>
        <v>-1.5588476330153536</v>
      </c>
      <c r="I93" s="34"/>
      <c r="J93" s="137">
        <f>SUM(D93:INDEX(D93:H93,0,MATCH('RFPR cover'!$C$9,$D$6:$H$6,0)))</f>
        <v>-1.3972423821989608</v>
      </c>
      <c r="K93" s="137">
        <f>SUM(D93:H93)</f>
        <v>-6.3744643045978862</v>
      </c>
      <c r="L93" s="34"/>
    </row>
    <row r="94" spans="1:12" ht="14" thickBot="1">
      <c r="B94" s="333" t="s">
        <v>548</v>
      </c>
      <c r="C94" s="334" t="str">
        <f>Data!$C$9</f>
        <v>£m 20/21</v>
      </c>
      <c r="D94" s="226">
        <f>IF(OR(Licensee=Data!$B$86,Licensee=Data!$B$89),"N/A",SUM(D89:D93))</f>
        <v>97.194759456860851</v>
      </c>
      <c r="E94" s="226">
        <f>IF(OR(Licensee=Data!$B$86,Licensee=Data!$B$89),"N/A",SUM(E89:E93))</f>
        <v>65.430252839145737</v>
      </c>
      <c r="F94" s="226">
        <f>IF(OR(Licensee=Data!$B$86,Licensee=Data!$B$89),"N/A",SUM(F89:F93))</f>
        <v>56.132266074885905</v>
      </c>
      <c r="G94" s="226">
        <f>IF(OR(Licensee=Data!$B$86,Licensee=Data!$B$89),"N/A",SUM(G89:G93))</f>
        <v>68.097247965924794</v>
      </c>
      <c r="H94" s="226">
        <f>IF(OR(Licensee=Data!$B$86,Licensee=Data!$B$89),"N/A",SUM(H89:H93))</f>
        <v>67.868422099742546</v>
      </c>
      <c r="I94" s="77"/>
      <c r="J94" s="142">
        <f>SUM(J89:J93)</f>
        <v>162.62501229600662</v>
      </c>
      <c r="K94" s="143">
        <f>SUM(K89:K93)</f>
        <v>354.72294843655976</v>
      </c>
      <c r="L94" s="34"/>
    </row>
    <row r="95" spans="1:12">
      <c r="D95" s="145"/>
      <c r="I95" s="34"/>
      <c r="L95" s="34"/>
    </row>
    <row r="96" spans="1:12">
      <c r="B96" s="335" t="s">
        <v>549</v>
      </c>
      <c r="C96" s="331" t="str">
        <f>Data!$C$9</f>
        <v>£m 20/21</v>
      </c>
      <c r="D96" s="42">
        <f>'R7 - RAV'!F40</f>
        <v>794.38027986799705</v>
      </c>
      <c r="E96" s="32">
        <f>'R7 - RAV'!G40</f>
        <v>828.08200169354814</v>
      </c>
      <c r="F96" s="32">
        <f>'R7 - RAV'!H40</f>
        <v>876.58171633482095</v>
      </c>
      <c r="G96" s="32">
        <f>'R7 - RAV'!I40</f>
        <v>942.55149895218483</v>
      </c>
      <c r="H96" s="32">
        <f>'R7 - RAV'!J40</f>
        <v>1017.0768141070098</v>
      </c>
      <c r="I96" s="34"/>
      <c r="L96" s="34"/>
    </row>
    <row r="97" spans="2:23">
      <c r="B97" s="330" t="s">
        <v>550</v>
      </c>
      <c r="C97" s="331" t="str">
        <f>Data!$C$9</f>
        <v>£m 20/21</v>
      </c>
      <c r="D97" s="45">
        <f>IFERROR('R6 - Net Debt'!D73,0)</f>
        <v>952.94969104649749</v>
      </c>
      <c r="E97" s="45">
        <f>IFERROR('R6 - Net Debt'!E73,0)</f>
        <v>1007.9308951989174</v>
      </c>
      <c r="F97" s="45">
        <f>IFERROR('R6 - Net Debt'!F73,0)</f>
        <v>1093.3275452531179</v>
      </c>
      <c r="G97" s="45">
        <f>IFERROR('R6 - Net Debt'!G73,0)</f>
        <v>1133.417080444782</v>
      </c>
      <c r="H97" s="45">
        <f>IFERROR('R6 - Net Debt'!H73,0)</f>
        <v>1167.2468928592318</v>
      </c>
      <c r="I97" s="34"/>
      <c r="L97" s="34"/>
    </row>
    <row r="98" spans="2:23">
      <c r="L98" s="34"/>
    </row>
    <row r="99" spans="2:23">
      <c r="L99" s="34"/>
    </row>
    <row r="100" spans="2:23">
      <c r="L100" s="34"/>
      <c r="S100" s="100"/>
      <c r="T100" s="100"/>
      <c r="U100" s="100"/>
      <c r="V100" s="100"/>
      <c r="W100" s="100"/>
    </row>
    <row r="101" spans="2:23">
      <c r="S101" s="100"/>
      <c r="T101" s="100"/>
      <c r="U101" s="100"/>
      <c r="V101" s="100"/>
      <c r="W101" s="100"/>
    </row>
    <row r="105" spans="2:23">
      <c r="M105" s="100"/>
      <c r="N105" s="100"/>
      <c r="O105" s="100"/>
      <c r="P105" s="100"/>
      <c r="Q105" s="100"/>
    </row>
    <row r="107" spans="2:23">
      <c r="M107" s="100"/>
      <c r="N107" s="100"/>
      <c r="O107" s="100"/>
      <c r="P107" s="100"/>
      <c r="Q107" s="100"/>
    </row>
  </sheetData>
  <sheetProtection sort="0" autoFilter="0" pivotTables="0"/>
  <phoneticPr fontId="248" type="noConversion"/>
  <conditionalFormatting sqref="D6:G6">
    <cfRule type="expression" dxfId="77" priority="8">
      <formula>AND(D$5="Actuals",E$5="Forecast")</formula>
    </cfRule>
  </conditionalFormatting>
  <conditionalFormatting sqref="D7:H7">
    <cfRule type="expression" dxfId="76" priority="2">
      <formula>AND(D$5="Actuals",E$5="Forecast")</formula>
    </cfRule>
  </conditionalFormatting>
  <conditionalFormatting sqref="H6">
    <cfRule type="expression" dxfId="75"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topLeftCell="A3" zoomScale="80" zoomScaleNormal="80" workbookViewId="0">
      <selection activeCell="B5" sqref="B5"/>
    </sheetView>
  </sheetViews>
  <sheetFormatPr defaultColWidth="9" defaultRowHeight="13.5" outlineLevelCol="1"/>
  <cols>
    <col min="1" max="1" width="9.765625" style="100" customWidth="1"/>
    <col min="2" max="2" width="67.4609375" style="76" customWidth="1"/>
    <col min="3" max="3" width="50.23046875" style="76" customWidth="1"/>
    <col min="4" max="4" width="14.4609375" style="29" customWidth="1"/>
    <col min="5" max="5" width="10.3828125" style="100" customWidth="1"/>
    <col min="6" max="9" width="11.15234375" style="100" customWidth="1"/>
    <col min="10" max="10" width="5" style="100" customWidth="1"/>
    <col min="11" max="20" width="9.23046875" style="100" customWidth="1" outlineLevel="1"/>
    <col min="21" max="16384" width="9" style="100"/>
  </cols>
  <sheetData>
    <row r="1" spans="1:14" ht="20">
      <c r="A1" s="775" t="s">
        <v>551</v>
      </c>
      <c r="B1" s="336"/>
      <c r="C1" s="336"/>
      <c r="D1" s="337"/>
      <c r="E1" s="338"/>
      <c r="F1" s="338"/>
      <c r="G1" s="338"/>
      <c r="H1" s="338"/>
      <c r="I1" s="338"/>
      <c r="J1" s="339"/>
    </row>
    <row r="2" spans="1:14" ht="20">
      <c r="A2" s="776" t="str">
        <f t="shared" ref="A2" si="0">Licensee</f>
        <v>ENWL</v>
      </c>
      <c r="B2" s="284"/>
      <c r="C2" s="284"/>
      <c r="D2" s="340"/>
      <c r="E2" s="286"/>
      <c r="F2" s="286"/>
      <c r="G2" s="286"/>
      <c r="H2" s="286"/>
      <c r="I2" s="286"/>
      <c r="J2" s="288"/>
    </row>
    <row r="3" spans="1:14" ht="20">
      <c r="A3" s="777">
        <f>Reporting_Year</f>
        <v>2025</v>
      </c>
      <c r="B3" s="341"/>
      <c r="C3" s="341"/>
      <c r="D3" s="342"/>
      <c r="E3" s="289"/>
      <c r="F3" s="289"/>
      <c r="G3" s="289"/>
      <c r="H3" s="289"/>
      <c r="I3" s="289"/>
      <c r="J3" s="291"/>
    </row>
    <row r="4" spans="1:14" s="293" customFormat="1" ht="12.75" customHeight="1">
      <c r="B4" s="343"/>
      <c r="C4" s="343"/>
      <c r="D4" s="29"/>
    </row>
    <row r="5" spans="1:14" s="293" customFormat="1">
      <c r="B5" s="343"/>
      <c r="C5" s="343"/>
      <c r="D5" s="29"/>
      <c r="E5" s="292" t="str">
        <f>IF(E6&lt;=Reporting_Year,"Actuals","Forecast")</f>
        <v>Actuals</v>
      </c>
      <c r="F5" s="292" t="str">
        <f>IF(F6&lt;=Reporting_Year,"Actuals","Forecast")</f>
        <v>Actuals</v>
      </c>
      <c r="G5" s="292" t="str">
        <f>IF(G6&lt;=Reporting_Year,"Actuals","Forecast")</f>
        <v>Forecast</v>
      </c>
      <c r="H5" s="292" t="str">
        <f>IF(H6&lt;=Reporting_Year,"Actuals","Forecast")</f>
        <v>Forecast</v>
      </c>
      <c r="I5" s="292" t="str">
        <f>IF(I6&lt;=Reporting_Year,"Actuals","Forecast")</f>
        <v>Forecast</v>
      </c>
    </row>
    <row r="6" spans="1:14" s="293" customFormat="1">
      <c r="B6" s="343"/>
      <c r="C6" s="343"/>
      <c r="D6" s="29"/>
      <c r="E6" s="294">
        <f>RIIO_2_start_date</f>
        <v>2024</v>
      </c>
      <c r="F6" s="294">
        <f>E6+1</f>
        <v>2025</v>
      </c>
      <c r="G6" s="294">
        <f>F6+1</f>
        <v>2026</v>
      </c>
      <c r="H6" s="294">
        <f t="shared" ref="H6:I6" si="1">G6+1</f>
        <v>2027</v>
      </c>
      <c r="I6" s="294">
        <f t="shared" si="1"/>
        <v>2028</v>
      </c>
    </row>
    <row r="7" spans="1:14" s="293" customFormat="1">
      <c r="B7" s="75"/>
      <c r="C7" s="75"/>
      <c r="D7" s="29"/>
      <c r="E7" s="297" t="str">
        <f>RIIO_2_start_date-1&amp;"/"&amp;RIGHT(RIIO_2_start_date,2)</f>
        <v>2023/24</v>
      </c>
      <c r="F7" s="297" t="str">
        <f>RIIO_2_start_date&amp;"/"&amp;RIGHT(RIIO_2_start_date+1,2)</f>
        <v>2024/25</v>
      </c>
      <c r="G7" s="297" t="str">
        <f>RIIO_2_start_date+1&amp;"/"&amp;RIGHT(RIIO_2_start_date+2,2)</f>
        <v>2025/26</v>
      </c>
      <c r="H7" s="297" t="str">
        <f>RIIO_2_start_date+2&amp;"/"&amp;RIGHT(RIIO_2_start_date+3,2)</f>
        <v>2026/27</v>
      </c>
      <c r="I7" s="297" t="str">
        <f>RIIO_2_start_date+3&amp;"/"&amp;RIGHT(RIIO_2_start_date+4,2)</f>
        <v>2027/28</v>
      </c>
    </row>
    <row r="8" spans="1:14" s="293" customFormat="1">
      <c r="B8" s="75"/>
      <c r="C8" s="75"/>
      <c r="D8" s="29"/>
      <c r="E8" s="344"/>
      <c r="F8" s="344"/>
      <c r="G8" s="344"/>
      <c r="H8" s="344"/>
      <c r="I8" s="344"/>
    </row>
    <row r="9" spans="1:14" s="293" customFormat="1">
      <c r="B9" s="345" t="s">
        <v>552</v>
      </c>
      <c r="C9" s="345"/>
      <c r="D9" s="346"/>
      <c r="E9" s="347"/>
      <c r="F9" s="347"/>
      <c r="G9" s="347"/>
      <c r="H9" s="347"/>
      <c r="I9" s="347"/>
      <c r="J9" s="348"/>
    </row>
    <row r="10" spans="1:14" s="293" customFormat="1">
      <c r="B10" s="75"/>
      <c r="C10" s="75"/>
      <c r="D10" s="29"/>
      <c r="E10" s="344"/>
      <c r="F10" s="344"/>
      <c r="G10" s="344"/>
      <c r="H10" s="344"/>
      <c r="I10" s="344"/>
    </row>
    <row r="11" spans="1:14" s="293" customFormat="1">
      <c r="B11" s="349" t="s">
        <v>553</v>
      </c>
      <c r="C11" s="75"/>
      <c r="D11" s="29"/>
    </row>
    <row r="12" spans="1:14" s="293" customFormat="1">
      <c r="B12" s="350"/>
      <c r="C12" s="75"/>
      <c r="D12" s="29"/>
    </row>
    <row r="13" spans="1:14" s="293" customFormat="1">
      <c r="B13" s="76" t="s">
        <v>554</v>
      </c>
      <c r="C13" s="295" t="str">
        <f>IF(Licensee="NGGT (SO)","SORt* x  PIt* / PI2018/19",IF(Sector="ED2","Rt* x  PIt* / PI2020/21","Rt* x  PIt* / PI2018/19"))</f>
        <v>Rt* x  PIt* / PI2020/21</v>
      </c>
      <c r="D13" s="28" t="s">
        <v>555</v>
      </c>
      <c r="E13" s="351">
        <v>516.01267959107076</v>
      </c>
      <c r="F13" s="351">
        <v>518.33178916011434</v>
      </c>
      <c r="G13" s="351"/>
      <c r="H13" s="351"/>
      <c r="I13" s="351"/>
      <c r="N13" s="295"/>
    </row>
    <row r="14" spans="1:14" s="293" customFormat="1">
      <c r="B14" s="76" t="s">
        <v>556</v>
      </c>
      <c r="C14" s="100" t="str">
        <f>IF(Licensee="NGGT (SO)","SOADJt*","ADJt*")</f>
        <v>ADJt*</v>
      </c>
      <c r="D14" s="28" t="s">
        <v>555</v>
      </c>
      <c r="E14" s="351"/>
      <c r="F14" s="351"/>
      <c r="G14" s="351"/>
      <c r="H14" s="351"/>
      <c r="I14" s="351"/>
    </row>
    <row r="15" spans="1:14" s="293" customFormat="1">
      <c r="B15" s="76" t="str">
        <f>IF(Sector="ED2","Calculated revenue","Adjusted revenue (as published)")</f>
        <v>Calculated revenue</v>
      </c>
      <c r="C15" s="100" t="str">
        <f>IF(Licensee="NGGT (SO)","SOADJRt*",IF(Sector="ED2"," ","ADJRt*"))</f>
        <v xml:space="preserve"> </v>
      </c>
      <c r="D15" s="28" t="s">
        <v>555</v>
      </c>
      <c r="E15" s="394">
        <f>SUM(E13:E14)</f>
        <v>516.01267959107076</v>
      </c>
      <c r="F15" s="394">
        <f t="shared" ref="F15:I15" si="2">SUM(F13:F14)</f>
        <v>518.33178916011434</v>
      </c>
      <c r="G15" s="394">
        <f t="shared" si="2"/>
        <v>0</v>
      </c>
      <c r="H15" s="394">
        <f t="shared" si="2"/>
        <v>0</v>
      </c>
      <c r="I15" s="394">
        <f t="shared" si="2"/>
        <v>0</v>
      </c>
    </row>
    <row r="16" spans="1:14" s="293" customFormat="1">
      <c r="B16" s="76" t="s">
        <v>557</v>
      </c>
      <c r="C16" s="100" t="str">
        <f>IF(OR(Licensee="ESO",Licensee="NGGT (SO)"),"SOLARt","LARt")</f>
        <v>LARt</v>
      </c>
      <c r="D16" s="28" t="s">
        <v>555</v>
      </c>
      <c r="E16" s="351">
        <v>19.069542713083521</v>
      </c>
      <c r="F16" s="351">
        <v>45.316995065705974</v>
      </c>
      <c r="G16" s="351"/>
      <c r="H16" s="351"/>
      <c r="I16" s="351"/>
    </row>
    <row r="17" spans="2:10" s="293" customFormat="1">
      <c r="B17" s="76" t="s">
        <v>558</v>
      </c>
      <c r="C17" s="100" t="str">
        <f>IF(Licensee="NGGT (SO)","SOKt","Kt")</f>
        <v>Kt</v>
      </c>
      <c r="D17" s="28" t="s">
        <v>555</v>
      </c>
      <c r="E17" s="351">
        <v>11.21976450683211</v>
      </c>
      <c r="F17" s="351">
        <v>6.8475398868012682</v>
      </c>
      <c r="G17" s="351"/>
      <c r="H17" s="351"/>
      <c r="I17" s="351"/>
    </row>
    <row r="18" spans="2:10" s="293" customFormat="1">
      <c r="B18" s="76" t="s">
        <v>559</v>
      </c>
      <c r="C18" s="100" t="s">
        <v>560</v>
      </c>
      <c r="D18" s="28" t="s">
        <v>555</v>
      </c>
      <c r="E18" s="721">
        <v>0</v>
      </c>
      <c r="F18" s="721">
        <v>0</v>
      </c>
      <c r="G18" s="721"/>
      <c r="H18" s="721"/>
      <c r="I18" s="721"/>
    </row>
    <row r="19" spans="2:10" s="293" customFormat="1">
      <c r="B19" s="75" t="s">
        <v>561</v>
      </c>
      <c r="C19" s="75" t="str">
        <f>IF(Licensee="ESO","SOIARt",IF(Licensee="NGGT (SO)","SOARt","ARt"))</f>
        <v>ARt</v>
      </c>
      <c r="D19" s="29" t="s">
        <v>555</v>
      </c>
      <c r="E19" s="393">
        <f>SUM(E15:E18)</f>
        <v>546.30198681098636</v>
      </c>
      <c r="F19" s="393">
        <f t="shared" ref="F19:I19" si="3">SUM(F15:F18)</f>
        <v>570.49632411262166</v>
      </c>
      <c r="G19" s="393">
        <f t="shared" si="3"/>
        <v>0</v>
      </c>
      <c r="H19" s="393">
        <f t="shared" si="3"/>
        <v>0</v>
      </c>
      <c r="I19" s="393">
        <f t="shared" si="3"/>
        <v>0</v>
      </c>
    </row>
    <row r="20" spans="2:10" s="293" customFormat="1">
      <c r="B20" s="343"/>
      <c r="C20" s="343"/>
      <c r="D20" s="29"/>
      <c r="E20" s="352"/>
      <c r="F20" s="352"/>
      <c r="G20" s="352"/>
      <c r="H20" s="353"/>
      <c r="I20" s="353"/>
    </row>
    <row r="21" spans="2:10" s="293" customFormat="1">
      <c r="B21" s="343" t="s">
        <v>562</v>
      </c>
      <c r="C21" s="350"/>
      <c r="D21" s="29" t="s">
        <v>555</v>
      </c>
      <c r="E21" s="393">
        <f>IF(ISBLANK(E25),0,E25-E19)</f>
        <v>-6.2365844109864383</v>
      </c>
      <c r="F21" s="393">
        <f t="shared" ref="F21:I21" si="4">IF(ISBLANK(F25),0,F25-F19)</f>
        <v>24.178114917378366</v>
      </c>
      <c r="G21" s="393">
        <f t="shared" si="4"/>
        <v>0</v>
      </c>
      <c r="H21" s="393">
        <f t="shared" si="4"/>
        <v>0</v>
      </c>
      <c r="I21" s="393">
        <f t="shared" si="4"/>
        <v>0</v>
      </c>
    </row>
    <row r="22" spans="2:10" s="293" customFormat="1">
      <c r="B22" s="343"/>
      <c r="C22" s="343"/>
      <c r="D22" s="29"/>
    </row>
    <row r="23" spans="2:10" s="293" customFormat="1">
      <c r="B23" s="343"/>
      <c r="C23" s="343"/>
      <c r="D23" s="29"/>
    </row>
    <row r="24" spans="2:10" s="293" customFormat="1">
      <c r="B24" s="343"/>
      <c r="C24" s="343"/>
      <c r="D24" s="29"/>
    </row>
    <row r="25" spans="2:10" s="293" customFormat="1">
      <c r="B25" s="350" t="s">
        <v>563</v>
      </c>
      <c r="C25" s="350" t="s">
        <v>564</v>
      </c>
      <c r="D25" s="29" t="s">
        <v>555</v>
      </c>
      <c r="E25" s="351">
        <v>540.06540239999993</v>
      </c>
      <c r="F25" s="351">
        <v>594.67443903000003</v>
      </c>
      <c r="G25" s="351"/>
      <c r="H25" s="351"/>
      <c r="I25" s="351"/>
    </row>
    <row r="26" spans="2:10" s="293" customFormat="1">
      <c r="B26" s="343"/>
      <c r="C26" s="343"/>
      <c r="D26" s="29"/>
    </row>
    <row r="27" spans="2:10" s="293" customFormat="1">
      <c r="B27" s="350" t="s">
        <v>565</v>
      </c>
      <c r="C27" s="350"/>
      <c r="D27" s="29"/>
      <c r="E27" s="29"/>
      <c r="F27" s="29"/>
      <c r="G27" s="29"/>
      <c r="H27" s="29"/>
      <c r="I27" s="29"/>
      <c r="J27" s="29"/>
    </row>
    <row r="28" spans="2:10" s="293" customFormat="1">
      <c r="B28" s="354" t="s">
        <v>566</v>
      </c>
      <c r="C28" s="354"/>
      <c r="D28" s="29" t="s">
        <v>555</v>
      </c>
      <c r="E28" s="355">
        <v>1.405983</v>
      </c>
      <c r="F28" s="355">
        <v>1.1029149599999999</v>
      </c>
      <c r="G28" s="355"/>
      <c r="H28" s="355"/>
      <c r="I28" s="355"/>
    </row>
    <row r="29" spans="2:10" s="293" customFormat="1">
      <c r="B29" s="354" t="s">
        <v>567</v>
      </c>
      <c r="C29" s="354"/>
      <c r="D29" s="29" t="s">
        <v>555</v>
      </c>
      <c r="E29" s="355">
        <v>2.0703923099999999</v>
      </c>
      <c r="F29" s="355">
        <v>1.9452058200000002</v>
      </c>
      <c r="G29" s="355"/>
      <c r="H29" s="355"/>
      <c r="I29" s="355"/>
    </row>
    <row r="30" spans="2:10" s="293" customFormat="1">
      <c r="B30" s="354" t="s">
        <v>568</v>
      </c>
      <c r="C30" s="354"/>
      <c r="D30" s="29" t="s">
        <v>555</v>
      </c>
      <c r="E30" s="355">
        <v>22.043460672803334</v>
      </c>
      <c r="F30" s="355">
        <v>22.7755875</v>
      </c>
      <c r="G30" s="355"/>
      <c r="H30" s="355"/>
      <c r="I30" s="355"/>
    </row>
    <row r="31" spans="2:10" s="293" customFormat="1">
      <c r="B31" s="354" t="s">
        <v>569</v>
      </c>
      <c r="C31" s="354"/>
      <c r="D31" s="29" t="s">
        <v>555</v>
      </c>
      <c r="E31" s="355">
        <v>0</v>
      </c>
      <c r="F31" s="355">
        <v>0</v>
      </c>
      <c r="G31" s="355"/>
      <c r="H31" s="355"/>
      <c r="I31" s="355"/>
    </row>
    <row r="32" spans="2:10" s="293" customFormat="1">
      <c r="B32" s="354" t="s">
        <v>570</v>
      </c>
      <c r="C32" s="354"/>
      <c r="D32" s="29" t="s">
        <v>555</v>
      </c>
      <c r="E32" s="355">
        <v>0</v>
      </c>
      <c r="F32" s="355">
        <v>0</v>
      </c>
      <c r="G32" s="355"/>
      <c r="H32" s="355"/>
      <c r="I32" s="355"/>
    </row>
    <row r="33" spans="2:9" s="293" customFormat="1">
      <c r="B33" s="354" t="s">
        <v>571</v>
      </c>
      <c r="C33" s="354"/>
      <c r="D33" s="29" t="s">
        <v>555</v>
      </c>
      <c r="E33" s="355">
        <v>4.2383862903333336</v>
      </c>
      <c r="F33" s="355">
        <v>3.9500333600000004</v>
      </c>
      <c r="G33" s="355"/>
      <c r="H33" s="355"/>
      <c r="I33" s="355"/>
    </row>
    <row r="34" spans="2:9" s="293" customFormat="1">
      <c r="B34" s="354" t="s">
        <v>572</v>
      </c>
      <c r="C34" s="354"/>
      <c r="D34" s="29" t="s">
        <v>555</v>
      </c>
      <c r="E34" s="355">
        <v>0</v>
      </c>
      <c r="F34" s="355">
        <v>0</v>
      </c>
      <c r="G34" s="355"/>
      <c r="H34" s="355"/>
      <c r="I34" s="355"/>
    </row>
    <row r="35" spans="2:9" s="293" customFormat="1">
      <c r="B35" s="162" t="s">
        <v>573</v>
      </c>
      <c r="C35" s="162"/>
      <c r="D35" s="29" t="s">
        <v>555</v>
      </c>
      <c r="E35" s="355">
        <v>0</v>
      </c>
      <c r="F35" s="355">
        <v>0</v>
      </c>
      <c r="G35" s="355"/>
      <c r="H35" s="355"/>
      <c r="I35" s="355"/>
    </row>
    <row r="36" spans="2:9" s="293" customFormat="1">
      <c r="B36" s="356" t="s">
        <v>574</v>
      </c>
      <c r="C36" s="357"/>
      <c r="D36" s="29" t="s">
        <v>555</v>
      </c>
      <c r="E36" s="355">
        <v>0</v>
      </c>
      <c r="F36" s="355">
        <v>0</v>
      </c>
      <c r="G36" s="355"/>
      <c r="H36" s="355"/>
      <c r="I36" s="355"/>
    </row>
    <row r="37" spans="2:9" s="293" customFormat="1">
      <c r="B37" s="350" t="s">
        <v>575</v>
      </c>
      <c r="C37" s="350"/>
      <c r="D37" s="29" t="s">
        <v>555</v>
      </c>
      <c r="E37" s="393">
        <f>SUM(E28:E36)</f>
        <v>29.758222273136671</v>
      </c>
      <c r="F37" s="393">
        <f t="shared" ref="F37:I37" si="5">SUM(F28:F36)</f>
        <v>29.773741640000001</v>
      </c>
      <c r="G37" s="393">
        <f t="shared" si="5"/>
        <v>0</v>
      </c>
      <c r="H37" s="393">
        <f t="shared" si="5"/>
        <v>0</v>
      </c>
      <c r="I37" s="393">
        <f t="shared" si="5"/>
        <v>0</v>
      </c>
    </row>
    <row r="38" spans="2:9" s="293" customFormat="1">
      <c r="B38" s="343"/>
      <c r="C38" s="343"/>
      <c r="D38" s="29"/>
    </row>
    <row r="39" spans="2:9" s="293" customFormat="1">
      <c r="B39" s="350" t="s">
        <v>576</v>
      </c>
      <c r="D39" s="350"/>
      <c r="E39" s="358"/>
    </row>
    <row r="40" spans="2:9" s="293" customFormat="1">
      <c r="B40" s="356" t="s">
        <v>929</v>
      </c>
      <c r="C40" s="356"/>
      <c r="D40" s="29" t="s">
        <v>555</v>
      </c>
      <c r="E40" s="355">
        <v>1.95899256</v>
      </c>
      <c r="F40" s="355">
        <v>2.3641084000000001</v>
      </c>
      <c r="G40" s="355"/>
      <c r="H40" s="355"/>
      <c r="I40" s="355"/>
    </row>
    <row r="41" spans="2:9" s="293" customFormat="1">
      <c r="B41" s="356" t="s">
        <v>930</v>
      </c>
      <c r="C41" s="356"/>
      <c r="D41" s="29" t="s">
        <v>555</v>
      </c>
      <c r="E41" s="355">
        <v>2.7782941999999999</v>
      </c>
      <c r="F41" s="355">
        <v>2.9440106199999998</v>
      </c>
      <c r="G41" s="355"/>
      <c r="H41" s="355"/>
      <c r="I41" s="355"/>
    </row>
    <row r="42" spans="2:9" s="293" customFormat="1">
      <c r="B42" s="356" t="s">
        <v>931</v>
      </c>
      <c r="C42" s="356"/>
      <c r="D42" s="29" t="s">
        <v>555</v>
      </c>
      <c r="E42" s="355">
        <v>21.069377876863328</v>
      </c>
      <c r="F42" s="355">
        <v>21.769757420000001</v>
      </c>
      <c r="G42" s="355"/>
      <c r="H42" s="355"/>
      <c r="I42" s="355"/>
    </row>
    <row r="43" spans="2:9" s="293" customFormat="1">
      <c r="B43" s="356" t="s">
        <v>932</v>
      </c>
      <c r="C43" s="356"/>
      <c r="D43" s="29" t="s">
        <v>555</v>
      </c>
      <c r="E43" s="355">
        <v>0.85929707999999994</v>
      </c>
      <c r="F43" s="355">
        <v>1.4522286299999998</v>
      </c>
      <c r="G43" s="355"/>
      <c r="H43" s="355"/>
      <c r="I43" s="355"/>
    </row>
    <row r="44" spans="2:9" s="293" customFormat="1">
      <c r="B44" s="356" t="s">
        <v>933</v>
      </c>
      <c r="C44" s="356"/>
      <c r="D44" s="29" t="s">
        <v>555</v>
      </c>
      <c r="E44" s="355">
        <v>1.4153144199999999</v>
      </c>
      <c r="F44" s="355">
        <v>1.3416713600000001</v>
      </c>
      <c r="G44" s="355"/>
      <c r="H44" s="355"/>
      <c r="I44" s="355"/>
    </row>
    <row r="45" spans="2:9" s="293" customFormat="1">
      <c r="B45" s="356" t="s">
        <v>934</v>
      </c>
      <c r="C45" s="356"/>
      <c r="D45" s="29" t="s">
        <v>555</v>
      </c>
      <c r="E45" s="355">
        <v>0.24367392999999998</v>
      </c>
      <c r="F45" s="355">
        <v>9.347749000000001E-2</v>
      </c>
      <c r="G45" s="355"/>
      <c r="H45" s="355"/>
      <c r="I45" s="355"/>
    </row>
    <row r="46" spans="2:9" s="293" customFormat="1">
      <c r="B46" s="356" t="s">
        <v>935</v>
      </c>
      <c r="C46" s="356"/>
      <c r="D46" s="29" t="s">
        <v>555</v>
      </c>
      <c r="E46" s="355">
        <v>7.8200000000000006E-2</v>
      </c>
      <c r="F46" s="355">
        <v>9.7750000000000004E-2</v>
      </c>
      <c r="G46" s="355"/>
      <c r="H46" s="355"/>
      <c r="I46" s="355"/>
    </row>
    <row r="47" spans="2:9" s="293" customFormat="1">
      <c r="B47" s="356" t="s">
        <v>936</v>
      </c>
      <c r="C47" s="356"/>
      <c r="D47" s="29" t="s">
        <v>555</v>
      </c>
      <c r="E47" s="355">
        <v>1.335065E-2</v>
      </c>
      <c r="F47" s="355">
        <v>4.0752000000000002E-3</v>
      </c>
      <c r="G47" s="355"/>
      <c r="H47" s="355"/>
      <c r="I47" s="355"/>
    </row>
    <row r="48" spans="2:9" s="293" customFormat="1">
      <c r="B48" s="356" t="s">
        <v>937</v>
      </c>
      <c r="C48" s="356"/>
      <c r="D48" s="29" t="s">
        <v>555</v>
      </c>
      <c r="E48" s="355">
        <v>-0.14757147999999998</v>
      </c>
      <c r="F48" s="355">
        <v>-0.12908107000000002</v>
      </c>
      <c r="G48" s="355"/>
      <c r="H48" s="355"/>
      <c r="I48" s="355"/>
    </row>
    <row r="49" spans="2:10" s="293" customFormat="1">
      <c r="B49" s="356" t="s">
        <v>577</v>
      </c>
      <c r="C49" s="356"/>
      <c r="D49" s="29" t="s">
        <v>555</v>
      </c>
      <c r="E49" s="355"/>
      <c r="F49" s="355"/>
      <c r="G49" s="355"/>
      <c r="H49" s="355"/>
      <c r="I49" s="355"/>
    </row>
    <row r="50" spans="2:10" s="293" customFormat="1">
      <c r="B50" s="356" t="s">
        <v>577</v>
      </c>
      <c r="C50" s="356"/>
      <c r="D50" s="29" t="s">
        <v>555</v>
      </c>
      <c r="E50" s="355"/>
      <c r="F50" s="355"/>
      <c r="G50" s="355"/>
      <c r="H50" s="355"/>
      <c r="I50" s="355"/>
    </row>
    <row r="51" spans="2:10" s="293" customFormat="1">
      <c r="B51" s="356" t="s">
        <v>577</v>
      </c>
      <c r="C51" s="356"/>
      <c r="D51" s="29" t="s">
        <v>555</v>
      </c>
      <c r="E51" s="355"/>
      <c r="F51" s="355"/>
      <c r="G51" s="355"/>
      <c r="H51" s="355"/>
      <c r="I51" s="355"/>
    </row>
    <row r="52" spans="2:10" s="293" customFormat="1">
      <c r="B52" s="356" t="s">
        <v>577</v>
      </c>
      <c r="C52" s="356"/>
      <c r="D52" s="29" t="s">
        <v>555</v>
      </c>
      <c r="E52" s="355"/>
      <c r="F52" s="355"/>
      <c r="G52" s="355"/>
      <c r="H52" s="355"/>
      <c r="I52" s="355"/>
    </row>
    <row r="53" spans="2:10" s="293" customFormat="1">
      <c r="B53" s="356" t="s">
        <v>577</v>
      </c>
      <c r="C53" s="356"/>
      <c r="D53" s="29" t="s">
        <v>555</v>
      </c>
      <c r="E53" s="355"/>
      <c r="F53" s="355"/>
      <c r="G53" s="355"/>
      <c r="H53" s="355"/>
      <c r="I53" s="355"/>
    </row>
    <row r="54" spans="2:10" s="293" customFormat="1">
      <c r="B54" s="356" t="s">
        <v>577</v>
      </c>
      <c r="C54" s="356"/>
      <c r="D54" s="29" t="s">
        <v>555</v>
      </c>
      <c r="E54" s="355"/>
      <c r="F54" s="355"/>
      <c r="G54" s="355"/>
      <c r="H54" s="355"/>
      <c r="I54" s="355"/>
    </row>
    <row r="55" spans="2:10" s="293" customFormat="1">
      <c r="B55" s="356" t="s">
        <v>577</v>
      </c>
      <c r="C55" s="356"/>
      <c r="D55" s="29" t="s">
        <v>555</v>
      </c>
      <c r="E55" s="355"/>
      <c r="F55" s="355"/>
      <c r="G55" s="355"/>
      <c r="H55" s="355"/>
      <c r="I55" s="355"/>
    </row>
    <row r="56" spans="2:10" s="293" customFormat="1">
      <c r="B56" s="350" t="s">
        <v>578</v>
      </c>
      <c r="C56" s="350"/>
      <c r="D56" s="29" t="s">
        <v>555</v>
      </c>
      <c r="E56" s="393">
        <f t="shared" ref="E56:I56" si="6">SUM(E40:E55)</f>
        <v>28.268929236863329</v>
      </c>
      <c r="F56" s="393">
        <f t="shared" si="6"/>
        <v>29.937998050000001</v>
      </c>
      <c r="G56" s="393">
        <f t="shared" si="6"/>
        <v>0</v>
      </c>
      <c r="H56" s="393">
        <f t="shared" si="6"/>
        <v>0</v>
      </c>
      <c r="I56" s="393">
        <f t="shared" si="6"/>
        <v>0</v>
      </c>
    </row>
    <row r="57" spans="2:10" s="293" customFormat="1">
      <c r="B57" s="343"/>
      <c r="C57" s="343"/>
      <c r="D57" s="29"/>
      <c r="E57" s="359"/>
      <c r="F57" s="359"/>
      <c r="G57" s="359"/>
      <c r="H57" s="359"/>
      <c r="I57" s="359"/>
    </row>
    <row r="58" spans="2:10" s="293" customFormat="1">
      <c r="B58" s="360" t="s">
        <v>579</v>
      </c>
      <c r="C58" s="360"/>
      <c r="D58" s="29" t="s">
        <v>555</v>
      </c>
      <c r="E58" s="393">
        <f>E25+E37+E56</f>
        <v>598.09255390999988</v>
      </c>
      <c r="F58" s="393">
        <f t="shared" ref="F58:I58" si="7">F25+F37+F56</f>
        <v>654.38617872000009</v>
      </c>
      <c r="G58" s="393">
        <f t="shared" si="7"/>
        <v>0</v>
      </c>
      <c r="H58" s="393">
        <f t="shared" si="7"/>
        <v>0</v>
      </c>
      <c r="I58" s="393">
        <f t="shared" si="7"/>
        <v>0</v>
      </c>
    </row>
    <row r="59" spans="2:10" s="293" customFormat="1">
      <c r="B59" s="361" t="s">
        <v>580</v>
      </c>
      <c r="C59" s="361"/>
      <c r="D59" s="29" t="s">
        <v>555</v>
      </c>
      <c r="E59" s="355">
        <v>598.09313920913655</v>
      </c>
      <c r="F59" s="355">
        <v>654.38613812999995</v>
      </c>
      <c r="G59" s="355"/>
      <c r="H59" s="355"/>
      <c r="I59" s="355"/>
    </row>
    <row r="60" spans="2:10" s="293" customFormat="1">
      <c r="B60" s="343" t="s">
        <v>581</v>
      </c>
      <c r="C60" s="343"/>
      <c r="D60" s="29"/>
      <c r="E60" s="395" t="str">
        <f>IF(ABS(E58-E59)&lt;Data!$F$7,"OK","Error")</f>
        <v>OK</v>
      </c>
      <c r="F60" s="395" t="str">
        <f>IF(ABS(F58-F59)&lt;Data!$F$7,"OK","Error")</f>
        <v>OK</v>
      </c>
      <c r="G60" s="395" t="str">
        <f>IF(ABS(G58-G59)&lt;Data!$F$7,"OK","Error")</f>
        <v>OK</v>
      </c>
      <c r="H60" s="395" t="str">
        <f>IF(ABS(H58-H59)&lt;Data!$F$7,"OK","Error")</f>
        <v>OK</v>
      </c>
      <c r="I60" s="395" t="str">
        <f>IF(ABS(I58-I59)&lt;Data!$F$7,"OK","Error")</f>
        <v>OK</v>
      </c>
    </row>
    <row r="61" spans="2:10" s="293" customFormat="1">
      <c r="B61" s="343"/>
      <c r="C61" s="343"/>
      <c r="D61" s="29"/>
      <c r="E61" s="362"/>
      <c r="F61" s="362"/>
      <c r="G61" s="362"/>
      <c r="H61" s="362"/>
      <c r="I61" s="362"/>
    </row>
    <row r="62" spans="2:10" s="293" customFormat="1">
      <c r="B62" s="343"/>
      <c r="C62" s="343"/>
      <c r="D62" s="29"/>
    </row>
    <row r="63" spans="2:10" s="293" customFormat="1">
      <c r="B63" s="343"/>
      <c r="C63" s="343"/>
      <c r="D63" s="29"/>
    </row>
    <row r="64" spans="2:10" s="293" customFormat="1">
      <c r="B64" s="345" t="s">
        <v>582</v>
      </c>
      <c r="C64" s="345"/>
      <c r="D64" s="346"/>
      <c r="E64" s="347"/>
      <c r="F64" s="347"/>
      <c r="G64" s="347"/>
      <c r="H64" s="347"/>
      <c r="I64" s="347"/>
      <c r="J64" s="348"/>
    </row>
    <row r="65" spans="1:14" s="293" customFormat="1">
      <c r="A65" s="100"/>
      <c r="B65" s="76"/>
      <c r="C65" s="76"/>
      <c r="D65" s="29"/>
      <c r="E65" s="100"/>
      <c r="F65" s="100"/>
      <c r="G65" s="100"/>
      <c r="H65" s="100"/>
      <c r="I65" s="100"/>
      <c r="J65" s="100"/>
      <c r="K65" s="100"/>
      <c r="L65" s="100"/>
      <c r="M65" s="100"/>
      <c r="N65" s="100"/>
    </row>
    <row r="66" spans="1:14" s="293" customFormat="1">
      <c r="A66" s="100"/>
      <c r="B66" s="76"/>
      <c r="C66" s="76"/>
      <c r="D66" s="29"/>
      <c r="E66" s="292" t="str">
        <f>IF(E$6&lt;=Reporting_Year,"Actuals","N/A")</f>
        <v>Actuals</v>
      </c>
      <c r="F66" s="292" t="str">
        <f>IF(F$6&lt;=Reporting_Year,"Actuals","N/A")</f>
        <v>Actuals</v>
      </c>
      <c r="G66" s="292" t="str">
        <f>IF(G$6&lt;=Reporting_Year,"Actuals","N/A")</f>
        <v>N/A</v>
      </c>
      <c r="H66" s="292" t="str">
        <f>IF(H$6&lt;=Reporting_Year,"Actuals","N/A")</f>
        <v>N/A</v>
      </c>
      <c r="I66" s="292" t="str">
        <f>IF(I$6&lt;=Reporting_Year,"Actuals","N/A")</f>
        <v>N/A</v>
      </c>
      <c r="J66" s="100"/>
      <c r="K66" s="100"/>
      <c r="L66" s="100"/>
      <c r="M66" s="100"/>
      <c r="N66" s="100"/>
    </row>
    <row r="67" spans="1:14" s="293" customFormat="1">
      <c r="A67" s="100"/>
      <c r="B67" s="76"/>
      <c r="C67" s="76"/>
      <c r="D67" s="29"/>
      <c r="E67" s="100"/>
      <c r="F67" s="100"/>
      <c r="G67" s="100"/>
      <c r="H67" s="100"/>
      <c r="I67" s="100"/>
      <c r="J67" s="100"/>
      <c r="K67" s="100"/>
      <c r="L67" s="100"/>
      <c r="M67" s="100"/>
      <c r="N67" s="100"/>
    </row>
    <row r="68" spans="1:14" s="293" customFormat="1">
      <c r="A68" s="100"/>
      <c r="B68" s="781" t="s">
        <v>583</v>
      </c>
      <c r="C68" s="76"/>
      <c r="D68" s="29" t="s">
        <v>555</v>
      </c>
      <c r="E68" s="396">
        <f t="shared" ref="E68:I68" si="8">E59</f>
        <v>598.09313920913655</v>
      </c>
      <c r="F68" s="396">
        <f t="shared" si="8"/>
        <v>654.38613812999995</v>
      </c>
      <c r="G68" s="396">
        <f t="shared" si="8"/>
        <v>0</v>
      </c>
      <c r="H68" s="396">
        <f t="shared" si="8"/>
        <v>0</v>
      </c>
      <c r="I68" s="396">
        <f t="shared" si="8"/>
        <v>0</v>
      </c>
      <c r="J68" s="100"/>
      <c r="K68" s="100"/>
      <c r="L68" s="100"/>
      <c r="M68" s="100"/>
      <c r="N68" s="100"/>
    </row>
    <row r="69" spans="1:14" s="293" customFormat="1">
      <c r="A69" s="100"/>
      <c r="B69" s="293" t="s">
        <v>584</v>
      </c>
      <c r="C69" s="76"/>
      <c r="D69" s="29" t="s">
        <v>555</v>
      </c>
      <c r="E69" s="396">
        <f>E25</f>
        <v>540.06540239999993</v>
      </c>
      <c r="F69" s="396">
        <f>F25</f>
        <v>594.67443903000003</v>
      </c>
      <c r="G69" s="396">
        <f t="shared" ref="G69:I69" si="9">G25</f>
        <v>0</v>
      </c>
      <c r="H69" s="396">
        <f t="shared" si="9"/>
        <v>0</v>
      </c>
      <c r="I69" s="396">
        <f t="shared" si="9"/>
        <v>0</v>
      </c>
      <c r="J69" s="100" t="s">
        <v>585</v>
      </c>
      <c r="K69" s="100"/>
      <c r="L69" s="100"/>
      <c r="M69" s="100"/>
      <c r="N69" s="100"/>
    </row>
    <row r="70" spans="1:14" s="293" customFormat="1">
      <c r="A70" s="100"/>
      <c r="B70" s="361"/>
      <c r="C70" s="76"/>
      <c r="D70" s="29"/>
      <c r="E70" s="363"/>
      <c r="F70" s="363"/>
      <c r="G70" s="363"/>
      <c r="H70" s="100"/>
      <c r="I70" s="100"/>
      <c r="J70" s="100"/>
      <c r="K70" s="100"/>
      <c r="L70" s="100"/>
      <c r="M70" s="100"/>
      <c r="N70" s="100"/>
    </row>
    <row r="71" spans="1:14">
      <c r="B71" s="364"/>
    </row>
    <row r="72" spans="1:14">
      <c r="B72" s="781" t="s">
        <v>586</v>
      </c>
      <c r="D72" s="29" t="s">
        <v>555</v>
      </c>
      <c r="E72" s="396">
        <f>'R3 - Totex - Reconciliation'!D129</f>
        <v>222.25755315000001</v>
      </c>
      <c r="F72" s="396">
        <f>'R3 - Totex - Reconciliation'!E129</f>
        <v>216.46637138000003</v>
      </c>
      <c r="G72" s="396">
        <f>'R3 - Totex - Reconciliation'!F129</f>
        <v>0</v>
      </c>
      <c r="H72" s="396">
        <f>'R3 - Totex - Reconciliation'!G129</f>
        <v>0</v>
      </c>
      <c r="I72" s="396">
        <f>'R3 - Totex - Reconciliation'!H129</f>
        <v>0</v>
      </c>
    </row>
    <row r="73" spans="1:14">
      <c r="B73" s="365" t="s">
        <v>587</v>
      </c>
      <c r="D73" s="100"/>
    </row>
    <row r="74" spans="1:14" ht="8.15" customHeight="1">
      <c r="B74" s="100"/>
      <c r="D74" s="100"/>
    </row>
    <row r="75" spans="1:14" ht="12.65" customHeight="1">
      <c r="B75" s="293" t="s">
        <v>588</v>
      </c>
      <c r="D75" s="29" t="s">
        <v>555</v>
      </c>
      <c r="E75" s="397">
        <f>'R3 - Totex - Reconciliation'!D150</f>
        <v>-0.9410116227256804</v>
      </c>
      <c r="F75" s="397">
        <f>'R3 - Totex - Reconciliation'!E150</f>
        <v>0.19131282666199903</v>
      </c>
      <c r="G75" s="397">
        <f>'R3 - Totex - Reconciliation'!F150</f>
        <v>0</v>
      </c>
      <c r="H75" s="397">
        <f>'R3 - Totex - Reconciliation'!G150</f>
        <v>0</v>
      </c>
      <c r="I75" s="397">
        <f>'R3 - Totex - Reconciliation'!H150</f>
        <v>0</v>
      </c>
    </row>
    <row r="76" spans="1:14">
      <c r="B76" s="100" t="s">
        <v>589</v>
      </c>
      <c r="D76" s="29" t="s">
        <v>555</v>
      </c>
      <c r="E76" s="355"/>
      <c r="F76" s="355"/>
      <c r="G76" s="355"/>
      <c r="H76" s="355"/>
      <c r="I76" s="355"/>
    </row>
    <row r="77" spans="1:14" ht="5.15" customHeight="1">
      <c r="B77" s="100"/>
      <c r="D77" s="76"/>
      <c r="E77" s="76"/>
      <c r="F77" s="76"/>
      <c r="G77" s="76"/>
      <c r="H77" s="76"/>
      <c r="I77" s="76"/>
    </row>
    <row r="78" spans="1:14">
      <c r="B78" s="293" t="s">
        <v>590</v>
      </c>
      <c r="D78" s="29" t="s">
        <v>555</v>
      </c>
      <c r="E78" s="396">
        <f>'R3 - Totex - Reconciliation'!D129+'R3 - Totex - Reconciliation'!D150+E76</f>
        <v>221.31654152727432</v>
      </c>
      <c r="F78" s="398">
        <f>'R3 - Totex - Reconciliation'!E129+'R3 - Totex - Reconciliation'!E150+F76</f>
        <v>216.65768420666203</v>
      </c>
      <c r="G78" s="398">
        <f>'R3 - Totex - Reconciliation'!F129+'R3 - Totex - Reconciliation'!F150+G76</f>
        <v>0</v>
      </c>
      <c r="H78" s="398">
        <f>'R3 - Totex - Reconciliation'!G129+'R3 - Totex - Reconciliation'!G150+H76</f>
        <v>0</v>
      </c>
      <c r="I78" s="398">
        <f>'R3 - Totex - Reconciliation'!H129+'R3 - Totex - Reconciliation'!H150+I76</f>
        <v>0</v>
      </c>
      <c r="K78" s="76"/>
      <c r="N78" s="76"/>
    </row>
    <row r="79" spans="1:14">
      <c r="B79" s="365" t="s">
        <v>591</v>
      </c>
      <c r="D79" s="29" t="s">
        <v>555</v>
      </c>
      <c r="E79" s="399" t="str">
        <f>IF(ABS(E78-SUM(E72,E75,E76))&lt;=materiality_threshold,"ok","error")</f>
        <v>ok</v>
      </c>
      <c r="F79" s="399" t="str">
        <f>IF(ABS(F78-SUM(F72,F75,F76))&lt;=materiality_threshold,"ok","error")</f>
        <v>ok</v>
      </c>
      <c r="G79" s="399" t="str">
        <f>IF(ABS(G78-SUM(G72,G75,G76))&lt;=materiality_threshold,"ok","error")</f>
        <v>ok</v>
      </c>
      <c r="H79" s="399" t="str">
        <f>IF(ABS(H78-SUM(H72,H75,H76))&lt;=materiality_threshold,"ok","error")</f>
        <v>ok</v>
      </c>
      <c r="I79" s="399" t="str">
        <f>IF(ABS(I78-SUM(I72,I75,I76))&lt;=materiality_threshold,"ok","error")</f>
        <v>ok</v>
      </c>
    </row>
    <row r="80" spans="1:14">
      <c r="B80" s="100"/>
      <c r="E80" s="29"/>
      <c r="F80" s="29"/>
      <c r="G80" s="29"/>
      <c r="H80" s="29"/>
      <c r="I80" s="29"/>
    </row>
    <row r="81" spans="2:13">
      <c r="B81" s="781" t="s">
        <v>592</v>
      </c>
      <c r="D81" s="29" t="s">
        <v>555</v>
      </c>
      <c r="E81" s="400">
        <f>E68-E72</f>
        <v>375.83558605913652</v>
      </c>
      <c r="F81" s="400">
        <f>F68-F72</f>
        <v>437.91976674999989</v>
      </c>
      <c r="G81" s="400">
        <f>G68-G72</f>
        <v>0</v>
      </c>
      <c r="H81" s="400">
        <f>H68-H72</f>
        <v>0</v>
      </c>
      <c r="I81" s="400">
        <f>I68-I72</f>
        <v>0</v>
      </c>
    </row>
    <row r="82" spans="2:13">
      <c r="B82" s="366" t="s">
        <v>593</v>
      </c>
      <c r="D82" s="29" t="s">
        <v>555</v>
      </c>
      <c r="E82" s="400">
        <f>E69-E78</f>
        <v>318.74886087272557</v>
      </c>
      <c r="F82" s="400">
        <f>F69-F78</f>
        <v>378.01675482333803</v>
      </c>
      <c r="G82" s="400">
        <f>G69-G78</f>
        <v>0</v>
      </c>
      <c r="H82" s="400">
        <f>H69-H78</f>
        <v>0</v>
      </c>
      <c r="I82" s="400">
        <f>I69-I78</f>
        <v>0</v>
      </c>
    </row>
    <row r="84" spans="2:13">
      <c r="B84" s="781" t="s">
        <v>594</v>
      </c>
      <c r="D84" s="29" t="s">
        <v>555</v>
      </c>
      <c r="E84" s="398">
        <f>'R3 - Totex - Reconciliation'!D124</f>
        <v>146.70900102000002</v>
      </c>
      <c r="F84" s="398">
        <f>'R3 - Totex - Reconciliation'!E124</f>
        <v>157.09264570999997</v>
      </c>
      <c r="G84" s="398">
        <f>'R3 - Totex - Reconciliation'!F124</f>
        <v>0</v>
      </c>
      <c r="H84" s="398">
        <f>'R3 - Totex - Reconciliation'!G124</f>
        <v>0</v>
      </c>
      <c r="I84" s="398">
        <f>'R3 - Totex - Reconciliation'!H124</f>
        <v>0</v>
      </c>
    </row>
    <row r="85" spans="2:13" ht="16" customHeight="1">
      <c r="B85" s="365" t="s">
        <v>587</v>
      </c>
    </row>
    <row r="86" spans="2:13" ht="22" customHeight="1">
      <c r="B86" s="100" t="s">
        <v>595</v>
      </c>
      <c r="D86" s="100"/>
    </row>
    <row r="87" spans="2:13">
      <c r="B87" s="343" t="s">
        <v>596</v>
      </c>
      <c r="D87" s="29" t="s">
        <v>555</v>
      </c>
      <c r="E87" s="367">
        <v>-2.2245306736765298</v>
      </c>
      <c r="F87" s="367">
        <v>-2.3652175689384882</v>
      </c>
      <c r="G87" s="367">
        <v>0</v>
      </c>
      <c r="H87" s="367">
        <v>0</v>
      </c>
      <c r="I87" s="367">
        <v>0</v>
      </c>
    </row>
    <row r="88" spans="2:13">
      <c r="B88" s="356" t="s">
        <v>938</v>
      </c>
      <c r="C88" s="356"/>
      <c r="D88" s="29" t="s">
        <v>555</v>
      </c>
      <c r="E88" s="355">
        <v>-7.0706337579868803</v>
      </c>
      <c r="F88" s="355">
        <v>-7.6692899536235322</v>
      </c>
      <c r="G88" s="355"/>
      <c r="H88" s="355"/>
      <c r="I88" s="355"/>
    </row>
    <row r="89" spans="2:13">
      <c r="B89" s="343" t="s">
        <v>597</v>
      </c>
      <c r="D89" s="29" t="s">
        <v>555</v>
      </c>
      <c r="E89" s="401">
        <f>SUM(E87:E88)</f>
        <v>-9.2951644316634106</v>
      </c>
      <c r="F89" s="401">
        <f t="shared" ref="F89:I89" si="10">SUM(F87:F88)</f>
        <v>-10.03450752256202</v>
      </c>
      <c r="G89" s="401">
        <f t="shared" si="10"/>
        <v>0</v>
      </c>
      <c r="H89" s="401">
        <f t="shared" si="10"/>
        <v>0</v>
      </c>
      <c r="I89" s="401">
        <f t="shared" si="10"/>
        <v>0</v>
      </c>
    </row>
    <row r="90" spans="2:13" ht="5.15" customHeight="1">
      <c r="B90" s="343"/>
      <c r="D90" s="76"/>
      <c r="E90" s="76"/>
      <c r="F90" s="76"/>
      <c r="G90" s="76"/>
      <c r="H90" s="76"/>
      <c r="I90" s="76"/>
      <c r="J90" s="76"/>
      <c r="K90" s="76"/>
      <c r="L90" s="76"/>
      <c r="M90" s="76"/>
    </row>
    <row r="91" spans="2:13">
      <c r="B91" s="293" t="s">
        <v>598</v>
      </c>
      <c r="D91" s="29" t="s">
        <v>555</v>
      </c>
      <c r="E91" s="402">
        <f>SUM(E84,E89)</f>
        <v>137.41383658833661</v>
      </c>
      <c r="F91" s="402">
        <f t="shared" ref="F91:I91" si="11">SUM(F84,F89)</f>
        <v>147.05813818743795</v>
      </c>
      <c r="G91" s="402">
        <f t="shared" si="11"/>
        <v>0</v>
      </c>
      <c r="H91" s="402">
        <f t="shared" si="11"/>
        <v>0</v>
      </c>
      <c r="I91" s="402">
        <f t="shared" si="11"/>
        <v>0</v>
      </c>
    </row>
    <row r="92" spans="2:13">
      <c r="B92" s="100"/>
      <c r="C92" s="100"/>
      <c r="D92" s="100"/>
    </row>
    <row r="93" spans="2:13">
      <c r="B93" s="782" t="s">
        <v>599</v>
      </c>
      <c r="C93" s="368"/>
      <c r="D93" s="279" t="s">
        <v>555</v>
      </c>
      <c r="E93" s="394">
        <f>E81-E84</f>
        <v>229.1265850391365</v>
      </c>
      <c r="F93" s="394">
        <f t="shared" ref="F93:I93" si="12">F81-F84</f>
        <v>280.82712103999995</v>
      </c>
      <c r="G93" s="394">
        <f t="shared" si="12"/>
        <v>0</v>
      </c>
      <c r="H93" s="394">
        <f t="shared" si="12"/>
        <v>0</v>
      </c>
      <c r="I93" s="394">
        <f t="shared" si="12"/>
        <v>0</v>
      </c>
    </row>
    <row r="94" spans="2:13">
      <c r="B94" s="369" t="s">
        <v>600</v>
      </c>
      <c r="D94" s="29" t="s">
        <v>555</v>
      </c>
      <c r="E94" s="402">
        <f>E82-E91</f>
        <v>181.33502428438896</v>
      </c>
      <c r="F94" s="402">
        <f t="shared" ref="F94:I94" si="13">F82-F91</f>
        <v>230.95861663590009</v>
      </c>
      <c r="G94" s="402">
        <f t="shared" si="13"/>
        <v>0</v>
      </c>
      <c r="H94" s="402">
        <f t="shared" si="13"/>
        <v>0</v>
      </c>
      <c r="I94" s="402">
        <f t="shared" si="13"/>
        <v>0</v>
      </c>
    </row>
    <row r="95" spans="2:13">
      <c r="B95" s="369"/>
      <c r="E95" s="370"/>
      <c r="F95" s="370"/>
      <c r="G95" s="370"/>
      <c r="H95" s="370"/>
      <c r="I95" s="371"/>
    </row>
    <row r="96" spans="2:13">
      <c r="B96" s="783" t="s">
        <v>601</v>
      </c>
      <c r="D96" s="29" t="s">
        <v>555</v>
      </c>
      <c r="E96" s="403">
        <f>'R5 - Financing'!D9</f>
        <v>67.243701664641975</v>
      </c>
      <c r="F96" s="403">
        <f>'R5 - Financing'!E9</f>
        <v>32.405653570634627</v>
      </c>
      <c r="G96" s="403">
        <f>'R5 - Financing'!F9</f>
        <v>74.130814756134328</v>
      </c>
      <c r="H96" s="403">
        <f>'R5 - Financing'!G9</f>
        <v>39.807779701002708</v>
      </c>
      <c r="I96" s="403">
        <f>'R5 - Financing'!H9</f>
        <v>76.200980892439347</v>
      </c>
    </row>
    <row r="97" spans="2:9">
      <c r="B97" s="372" t="s">
        <v>602</v>
      </c>
      <c r="D97" s="29" t="s">
        <v>555</v>
      </c>
      <c r="E97" s="403">
        <f>'R5 - Financing'!D29</f>
        <v>89.753850764641996</v>
      </c>
      <c r="F97" s="403">
        <f>'R5 - Financing'!E29</f>
        <v>80.610765750634627</v>
      </c>
      <c r="G97" s="403">
        <f>'R5 - Financing'!F29</f>
        <v>78.941113443134242</v>
      </c>
      <c r="H97" s="403">
        <f>'R5 - Financing'!G29</f>
        <v>38.696791868002684</v>
      </c>
      <c r="I97" s="403">
        <f>'R5 - Financing'!H29</f>
        <v>46.638450418447931</v>
      </c>
    </row>
    <row r="98" spans="2:9">
      <c r="B98" s="373" t="s">
        <v>603</v>
      </c>
      <c r="D98" s="29" t="s">
        <v>555</v>
      </c>
      <c r="E98" s="402">
        <f>E96-E97</f>
        <v>-22.510149100000021</v>
      </c>
      <c r="F98" s="402">
        <f>F96-F97</f>
        <v>-48.20511218</v>
      </c>
      <c r="G98" s="402">
        <f>G96-G97</f>
        <v>-4.8102986869999143</v>
      </c>
      <c r="H98" s="402">
        <f>H96-H97</f>
        <v>1.1109878330000242</v>
      </c>
      <c r="I98" s="404">
        <f>I96-I97</f>
        <v>29.562530473991416</v>
      </c>
    </row>
    <row r="99" spans="2:9">
      <c r="B99" s="369"/>
      <c r="E99" s="370"/>
      <c r="F99" s="370"/>
      <c r="G99" s="370"/>
      <c r="H99" s="370"/>
      <c r="I99" s="371"/>
    </row>
    <row r="100" spans="2:9">
      <c r="B100" s="783" t="s">
        <v>604</v>
      </c>
      <c r="D100" s="29" t="s">
        <v>555</v>
      </c>
      <c r="E100" s="355">
        <v>41.7</v>
      </c>
      <c r="F100" s="355">
        <v>61.9</v>
      </c>
      <c r="G100" s="355"/>
      <c r="H100" s="355"/>
      <c r="I100" s="355"/>
    </row>
    <row r="101" spans="2:9">
      <c r="B101" s="783" t="s">
        <v>605</v>
      </c>
      <c r="D101" s="29" t="s">
        <v>555</v>
      </c>
      <c r="E101" s="355">
        <v>-26.6</v>
      </c>
      <c r="F101" s="355">
        <v>-43.2</v>
      </c>
      <c r="G101" s="355"/>
      <c r="H101" s="355"/>
      <c r="I101" s="355"/>
    </row>
    <row r="102" spans="2:9">
      <c r="B102" s="783" t="s">
        <v>606</v>
      </c>
      <c r="D102" s="29" t="s">
        <v>555</v>
      </c>
      <c r="E102" s="394">
        <f>SUM(E100:E101)</f>
        <v>15.100000000000001</v>
      </c>
      <c r="F102" s="394">
        <f t="shared" ref="F102:I102" si="14">SUM(F100:F101)</f>
        <v>18.699999999999996</v>
      </c>
      <c r="G102" s="394">
        <f t="shared" si="14"/>
        <v>0</v>
      </c>
      <c r="H102" s="394">
        <f t="shared" si="14"/>
        <v>0</v>
      </c>
      <c r="I102" s="394">
        <f t="shared" si="14"/>
        <v>0</v>
      </c>
    </row>
    <row r="103" spans="2:9">
      <c r="B103" s="372" t="s">
        <v>607</v>
      </c>
      <c r="D103" s="29" t="s">
        <v>555</v>
      </c>
      <c r="E103" s="403">
        <f>Adjusted_regulated_tax_liability</f>
        <v>0.14111736877751202</v>
      </c>
      <c r="F103" s="403">
        <f>Adjusted_regulated_tax_liability</f>
        <v>0</v>
      </c>
      <c r="G103" s="403">
        <f>Adjusted_regulated_tax_liability</f>
        <v>0</v>
      </c>
      <c r="H103" s="403">
        <f>Adjusted_regulated_tax_liability</f>
        <v>0</v>
      </c>
      <c r="I103" s="403">
        <f>Adjusted_regulated_tax_liability</f>
        <v>0</v>
      </c>
    </row>
    <row r="104" spans="2:9">
      <c r="B104" s="373" t="s">
        <v>603</v>
      </c>
      <c r="D104" s="29" t="s">
        <v>555</v>
      </c>
      <c r="E104" s="405">
        <f>E102-E103</f>
        <v>14.95888263122249</v>
      </c>
      <c r="F104" s="405">
        <f t="shared" ref="F104:I104" si="15">F102-F103</f>
        <v>18.699999999999996</v>
      </c>
      <c r="G104" s="405">
        <f t="shared" si="15"/>
        <v>0</v>
      </c>
      <c r="H104" s="405">
        <f t="shared" si="15"/>
        <v>0</v>
      </c>
      <c r="I104" s="405">
        <f t="shared" si="15"/>
        <v>0</v>
      </c>
    </row>
    <row r="105" spans="2:9">
      <c r="B105" s="374"/>
      <c r="E105" s="370"/>
      <c r="F105" s="370"/>
      <c r="G105" s="370"/>
      <c r="H105" s="370"/>
      <c r="I105" s="371"/>
    </row>
    <row r="106" spans="2:9">
      <c r="B106" s="784" t="s">
        <v>608</v>
      </c>
      <c r="D106" s="29" t="s">
        <v>555</v>
      </c>
      <c r="E106" s="394">
        <f>IFERROR(E93-E96-E100,0)</f>
        <v>120.18288337449452</v>
      </c>
      <c r="F106" s="394">
        <f>IFERROR(F93-F96-F100,0)</f>
        <v>186.52146746936532</v>
      </c>
      <c r="G106" s="394">
        <f>IFERROR(G93-G96-G100,0)</f>
        <v>-74.130814756134328</v>
      </c>
      <c r="H106" s="394">
        <f>IFERROR(H93-H96-H100,0)</f>
        <v>-39.807779701002708</v>
      </c>
      <c r="I106" s="394">
        <f>IFERROR(I93-I96-I100,0)</f>
        <v>-76.200980892439347</v>
      </c>
    </row>
    <row r="107" spans="2:9">
      <c r="B107" s="375" t="s">
        <v>609</v>
      </c>
      <c r="D107" s="29" t="s">
        <v>555</v>
      </c>
      <c r="E107" s="394">
        <f>IFERROR(E94-E97-E103,0)</f>
        <v>91.440056150969454</v>
      </c>
      <c r="F107" s="394">
        <f>IFERROR(F94-F97-F103,0)</f>
        <v>150.34785088526547</v>
      </c>
      <c r="G107" s="394">
        <f>IFERROR(G94-G97-G103,0)</f>
        <v>-78.941113443134242</v>
      </c>
      <c r="H107" s="394">
        <f>IFERROR(H94-H97-H103,0)</f>
        <v>-38.696791868002684</v>
      </c>
      <c r="I107" s="394">
        <f>IFERROR(I94-I97-I103,0)</f>
        <v>-46.638450418447931</v>
      </c>
    </row>
    <row r="108" spans="2:9">
      <c r="B108" s="373" t="s">
        <v>603</v>
      </c>
      <c r="D108" s="29" t="s">
        <v>555</v>
      </c>
      <c r="E108" s="402">
        <f>IFERROR(E106-E107,0)</f>
        <v>28.742827223525069</v>
      </c>
      <c r="F108" s="402">
        <f>IFERROR(F106-F107,0)</f>
        <v>36.173616584099847</v>
      </c>
      <c r="G108" s="402">
        <f>IFERROR(G106-G107,0)</f>
        <v>4.8102986869999143</v>
      </c>
      <c r="H108" s="402">
        <f>IFERROR(H106-H107,0)</f>
        <v>-1.1109878330000242</v>
      </c>
      <c r="I108" s="402">
        <f>IFERROR(I106-I107,0)</f>
        <v>-29.562530473991416</v>
      </c>
    </row>
    <row r="109" spans="2:9">
      <c r="B109" s="374"/>
      <c r="C109" s="100"/>
      <c r="D109" s="100"/>
      <c r="I109" s="376"/>
    </row>
    <row r="110" spans="2:9">
      <c r="B110" s="377"/>
      <c r="C110" s="378"/>
      <c r="D110" s="186"/>
      <c r="E110" s="187"/>
      <c r="F110" s="186"/>
      <c r="G110" s="186"/>
      <c r="H110" s="186"/>
      <c r="I110" s="188"/>
    </row>
    <row r="111" spans="2:9">
      <c r="B111" s="100"/>
      <c r="D111" s="100"/>
    </row>
    <row r="112" spans="2:9">
      <c r="B112" s="100"/>
      <c r="C112" s="100"/>
      <c r="D112" s="100"/>
    </row>
    <row r="113" spans="2:9">
      <c r="B113" s="379"/>
      <c r="D113" s="100"/>
    </row>
    <row r="114" spans="2:9">
      <c r="B114" s="380" t="s">
        <v>610</v>
      </c>
      <c r="C114" s="100"/>
      <c r="D114" s="100"/>
    </row>
    <row r="115" spans="2:9">
      <c r="B115" s="771"/>
      <c r="C115" s="659"/>
      <c r="D115" s="659"/>
      <c r="E115" s="659"/>
      <c r="F115" s="659"/>
      <c r="G115" s="381"/>
      <c r="H115" s="381"/>
      <c r="I115" s="382"/>
    </row>
    <row r="116" spans="2:9">
      <c r="B116" s="383"/>
      <c r="C116" s="384"/>
      <c r="D116" s="385"/>
      <c r="E116" s="386"/>
      <c r="F116" s="386"/>
      <c r="G116" s="386"/>
      <c r="H116" s="386"/>
      <c r="I116" s="387"/>
    </row>
    <row r="117" spans="2:9">
      <c r="B117" s="383"/>
      <c r="C117" s="384"/>
      <c r="D117" s="385"/>
      <c r="E117" s="386"/>
      <c r="F117" s="386"/>
      <c r="G117" s="386"/>
      <c r="H117" s="386"/>
      <c r="I117" s="387"/>
    </row>
    <row r="118" spans="2:9">
      <c r="B118" s="383"/>
      <c r="C118" s="384"/>
      <c r="D118" s="385"/>
      <c r="E118" s="386"/>
      <c r="F118" s="386"/>
      <c r="G118" s="386"/>
      <c r="H118" s="386"/>
      <c r="I118" s="387"/>
    </row>
    <row r="119" spans="2:9">
      <c r="B119" s="383"/>
      <c r="C119" s="384"/>
      <c r="D119" s="385"/>
      <c r="E119" s="386"/>
      <c r="F119" s="386"/>
      <c r="G119" s="386"/>
      <c r="H119" s="386"/>
      <c r="I119" s="387"/>
    </row>
    <row r="120" spans="2:9">
      <c r="B120" s="388"/>
      <c r="C120" s="389"/>
      <c r="D120" s="390"/>
      <c r="E120" s="391"/>
      <c r="F120" s="391"/>
      <c r="G120" s="391"/>
      <c r="H120" s="391"/>
      <c r="I120" s="392"/>
    </row>
    <row r="122" spans="2:9" ht="13.5" customHeight="1"/>
    <row r="128" spans="2:9" ht="15" customHeight="1"/>
    <row r="142" ht="91.5" customHeight="1"/>
  </sheetData>
  <sheetProtection insertRows="0" autoFilter="0" pivotTables="0"/>
  <conditionalFormatting sqref="C36">
    <cfRule type="expression" dxfId="74" priority="53">
      <formula>C$5="Forecast"</formula>
    </cfRule>
  </conditionalFormatting>
  <conditionalFormatting sqref="E6:H6">
    <cfRule type="expression" dxfId="73" priority="20">
      <formula>AND(E$5="Actuals",F$5="Forecast")</formula>
    </cfRule>
  </conditionalFormatting>
  <conditionalFormatting sqref="E66:H66">
    <cfRule type="expression" dxfId="72" priority="23">
      <formula>AND(E$5="Actuals",F$5="N/A")</formula>
    </cfRule>
  </conditionalFormatting>
  <conditionalFormatting sqref="E7:I7">
    <cfRule type="expression" dxfId="71" priority="22">
      <formula>AND(E$5="Actuals",F$5="Forecast")</formula>
    </cfRule>
  </conditionalFormatting>
  <conditionalFormatting sqref="E13:I19 E21:I21 E25:I25 E28:I37 E40:I56 E58:I60 E66:I66 E68:I69 E72:I72 E87:I89 E91:I91 E93:I94 E96:I98 E100:I104">
    <cfRule type="expression" dxfId="70" priority="17">
      <formula>E$5="Forecast"</formula>
    </cfRule>
  </conditionalFormatting>
  <conditionalFormatting sqref="E25:I25">
    <cfRule type="expression" priority="5">
      <formula>E$5="Forecast"</formula>
    </cfRule>
    <cfRule type="expression" priority="6">
      <formula>$E3="Forecast"</formula>
    </cfRule>
  </conditionalFormatting>
  <conditionalFormatting sqref="E28:I36 E40:I55">
    <cfRule type="expression" priority="18">
      <formula>E$5="Forecast"</formula>
    </cfRule>
  </conditionalFormatting>
  <conditionalFormatting sqref="E28:I36">
    <cfRule type="expression" priority="19">
      <formula>$E6="Forecast"</formula>
    </cfRule>
  </conditionalFormatting>
  <conditionalFormatting sqref="E60:I60">
    <cfRule type="expression" dxfId="68" priority="57">
      <formula>E$5="Forecast"</formula>
    </cfRule>
  </conditionalFormatting>
  <conditionalFormatting sqref="E68:I70 E72:I72 E87:I87">
    <cfRule type="expression" dxfId="67" priority="49">
      <formula>D$12="N/A"</formula>
    </cfRule>
  </conditionalFormatting>
  <conditionalFormatting sqref="E75:I76">
    <cfRule type="expression" dxfId="66" priority="9">
      <formula>E$5="Forecast"</formula>
    </cfRule>
  </conditionalFormatting>
  <conditionalFormatting sqref="E78:I78">
    <cfRule type="expression" dxfId="65" priority="4">
      <formula>D$12="N/A"</formula>
    </cfRule>
  </conditionalFormatting>
  <conditionalFormatting sqref="E78:I79">
    <cfRule type="expression" dxfId="64" priority="3">
      <formula>E$5="Forecast"</formula>
    </cfRule>
  </conditionalFormatting>
  <conditionalFormatting sqref="E84:I84">
    <cfRule type="expression" dxfId="63" priority="1">
      <formula>E$5="Forecast"</formula>
    </cfRule>
    <cfRule type="expression" dxfId="62" priority="2">
      <formula>D$12="N/A"</formula>
    </cfRule>
  </conditionalFormatting>
  <conditionalFormatting sqref="E106:I108">
    <cfRule type="expression" dxfId="61" priority="15">
      <formula>E$5="Forecast"</formula>
    </cfRule>
  </conditionalFormatting>
  <conditionalFormatting sqref="I6">
    <cfRule type="expression" dxfId="60" priority="21">
      <formula>AND(I$5="Actuals",#REF!="Forecast")</formula>
    </cfRule>
  </conditionalFormatting>
  <conditionalFormatting sqref="I66">
    <cfRule type="expression" dxfId="59"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4"/>
  <sheetViews>
    <sheetView zoomScale="80" zoomScaleNormal="80" workbookViewId="0">
      <selection activeCell="B6" sqref="B6"/>
    </sheetView>
  </sheetViews>
  <sheetFormatPr defaultColWidth="9.15234375" defaultRowHeight="13.5"/>
  <cols>
    <col min="1" max="1" width="8.3828125" style="293" customWidth="1"/>
    <col min="2" max="2" width="64.4609375" style="343" customWidth="1"/>
    <col min="3" max="3" width="13.3828125" style="29" customWidth="1"/>
    <col min="4" max="8" width="11.15234375" style="293" customWidth="1"/>
    <col min="9" max="10" width="12.84375" style="293" customWidth="1"/>
    <col min="11" max="16384" width="9.15234375" style="293"/>
  </cols>
  <sheetData>
    <row r="1" spans="1:19" s="100" customFormat="1" ht="20">
      <c r="A1" s="775" t="s">
        <v>611</v>
      </c>
      <c r="B1" s="280"/>
      <c r="C1" s="406"/>
      <c r="D1" s="282"/>
      <c r="E1" s="282"/>
      <c r="F1" s="282"/>
      <c r="G1" s="282"/>
      <c r="H1" s="282"/>
      <c r="I1" s="283"/>
      <c r="J1" s="283"/>
      <c r="K1" s="407"/>
    </row>
    <row r="2" spans="1:19" s="100" customFormat="1" ht="20">
      <c r="A2" s="776" t="str">
        <f>Licensee</f>
        <v>ENWL</v>
      </c>
      <c r="B2" s="284"/>
      <c r="C2" s="340"/>
      <c r="D2" s="286"/>
      <c r="E2" s="286"/>
      <c r="F2" s="286"/>
      <c r="G2" s="286"/>
      <c r="H2" s="286"/>
      <c r="I2" s="287"/>
      <c r="J2" s="287"/>
      <c r="K2" s="288"/>
    </row>
    <row r="3" spans="1:19" s="100" customFormat="1" ht="20">
      <c r="A3" s="777">
        <f>Reporting_Year</f>
        <v>2025</v>
      </c>
      <c r="B3" s="341"/>
      <c r="C3" s="342"/>
      <c r="D3" s="289"/>
      <c r="E3" s="289"/>
      <c r="F3" s="289"/>
      <c r="G3" s="289"/>
      <c r="H3" s="289"/>
      <c r="I3" s="290"/>
      <c r="J3" s="290"/>
      <c r="K3" s="291"/>
    </row>
    <row r="4" spans="1:19" ht="12.75" customHeight="1"/>
    <row r="5" spans="1:19" ht="30" customHeight="1">
      <c r="D5" s="292" t="str">
        <f>IF(D6&lt;=Reporting_Year,"Actuals","Forecast")</f>
        <v>Actuals</v>
      </c>
      <c r="E5" s="292" t="str">
        <f t="shared" ref="E5:H5" si="0">IF(E6&lt;=Reporting_Year,"Actuals","Forecast")</f>
        <v>Actuals</v>
      </c>
      <c r="F5" s="292" t="str">
        <f t="shared" si="0"/>
        <v>Forecast</v>
      </c>
      <c r="G5" s="292" t="str">
        <f t="shared" si="0"/>
        <v>Forecast</v>
      </c>
      <c r="H5" s="292" t="str">
        <f t="shared" si="0"/>
        <v>Forecast</v>
      </c>
    </row>
    <row r="6" spans="1:19" ht="27.75" customHeight="1">
      <c r="D6" s="408">
        <f>'RFPR cover'!$C$6</f>
        <v>2024</v>
      </c>
      <c r="E6" s="409">
        <f>D6+1</f>
        <v>2025</v>
      </c>
      <c r="F6" s="409">
        <f t="shared" ref="F6:H6" si="1">E6+1</f>
        <v>2026</v>
      </c>
      <c r="G6" s="409">
        <f t="shared" si="1"/>
        <v>2027</v>
      </c>
      <c r="H6" s="409">
        <f t="shared" si="1"/>
        <v>2028</v>
      </c>
      <c r="I6" s="296" t="str">
        <f>"Cumulative to "&amp;'RFPR cover'!$C$9</f>
        <v>Cumulative to 2025</v>
      </c>
      <c r="J6" s="410" t="s">
        <v>515</v>
      </c>
    </row>
    <row r="7" spans="1:19">
      <c r="D7" s="297" t="str">
        <f>RIIO_2_start_date-1&amp;"/"&amp;RIGHT(RIIO_2_start_date,2)</f>
        <v>2023/24</v>
      </c>
      <c r="E7" s="297" t="str">
        <f>RIIO_2_start_date&amp;"/"&amp;RIGHT(RIIO_2_start_date+1,2)</f>
        <v>2024/25</v>
      </c>
      <c r="F7" s="297" t="str">
        <f>RIIO_2_start_date+1&amp;"/"&amp;RIGHT(RIIO_2_start_date+2,2)</f>
        <v>2025/26</v>
      </c>
      <c r="G7" s="297" t="str">
        <f>RIIO_2_start_date+2&amp;"/"&amp;RIGHT(RIIO_2_start_date+3,2)</f>
        <v>2026/27</v>
      </c>
      <c r="H7" s="297" t="str">
        <f>RIIO_2_start_date+3&amp;"/"&amp;RIGHT(RIIO_2_start_date+4,2)</f>
        <v>2027/28</v>
      </c>
    </row>
    <row r="8" spans="1:19">
      <c r="B8" s="411" t="s">
        <v>612</v>
      </c>
      <c r="C8" s="412"/>
      <c r="D8" s="412"/>
      <c r="E8" s="412"/>
      <c r="F8" s="412"/>
      <c r="G8" s="412"/>
      <c r="H8" s="413"/>
      <c r="I8" s="413"/>
      <c r="J8" s="413"/>
      <c r="K8" s="343"/>
    </row>
    <row r="9" spans="1:19">
      <c r="B9" s="786" t="s">
        <v>613</v>
      </c>
      <c r="C9" s="414"/>
      <c r="D9" s="414"/>
      <c r="E9" s="414"/>
      <c r="F9" s="414"/>
      <c r="G9" s="414"/>
      <c r="H9" s="414"/>
      <c r="I9" s="414"/>
      <c r="J9" s="414"/>
      <c r="K9" s="343"/>
      <c r="L9" s="343"/>
    </row>
    <row r="11" spans="1:19">
      <c r="B11" s="415" t="str">
        <f>IF(Sector="GD2","Capitalisation 1 totex (excluding repex)","Capitalisation 1 totex")</f>
        <v>Capitalisation 1 totex</v>
      </c>
      <c r="C11" s="416"/>
      <c r="D11" s="348"/>
      <c r="E11" s="348"/>
      <c r="F11" s="348"/>
      <c r="G11" s="348"/>
      <c r="H11" s="348"/>
      <c r="I11" s="348"/>
      <c r="J11" s="348"/>
      <c r="K11" s="343"/>
    </row>
    <row r="12" spans="1:19">
      <c r="B12" s="350"/>
      <c r="D12" s="417"/>
      <c r="E12" s="417"/>
      <c r="F12" s="417"/>
      <c r="G12" s="417"/>
      <c r="H12" s="417"/>
      <c r="I12" s="417"/>
      <c r="J12" s="417"/>
      <c r="K12" s="343"/>
    </row>
    <row r="13" spans="1:19">
      <c r="B13" s="76" t="s">
        <v>614</v>
      </c>
      <c r="C13" s="418" t="str">
        <f>Data!$C$9</f>
        <v>£m 20/21</v>
      </c>
      <c r="D13" s="419">
        <v>262.91303546214994</v>
      </c>
      <c r="E13" s="419">
        <v>327.66836423104411</v>
      </c>
      <c r="F13" s="419">
        <v>350.0995845114636</v>
      </c>
      <c r="G13" s="419">
        <v>324.57562547541875</v>
      </c>
      <c r="H13" s="419">
        <v>311.08479366566075</v>
      </c>
      <c r="I13" s="449">
        <f>SUM(D13:INDEX(D13:H13,0,MATCH('RFPR cover'!$C$9,$D$6:$H$6,0)))</f>
        <v>590.58139969319404</v>
      </c>
      <c r="J13" s="450">
        <f>SUM(D13:H13)</f>
        <v>1576.3414033457373</v>
      </c>
      <c r="K13" s="343"/>
    </row>
    <row r="14" spans="1:19" ht="17.149999999999999" customHeight="1">
      <c r="B14" s="420" t="s">
        <v>615</v>
      </c>
      <c r="C14" s="418" t="str">
        <f>Data!$C$9</f>
        <v>£m 20/21</v>
      </c>
      <c r="D14" s="419">
        <v>317.37427923064223</v>
      </c>
      <c r="E14" s="419">
        <v>324.94241984585534</v>
      </c>
      <c r="F14" s="419">
        <v>324.6400515841828</v>
      </c>
      <c r="G14" s="419">
        <v>305.84823980585486</v>
      </c>
      <c r="H14" s="419">
        <v>299.85522631440892</v>
      </c>
      <c r="I14" s="451">
        <f>SUM(D14:INDEX(D14:H14,0,MATCH('RFPR cover'!$C$9,$D$6:$H$6,0)))</f>
        <v>642.31669907649757</v>
      </c>
      <c r="J14" s="452">
        <f>SUM(D14:H14)</f>
        <v>1572.6602167809442</v>
      </c>
      <c r="K14" s="421"/>
    </row>
    <row r="15" spans="1:19">
      <c r="B15" s="75" t="s">
        <v>616</v>
      </c>
      <c r="C15" s="418" t="str">
        <f>Data!$C$9</f>
        <v>£m 20/21</v>
      </c>
      <c r="D15" s="448">
        <f>D14-D13</f>
        <v>54.461243768492295</v>
      </c>
      <c r="E15" s="448">
        <f>E14-E13</f>
        <v>-2.7259443851887681</v>
      </c>
      <c r="F15" s="448">
        <f t="shared" ref="F15:J15" si="2">F14-F13</f>
        <v>-25.459532927280804</v>
      </c>
      <c r="G15" s="448">
        <f t="shared" si="2"/>
        <v>-18.727385669563887</v>
      </c>
      <c r="H15" s="448">
        <f t="shared" si="2"/>
        <v>-11.229567351251831</v>
      </c>
      <c r="I15" s="21">
        <f t="shared" si="2"/>
        <v>51.735299383303527</v>
      </c>
      <c r="J15" s="23">
        <f t="shared" si="2"/>
        <v>-3.6811865647930517</v>
      </c>
      <c r="K15" s="848"/>
      <c r="L15" s="848"/>
      <c r="M15" s="848"/>
      <c r="N15" s="120"/>
      <c r="O15" s="120"/>
      <c r="P15" s="120"/>
      <c r="Q15" s="100"/>
      <c r="R15" s="100"/>
      <c r="S15" s="100"/>
    </row>
    <row r="16" spans="1:19">
      <c r="B16" s="75"/>
      <c r="C16" s="418"/>
      <c r="D16" s="422"/>
      <c r="E16" s="422"/>
      <c r="F16" s="422"/>
      <c r="G16" s="422"/>
      <c r="H16" s="422"/>
      <c r="I16" s="422"/>
      <c r="J16" s="422"/>
      <c r="K16" s="423"/>
      <c r="L16" s="423"/>
      <c r="M16" s="423"/>
      <c r="N16" s="423"/>
      <c r="O16" s="423"/>
      <c r="P16" s="423"/>
      <c r="Q16" s="100"/>
      <c r="R16" s="100"/>
      <c r="S16" s="100"/>
    </row>
    <row r="17" spans="2:19">
      <c r="B17" s="343" t="s">
        <v>617</v>
      </c>
      <c r="C17" s="29" t="s">
        <v>518</v>
      </c>
      <c r="D17" s="453">
        <f>INDEX(Data!$C$63:$C$91,MATCH('RFPR cover'!$C$7,Data!$B$63:$B$91,0),0)</f>
        <v>0.50600000000000001</v>
      </c>
      <c r="E17" s="453">
        <f>INDEX(Data!$C$63:$C$91,MATCH('RFPR cover'!$C$7,Data!$B$63:$B$91,0),0)</f>
        <v>0.50600000000000001</v>
      </c>
      <c r="F17" s="453">
        <f>INDEX(Data!$C$63:$C$91,MATCH('RFPR cover'!$C$7,Data!$B$63:$B$91,0),0)</f>
        <v>0.50600000000000001</v>
      </c>
      <c r="G17" s="453">
        <f>INDEX(Data!$C$63:$C$91,MATCH('RFPR cover'!$C$7,Data!$B$63:$B$91,0),0)</f>
        <v>0.50600000000000001</v>
      </c>
      <c r="H17" s="453">
        <f>INDEX(Data!$C$63:$C$91,MATCH('RFPR cover'!$C$7,Data!$B$63:$B$91,0),0)</f>
        <v>0.50600000000000001</v>
      </c>
      <c r="I17" s="424"/>
      <c r="J17" s="424"/>
      <c r="K17" s="100"/>
      <c r="L17" s="100"/>
      <c r="M17" s="100"/>
      <c r="N17" s="100"/>
      <c r="O17" s="100"/>
      <c r="P17" s="100"/>
      <c r="Q17" s="100"/>
      <c r="R17" s="100"/>
      <c r="S17" s="100"/>
    </row>
    <row r="18" spans="2:19">
      <c r="K18" s="100"/>
      <c r="L18" s="100"/>
      <c r="M18" s="100"/>
      <c r="N18" s="100"/>
      <c r="O18" s="100"/>
      <c r="P18" s="100"/>
      <c r="Q18" s="100"/>
      <c r="R18" s="100"/>
      <c r="S18" s="100"/>
    </row>
    <row r="19" spans="2:19">
      <c r="B19" s="343" t="s">
        <v>618</v>
      </c>
      <c r="C19" s="418" t="str">
        <f>Data!$C$9</f>
        <v>£m 20/21</v>
      </c>
      <c r="D19" s="448">
        <f>D15*D17</f>
        <v>27.5573893468571</v>
      </c>
      <c r="E19" s="448">
        <f t="shared" ref="E19:H19" si="3">E15*E17</f>
        <v>-1.3793278589055167</v>
      </c>
      <c r="F19" s="448">
        <f t="shared" si="3"/>
        <v>-12.882523661204088</v>
      </c>
      <c r="G19" s="448">
        <f t="shared" si="3"/>
        <v>-9.4760571487993275</v>
      </c>
      <c r="H19" s="448">
        <f t="shared" si="3"/>
        <v>-5.6821610797334268</v>
      </c>
      <c r="I19" s="18">
        <f>SUM(D19:INDEX(D19:H19,0,MATCH('RFPR cover'!$C$9,$D$6:$H$6,0)))</f>
        <v>26.178061487951584</v>
      </c>
      <c r="J19" s="20">
        <f>SUM(D19:H19)</f>
        <v>-1.8626804017852576</v>
      </c>
      <c r="K19" s="100"/>
      <c r="L19" s="100"/>
      <c r="M19" s="100"/>
      <c r="N19" s="100"/>
      <c r="O19" s="100"/>
      <c r="P19" s="100"/>
      <c r="Q19" s="100"/>
      <c r="R19" s="100"/>
      <c r="S19" s="100"/>
    </row>
    <row r="20" spans="2:19">
      <c r="B20" s="343" t="s">
        <v>619</v>
      </c>
      <c r="C20" s="418" t="str">
        <f>Data!$C$9</f>
        <v>£m 20/21</v>
      </c>
      <c r="D20" s="448">
        <f>D15*(1-D17)</f>
        <v>26.903854421635195</v>
      </c>
      <c r="E20" s="448">
        <f t="shared" ref="E20:H20" si="4">E15*(1-E17)</f>
        <v>-1.3466165262832515</v>
      </c>
      <c r="F20" s="448">
        <f t="shared" si="4"/>
        <v>-12.577009266076717</v>
      </c>
      <c r="G20" s="448">
        <f t="shared" si="4"/>
        <v>-9.2513285207645595</v>
      </c>
      <c r="H20" s="448">
        <f t="shared" si="4"/>
        <v>-5.5474062715184038</v>
      </c>
      <c r="I20" s="15">
        <f>SUM(D20:INDEX(D20:H20,0,MATCH('RFPR cover'!$C$9,$D$6:$H$6,0)))</f>
        <v>25.557237895351943</v>
      </c>
      <c r="J20" s="17">
        <f>SUM(D20:H20)</f>
        <v>-1.8185061630077373</v>
      </c>
      <c r="L20" s="100"/>
      <c r="M20" s="100"/>
      <c r="N20" s="100"/>
      <c r="O20" s="100"/>
      <c r="P20" s="100"/>
      <c r="Q20" s="100"/>
      <c r="R20" s="100"/>
      <c r="S20" s="100"/>
    </row>
    <row r="21" spans="2:19">
      <c r="C21" s="343"/>
      <c r="D21" s="343"/>
      <c r="E21" s="343"/>
      <c r="F21" s="343"/>
      <c r="G21" s="343"/>
      <c r="H21" s="343"/>
      <c r="I21" s="343"/>
      <c r="J21" s="343"/>
      <c r="L21" s="100"/>
      <c r="M21" s="100"/>
      <c r="N21" s="100"/>
      <c r="O21" s="100"/>
      <c r="P21" s="100"/>
      <c r="Q21" s="100"/>
      <c r="R21" s="100"/>
      <c r="S21" s="100"/>
    </row>
    <row r="22" spans="2:19">
      <c r="B22" s="350" t="s">
        <v>620</v>
      </c>
      <c r="L22" s="100"/>
      <c r="M22" s="100"/>
      <c r="N22" s="100"/>
      <c r="O22" s="100"/>
      <c r="P22" s="100"/>
    </row>
    <row r="23" spans="2:19">
      <c r="B23" s="356" t="s">
        <v>621</v>
      </c>
      <c r="C23" s="418" t="str">
        <f>Data!$C$9</f>
        <v>£m 20/21</v>
      </c>
      <c r="D23" s="425"/>
      <c r="E23" s="425"/>
      <c r="F23" s="425"/>
      <c r="G23" s="425"/>
      <c r="H23" s="425"/>
      <c r="I23" s="15">
        <f>SUM(D23:INDEX(D23:H23,0,MATCH('RFPR cover'!$C$9,$D$6:$H$6,0)))</f>
        <v>0</v>
      </c>
      <c r="J23" s="17">
        <f t="shared" ref="J23:J28" si="5">SUM(D23:H23)</f>
        <v>0</v>
      </c>
      <c r="L23" s="100"/>
      <c r="M23" s="100"/>
      <c r="N23" s="100"/>
      <c r="O23" s="100"/>
      <c r="P23" s="100"/>
      <c r="Q23" s="100"/>
      <c r="R23" s="100"/>
      <c r="S23" s="100"/>
    </row>
    <row r="24" spans="2:19">
      <c r="B24" s="356" t="s">
        <v>959</v>
      </c>
      <c r="C24" s="418" t="str">
        <f>Data!$C$9</f>
        <v>£m 20/21</v>
      </c>
      <c r="D24" s="425">
        <v>-55.482617022601254</v>
      </c>
      <c r="E24" s="425">
        <v>-10.282716269185244</v>
      </c>
      <c r="F24" s="425">
        <v>12.18650172317226</v>
      </c>
      <c r="G24" s="425">
        <v>29.08825389233786</v>
      </c>
      <c r="H24" s="425">
        <v>24.490577676276374</v>
      </c>
      <c r="I24" s="15">
        <f>SUM(D24:INDEX(D24:H24,0,MATCH('RFPR cover'!$C$9,$D$6:$H$6,0)))</f>
        <v>-65.765333291786504</v>
      </c>
      <c r="J24" s="17">
        <f t="shared" si="5"/>
        <v>0</v>
      </c>
      <c r="L24" s="100"/>
      <c r="M24" s="100"/>
      <c r="N24" s="100"/>
      <c r="O24" s="100"/>
      <c r="P24" s="100"/>
      <c r="Q24" s="100"/>
      <c r="R24" s="100"/>
      <c r="S24" s="100"/>
    </row>
    <row r="25" spans="2:19">
      <c r="B25" s="356" t="s">
        <v>622</v>
      </c>
      <c r="C25" s="418" t="str">
        <f>Data!$C$9</f>
        <v>£m 20/21</v>
      </c>
      <c r="D25" s="425"/>
      <c r="E25" s="425"/>
      <c r="F25" s="425"/>
      <c r="G25" s="425"/>
      <c r="H25" s="425"/>
      <c r="I25" s="15">
        <f>SUM(D25:INDEX(D25:H25,0,MATCH('RFPR cover'!$C$9,$D$6:$H$6,0)))</f>
        <v>0</v>
      </c>
      <c r="J25" s="17">
        <f t="shared" si="5"/>
        <v>0</v>
      </c>
      <c r="L25" s="100"/>
      <c r="M25" s="100"/>
      <c r="N25" s="100"/>
      <c r="O25" s="100"/>
      <c r="P25" s="100"/>
      <c r="Q25" s="100"/>
      <c r="R25" s="100"/>
      <c r="S25" s="100"/>
    </row>
    <row r="26" spans="2:19">
      <c r="B26" s="356" t="s">
        <v>622</v>
      </c>
      <c r="C26" s="418" t="str">
        <f>Data!$C$9</f>
        <v>£m 20/21</v>
      </c>
      <c r="D26" s="425"/>
      <c r="E26" s="425"/>
      <c r="F26" s="425"/>
      <c r="G26" s="425"/>
      <c r="H26" s="425"/>
      <c r="I26" s="15">
        <f>SUM(D26:INDEX(D26:H26,0,MATCH('RFPR cover'!$C$9,$D$6:$H$6,0)))</f>
        <v>0</v>
      </c>
      <c r="J26" s="17">
        <f t="shared" si="5"/>
        <v>0</v>
      </c>
      <c r="L26" s="100"/>
      <c r="M26" s="100"/>
      <c r="N26" s="100"/>
      <c r="O26" s="100"/>
      <c r="P26" s="100"/>
      <c r="Q26" s="100"/>
      <c r="R26" s="100"/>
      <c r="S26" s="100"/>
    </row>
    <row r="27" spans="2:19">
      <c r="B27" s="356" t="s">
        <v>622</v>
      </c>
      <c r="C27" s="418" t="str">
        <f>Data!$C$9</f>
        <v>£m 20/21</v>
      </c>
      <c r="D27" s="425"/>
      <c r="E27" s="425"/>
      <c r="F27" s="425"/>
      <c r="G27" s="425"/>
      <c r="H27" s="425"/>
      <c r="I27" s="15">
        <f>SUM(D27:INDEX(D27:H27,0,MATCH('RFPR cover'!$C$9,$D$6:$H$6,0)))</f>
        <v>0</v>
      </c>
      <c r="J27" s="17">
        <f t="shared" si="5"/>
        <v>0</v>
      </c>
      <c r="L27" s="100"/>
      <c r="M27" s="100"/>
      <c r="N27" s="100"/>
      <c r="O27" s="100"/>
      <c r="P27" s="100"/>
      <c r="Q27" s="100"/>
      <c r="R27" s="100"/>
      <c r="S27" s="100"/>
    </row>
    <row r="28" spans="2:19">
      <c r="B28" s="356" t="s">
        <v>622</v>
      </c>
      <c r="C28" s="418" t="str">
        <f>Data!$C$9</f>
        <v>£m 20/21</v>
      </c>
      <c r="D28" s="425"/>
      <c r="E28" s="425"/>
      <c r="F28" s="425"/>
      <c r="G28" s="425"/>
      <c r="H28" s="425"/>
      <c r="I28" s="15">
        <f>SUM(D28:INDEX(D28:H28,0,MATCH('RFPR cover'!$C$9,$D$6:$H$6,0)))</f>
        <v>0</v>
      </c>
      <c r="J28" s="17">
        <f t="shared" si="5"/>
        <v>0</v>
      </c>
      <c r="L28" s="100"/>
      <c r="M28" s="100"/>
      <c r="N28" s="100"/>
      <c r="O28" s="100"/>
      <c r="P28" s="100"/>
      <c r="Q28" s="100"/>
      <c r="R28" s="100"/>
      <c r="S28" s="100"/>
    </row>
    <row r="29" spans="2:19">
      <c r="B29" s="356" t="s">
        <v>622</v>
      </c>
      <c r="C29" s="418" t="str">
        <f>Data!$C$9</f>
        <v>£m 20/21</v>
      </c>
      <c r="D29" s="425"/>
      <c r="E29" s="425"/>
      <c r="F29" s="425"/>
      <c r="G29" s="425"/>
      <c r="H29" s="425"/>
      <c r="I29" s="15">
        <f>SUM(D29:INDEX(D29:H29,0,MATCH('RFPR cover'!$C$9,$D$6:$H$6,0)))</f>
        <v>0</v>
      </c>
      <c r="J29" s="17">
        <f t="shared" ref="J29" si="6">SUM(D29:H29)</f>
        <v>0</v>
      </c>
      <c r="L29" s="100"/>
      <c r="M29" s="100"/>
      <c r="N29" s="100"/>
      <c r="O29" s="100"/>
      <c r="P29" s="100"/>
      <c r="Q29" s="100"/>
      <c r="R29" s="100"/>
      <c r="S29" s="100"/>
    </row>
    <row r="30" spans="2:19">
      <c r="B30" s="350" t="s">
        <v>623</v>
      </c>
      <c r="C30" s="418" t="str">
        <f>Data!$C$9</f>
        <v>£m 20/21</v>
      </c>
      <c r="D30" s="448">
        <f>SUM(D23:D29)</f>
        <v>-55.482617022601254</v>
      </c>
      <c r="E30" s="448">
        <f t="shared" ref="E30:H30" si="7">SUM(E23:E29)</f>
        <v>-10.282716269185244</v>
      </c>
      <c r="F30" s="448">
        <f t="shared" si="7"/>
        <v>12.18650172317226</v>
      </c>
      <c r="G30" s="448">
        <f t="shared" si="7"/>
        <v>29.08825389233786</v>
      </c>
      <c r="H30" s="448">
        <f t="shared" si="7"/>
        <v>24.490577676276374</v>
      </c>
      <c r="I30" s="15">
        <f>SUM(D30:INDEX(D30:H30,0,MATCH('RFPR cover'!$C$9,$D$6:$H$6,0)))</f>
        <v>-65.765333291786504</v>
      </c>
      <c r="J30" s="17">
        <f t="shared" ref="J30" si="8">SUM(D30:H30)</f>
        <v>0</v>
      </c>
      <c r="L30" s="100"/>
      <c r="M30" s="100"/>
      <c r="N30" s="100"/>
      <c r="O30" s="100"/>
      <c r="P30" s="100"/>
      <c r="Q30" s="100"/>
      <c r="R30" s="100"/>
      <c r="S30" s="100"/>
    </row>
    <row r="31" spans="2:19">
      <c r="B31" s="350"/>
      <c r="L31" s="100"/>
      <c r="M31" s="100"/>
      <c r="N31" s="100"/>
      <c r="O31" s="100"/>
      <c r="P31" s="100"/>
      <c r="Q31" s="100"/>
      <c r="R31" s="100"/>
      <c r="S31" s="100"/>
    </row>
    <row r="32" spans="2:19">
      <c r="B32" s="350" t="s">
        <v>624</v>
      </c>
      <c r="L32" s="100"/>
      <c r="M32" s="100"/>
      <c r="N32" s="100"/>
      <c r="O32" s="100"/>
      <c r="P32" s="100"/>
      <c r="Q32" s="100"/>
      <c r="R32" s="100"/>
      <c r="S32" s="100"/>
    </row>
    <row r="33" spans="2:19">
      <c r="B33" s="356" t="s">
        <v>621</v>
      </c>
      <c r="C33" s="418" t="str">
        <f>Data!$C$9</f>
        <v>£m 20/21</v>
      </c>
      <c r="D33" s="425"/>
      <c r="E33" s="425"/>
      <c r="F33" s="425"/>
      <c r="G33" s="425"/>
      <c r="H33" s="425"/>
      <c r="I33" s="15">
        <f>SUM(D33:INDEX(D33:H33,0,MATCH('RFPR cover'!$C$9,$D$6:$H$6,0)))</f>
        <v>0</v>
      </c>
      <c r="J33" s="17">
        <f>SUM(D33:H33)</f>
        <v>0</v>
      </c>
      <c r="L33" s="100"/>
      <c r="M33" s="100"/>
      <c r="N33" s="100"/>
      <c r="O33" s="100"/>
      <c r="P33" s="100"/>
      <c r="Q33" s="100"/>
      <c r="R33" s="100"/>
      <c r="S33" s="100"/>
    </row>
    <row r="34" spans="2:19">
      <c r="B34" s="356" t="s">
        <v>622</v>
      </c>
      <c r="C34" s="418" t="str">
        <f>Data!$C$9</f>
        <v>£m 20/21</v>
      </c>
      <c r="D34" s="425"/>
      <c r="E34" s="425"/>
      <c r="F34" s="425"/>
      <c r="G34" s="425"/>
      <c r="H34" s="425"/>
      <c r="I34" s="15">
        <f>SUM(D34:INDEX(D34:H34,0,MATCH('RFPR cover'!$C$9,$D$6:$H$6,0)))</f>
        <v>0</v>
      </c>
      <c r="J34" s="17">
        <f t="shared" ref="J34:J35" si="9">SUM(D34:H34)</f>
        <v>0</v>
      </c>
      <c r="L34" s="100"/>
      <c r="M34" s="100"/>
      <c r="N34" s="100"/>
      <c r="O34" s="100"/>
      <c r="P34" s="100"/>
      <c r="Q34" s="100"/>
      <c r="R34" s="100"/>
      <c r="S34" s="100"/>
    </row>
    <row r="35" spans="2:19">
      <c r="B35" s="350" t="s">
        <v>623</v>
      </c>
      <c r="C35" s="418" t="str">
        <f>Data!$C$9</f>
        <v>£m 20/21</v>
      </c>
      <c r="D35" s="448">
        <f>SUM(D33:D34)</f>
        <v>0</v>
      </c>
      <c r="E35" s="448">
        <f t="shared" ref="E35:H35" si="10">SUM(E33:E34)</f>
        <v>0</v>
      </c>
      <c r="F35" s="448">
        <f t="shared" si="10"/>
        <v>0</v>
      </c>
      <c r="G35" s="448">
        <f t="shared" si="10"/>
        <v>0</v>
      </c>
      <c r="H35" s="448">
        <f t="shared" si="10"/>
        <v>0</v>
      </c>
      <c r="I35" s="15">
        <f>SUM(D35:INDEX(D35:H35,0,MATCH('RFPR cover'!$C$9,$D$6:$H$6,0)))</f>
        <v>0</v>
      </c>
      <c r="J35" s="17">
        <f t="shared" si="9"/>
        <v>0</v>
      </c>
      <c r="L35" s="100"/>
      <c r="M35" s="100"/>
      <c r="N35" s="100"/>
      <c r="O35" s="100"/>
      <c r="P35" s="100"/>
      <c r="Q35" s="100"/>
      <c r="R35" s="100"/>
      <c r="S35" s="100"/>
    </row>
    <row r="36" spans="2:19">
      <c r="B36" s="350"/>
      <c r="L36" s="100"/>
      <c r="M36" s="100"/>
      <c r="N36" s="100"/>
      <c r="O36" s="100"/>
      <c r="P36" s="100"/>
      <c r="Q36" s="100"/>
      <c r="R36" s="100"/>
      <c r="S36" s="100"/>
    </row>
    <row r="37" spans="2:19">
      <c r="B37" s="343" t="s">
        <v>625</v>
      </c>
      <c r="C37" s="418" t="str">
        <f>Data!$C$9</f>
        <v>£m 20/21</v>
      </c>
      <c r="D37" s="448">
        <f>D30*D17</f>
        <v>-28.074204213436236</v>
      </c>
      <c r="E37" s="448">
        <f t="shared" ref="E37:H37" si="11">E30*E17</f>
        <v>-5.2030544322077334</v>
      </c>
      <c r="F37" s="448">
        <f t="shared" si="11"/>
        <v>6.1663698719251636</v>
      </c>
      <c r="G37" s="448">
        <f t="shared" si="11"/>
        <v>14.718656469522957</v>
      </c>
      <c r="H37" s="448">
        <f t="shared" si="11"/>
        <v>12.392232304195845</v>
      </c>
      <c r="I37" s="18">
        <f>SUM(D37:INDEX(D37:H37,0,MATCH('RFPR cover'!$C$9,$D$6:$H$6,0)))</f>
        <v>-33.277258645643968</v>
      </c>
      <c r="J37" s="20">
        <f>SUM(D37:H37)</f>
        <v>0</v>
      </c>
      <c r="L37" s="100"/>
      <c r="M37" s="100"/>
      <c r="N37" s="100"/>
      <c r="O37" s="100"/>
      <c r="P37" s="100"/>
      <c r="Q37" s="100"/>
      <c r="R37" s="100"/>
      <c r="S37" s="100"/>
    </row>
    <row r="38" spans="2:19">
      <c r="B38" s="343" t="s">
        <v>626</v>
      </c>
      <c r="C38" s="418" t="str">
        <f>Data!$C$9</f>
        <v>£m 20/21</v>
      </c>
      <c r="D38" s="448">
        <f>D30*(1-D17)+D35</f>
        <v>-27.408412809165018</v>
      </c>
      <c r="E38" s="448">
        <f t="shared" ref="E38:H38" si="12">E30*(1-E17)+E35</f>
        <v>-5.0796618369775102</v>
      </c>
      <c r="F38" s="448">
        <f t="shared" si="12"/>
        <v>6.020131851247096</v>
      </c>
      <c r="G38" s="448">
        <f t="shared" si="12"/>
        <v>14.369597422814904</v>
      </c>
      <c r="H38" s="448">
        <f t="shared" si="12"/>
        <v>12.098345372080528</v>
      </c>
      <c r="I38" s="18">
        <f>SUM(D38:INDEX(D38:H38,0,MATCH('RFPR cover'!$C$9,$D$6:$H$6,0)))</f>
        <v>-32.488074646142529</v>
      </c>
      <c r="J38" s="17">
        <f>SUM(D38:H38)</f>
        <v>0</v>
      </c>
      <c r="L38" s="100"/>
      <c r="M38" s="100"/>
      <c r="N38" s="100"/>
      <c r="O38" s="100"/>
      <c r="P38" s="100"/>
      <c r="Q38" s="100"/>
      <c r="R38" s="100"/>
      <c r="S38" s="100"/>
    </row>
    <row r="39" spans="2:19">
      <c r="B39" s="350"/>
      <c r="L39" s="100"/>
      <c r="M39" s="100"/>
      <c r="N39" s="100"/>
      <c r="O39" s="100"/>
      <c r="P39" s="100"/>
      <c r="Q39" s="100"/>
      <c r="R39" s="100"/>
      <c r="S39" s="100"/>
    </row>
    <row r="40" spans="2:19">
      <c r="B40" s="350" t="s">
        <v>627</v>
      </c>
      <c r="L40" s="100"/>
      <c r="M40" s="100"/>
      <c r="N40" s="100"/>
      <c r="O40" s="100"/>
      <c r="P40" s="100"/>
      <c r="Q40" s="100"/>
      <c r="R40" s="100"/>
      <c r="S40" s="100"/>
    </row>
    <row r="41" spans="2:19">
      <c r="B41" s="343" t="s">
        <v>618</v>
      </c>
      <c r="C41" s="418" t="str">
        <f>Data!$C$9</f>
        <v>£m 20/21</v>
      </c>
      <c r="D41" s="448">
        <f>D19+D37</f>
        <v>-0.51681486657913567</v>
      </c>
      <c r="E41" s="448">
        <f t="shared" ref="E41:H41" si="13">E19+E37</f>
        <v>-6.5823822911132499</v>
      </c>
      <c r="F41" s="448">
        <f t="shared" si="13"/>
        <v>-6.7161537892789243</v>
      </c>
      <c r="G41" s="448">
        <f t="shared" si="13"/>
        <v>5.2425993207236292</v>
      </c>
      <c r="H41" s="448">
        <f t="shared" si="13"/>
        <v>6.7100712244624185</v>
      </c>
      <c r="I41" s="18">
        <f>SUM(D41:INDEX(D41:H41,0,MATCH('RFPR cover'!$C$9,$D$6:$H$6,0)))</f>
        <v>-7.0991971576923856</v>
      </c>
      <c r="J41" s="20">
        <f>SUM(D41:H41)</f>
        <v>-1.862680401785263</v>
      </c>
      <c r="L41" s="100"/>
      <c r="M41" s="100"/>
      <c r="N41" s="100"/>
      <c r="O41" s="100"/>
      <c r="P41" s="100"/>
      <c r="Q41" s="100"/>
      <c r="R41" s="100"/>
      <c r="S41" s="100"/>
    </row>
    <row r="42" spans="2:19">
      <c r="B42" s="343" t="s">
        <v>619</v>
      </c>
      <c r="C42" s="418" t="str">
        <f>Data!$C$9</f>
        <v>£m 20/21</v>
      </c>
      <c r="D42" s="448">
        <f>D20+D38</f>
        <v>-0.50455838752982274</v>
      </c>
      <c r="E42" s="448">
        <f t="shared" ref="E42:H42" si="14">E20+E38</f>
        <v>-6.4262783632607619</v>
      </c>
      <c r="F42" s="448">
        <f t="shared" si="14"/>
        <v>-6.5568774148296205</v>
      </c>
      <c r="G42" s="448">
        <f t="shared" si="14"/>
        <v>5.1182689020503442</v>
      </c>
      <c r="H42" s="448">
        <f t="shared" si="14"/>
        <v>6.5509391005621245</v>
      </c>
      <c r="I42" s="18">
        <f>SUM(D42:INDEX(D42:H42,0,MATCH('RFPR cover'!$C$9,$D$6:$H$6,0)))</f>
        <v>-6.9308367507905846</v>
      </c>
      <c r="J42" s="17">
        <f t="shared" ref="J42" si="15">SUM(D42:H42)</f>
        <v>-1.8185061630077355</v>
      </c>
      <c r="L42" s="100"/>
      <c r="M42" s="100"/>
      <c r="N42" s="100"/>
      <c r="O42" s="100"/>
      <c r="P42" s="100"/>
      <c r="Q42" s="100"/>
      <c r="R42" s="100"/>
      <c r="S42" s="100"/>
    </row>
    <row r="43" spans="2:19">
      <c r="B43" s="350" t="s">
        <v>628</v>
      </c>
      <c r="C43" s="426" t="str">
        <f>Data!$C$9</f>
        <v>£m 20/21</v>
      </c>
      <c r="D43" s="448">
        <f>SUM(D41:D42)</f>
        <v>-1.0213732541089584</v>
      </c>
      <c r="E43" s="448">
        <f t="shared" ref="E43:H43" si="16">SUM(E41:E42)</f>
        <v>-13.008660654374012</v>
      </c>
      <c r="F43" s="448">
        <f t="shared" si="16"/>
        <v>-13.273031204108545</v>
      </c>
      <c r="G43" s="448">
        <f t="shared" si="16"/>
        <v>10.360868222773973</v>
      </c>
      <c r="H43" s="448">
        <f t="shared" si="16"/>
        <v>13.261010325024543</v>
      </c>
      <c r="I43" s="15">
        <f>SUM(D43:INDEX(D43:H43,0,MATCH('RFPR cover'!$C$9,$D$6:$H$6,0)))</f>
        <v>-14.03003390848297</v>
      </c>
      <c r="J43" s="17">
        <f t="shared" ref="J43" si="17">SUM(D43:H43)</f>
        <v>-3.6811865647929984</v>
      </c>
      <c r="L43" s="100"/>
      <c r="M43" s="100"/>
      <c r="N43" s="100"/>
      <c r="O43" s="100"/>
      <c r="P43" s="100"/>
      <c r="Q43" s="100"/>
      <c r="R43" s="100"/>
      <c r="S43" s="100"/>
    </row>
    <row r="44" spans="2:19">
      <c r="B44" s="350"/>
      <c r="L44" s="100"/>
      <c r="M44" s="100"/>
      <c r="N44" s="100"/>
      <c r="O44" s="100"/>
      <c r="P44" s="100"/>
      <c r="Q44" s="100"/>
      <c r="R44" s="100"/>
      <c r="S44" s="100"/>
    </row>
    <row r="45" spans="2:19">
      <c r="B45" s="415" t="str">
        <f>IF(Sector="GD2","Capitalisation 2 totex (excluding repex)","Capitalisation 2 totex")</f>
        <v>Capitalisation 2 totex</v>
      </c>
      <c r="C45" s="346"/>
      <c r="D45" s="348"/>
      <c r="E45" s="348"/>
      <c r="F45" s="348"/>
      <c r="G45" s="348"/>
      <c r="H45" s="348"/>
      <c r="I45" s="348"/>
      <c r="J45" s="348"/>
    </row>
    <row r="46" spans="2:19">
      <c r="D46" s="417"/>
      <c r="E46" s="417"/>
      <c r="F46" s="417"/>
      <c r="G46" s="417"/>
      <c r="H46" s="417"/>
      <c r="I46" s="417"/>
      <c r="J46" s="417"/>
    </row>
    <row r="47" spans="2:19">
      <c r="B47" s="76" t="s">
        <v>614</v>
      </c>
      <c r="C47" s="418" t="str">
        <f>Data!$C$9</f>
        <v>£m 20/21</v>
      </c>
      <c r="D47" s="419">
        <v>17.679901803790251</v>
      </c>
      <c r="E47" s="419">
        <v>14.128916686640133</v>
      </c>
      <c r="F47" s="419">
        <v>94.368105933030478</v>
      </c>
      <c r="G47" s="419">
        <v>142.69569514239396</v>
      </c>
      <c r="H47" s="419">
        <v>173.08793534479901</v>
      </c>
      <c r="I47" s="454">
        <f>SUM(D47:INDEX(D47:H47,0,MATCH('RFPR cover'!$C$9,$D$6:$H$6,0)))</f>
        <v>31.808818490430383</v>
      </c>
      <c r="J47" s="455">
        <f>SUM(D47:H47)</f>
        <v>441.96055491065385</v>
      </c>
      <c r="K47" s="421"/>
    </row>
    <row r="48" spans="2:19" ht="15" customHeight="1">
      <c r="B48" s="420" t="s">
        <v>629</v>
      </c>
      <c r="C48" s="418" t="str">
        <f>Data!$C$9</f>
        <v>£m 20/21</v>
      </c>
      <c r="D48" s="419">
        <v>24.641948407230963</v>
      </c>
      <c r="E48" s="419">
        <v>16.830489622042478</v>
      </c>
      <c r="F48" s="419">
        <v>90.043965429711449</v>
      </c>
      <c r="G48" s="419">
        <v>138.28079476725262</v>
      </c>
      <c r="H48" s="419">
        <v>168.80286187728743</v>
      </c>
      <c r="I48" s="456">
        <f>SUM(D48:INDEX(D48:H48,0,MATCH('RFPR cover'!$C$9,$D$6:$H$6,0)))</f>
        <v>41.472438029273441</v>
      </c>
      <c r="J48" s="457">
        <f>SUM(D48:H48)</f>
        <v>438.60006010352492</v>
      </c>
      <c r="K48" s="421"/>
    </row>
    <row r="49" spans="2:19">
      <c r="B49" s="75" t="s">
        <v>616</v>
      </c>
      <c r="C49" s="418" t="str">
        <f>Data!$C$9</f>
        <v>£m 20/21</v>
      </c>
      <c r="D49" s="448">
        <f>D48-D47</f>
        <v>6.9620466034407116</v>
      </c>
      <c r="E49" s="448">
        <f t="shared" ref="E49:J49" si="18">E48-E47</f>
        <v>2.7015729354023446</v>
      </c>
      <c r="F49" s="448">
        <f t="shared" si="18"/>
        <v>-4.324140503319029</v>
      </c>
      <c r="G49" s="448">
        <f t="shared" si="18"/>
        <v>-4.4149003751413431</v>
      </c>
      <c r="H49" s="448">
        <f t="shared" si="18"/>
        <v>-4.2850734675115802</v>
      </c>
      <c r="I49" s="136">
        <f t="shared" si="18"/>
        <v>9.6636195388430579</v>
      </c>
      <c r="J49" s="220">
        <f t="shared" si="18"/>
        <v>-3.36049480712893</v>
      </c>
      <c r="K49" s="120"/>
      <c r="L49" s="120"/>
      <c r="M49" s="120"/>
      <c r="N49" s="120"/>
      <c r="O49" s="120"/>
      <c r="P49" s="120"/>
      <c r="Q49" s="100"/>
      <c r="R49" s="100"/>
      <c r="S49" s="100"/>
    </row>
    <row r="50" spans="2:19">
      <c r="B50" s="75"/>
      <c r="C50" s="418"/>
      <c r="D50" s="422"/>
      <c r="E50" s="422"/>
      <c r="F50" s="422"/>
      <c r="G50" s="422"/>
      <c r="H50" s="422"/>
      <c r="I50" s="422"/>
      <c r="J50" s="422"/>
      <c r="K50" s="423"/>
      <c r="L50" s="423"/>
      <c r="M50" s="423"/>
      <c r="N50" s="423"/>
      <c r="O50" s="423"/>
      <c r="P50" s="423"/>
      <c r="Q50" s="100"/>
      <c r="R50" s="100"/>
      <c r="S50" s="100"/>
    </row>
    <row r="51" spans="2:19">
      <c r="B51" s="343" t="s">
        <v>617</v>
      </c>
      <c r="C51" s="29" t="s">
        <v>518</v>
      </c>
      <c r="D51" s="458">
        <f>INDEX(Data!$C$63:$C$91,MATCH('RFPR cover'!$C$7,Data!$B$63:$B$91,0),0)</f>
        <v>0.50600000000000001</v>
      </c>
      <c r="E51" s="458">
        <f>INDEX(Data!$C$63:$C$91,MATCH('RFPR cover'!$C$7,Data!$B$63:$B$91,0),0)</f>
        <v>0.50600000000000001</v>
      </c>
      <c r="F51" s="458">
        <f>INDEX(Data!$C$63:$C$91,MATCH('RFPR cover'!$C$7,Data!$B$63:$B$91,0),0)</f>
        <v>0.50600000000000001</v>
      </c>
      <c r="G51" s="458">
        <f>INDEX(Data!$C$63:$C$91,MATCH('RFPR cover'!$C$7,Data!$B$63:$B$91,0),0)</f>
        <v>0.50600000000000001</v>
      </c>
      <c r="H51" s="458">
        <f>INDEX(Data!$C$63:$C$91,MATCH('RFPR cover'!$C$7,Data!$B$63:$B$91,0),0)</f>
        <v>0.50600000000000001</v>
      </c>
      <c r="I51" s="424"/>
      <c r="J51" s="424"/>
      <c r="K51" s="100"/>
      <c r="L51" s="100"/>
      <c r="M51" s="100"/>
      <c r="N51" s="100"/>
      <c r="O51" s="100"/>
      <c r="P51" s="100"/>
      <c r="Q51" s="100"/>
      <c r="R51" s="100"/>
      <c r="S51" s="100"/>
    </row>
    <row r="52" spans="2:19">
      <c r="K52" s="100"/>
      <c r="L52" s="100"/>
      <c r="M52" s="100"/>
      <c r="N52" s="100"/>
      <c r="O52" s="100"/>
      <c r="P52" s="100"/>
      <c r="Q52" s="100"/>
      <c r="R52" s="100"/>
      <c r="S52" s="100"/>
    </row>
    <row r="53" spans="2:19">
      <c r="B53" s="343" t="s">
        <v>618</v>
      </c>
      <c r="C53" s="418" t="str">
        <f>Data!$C$9</f>
        <v>£m 20/21</v>
      </c>
      <c r="D53" s="448">
        <f>D49*D51</f>
        <v>3.5227955813410001</v>
      </c>
      <c r="E53" s="448">
        <f t="shared" ref="E53:H53" si="19">E49*E51</f>
        <v>1.3669959053135863</v>
      </c>
      <c r="F53" s="448">
        <f t="shared" si="19"/>
        <v>-2.1880150946794288</v>
      </c>
      <c r="G53" s="448">
        <f t="shared" si="19"/>
        <v>-2.2339395898215195</v>
      </c>
      <c r="H53" s="448">
        <f t="shared" si="19"/>
        <v>-2.1682471745608596</v>
      </c>
      <c r="I53" s="50">
        <f>SUM(D53:INDEX(D53:H53,0,MATCH('RFPR cover'!$C$9,$D$6:$H$6,0)))</f>
        <v>4.8897914866545866</v>
      </c>
      <c r="J53" s="71">
        <f>SUM(D53:H53)</f>
        <v>-1.7004103724072213</v>
      </c>
      <c r="K53" s="100"/>
      <c r="L53" s="100"/>
      <c r="M53" s="100"/>
      <c r="N53" s="100"/>
      <c r="O53" s="100"/>
      <c r="P53" s="100"/>
      <c r="Q53" s="100"/>
      <c r="R53" s="100"/>
      <c r="S53" s="100"/>
    </row>
    <row r="54" spans="2:19">
      <c r="B54" s="343" t="s">
        <v>619</v>
      </c>
      <c r="C54" s="418" t="str">
        <f>Data!$C$9</f>
        <v>£m 20/21</v>
      </c>
      <c r="D54" s="448">
        <f>D49*(1-D51)</f>
        <v>3.4392510220997115</v>
      </c>
      <c r="E54" s="448">
        <f t="shared" ref="E54:H54" si="20">E49*(1-E51)</f>
        <v>1.3345770300887583</v>
      </c>
      <c r="F54" s="448">
        <f t="shared" si="20"/>
        <v>-2.1361254086396002</v>
      </c>
      <c r="G54" s="448">
        <f t="shared" si="20"/>
        <v>-2.1809607853198236</v>
      </c>
      <c r="H54" s="448">
        <f t="shared" si="20"/>
        <v>-2.1168262929507207</v>
      </c>
      <c r="I54" s="72">
        <f>SUM(D54:INDEX(D54:H54,0,MATCH('RFPR cover'!$C$9,$D$6:$H$6,0)))</f>
        <v>4.7738280521884695</v>
      </c>
      <c r="J54" s="73">
        <f>SUM(D54:H54)</f>
        <v>-1.660084434721675</v>
      </c>
      <c r="K54" s="100"/>
      <c r="L54" s="100"/>
      <c r="M54" s="100"/>
      <c r="N54" s="100"/>
      <c r="O54" s="100"/>
      <c r="P54" s="100"/>
      <c r="Q54" s="100"/>
      <c r="R54" s="100"/>
      <c r="S54" s="100"/>
    </row>
    <row r="55" spans="2:19">
      <c r="K55" s="100"/>
      <c r="L55" s="100"/>
      <c r="M55" s="100"/>
      <c r="N55" s="100"/>
      <c r="O55" s="100"/>
      <c r="P55" s="100"/>
      <c r="Q55" s="100"/>
      <c r="R55" s="100"/>
      <c r="S55" s="100"/>
    </row>
    <row r="56" spans="2:19">
      <c r="B56" s="350" t="s">
        <v>620</v>
      </c>
      <c r="K56" s="100"/>
      <c r="L56" s="100"/>
      <c r="M56" s="100"/>
      <c r="N56" s="100"/>
      <c r="O56" s="100"/>
      <c r="P56" s="100"/>
      <c r="Q56" s="100"/>
      <c r="R56" s="100"/>
      <c r="S56" s="100"/>
    </row>
    <row r="57" spans="2:19">
      <c r="B57" s="356" t="s">
        <v>621</v>
      </c>
      <c r="C57" s="418" t="str">
        <f>Data!$C$9</f>
        <v>£m 20/21</v>
      </c>
      <c r="D57" s="425"/>
      <c r="E57" s="425"/>
      <c r="F57" s="425"/>
      <c r="G57" s="425"/>
      <c r="H57" s="425"/>
      <c r="I57" s="15">
        <f>SUM(D57:INDEX(D57:H57,0,MATCH('RFPR cover'!$C$9,$D$6:$H$6,0)))</f>
        <v>0</v>
      </c>
      <c r="J57" s="17">
        <f>SUM(D57:H57)</f>
        <v>0</v>
      </c>
      <c r="K57" s="100"/>
      <c r="L57" s="100"/>
      <c r="M57" s="100"/>
      <c r="N57" s="100"/>
      <c r="O57" s="100"/>
      <c r="P57" s="100"/>
      <c r="Q57" s="100"/>
      <c r="R57" s="100"/>
      <c r="S57" s="100"/>
    </row>
    <row r="58" spans="2:19">
      <c r="B58" s="356" t="s">
        <v>959</v>
      </c>
      <c r="C58" s="418" t="str">
        <f>Data!$C$9</f>
        <v>£m 20/21</v>
      </c>
      <c r="D58" s="425">
        <v>-6.8687475935947528</v>
      </c>
      <c r="E58" s="425">
        <v>-2.4117896956039235</v>
      </c>
      <c r="F58" s="425">
        <v>2.6543693995215429</v>
      </c>
      <c r="G58" s="425">
        <v>3.3779973986534628</v>
      </c>
      <c r="H58" s="425">
        <v>3.2481704910236711</v>
      </c>
      <c r="I58" s="15">
        <f>SUM(D58:INDEX(D58:H58,0,MATCH('RFPR cover'!$C$9,$D$6:$H$6,0)))</f>
        <v>-9.2805372891986764</v>
      </c>
      <c r="J58" s="17">
        <f t="shared" ref="J58:J59" si="21">SUM(D58:H58)</f>
        <v>0</v>
      </c>
      <c r="K58" s="100"/>
      <c r="L58" s="100"/>
      <c r="M58" s="100"/>
      <c r="N58" s="100"/>
      <c r="O58" s="100"/>
      <c r="P58" s="100"/>
      <c r="Q58" s="100"/>
      <c r="R58" s="100"/>
      <c r="S58" s="100"/>
    </row>
    <row r="59" spans="2:19">
      <c r="B59" s="350" t="s">
        <v>623</v>
      </c>
      <c r="C59" s="418" t="str">
        <f>Data!$C$9</f>
        <v>£m 20/21</v>
      </c>
      <c r="D59" s="448">
        <f>SUM(D57:D58)</f>
        <v>-6.8687475935947528</v>
      </c>
      <c r="E59" s="448">
        <f t="shared" ref="E59" si="22">SUM(E57:E58)</f>
        <v>-2.4117896956039235</v>
      </c>
      <c r="F59" s="448">
        <f t="shared" ref="F59" si="23">SUM(F57:F58)</f>
        <v>2.6543693995215429</v>
      </c>
      <c r="G59" s="448">
        <f t="shared" ref="G59" si="24">SUM(G57:G58)</f>
        <v>3.3779973986534628</v>
      </c>
      <c r="H59" s="448">
        <f t="shared" ref="H59" si="25">SUM(H57:H58)</f>
        <v>3.2481704910236711</v>
      </c>
      <c r="I59" s="15">
        <f>SUM(D59:INDEX(D59:H59,0,MATCH('RFPR cover'!$C$9,$D$6:$H$6,0)))</f>
        <v>-9.2805372891986764</v>
      </c>
      <c r="J59" s="17">
        <f t="shared" si="21"/>
        <v>0</v>
      </c>
      <c r="K59" s="350"/>
      <c r="L59" s="350"/>
      <c r="M59" s="350"/>
      <c r="N59" s="350"/>
      <c r="O59" s="350"/>
      <c r="P59" s="350"/>
      <c r="Q59" s="350"/>
      <c r="R59" s="100"/>
      <c r="S59" s="100"/>
    </row>
    <row r="60" spans="2:19">
      <c r="B60" s="350"/>
      <c r="C60" s="350"/>
      <c r="D60" s="350"/>
      <c r="E60" s="350"/>
      <c r="F60" s="350"/>
      <c r="G60" s="350"/>
      <c r="H60" s="350"/>
      <c r="I60" s="350"/>
      <c r="J60" s="350"/>
      <c r="K60" s="350"/>
      <c r="L60" s="350"/>
      <c r="M60" s="350"/>
      <c r="N60" s="350"/>
      <c r="O60" s="350"/>
      <c r="P60" s="350"/>
      <c r="Q60" s="350"/>
      <c r="R60" s="100"/>
      <c r="S60" s="100"/>
    </row>
    <row r="61" spans="2:19">
      <c r="B61" s="350" t="s">
        <v>624</v>
      </c>
      <c r="K61" s="350"/>
      <c r="L61" s="350"/>
      <c r="M61" s="350"/>
      <c r="N61" s="350"/>
      <c r="O61" s="350"/>
      <c r="P61" s="350"/>
      <c r="Q61" s="350"/>
      <c r="R61" s="100"/>
      <c r="S61" s="100"/>
    </row>
    <row r="62" spans="2:19">
      <c r="B62" s="356" t="s">
        <v>621</v>
      </c>
      <c r="C62" s="418" t="str">
        <f>Data!$C$9</f>
        <v>£m 20/21</v>
      </c>
      <c r="D62" s="425"/>
      <c r="E62" s="425"/>
      <c r="F62" s="425"/>
      <c r="G62" s="425"/>
      <c r="H62" s="425"/>
      <c r="I62" s="15">
        <f>SUM(D62:INDEX(D62:H62,0,MATCH('RFPR cover'!$C$9,$D$6:$H$6,0)))</f>
        <v>0</v>
      </c>
      <c r="J62" s="17">
        <f>SUM(D62:H62)</f>
        <v>0</v>
      </c>
      <c r="K62" s="350"/>
      <c r="L62" s="350"/>
      <c r="M62" s="350"/>
      <c r="N62" s="350"/>
      <c r="O62" s="350"/>
      <c r="P62" s="350"/>
      <c r="Q62" s="350"/>
      <c r="R62" s="100"/>
      <c r="S62" s="100"/>
    </row>
    <row r="63" spans="2:19">
      <c r="B63" s="356" t="s">
        <v>622</v>
      </c>
      <c r="C63" s="418" t="str">
        <f>Data!$C$9</f>
        <v>£m 20/21</v>
      </c>
      <c r="D63" s="425"/>
      <c r="E63" s="425"/>
      <c r="F63" s="425"/>
      <c r="G63" s="425"/>
      <c r="H63" s="425"/>
      <c r="I63" s="15">
        <f>SUM(D63:INDEX(D63:H63,0,MATCH('RFPR cover'!$C$9,$D$6:$H$6,0)))</f>
        <v>0</v>
      </c>
      <c r="J63" s="17">
        <f t="shared" ref="J63:J64" si="26">SUM(D63:H63)</f>
        <v>0</v>
      </c>
      <c r="K63" s="350"/>
      <c r="L63" s="350"/>
      <c r="M63" s="350"/>
      <c r="N63" s="350"/>
      <c r="O63" s="350"/>
      <c r="P63" s="350"/>
      <c r="Q63" s="350"/>
      <c r="R63" s="100"/>
      <c r="S63" s="100"/>
    </row>
    <row r="64" spans="2:19">
      <c r="B64" s="350" t="s">
        <v>623</v>
      </c>
      <c r="C64" s="418" t="str">
        <f>Data!$C$9</f>
        <v>£m 20/21</v>
      </c>
      <c r="D64" s="448">
        <f>SUM(D62:D63)</f>
        <v>0</v>
      </c>
      <c r="E64" s="448">
        <f t="shared" ref="E64:H64" si="27">SUM(E62:E63)</f>
        <v>0</v>
      </c>
      <c r="F64" s="448">
        <f t="shared" si="27"/>
        <v>0</v>
      </c>
      <c r="G64" s="448">
        <f t="shared" si="27"/>
        <v>0</v>
      </c>
      <c r="H64" s="448">
        <f t="shared" si="27"/>
        <v>0</v>
      </c>
      <c r="I64" s="15">
        <f>SUM(D64:INDEX(D64:H64,0,MATCH('RFPR cover'!$C$9,$D$6:$H$6,0)))</f>
        <v>0</v>
      </c>
      <c r="J64" s="17">
        <f t="shared" si="26"/>
        <v>0</v>
      </c>
      <c r="K64" s="350"/>
      <c r="L64" s="350"/>
      <c r="M64" s="350"/>
      <c r="N64" s="350"/>
      <c r="O64" s="350"/>
      <c r="P64" s="350"/>
      <c r="Q64" s="350"/>
      <c r="R64" s="100"/>
      <c r="S64" s="100"/>
    </row>
    <row r="65" spans="2:20">
      <c r="B65" s="350"/>
      <c r="C65" s="350"/>
      <c r="D65" s="350"/>
      <c r="E65" s="350"/>
      <c r="F65" s="350"/>
      <c r="G65" s="350"/>
      <c r="H65" s="350"/>
      <c r="I65" s="350"/>
      <c r="J65" s="350"/>
      <c r="K65" s="350"/>
      <c r="L65" s="350"/>
      <c r="M65" s="350"/>
      <c r="N65" s="350"/>
      <c r="O65" s="350"/>
      <c r="P65" s="350"/>
      <c r="Q65" s="350"/>
      <c r="R65" s="100"/>
      <c r="S65" s="100"/>
    </row>
    <row r="66" spans="2:20">
      <c r="B66" s="343" t="s">
        <v>625</v>
      </c>
      <c r="C66" s="418" t="str">
        <f>Data!$C$9</f>
        <v>£m 20/21</v>
      </c>
      <c r="D66" s="448">
        <f>D59*D51</f>
        <v>-3.475586282358945</v>
      </c>
      <c r="E66" s="448">
        <f t="shared" ref="E66:H66" si="28">E59*E51</f>
        <v>-1.2203655859755853</v>
      </c>
      <c r="F66" s="448">
        <f t="shared" si="28"/>
        <v>1.3431109161579007</v>
      </c>
      <c r="G66" s="448">
        <f t="shared" si="28"/>
        <v>1.7092666837186523</v>
      </c>
      <c r="H66" s="448">
        <f t="shared" si="28"/>
        <v>1.6435742684579775</v>
      </c>
      <c r="I66" s="18">
        <f>SUM(D66:INDEX(D66:H66,0,MATCH('RFPR cover'!$C$9,$D$6:$H$6,0)))</f>
        <v>-4.6959518683345305</v>
      </c>
      <c r="J66" s="20">
        <f>SUM(D66:H66)</f>
        <v>0</v>
      </c>
      <c r="K66" s="350"/>
      <c r="L66" s="350"/>
      <c r="M66" s="350"/>
      <c r="N66" s="350"/>
      <c r="O66" s="350"/>
      <c r="P66" s="350"/>
      <c r="Q66" s="350"/>
      <c r="R66" s="100"/>
      <c r="S66" s="100"/>
    </row>
    <row r="67" spans="2:20">
      <c r="B67" s="343" t="s">
        <v>626</v>
      </c>
      <c r="C67" s="418" t="str">
        <f>Data!$C$9</f>
        <v>£m 20/21</v>
      </c>
      <c r="D67" s="448">
        <f t="shared" ref="D67:H67" si="29">D59*(1-D51)+D64</f>
        <v>-3.3931613112358079</v>
      </c>
      <c r="E67" s="448">
        <f t="shared" si="29"/>
        <v>-1.1914241096283382</v>
      </c>
      <c r="F67" s="448">
        <f t="shared" si="29"/>
        <v>1.3112584833636423</v>
      </c>
      <c r="G67" s="448">
        <f t="shared" si="29"/>
        <v>1.6687307149348105</v>
      </c>
      <c r="H67" s="448">
        <f t="shared" si="29"/>
        <v>1.6045962225656936</v>
      </c>
      <c r="I67" s="18">
        <f>SUM(D67:INDEX(D67:H67,0,MATCH('RFPR cover'!$C$9,$D$6:$H$6,0)))</f>
        <v>-4.5845854208641459</v>
      </c>
      <c r="J67" s="17">
        <f>SUM(D67:H67)</f>
        <v>0</v>
      </c>
      <c r="K67" s="350"/>
      <c r="L67" s="350"/>
      <c r="M67" s="350"/>
      <c r="N67" s="350"/>
      <c r="O67" s="350"/>
      <c r="P67" s="350"/>
      <c r="Q67" s="350"/>
      <c r="R67" s="100"/>
      <c r="S67" s="100"/>
    </row>
    <row r="68" spans="2:20">
      <c r="B68" s="350"/>
      <c r="C68" s="350"/>
      <c r="D68" s="350"/>
      <c r="E68" s="350"/>
      <c r="F68" s="350"/>
      <c r="G68" s="350"/>
      <c r="H68" s="350"/>
      <c r="I68" s="350"/>
      <c r="J68" s="350"/>
      <c r="K68" s="350"/>
      <c r="L68" s="350"/>
      <c r="M68" s="350"/>
      <c r="N68" s="350"/>
      <c r="O68" s="350"/>
      <c r="P68" s="350"/>
      <c r="Q68" s="350"/>
      <c r="R68" s="100"/>
      <c r="S68" s="100"/>
    </row>
    <row r="69" spans="2:20">
      <c r="B69" s="350" t="s">
        <v>627</v>
      </c>
      <c r="C69" s="350"/>
      <c r="D69" s="350"/>
      <c r="E69" s="350"/>
      <c r="F69" s="350"/>
      <c r="G69" s="350"/>
      <c r="H69" s="350"/>
      <c r="I69" s="350"/>
      <c r="J69" s="350"/>
      <c r="K69" s="350"/>
      <c r="L69" s="350"/>
      <c r="M69" s="350"/>
      <c r="N69" s="350"/>
      <c r="O69" s="350"/>
      <c r="P69" s="350"/>
      <c r="Q69" s="350"/>
      <c r="R69" s="100"/>
      <c r="S69" s="100"/>
    </row>
    <row r="70" spans="2:20">
      <c r="B70" s="343" t="s">
        <v>618</v>
      </c>
      <c r="C70" s="418" t="str">
        <f>Data!$C$9</f>
        <v>£m 20/21</v>
      </c>
      <c r="D70" s="448">
        <f>D66+D53</f>
        <v>4.720929898205517E-2</v>
      </c>
      <c r="E70" s="448">
        <f t="shared" ref="E70:H70" si="30">E66+E53</f>
        <v>0.14663031933800097</v>
      </c>
      <c r="F70" s="448">
        <f t="shared" si="30"/>
        <v>-0.8449041785215281</v>
      </c>
      <c r="G70" s="448">
        <f t="shared" si="30"/>
        <v>-0.52467290610286721</v>
      </c>
      <c r="H70" s="448">
        <f t="shared" si="30"/>
        <v>-0.52467290610288209</v>
      </c>
      <c r="I70" s="15">
        <f>SUM(D70:INDEX(D70:H70,0,MATCH('RFPR cover'!$C$9,$D$6:$H$6,0)))</f>
        <v>0.19383961832005614</v>
      </c>
      <c r="J70" s="17">
        <f>SUM(D70:H70)</f>
        <v>-1.7004103724072213</v>
      </c>
      <c r="K70" s="350"/>
      <c r="L70" s="350"/>
      <c r="M70" s="350"/>
      <c r="N70" s="350"/>
      <c r="O70" s="350"/>
      <c r="P70" s="350"/>
      <c r="Q70" s="350"/>
      <c r="R70" s="100"/>
      <c r="S70" s="100"/>
    </row>
    <row r="71" spans="2:20">
      <c r="B71" s="343" t="s">
        <v>619</v>
      </c>
      <c r="C71" s="418" t="str">
        <f>Data!$C$9</f>
        <v>£m 20/21</v>
      </c>
      <c r="D71" s="448">
        <f>D54+D67</f>
        <v>4.6089710863903566E-2</v>
      </c>
      <c r="E71" s="448">
        <f t="shared" ref="E71:H71" si="31">E54+E67</f>
        <v>0.14315292046042005</v>
      </c>
      <c r="F71" s="448">
        <f t="shared" si="31"/>
        <v>-0.82486692527595795</v>
      </c>
      <c r="G71" s="448">
        <f t="shared" si="31"/>
        <v>-0.51223007038501311</v>
      </c>
      <c r="H71" s="448">
        <f t="shared" si="31"/>
        <v>-0.5122300703850271</v>
      </c>
      <c r="I71" s="15">
        <f>SUM(D71:INDEX(D71:H71,0,MATCH('RFPR cover'!$C$9,$D$6:$H$6,0)))</f>
        <v>0.18924263132432362</v>
      </c>
      <c r="J71" s="17">
        <f t="shared" ref="J71" si="32">SUM(D71:H71)</f>
        <v>-1.6600844347216746</v>
      </c>
      <c r="K71" s="350"/>
      <c r="L71" s="350"/>
      <c r="M71" s="350"/>
      <c r="N71" s="350"/>
      <c r="O71" s="350"/>
      <c r="P71" s="350"/>
      <c r="Q71" s="350"/>
      <c r="R71" s="100"/>
      <c r="S71" s="100"/>
    </row>
    <row r="72" spans="2:20">
      <c r="B72" s="350" t="s">
        <v>628</v>
      </c>
      <c r="C72" s="426" t="str">
        <f>Data!$C$9</f>
        <v>£m 20/21</v>
      </c>
      <c r="D72" s="448">
        <f>SUM(D70:D71)</f>
        <v>9.3299009845958736E-2</v>
      </c>
      <c r="E72" s="448">
        <f t="shared" ref="E72:H72" si="33">SUM(E70:E71)</f>
        <v>0.28978323979842102</v>
      </c>
      <c r="F72" s="448">
        <f t="shared" si="33"/>
        <v>-1.6697711037974861</v>
      </c>
      <c r="G72" s="448">
        <f t="shared" si="33"/>
        <v>-1.0369029764878803</v>
      </c>
      <c r="H72" s="448">
        <f t="shared" si="33"/>
        <v>-1.0369029764879092</v>
      </c>
      <c r="I72" s="15">
        <f>SUM(D72:INDEX(D72:H72,0,MATCH('RFPR cover'!$C$9,$D$6:$H$6,0)))</f>
        <v>0.38308224964437976</v>
      </c>
      <c r="J72" s="17">
        <f t="shared" ref="J72" si="34">SUM(D72:H72)</f>
        <v>-3.3604948071288958</v>
      </c>
      <c r="K72" s="100"/>
      <c r="L72" s="100"/>
      <c r="M72" s="100"/>
      <c r="N72" s="100"/>
      <c r="O72" s="100"/>
      <c r="P72" s="100"/>
      <c r="Q72" s="100"/>
      <c r="R72" s="100"/>
      <c r="S72" s="100"/>
    </row>
    <row r="73" spans="2:20">
      <c r="C73" s="418"/>
      <c r="D73" s="418"/>
      <c r="E73" s="418"/>
      <c r="F73" s="418"/>
      <c r="G73" s="418"/>
      <c r="H73" s="418"/>
      <c r="I73" s="418"/>
      <c r="J73" s="418"/>
      <c r="K73" s="418"/>
      <c r="L73" s="418"/>
      <c r="M73" s="418"/>
      <c r="N73" s="418"/>
      <c r="O73" s="418"/>
      <c r="P73" s="418"/>
      <c r="Q73" s="418"/>
      <c r="R73" s="418"/>
      <c r="S73" s="418"/>
      <c r="T73" s="418"/>
    </row>
    <row r="74" spans="2:20">
      <c r="B74" s="427" t="s">
        <v>630</v>
      </c>
      <c r="C74" s="346"/>
      <c r="D74" s="348"/>
      <c r="E74" s="348"/>
      <c r="F74" s="348"/>
      <c r="G74" s="348"/>
      <c r="H74" s="348"/>
      <c r="I74" s="348"/>
      <c r="J74" s="348"/>
      <c r="K74" s="100"/>
      <c r="L74" s="100"/>
      <c r="M74" s="100"/>
      <c r="N74" s="100"/>
      <c r="O74" s="100"/>
      <c r="P74" s="100"/>
      <c r="Q74" s="100"/>
      <c r="R74" s="100"/>
      <c r="S74" s="100"/>
    </row>
    <row r="75" spans="2:20">
      <c r="D75" s="417"/>
      <c r="E75" s="417"/>
      <c r="F75" s="417"/>
      <c r="G75" s="417"/>
      <c r="H75" s="417"/>
      <c r="I75" s="417"/>
      <c r="J75" s="417"/>
      <c r="K75" s="100"/>
      <c r="L75" s="100"/>
      <c r="M75" s="100"/>
      <c r="N75" s="100"/>
      <c r="O75" s="100"/>
      <c r="P75" s="100"/>
      <c r="Q75" s="100"/>
      <c r="R75" s="100"/>
      <c r="S75" s="100"/>
    </row>
    <row r="76" spans="2:20">
      <c r="B76" s="76" t="s">
        <v>631</v>
      </c>
      <c r="C76" s="418" t="str">
        <f>Data!$C$9</f>
        <v>£m 20/21</v>
      </c>
      <c r="D76" s="419"/>
      <c r="E76" s="419"/>
      <c r="F76" s="419"/>
      <c r="G76" s="419"/>
      <c r="H76" s="419"/>
      <c r="I76" s="454">
        <f>SUM(D76:INDEX(D76:H76,0,MATCH('RFPR cover'!$C$9,$D$6:$H$6,0)))</f>
        <v>0</v>
      </c>
      <c r="J76" s="455">
        <f>SUM(D76:H76)</f>
        <v>0</v>
      </c>
      <c r="K76" s="100"/>
      <c r="L76" s="100"/>
      <c r="M76" s="100"/>
      <c r="N76" s="100"/>
      <c r="O76" s="100"/>
      <c r="P76" s="100"/>
      <c r="Q76" s="100"/>
      <c r="R76" s="100"/>
      <c r="S76" s="100"/>
    </row>
    <row r="77" spans="2:20" ht="16.5" customHeight="1">
      <c r="B77" s="420" t="s">
        <v>632</v>
      </c>
      <c r="C77" s="428" t="str">
        <f>Data!$C$9</f>
        <v>£m 20/21</v>
      </c>
      <c r="D77" s="419"/>
      <c r="E77" s="419"/>
      <c r="F77" s="419"/>
      <c r="G77" s="419"/>
      <c r="H77" s="419"/>
      <c r="I77" s="459">
        <f>SUM(D77:INDEX(D77:H77,0,MATCH('RFPR cover'!$C$9,$D$6:$H$6,0)))</f>
        <v>0</v>
      </c>
      <c r="J77" s="460">
        <f>SUM(D77:H77)</f>
        <v>0</v>
      </c>
      <c r="K77" s="429"/>
      <c r="L77" s="429"/>
      <c r="M77" s="429"/>
      <c r="N77" s="429"/>
      <c r="O77" s="429"/>
      <c r="P77" s="429"/>
      <c r="Q77" s="429"/>
      <c r="R77" s="429"/>
      <c r="S77" s="429"/>
    </row>
    <row r="78" spans="2:20">
      <c r="B78" s="75" t="s">
        <v>616</v>
      </c>
      <c r="C78" s="418" t="str">
        <f>Data!$C$9</f>
        <v>£m 20/21</v>
      </c>
      <c r="D78" s="448">
        <f>D77-D76</f>
        <v>0</v>
      </c>
      <c r="E78" s="448">
        <f t="shared" ref="E78:J78" si="35">E77-E76</f>
        <v>0</v>
      </c>
      <c r="F78" s="448">
        <f t="shared" si="35"/>
        <v>0</v>
      </c>
      <c r="G78" s="448">
        <f t="shared" si="35"/>
        <v>0</v>
      </c>
      <c r="H78" s="448">
        <f t="shared" si="35"/>
        <v>0</v>
      </c>
      <c r="I78" s="136">
        <f t="shared" si="35"/>
        <v>0</v>
      </c>
      <c r="J78" s="220">
        <f t="shared" si="35"/>
        <v>0</v>
      </c>
      <c r="K78" s="100"/>
      <c r="L78" s="100"/>
      <c r="M78" s="100"/>
      <c r="N78" s="100"/>
      <c r="O78" s="100"/>
      <c r="P78" s="100"/>
      <c r="Q78" s="100"/>
      <c r="R78" s="100"/>
      <c r="S78" s="100"/>
    </row>
    <row r="79" spans="2:20">
      <c r="B79" s="75"/>
      <c r="C79" s="418"/>
      <c r="D79" s="422"/>
      <c r="E79" s="422"/>
      <c r="F79" s="422"/>
      <c r="G79" s="422"/>
      <c r="H79" s="422"/>
      <c r="I79" s="422"/>
      <c r="J79" s="422"/>
      <c r="K79" s="100"/>
      <c r="L79" s="100"/>
      <c r="M79" s="100"/>
      <c r="N79" s="100"/>
      <c r="O79" s="100"/>
      <c r="P79" s="100"/>
      <c r="Q79" s="100"/>
      <c r="R79" s="100"/>
      <c r="S79" s="100"/>
    </row>
    <row r="80" spans="2:20">
      <c r="B80" s="343" t="s">
        <v>617</v>
      </c>
      <c r="C80" s="29" t="s">
        <v>518</v>
      </c>
      <c r="D80" s="458">
        <f>INDEX(Data!$C$63:$C$91,MATCH('RFPR cover'!$C$7,Data!$B$63:$B$91,0),0)</f>
        <v>0.50600000000000001</v>
      </c>
      <c r="E80" s="458">
        <f>INDEX(Data!$C$63:$C$91,MATCH('RFPR cover'!$C$7,Data!$B$63:$B$91,0),0)</f>
        <v>0.50600000000000001</v>
      </c>
      <c r="F80" s="458">
        <f>INDEX(Data!$C$63:$C$91,MATCH('RFPR cover'!$C$7,Data!$B$63:$B$91,0),0)</f>
        <v>0.50600000000000001</v>
      </c>
      <c r="G80" s="458">
        <f>INDEX(Data!$C$63:$C$91,MATCH('RFPR cover'!$C$7,Data!$B$63:$B$91,0),0)</f>
        <v>0.50600000000000001</v>
      </c>
      <c r="H80" s="458">
        <f>INDEX(Data!$C$63:$C$91,MATCH('RFPR cover'!$C$7,Data!$B$63:$B$91,0),0)</f>
        <v>0.50600000000000001</v>
      </c>
      <c r="I80" s="424"/>
      <c r="J80" s="424"/>
      <c r="K80" s="100"/>
      <c r="L80" s="100"/>
      <c r="M80" s="100"/>
      <c r="N80" s="100"/>
      <c r="O80" s="100"/>
      <c r="P80" s="100"/>
      <c r="Q80" s="100"/>
      <c r="R80" s="100"/>
      <c r="S80" s="100"/>
    </row>
    <row r="81" spans="2:19">
      <c r="K81" s="100"/>
      <c r="L81" s="100"/>
      <c r="M81" s="100"/>
      <c r="N81" s="100"/>
      <c r="O81" s="100"/>
      <c r="P81" s="100"/>
      <c r="Q81" s="100"/>
      <c r="R81" s="100"/>
      <c r="S81" s="100"/>
    </row>
    <row r="82" spans="2:19">
      <c r="B82" s="343" t="s">
        <v>618</v>
      </c>
      <c r="C82" s="418" t="str">
        <f>Data!$C$9</f>
        <v>£m 20/21</v>
      </c>
      <c r="D82" s="448">
        <f>D78*D80</f>
        <v>0</v>
      </c>
      <c r="E82" s="448">
        <f t="shared" ref="E82:H82" si="36">E78*E80</f>
        <v>0</v>
      </c>
      <c r="F82" s="448">
        <f t="shared" si="36"/>
        <v>0</v>
      </c>
      <c r="G82" s="448">
        <f t="shared" si="36"/>
        <v>0</v>
      </c>
      <c r="H82" s="448">
        <f t="shared" si="36"/>
        <v>0</v>
      </c>
      <c r="I82" s="50">
        <f>SUM(D82:INDEX(D82:H82,0,MATCH('RFPR cover'!$C$9,$D$6:$H$6,0)))</f>
        <v>0</v>
      </c>
      <c r="J82" s="71">
        <f>SUM(D82:H82)</f>
        <v>0</v>
      </c>
      <c r="K82" s="100"/>
      <c r="L82" s="100"/>
      <c r="M82" s="100"/>
      <c r="N82" s="100"/>
      <c r="O82" s="100"/>
      <c r="P82" s="100"/>
      <c r="Q82" s="100"/>
      <c r="R82" s="100"/>
      <c r="S82" s="100"/>
    </row>
    <row r="83" spans="2:19">
      <c r="B83" s="343" t="s">
        <v>619</v>
      </c>
      <c r="C83" s="418" t="str">
        <f>Data!$C$9</f>
        <v>£m 20/21</v>
      </c>
      <c r="D83" s="448">
        <f>D78*(1-D80)</f>
        <v>0</v>
      </c>
      <c r="E83" s="448">
        <f t="shared" ref="E83:H83" si="37">E78*(1-E80)</f>
        <v>0</v>
      </c>
      <c r="F83" s="448">
        <f t="shared" si="37"/>
        <v>0</v>
      </c>
      <c r="G83" s="448">
        <f t="shared" si="37"/>
        <v>0</v>
      </c>
      <c r="H83" s="448">
        <f t="shared" si="37"/>
        <v>0</v>
      </c>
      <c r="I83" s="72">
        <f>SUM(D83:INDEX(D83:H83,0,MATCH('RFPR cover'!$C$9,$D$6:$H$6,0)))</f>
        <v>0</v>
      </c>
      <c r="J83" s="73">
        <f>SUM(D83:H83)</f>
        <v>0</v>
      </c>
      <c r="K83" s="100"/>
      <c r="L83" s="100"/>
      <c r="M83" s="100"/>
      <c r="N83" s="100"/>
      <c r="O83" s="100"/>
      <c r="P83" s="100"/>
      <c r="Q83" s="100"/>
      <c r="R83" s="100"/>
      <c r="S83" s="100"/>
    </row>
    <row r="84" spans="2:19">
      <c r="C84" s="343"/>
      <c r="D84" s="343"/>
      <c r="E84" s="343"/>
      <c r="F84" s="343"/>
      <c r="G84" s="343"/>
      <c r="H84" s="343"/>
      <c r="I84" s="343"/>
      <c r="J84" s="343"/>
      <c r="K84" s="343"/>
      <c r="L84" s="343"/>
      <c r="M84" s="100"/>
      <c r="N84" s="100"/>
      <c r="O84" s="100"/>
      <c r="P84" s="100"/>
      <c r="Q84" s="100"/>
      <c r="R84" s="100"/>
      <c r="S84" s="100"/>
    </row>
    <row r="85" spans="2:19">
      <c r="B85" s="350" t="s">
        <v>620</v>
      </c>
      <c r="K85" s="343"/>
      <c r="L85" s="343"/>
      <c r="M85" s="100"/>
      <c r="N85" s="100"/>
      <c r="O85" s="100"/>
      <c r="P85" s="100"/>
      <c r="Q85" s="100"/>
      <c r="R85" s="100"/>
      <c r="S85" s="100"/>
    </row>
    <row r="86" spans="2:19">
      <c r="B86" s="356" t="s">
        <v>621</v>
      </c>
      <c r="C86" s="418" t="str">
        <f>Data!$C$9</f>
        <v>£m 20/21</v>
      </c>
      <c r="D86" s="425"/>
      <c r="E86" s="425"/>
      <c r="F86" s="425"/>
      <c r="G86" s="425"/>
      <c r="H86" s="425"/>
      <c r="I86" s="15">
        <f>SUM(D86:INDEX(D86:H86,0,MATCH('RFPR cover'!$C$9,$D$6:$H$6,0)))</f>
        <v>0</v>
      </c>
      <c r="J86" s="17">
        <f>SUM(D86:H86)</f>
        <v>0</v>
      </c>
      <c r="K86" s="343"/>
      <c r="L86" s="343"/>
      <c r="M86" s="100"/>
      <c r="N86" s="100"/>
      <c r="O86" s="100"/>
      <c r="P86" s="100"/>
      <c r="Q86" s="100"/>
      <c r="R86" s="100"/>
      <c r="S86" s="100"/>
    </row>
    <row r="87" spans="2:19">
      <c r="B87" s="356" t="s">
        <v>622</v>
      </c>
      <c r="C87" s="418" t="str">
        <f>Data!$C$9</f>
        <v>£m 20/21</v>
      </c>
      <c r="D87" s="425"/>
      <c r="E87" s="425"/>
      <c r="F87" s="425"/>
      <c r="G87" s="425"/>
      <c r="H87" s="425"/>
      <c r="I87" s="15">
        <f>SUM(D87:INDEX(D87:H87,0,MATCH('RFPR cover'!$C$9,$D$6:$H$6,0)))</f>
        <v>0</v>
      </c>
      <c r="J87" s="17">
        <f t="shared" ref="J87:J88" si="38">SUM(D87:H87)</f>
        <v>0</v>
      </c>
      <c r="K87" s="343"/>
      <c r="L87" s="343"/>
      <c r="M87" s="100"/>
      <c r="N87" s="100"/>
      <c r="O87" s="100"/>
      <c r="P87" s="100"/>
      <c r="Q87" s="100"/>
      <c r="R87" s="100"/>
      <c r="S87" s="100"/>
    </row>
    <row r="88" spans="2:19">
      <c r="B88" s="350" t="s">
        <v>623</v>
      </c>
      <c r="C88" s="418" t="str">
        <f>Data!$C$9</f>
        <v>£m 20/21</v>
      </c>
      <c r="D88" s="448">
        <f>SUM(D86:D87)</f>
        <v>0</v>
      </c>
      <c r="E88" s="448">
        <f t="shared" ref="E88" si="39">SUM(E86:E87)</f>
        <v>0</v>
      </c>
      <c r="F88" s="448">
        <f t="shared" ref="F88" si="40">SUM(F86:F87)</f>
        <v>0</v>
      </c>
      <c r="G88" s="448">
        <f t="shared" ref="G88" si="41">SUM(G86:G87)</f>
        <v>0</v>
      </c>
      <c r="H88" s="448">
        <f t="shared" ref="H88" si="42">SUM(H86:H87)</f>
        <v>0</v>
      </c>
      <c r="I88" s="15">
        <f>SUM(D88:INDEX(D88:H88,0,MATCH('RFPR cover'!$C$9,$D$6:$H$6,0)))</f>
        <v>0</v>
      </c>
      <c r="J88" s="17">
        <f t="shared" si="38"/>
        <v>0</v>
      </c>
      <c r="K88" s="343"/>
      <c r="L88" s="343"/>
      <c r="M88" s="100"/>
      <c r="N88" s="100"/>
      <c r="O88" s="100"/>
      <c r="P88" s="100"/>
      <c r="Q88" s="100"/>
      <c r="R88" s="100"/>
      <c r="S88" s="100"/>
    </row>
    <row r="89" spans="2:19">
      <c r="B89" s="350"/>
      <c r="C89" s="350"/>
      <c r="D89" s="350"/>
      <c r="E89" s="350"/>
      <c r="F89" s="350"/>
      <c r="G89" s="350"/>
      <c r="H89" s="350"/>
      <c r="I89" s="350"/>
      <c r="J89" s="350"/>
      <c r="K89" s="343"/>
      <c r="L89" s="343"/>
      <c r="M89" s="100"/>
      <c r="N89" s="100"/>
      <c r="O89" s="100"/>
      <c r="P89" s="100"/>
      <c r="Q89" s="100"/>
      <c r="R89" s="100"/>
      <c r="S89" s="100"/>
    </row>
    <row r="90" spans="2:19">
      <c r="B90" s="343" t="s">
        <v>625</v>
      </c>
      <c r="C90" s="418"/>
      <c r="D90" s="448">
        <f>D88*D80</f>
        <v>0</v>
      </c>
      <c r="E90" s="448">
        <f t="shared" ref="E90:H90" si="43">E88*E80</f>
        <v>0</v>
      </c>
      <c r="F90" s="448">
        <f t="shared" si="43"/>
        <v>0</v>
      </c>
      <c r="G90" s="448">
        <f t="shared" si="43"/>
        <v>0</v>
      </c>
      <c r="H90" s="448">
        <f t="shared" si="43"/>
        <v>0</v>
      </c>
      <c r="I90" s="18">
        <f>SUM(D90:INDEX(D90:H90,0,MATCH('RFPR cover'!$C$9,$D$6:$H$6,0)))</f>
        <v>0</v>
      </c>
      <c r="J90" s="20">
        <f>SUM(D90:H90)</f>
        <v>0</v>
      </c>
      <c r="K90" s="343"/>
      <c r="L90" s="343"/>
      <c r="M90" s="100"/>
      <c r="N90" s="100"/>
      <c r="O90" s="100"/>
      <c r="P90" s="100"/>
      <c r="Q90" s="100"/>
      <c r="R90" s="100"/>
      <c r="S90" s="100"/>
    </row>
    <row r="91" spans="2:19">
      <c r="B91" s="343" t="s">
        <v>626</v>
      </c>
      <c r="C91" s="418"/>
      <c r="D91" s="448">
        <f>D88*(1-D80)</f>
        <v>0</v>
      </c>
      <c r="E91" s="448">
        <f t="shared" ref="E91:H91" si="44">E88*(1-E80)</f>
        <v>0</v>
      </c>
      <c r="F91" s="448">
        <f t="shared" si="44"/>
        <v>0</v>
      </c>
      <c r="G91" s="448">
        <f t="shared" si="44"/>
        <v>0</v>
      </c>
      <c r="H91" s="448">
        <f t="shared" si="44"/>
        <v>0</v>
      </c>
      <c r="I91" s="15">
        <v>0</v>
      </c>
      <c r="J91" s="17">
        <f>SUM(D91:H91)</f>
        <v>0</v>
      </c>
      <c r="K91" s="343"/>
      <c r="L91" s="343"/>
      <c r="M91" s="100"/>
      <c r="N91" s="100"/>
      <c r="O91" s="100"/>
      <c r="P91" s="100"/>
      <c r="Q91" s="100"/>
      <c r="R91" s="100"/>
      <c r="S91" s="100"/>
    </row>
    <row r="92" spans="2:19">
      <c r="B92" s="350"/>
      <c r="C92" s="350"/>
      <c r="D92" s="350"/>
      <c r="E92" s="350"/>
      <c r="F92" s="350"/>
      <c r="G92" s="350"/>
      <c r="H92" s="350"/>
      <c r="I92" s="350"/>
      <c r="J92" s="350"/>
      <c r="K92" s="343"/>
      <c r="L92" s="343"/>
      <c r="M92" s="100"/>
      <c r="N92" s="100"/>
      <c r="O92" s="100"/>
      <c r="P92" s="100"/>
      <c r="Q92" s="100"/>
      <c r="R92" s="100"/>
      <c r="S92" s="100"/>
    </row>
    <row r="93" spans="2:19">
      <c r="B93" s="350" t="s">
        <v>627</v>
      </c>
      <c r="C93" s="350"/>
      <c r="D93" s="350"/>
      <c r="E93" s="350"/>
      <c r="F93" s="350"/>
      <c r="G93" s="350"/>
      <c r="H93" s="350"/>
      <c r="I93" s="350"/>
      <c r="J93" s="350"/>
      <c r="K93" s="343"/>
      <c r="L93" s="343"/>
      <c r="M93" s="100"/>
      <c r="N93" s="100"/>
      <c r="O93" s="100"/>
      <c r="P93" s="100"/>
      <c r="Q93" s="100"/>
      <c r="R93" s="100"/>
      <c r="S93" s="100"/>
    </row>
    <row r="94" spans="2:19">
      <c r="B94" s="343" t="s">
        <v>618</v>
      </c>
      <c r="C94" s="418" t="str">
        <f>Data!$C$9</f>
        <v>£m 20/21</v>
      </c>
      <c r="D94" s="448">
        <f>D90+D82</f>
        <v>0</v>
      </c>
      <c r="E94" s="448">
        <f t="shared" ref="E94:H94" si="45">E90+E82</f>
        <v>0</v>
      </c>
      <c r="F94" s="448">
        <f t="shared" si="45"/>
        <v>0</v>
      </c>
      <c r="G94" s="448">
        <f t="shared" si="45"/>
        <v>0</v>
      </c>
      <c r="H94" s="448">
        <f t="shared" si="45"/>
        <v>0</v>
      </c>
      <c r="I94" s="15">
        <f>SUM(D94:INDEX(D94:H94,0,MATCH('RFPR cover'!$C$9,$D$6:$H$6,0)))</f>
        <v>0</v>
      </c>
      <c r="J94" s="17">
        <f>SUM(D94:H94)</f>
        <v>0</v>
      </c>
      <c r="K94" s="343"/>
      <c r="L94" s="343"/>
      <c r="M94" s="100"/>
      <c r="N94" s="100"/>
      <c r="O94" s="100"/>
      <c r="P94" s="100"/>
      <c r="Q94" s="100"/>
      <c r="R94" s="100"/>
      <c r="S94" s="100"/>
    </row>
    <row r="95" spans="2:19">
      <c r="B95" s="343" t="s">
        <v>619</v>
      </c>
      <c r="C95" s="418" t="str">
        <f>Data!$C$9</f>
        <v>£m 20/21</v>
      </c>
      <c r="D95" s="448">
        <f>D83+D91</f>
        <v>0</v>
      </c>
      <c r="E95" s="448">
        <f t="shared" ref="E95:H95" si="46">E83+E91</f>
        <v>0</v>
      </c>
      <c r="F95" s="448">
        <f t="shared" si="46"/>
        <v>0</v>
      </c>
      <c r="G95" s="448">
        <f t="shared" si="46"/>
        <v>0</v>
      </c>
      <c r="H95" s="448">
        <f t="shared" si="46"/>
        <v>0</v>
      </c>
      <c r="I95" s="15">
        <f>SUM(D95:INDEX(D95:H95,0,MATCH('RFPR cover'!$C$9,$D$6:$H$6,0)))</f>
        <v>0</v>
      </c>
      <c r="J95" s="17">
        <f t="shared" ref="J95:J96" si="47">SUM(D95:H95)</f>
        <v>0</v>
      </c>
      <c r="K95" s="343"/>
      <c r="L95" s="343"/>
      <c r="M95" s="100"/>
      <c r="N95" s="100"/>
      <c r="O95" s="100"/>
      <c r="P95" s="100"/>
      <c r="Q95" s="100"/>
      <c r="R95" s="100"/>
      <c r="S95" s="100"/>
    </row>
    <row r="96" spans="2:19">
      <c r="B96" s="350" t="s">
        <v>628</v>
      </c>
      <c r="C96" s="426" t="str">
        <f>Data!$C$9</f>
        <v>£m 20/21</v>
      </c>
      <c r="D96" s="448">
        <f>SUM(D94:D95)</f>
        <v>0</v>
      </c>
      <c r="E96" s="448">
        <f t="shared" ref="E96:H96" si="48">SUM(E94:E95)</f>
        <v>0</v>
      </c>
      <c r="F96" s="448">
        <f t="shared" si="48"/>
        <v>0</v>
      </c>
      <c r="G96" s="448">
        <f t="shared" si="48"/>
        <v>0</v>
      </c>
      <c r="H96" s="448">
        <f t="shared" si="48"/>
        <v>0</v>
      </c>
      <c r="I96" s="15">
        <f>SUM(D96:INDEX(D96:H96,0,MATCH('RFPR cover'!$C$9,$D$6:$H$6,0)))</f>
        <v>0</v>
      </c>
      <c r="J96" s="17">
        <f t="shared" si="47"/>
        <v>0</v>
      </c>
      <c r="K96" s="100"/>
      <c r="L96" s="100"/>
      <c r="M96" s="100"/>
      <c r="N96" s="100"/>
      <c r="O96" s="100"/>
      <c r="P96" s="100"/>
      <c r="Q96" s="100"/>
      <c r="R96" s="100"/>
      <c r="S96" s="100"/>
    </row>
    <row r="97" spans="2:19">
      <c r="K97" s="100"/>
      <c r="L97" s="100"/>
      <c r="M97" s="100"/>
      <c r="N97" s="100"/>
      <c r="O97" s="100"/>
      <c r="P97" s="100"/>
      <c r="Q97" s="100"/>
      <c r="R97" s="100"/>
      <c r="S97" s="100"/>
    </row>
    <row r="98" spans="2:19">
      <c r="B98" s="345" t="s">
        <v>633</v>
      </c>
      <c r="C98" s="346"/>
      <c r="D98" s="348"/>
      <c r="E98" s="348"/>
      <c r="F98" s="348"/>
      <c r="G98" s="348"/>
      <c r="H98" s="348"/>
      <c r="I98" s="348"/>
      <c r="J98" s="348"/>
      <c r="Q98" s="100"/>
      <c r="R98" s="100"/>
      <c r="S98" s="100"/>
    </row>
    <row r="99" spans="2:19">
      <c r="K99" s="100"/>
      <c r="L99" s="100"/>
      <c r="M99" s="100"/>
      <c r="N99" s="100"/>
      <c r="O99" s="100"/>
      <c r="P99" s="100"/>
      <c r="Q99" s="100"/>
      <c r="R99" s="100"/>
      <c r="S99" s="100"/>
    </row>
    <row r="100" spans="2:19">
      <c r="B100" s="350" t="s">
        <v>634</v>
      </c>
      <c r="Q100" s="100"/>
      <c r="R100" s="100"/>
      <c r="S100" s="100"/>
    </row>
    <row r="101" spans="2:19">
      <c r="B101" s="343" t="s">
        <v>635</v>
      </c>
      <c r="C101" s="418" t="str">
        <f>Data!$C$9</f>
        <v>£m 20/21</v>
      </c>
      <c r="D101" s="448">
        <f t="shared" ref="D101:H102" si="49">D41+D70+D94</f>
        <v>-0.4696055675970805</v>
      </c>
      <c r="E101" s="448">
        <f t="shared" si="49"/>
        <v>-6.4357519717752485</v>
      </c>
      <c r="F101" s="448">
        <f t="shared" si="49"/>
        <v>-7.5610579678004521</v>
      </c>
      <c r="G101" s="448">
        <f t="shared" si="49"/>
        <v>4.717926414620762</v>
      </c>
      <c r="H101" s="448">
        <f t="shared" si="49"/>
        <v>6.1853983183595362</v>
      </c>
      <c r="I101" s="15">
        <f>SUM(D101:INDEX(D101:H101,0,MATCH('RFPR cover'!$C$9,$D$6:$H$6,0)))</f>
        <v>-6.9053575393723285</v>
      </c>
      <c r="J101" s="17">
        <f>SUM(D101:H101)</f>
        <v>-3.5630907741924807</v>
      </c>
      <c r="Q101" s="100"/>
      <c r="R101" s="379"/>
      <c r="S101" s="100"/>
    </row>
    <row r="102" spans="2:19">
      <c r="B102" s="343" t="s">
        <v>619</v>
      </c>
      <c r="C102" s="418" t="str">
        <f>Data!$C$9</f>
        <v>£m 20/21</v>
      </c>
      <c r="D102" s="448">
        <f t="shared" si="49"/>
        <v>-0.45846867666591917</v>
      </c>
      <c r="E102" s="448">
        <f t="shared" si="49"/>
        <v>-6.2831254428003422</v>
      </c>
      <c r="F102" s="448">
        <f t="shared" si="49"/>
        <v>-7.3817443401055787</v>
      </c>
      <c r="G102" s="448">
        <f t="shared" si="49"/>
        <v>4.6060388316653311</v>
      </c>
      <c r="H102" s="448">
        <f t="shared" si="49"/>
        <v>6.0387090301770971</v>
      </c>
      <c r="I102" s="15">
        <f>SUM(D102:INDEX(D102:H102,0,MATCH('RFPR cover'!$C$9,$D$6:$H$6,0)))</f>
        <v>-6.7415941194662619</v>
      </c>
      <c r="J102" s="17">
        <f t="shared" ref="J102:J103" si="50">SUM(D102:H102)</f>
        <v>-3.4785905977294131</v>
      </c>
      <c r="Q102" s="100"/>
      <c r="R102" s="100"/>
      <c r="S102" s="100"/>
    </row>
    <row r="103" spans="2:19">
      <c r="B103" s="350" t="s">
        <v>636</v>
      </c>
      <c r="C103" s="426" t="str">
        <f>Data!$C$9</f>
        <v>£m 20/21</v>
      </c>
      <c r="D103" s="448">
        <f>SUM(D101:D102)</f>
        <v>-0.92807424426299967</v>
      </c>
      <c r="E103" s="448">
        <f t="shared" ref="E103:H103" si="51">SUM(E101:E102)</f>
        <v>-12.718877414575591</v>
      </c>
      <c r="F103" s="448">
        <f t="shared" si="51"/>
        <v>-14.942802307906032</v>
      </c>
      <c r="G103" s="448">
        <f t="shared" si="51"/>
        <v>9.3239652462860931</v>
      </c>
      <c r="H103" s="448">
        <f t="shared" si="51"/>
        <v>12.224107348536634</v>
      </c>
      <c r="I103" s="15">
        <f>SUM(D103:INDEX(D103:H103,0,MATCH('RFPR cover'!$C$9,$D$6:$H$6,0)))</f>
        <v>-13.64695165883859</v>
      </c>
      <c r="J103" s="17">
        <f t="shared" si="50"/>
        <v>-7.0416813719218965</v>
      </c>
      <c r="Q103" s="100"/>
      <c r="R103" s="100"/>
      <c r="S103" s="100"/>
    </row>
    <row r="104" spans="2:19">
      <c r="B104" s="350"/>
      <c r="C104" s="426"/>
      <c r="D104" s="426"/>
      <c r="E104" s="426"/>
      <c r="F104" s="426"/>
      <c r="G104" s="426"/>
      <c r="H104" s="426"/>
      <c r="I104" s="426"/>
      <c r="J104" s="426"/>
      <c r="Q104" s="100"/>
      <c r="R104" s="100"/>
      <c r="S104" s="100"/>
    </row>
    <row r="105" spans="2:19">
      <c r="B105" s="411" t="s">
        <v>637</v>
      </c>
      <c r="C105" s="412"/>
      <c r="D105" s="412"/>
      <c r="E105" s="412"/>
      <c r="F105" s="412"/>
      <c r="G105" s="412"/>
      <c r="H105" s="413"/>
      <c r="I105" s="413"/>
      <c r="J105" s="413"/>
    </row>
    <row r="107" spans="2:19">
      <c r="B107" s="293"/>
    </row>
    <row r="108" spans="2:19">
      <c r="B108" s="430"/>
      <c r="D108" s="292" t="str">
        <f t="shared" ref="D108:H108" si="52">IF(D109&lt;=Reporting_Year,"Actuals","N/A")</f>
        <v>Actuals</v>
      </c>
      <c r="E108" s="431" t="str">
        <f t="shared" si="52"/>
        <v>Actuals</v>
      </c>
      <c r="F108" s="431" t="str">
        <f t="shared" si="52"/>
        <v>N/A</v>
      </c>
      <c r="G108" s="431" t="str">
        <f t="shared" si="52"/>
        <v>N/A</v>
      </c>
      <c r="H108" s="431" t="str">
        <f t="shared" si="52"/>
        <v>N/A</v>
      </c>
    </row>
    <row r="109" spans="2:19">
      <c r="B109" s="293"/>
      <c r="D109" s="408">
        <f>'RFPR cover'!$C$6</f>
        <v>2024</v>
      </c>
      <c r="E109" s="409">
        <f t="shared" ref="E109:H109" si="53">D109+1</f>
        <v>2025</v>
      </c>
      <c r="F109" s="409">
        <f t="shared" si="53"/>
        <v>2026</v>
      </c>
      <c r="G109" s="409">
        <f t="shared" si="53"/>
        <v>2027</v>
      </c>
      <c r="H109" s="409">
        <f t="shared" si="53"/>
        <v>2028</v>
      </c>
    </row>
    <row r="110" spans="2:19">
      <c r="B110" s="293"/>
      <c r="D110" s="297" t="str">
        <f>RIIO_2_start_date-1&amp;"/"&amp;RIGHT(RIIO_2_start_date,2)</f>
        <v>2023/24</v>
      </c>
      <c r="E110" s="297" t="str">
        <f>RIIO_2_start_date&amp;"/"&amp;RIGHT(RIIO_2_start_date+1,2)</f>
        <v>2024/25</v>
      </c>
      <c r="F110" s="297" t="str">
        <f>RIIO_2_start_date+1&amp;"/"&amp;RIGHT(RIIO_2_start_date+2,2)</f>
        <v>2025/26</v>
      </c>
      <c r="G110" s="297" t="str">
        <f>RIIO_2_start_date+2&amp;"/"&amp;RIGHT(RIIO_2_start_date+3,2)</f>
        <v>2026/27</v>
      </c>
      <c r="H110" s="297" t="str">
        <f>RIIO_2_start_date+3&amp;"/"&amp;RIGHT(RIIO_2_start_date+4,2)</f>
        <v>2027/28</v>
      </c>
    </row>
    <row r="111" spans="2:19">
      <c r="B111" s="293"/>
      <c r="D111" s="29"/>
      <c r="E111" s="29"/>
      <c r="F111" s="29"/>
      <c r="G111" s="29"/>
      <c r="H111" s="29"/>
      <c r="I111" s="29"/>
    </row>
    <row r="112" spans="2:19">
      <c r="B112" s="432" t="s">
        <v>638</v>
      </c>
      <c r="C112" s="40"/>
      <c r="D112" s="432"/>
      <c r="E112" s="432"/>
      <c r="F112" s="432"/>
      <c r="G112" s="432"/>
      <c r="H112" s="432"/>
      <c r="Q112" s="100"/>
    </row>
    <row r="113" spans="1:19">
      <c r="B113" s="356" t="s">
        <v>639</v>
      </c>
      <c r="C113" s="29" t="s">
        <v>555</v>
      </c>
      <c r="D113" s="355">
        <v>279.80429928480004</v>
      </c>
      <c r="E113" s="355">
        <v>361.81704845420074</v>
      </c>
      <c r="F113" s="355"/>
      <c r="G113" s="355"/>
      <c r="H113" s="355"/>
    </row>
    <row r="114" spans="1:19">
      <c r="B114" s="356" t="s">
        <v>640</v>
      </c>
      <c r="C114" s="29" t="s">
        <v>555</v>
      </c>
      <c r="D114" s="433">
        <v>11.063540935199997</v>
      </c>
      <c r="E114" s="425">
        <v>15.237877545000002</v>
      </c>
      <c r="F114" s="425"/>
      <c r="G114" s="355"/>
      <c r="H114" s="355"/>
    </row>
    <row r="115" spans="1:19">
      <c r="B115" s="356" t="s">
        <v>641</v>
      </c>
      <c r="C115" s="29" t="s">
        <v>555</v>
      </c>
      <c r="D115" s="433">
        <v>-0.86848722</v>
      </c>
      <c r="E115" s="425">
        <v>-1.531264264497336</v>
      </c>
      <c r="F115" s="425"/>
      <c r="G115" s="425"/>
      <c r="H115" s="425"/>
    </row>
    <row r="116" spans="1:19">
      <c r="B116" s="356" t="s">
        <v>642</v>
      </c>
      <c r="C116" s="29" t="s">
        <v>555</v>
      </c>
      <c r="D116" s="355">
        <v>-57.085229420000019</v>
      </c>
      <c r="E116" s="355">
        <v>-37.479310789999943</v>
      </c>
      <c r="F116" s="355"/>
      <c r="G116" s="355"/>
      <c r="H116" s="355"/>
    </row>
    <row r="117" spans="1:19">
      <c r="B117" s="356" t="s">
        <v>643</v>
      </c>
      <c r="C117" s="29" t="s">
        <v>555</v>
      </c>
      <c r="D117" s="433">
        <v>-1.32280171</v>
      </c>
      <c r="E117" s="425">
        <v>-2.1431377199999999</v>
      </c>
      <c r="F117" s="425"/>
      <c r="G117" s="425"/>
      <c r="H117" s="425"/>
      <c r="R117" s="100"/>
      <c r="S117" s="100"/>
    </row>
    <row r="118" spans="1:19">
      <c r="B118" s="356" t="s">
        <v>644</v>
      </c>
      <c r="C118" s="29" t="s">
        <v>555</v>
      </c>
      <c r="D118" s="434">
        <v>0</v>
      </c>
      <c r="E118" s="435">
        <v>0</v>
      </c>
      <c r="F118" s="435"/>
      <c r="G118" s="435"/>
      <c r="H118" s="435"/>
    </row>
    <row r="119" spans="1:19">
      <c r="A119" s="430">
        <v>1</v>
      </c>
      <c r="B119" s="356" t="s">
        <v>577</v>
      </c>
      <c r="C119" s="29" t="s">
        <v>555</v>
      </c>
      <c r="D119" s="355"/>
      <c r="E119" s="436"/>
      <c r="F119" s="436"/>
      <c r="G119" s="436"/>
      <c r="H119" s="436"/>
    </row>
    <row r="120" spans="1:19">
      <c r="A120" s="430">
        <v>2</v>
      </c>
      <c r="B120" s="356" t="s">
        <v>577</v>
      </c>
      <c r="C120" s="29" t="s">
        <v>555</v>
      </c>
      <c r="D120" s="433"/>
      <c r="E120" s="425"/>
      <c r="F120" s="425"/>
      <c r="G120" s="425"/>
      <c r="H120" s="425"/>
    </row>
    <row r="121" spans="1:19">
      <c r="A121" s="430">
        <v>3</v>
      </c>
      <c r="B121" s="356" t="s">
        <v>574</v>
      </c>
      <c r="C121" s="29" t="s">
        <v>555</v>
      </c>
      <c r="D121" s="437"/>
      <c r="E121" s="438"/>
      <c r="F121" s="438"/>
      <c r="G121" s="438"/>
      <c r="H121" s="438"/>
    </row>
    <row r="122" spans="1:19">
      <c r="B122" s="432" t="s">
        <v>645</v>
      </c>
      <c r="C122" s="29" t="s">
        <v>555</v>
      </c>
      <c r="D122" s="461">
        <f t="shared" ref="D122:H122" si="54">SUM(D113:D121)</f>
        <v>231.59132187000003</v>
      </c>
      <c r="E122" s="462">
        <f t="shared" si="54"/>
        <v>335.90121322470344</v>
      </c>
      <c r="F122" s="462">
        <f t="shared" si="54"/>
        <v>0</v>
      </c>
      <c r="G122" s="462">
        <f t="shared" si="54"/>
        <v>0</v>
      </c>
      <c r="H122" s="463">
        <f t="shared" si="54"/>
        <v>0</v>
      </c>
    </row>
    <row r="123" spans="1:19">
      <c r="B123" s="432"/>
      <c r="C123" s="432"/>
      <c r="D123" s="432"/>
      <c r="E123" s="432"/>
      <c r="F123" s="432"/>
      <c r="G123" s="432"/>
      <c r="H123" s="432"/>
      <c r="I123" s="432"/>
      <c r="J123" s="432"/>
      <c r="K123" s="432"/>
      <c r="L123" s="432"/>
      <c r="M123" s="432"/>
    </row>
    <row r="124" spans="1:19">
      <c r="A124" s="430"/>
      <c r="B124" s="356" t="s">
        <v>646</v>
      </c>
      <c r="C124" s="29" t="s">
        <v>555</v>
      </c>
      <c r="D124" s="355">
        <v>146.70900102000002</v>
      </c>
      <c r="E124" s="355">
        <v>157.09264570999997</v>
      </c>
      <c r="F124" s="355"/>
      <c r="G124" s="355"/>
      <c r="H124" s="355"/>
    </row>
    <row r="125" spans="1:19" ht="21" customHeight="1">
      <c r="A125" s="430"/>
      <c r="B125" s="439" t="s">
        <v>647</v>
      </c>
      <c r="C125" s="430"/>
      <c r="D125" s="430"/>
      <c r="E125" s="430"/>
      <c r="F125" s="430"/>
      <c r="G125" s="430"/>
      <c r="H125" s="430"/>
      <c r="I125" s="430"/>
      <c r="J125" s="430"/>
      <c r="K125" s="29"/>
    </row>
    <row r="126" spans="1:19">
      <c r="A126" s="430">
        <v>1</v>
      </c>
      <c r="B126" s="356" t="s">
        <v>648</v>
      </c>
      <c r="C126" s="29" t="s">
        <v>555</v>
      </c>
      <c r="D126" s="355">
        <v>222.25755315000001</v>
      </c>
      <c r="E126" s="436">
        <v>216.46637138000003</v>
      </c>
      <c r="F126" s="436"/>
      <c r="G126" s="436"/>
      <c r="H126" s="440"/>
    </row>
    <row r="127" spans="1:19">
      <c r="A127" s="430">
        <v>2</v>
      </c>
      <c r="B127" s="356" t="s">
        <v>577</v>
      </c>
      <c r="C127" s="29" t="s">
        <v>555</v>
      </c>
      <c r="D127" s="433"/>
      <c r="E127" s="425"/>
      <c r="F127" s="425"/>
      <c r="G127" s="425"/>
      <c r="H127" s="441"/>
    </row>
    <row r="128" spans="1:19">
      <c r="A128" s="430">
        <v>3</v>
      </c>
      <c r="B128" s="356" t="s">
        <v>574</v>
      </c>
      <c r="C128" s="29" t="s">
        <v>555</v>
      </c>
      <c r="D128" s="434"/>
      <c r="E128" s="435"/>
      <c r="F128" s="435"/>
      <c r="G128" s="435"/>
      <c r="H128" s="442"/>
    </row>
    <row r="129" spans="1:14">
      <c r="A129" s="430"/>
      <c r="B129" s="432" t="s">
        <v>649</v>
      </c>
      <c r="C129" s="29" t="s">
        <v>555</v>
      </c>
      <c r="D129" s="464">
        <f>SUM(D126:D128)</f>
        <v>222.25755315000001</v>
      </c>
      <c r="E129" s="464">
        <f t="shared" ref="E129:H129" si="55">SUM(E126:E128)</f>
        <v>216.46637138000003</v>
      </c>
      <c r="F129" s="464">
        <f t="shared" si="55"/>
        <v>0</v>
      </c>
      <c r="G129" s="464">
        <f t="shared" si="55"/>
        <v>0</v>
      </c>
      <c r="H129" s="464">
        <f t="shared" si="55"/>
        <v>0</v>
      </c>
    </row>
    <row r="130" spans="1:14">
      <c r="A130" s="430"/>
      <c r="B130" s="432"/>
      <c r="C130" s="432"/>
      <c r="D130" s="432"/>
      <c r="E130" s="432"/>
      <c r="F130" s="432"/>
      <c r="G130" s="432"/>
      <c r="H130" s="432"/>
      <c r="I130" s="432"/>
      <c r="J130" s="432"/>
      <c r="K130" s="432"/>
      <c r="L130" s="432"/>
      <c r="M130" s="432"/>
      <c r="N130" s="432"/>
    </row>
    <row r="131" spans="1:14" s="439" customFormat="1" ht="15" customHeight="1">
      <c r="B131" s="443" t="s">
        <v>650</v>
      </c>
      <c r="C131" s="120" t="s">
        <v>555</v>
      </c>
      <c r="D131" s="448">
        <f>SUM(D122,D124,D129)</f>
        <v>600.55787604000011</v>
      </c>
      <c r="E131" s="448">
        <f t="shared" ref="E131:H131" si="56">SUM(E122,E124,E129)</f>
        <v>709.46023031470349</v>
      </c>
      <c r="F131" s="448">
        <f t="shared" si="56"/>
        <v>0</v>
      </c>
      <c r="G131" s="448">
        <f t="shared" si="56"/>
        <v>0</v>
      </c>
      <c r="H131" s="448">
        <f t="shared" si="56"/>
        <v>0</v>
      </c>
    </row>
    <row r="132" spans="1:14" ht="10.5" customHeight="1">
      <c r="B132" s="293"/>
      <c r="D132" s="444"/>
      <c r="E132" s="444"/>
      <c r="F132" s="444"/>
      <c r="G132" s="444"/>
      <c r="H132" s="444"/>
    </row>
    <row r="133" spans="1:14" ht="26.5" customHeight="1">
      <c r="B133" s="432" t="s">
        <v>651</v>
      </c>
    </row>
    <row r="134" spans="1:14">
      <c r="B134" s="445" t="s">
        <v>652</v>
      </c>
    </row>
    <row r="135" spans="1:14">
      <c r="A135" s="430">
        <v>1</v>
      </c>
      <c r="B135" s="356" t="s">
        <v>646</v>
      </c>
      <c r="C135" s="29" t="s">
        <v>555</v>
      </c>
      <c r="D135" s="446">
        <v>-146.70900102000002</v>
      </c>
      <c r="E135" s="446">
        <v>-157.09264570999997</v>
      </c>
      <c r="F135" s="446"/>
      <c r="G135" s="446"/>
      <c r="H135" s="446"/>
    </row>
    <row r="136" spans="1:14" ht="7" customHeight="1">
      <c r="A136" s="430"/>
      <c r="B136" s="430"/>
      <c r="C136" s="430"/>
      <c r="D136" s="430"/>
      <c r="E136" s="430"/>
    </row>
    <row r="137" spans="1:14">
      <c r="A137" s="430">
        <v>2</v>
      </c>
      <c r="B137" s="356" t="s">
        <v>939</v>
      </c>
      <c r="C137" s="29" t="s">
        <v>555</v>
      </c>
      <c r="D137" s="446">
        <v>-2.7782941999999999</v>
      </c>
      <c r="E137" s="446">
        <v>-2.9154203833380001</v>
      </c>
      <c r="F137" s="446"/>
      <c r="G137" s="446"/>
      <c r="H137" s="446"/>
    </row>
    <row r="138" spans="1:14">
      <c r="A138" s="430">
        <v>3</v>
      </c>
      <c r="B138" s="356" t="s">
        <v>940</v>
      </c>
      <c r="C138" s="29" t="s">
        <v>555</v>
      </c>
      <c r="D138" s="446">
        <v>0.18877121727432003</v>
      </c>
      <c r="E138" s="446">
        <v>0.44677651000000007</v>
      </c>
      <c r="F138" s="446"/>
      <c r="G138" s="446"/>
      <c r="H138" s="446"/>
    </row>
    <row r="139" spans="1:14">
      <c r="A139" s="430">
        <v>4</v>
      </c>
      <c r="B139" s="356" t="s">
        <v>941</v>
      </c>
      <c r="C139" s="29" t="s">
        <v>555</v>
      </c>
      <c r="D139" s="446">
        <v>-1.4153144200000001</v>
      </c>
      <c r="E139" s="446">
        <v>-1.341672</v>
      </c>
      <c r="F139" s="446"/>
      <c r="G139" s="446"/>
      <c r="H139" s="446"/>
    </row>
    <row r="140" spans="1:14">
      <c r="A140" s="430">
        <v>5</v>
      </c>
      <c r="B140" s="356" t="s">
        <v>942</v>
      </c>
      <c r="C140" s="29" t="s">
        <v>555</v>
      </c>
      <c r="D140" s="446">
        <v>1.0439554</v>
      </c>
      <c r="E140" s="446">
        <v>1.1430000499999997</v>
      </c>
      <c r="F140" s="446"/>
      <c r="G140" s="446"/>
      <c r="H140" s="446"/>
    </row>
    <row r="141" spans="1:14">
      <c r="A141" s="430">
        <v>6</v>
      </c>
      <c r="B141" s="356" t="s">
        <v>943</v>
      </c>
      <c r="C141" s="29" t="s">
        <v>555</v>
      </c>
      <c r="D141" s="446">
        <v>0.23951367999999992</v>
      </c>
      <c r="E141" s="446">
        <v>0.26210064</v>
      </c>
      <c r="F141" s="446"/>
      <c r="G141" s="446"/>
      <c r="H141" s="446"/>
    </row>
    <row r="142" spans="1:14">
      <c r="A142" s="430">
        <v>7</v>
      </c>
      <c r="B142" s="356" t="s">
        <v>944</v>
      </c>
      <c r="C142" s="29" t="s">
        <v>555</v>
      </c>
      <c r="D142" s="446">
        <v>-6.4467380000000005E-2</v>
      </c>
      <c r="E142" s="446">
        <v>-0.13605638000000003</v>
      </c>
      <c r="F142" s="446"/>
      <c r="G142" s="446"/>
      <c r="H142" s="446"/>
    </row>
    <row r="143" spans="1:14">
      <c r="A143" s="430">
        <v>8</v>
      </c>
      <c r="B143" s="356" t="s">
        <v>945</v>
      </c>
      <c r="C143" s="29" t="s">
        <v>555</v>
      </c>
      <c r="D143" s="446">
        <v>2.0803955600000004</v>
      </c>
      <c r="E143" s="446">
        <v>2.5758658199999998</v>
      </c>
      <c r="F143" s="446"/>
      <c r="G143" s="446"/>
      <c r="H143" s="446"/>
    </row>
    <row r="144" spans="1:14">
      <c r="A144" s="430">
        <v>9</v>
      </c>
      <c r="B144" s="356" t="s">
        <v>946</v>
      </c>
      <c r="C144" s="29" t="s">
        <v>555</v>
      </c>
      <c r="D144" s="446">
        <v>-8.7999999999999995E-2</v>
      </c>
      <c r="E144" s="446">
        <v>0</v>
      </c>
      <c r="F144" s="446"/>
      <c r="G144" s="446"/>
      <c r="H144" s="446"/>
    </row>
    <row r="145" spans="1:19">
      <c r="A145" s="430">
        <v>10</v>
      </c>
      <c r="B145" s="356" t="s">
        <v>937</v>
      </c>
      <c r="C145" s="29" t="s">
        <v>555</v>
      </c>
      <c r="D145" s="446">
        <v>-0.14757147999999998</v>
      </c>
      <c r="E145" s="446">
        <v>0.15671857000000003</v>
      </c>
      <c r="F145" s="446"/>
      <c r="G145" s="446"/>
      <c r="H145" s="446"/>
    </row>
    <row r="146" spans="1:19">
      <c r="A146" s="430">
        <v>11</v>
      </c>
      <c r="B146" s="356" t="s">
        <v>574</v>
      </c>
      <c r="C146" s="29" t="s">
        <v>555</v>
      </c>
      <c r="D146" s="446"/>
      <c r="E146" s="446"/>
      <c r="F146" s="446"/>
      <c r="G146" s="446"/>
      <c r="H146" s="446"/>
    </row>
    <row r="147" spans="1:19">
      <c r="A147" s="430">
        <v>12</v>
      </c>
      <c r="B147" s="356" t="s">
        <v>574</v>
      </c>
      <c r="C147" s="29" t="s">
        <v>555</v>
      </c>
      <c r="D147" s="446"/>
      <c r="E147" s="446"/>
      <c r="F147" s="446"/>
      <c r="G147" s="446"/>
      <c r="H147" s="446"/>
    </row>
    <row r="148" spans="1:19">
      <c r="A148" s="430">
        <v>13</v>
      </c>
      <c r="B148" s="356" t="s">
        <v>574</v>
      </c>
      <c r="C148" s="29" t="s">
        <v>555</v>
      </c>
      <c r="D148" s="446"/>
      <c r="E148" s="446"/>
      <c r="F148" s="446"/>
      <c r="G148" s="446"/>
      <c r="H148" s="446"/>
    </row>
    <row r="149" spans="1:19">
      <c r="A149" s="430">
        <v>14</v>
      </c>
      <c r="B149" s="356" t="s">
        <v>574</v>
      </c>
      <c r="C149" s="29" t="s">
        <v>555</v>
      </c>
      <c r="D149" s="446"/>
      <c r="E149" s="446"/>
      <c r="F149" s="446"/>
      <c r="G149" s="446"/>
      <c r="H149" s="446"/>
    </row>
    <row r="150" spans="1:19" ht="18.649999999999999" customHeight="1">
      <c r="A150" s="430"/>
      <c r="B150" s="293" t="s">
        <v>653</v>
      </c>
      <c r="C150" s="29" t="s">
        <v>555</v>
      </c>
      <c r="D150" s="465">
        <f>SUM(D137:D149)</f>
        <v>-0.9410116227256804</v>
      </c>
      <c r="E150" s="465">
        <f t="shared" ref="E150:H150" si="57">SUM(E137:E149)</f>
        <v>0.19131282666199903</v>
      </c>
      <c r="F150" s="465">
        <f t="shared" si="57"/>
        <v>0</v>
      </c>
      <c r="G150" s="465">
        <f t="shared" si="57"/>
        <v>0</v>
      </c>
      <c r="H150" s="465">
        <f t="shared" si="57"/>
        <v>0</v>
      </c>
    </row>
    <row r="151" spans="1:19">
      <c r="A151" s="430"/>
      <c r="B151" s="445" t="s">
        <v>654</v>
      </c>
      <c r="C151" s="432"/>
      <c r="D151" s="432"/>
      <c r="E151" s="432"/>
      <c r="F151" s="432"/>
      <c r="G151" s="432"/>
      <c r="H151" s="432"/>
    </row>
    <row r="152" spans="1:19">
      <c r="A152" s="430">
        <v>15</v>
      </c>
      <c r="B152" s="356" t="s">
        <v>939</v>
      </c>
      <c r="C152" s="29" t="s">
        <v>555</v>
      </c>
      <c r="D152" s="355">
        <v>14.111448539999992</v>
      </c>
      <c r="E152" s="355">
        <v>-9.0268369399999973</v>
      </c>
      <c r="F152" s="355"/>
      <c r="G152" s="355"/>
      <c r="H152" s="355"/>
    </row>
    <row r="153" spans="1:19">
      <c r="A153" s="430">
        <v>16</v>
      </c>
      <c r="B153" s="356" t="s">
        <v>942</v>
      </c>
      <c r="C153" s="29" t="s">
        <v>555</v>
      </c>
      <c r="D153" s="355">
        <v>0.90705897999999996</v>
      </c>
      <c r="E153" s="355">
        <v>1.1430000499999997</v>
      </c>
      <c r="F153" s="355"/>
      <c r="G153" s="355"/>
      <c r="H153" s="355"/>
    </row>
    <row r="154" spans="1:19">
      <c r="A154" s="430">
        <v>17</v>
      </c>
      <c r="B154" s="356" t="s">
        <v>944</v>
      </c>
      <c r="C154" s="29" t="s">
        <v>555</v>
      </c>
      <c r="D154" s="355">
        <v>-5.9883829999999999E-2</v>
      </c>
      <c r="E154" s="355">
        <v>-0.11261392999999999</v>
      </c>
      <c r="F154" s="355"/>
      <c r="G154" s="355"/>
      <c r="H154" s="355"/>
    </row>
    <row r="155" spans="1:19">
      <c r="A155" s="430">
        <v>18</v>
      </c>
      <c r="B155" s="356" t="s">
        <v>947</v>
      </c>
      <c r="C155" s="29" t="s">
        <v>555</v>
      </c>
      <c r="D155" s="355">
        <v>-2.1167915580001428E-2</v>
      </c>
      <c r="E155" s="355">
        <v>1.1657670229999625E-2</v>
      </c>
      <c r="F155" s="355"/>
      <c r="G155" s="355"/>
      <c r="H155" s="355"/>
      <c r="R155" s="100"/>
      <c r="S155" s="100"/>
    </row>
    <row r="156" spans="1:19">
      <c r="A156" s="430">
        <v>19</v>
      </c>
      <c r="B156" s="356" t="s">
        <v>945</v>
      </c>
      <c r="C156" s="29" t="s">
        <v>555</v>
      </c>
      <c r="D156" s="355">
        <v>-2.6366700000000001</v>
      </c>
      <c r="E156" s="355">
        <v>-3.1215873600000004</v>
      </c>
      <c r="F156" s="355"/>
      <c r="G156" s="355"/>
      <c r="H156" s="355"/>
      <c r="R156" s="100"/>
      <c r="S156" s="100"/>
    </row>
    <row r="157" spans="1:19">
      <c r="A157" s="430">
        <v>20</v>
      </c>
      <c r="B157" s="356" t="s">
        <v>948</v>
      </c>
      <c r="C157" s="29" t="s">
        <v>555</v>
      </c>
      <c r="D157" s="355">
        <v>9.1901800000000009E-3</v>
      </c>
      <c r="E157" s="355">
        <v>3.5504789999999571E-2</v>
      </c>
      <c r="F157" s="355"/>
      <c r="G157" s="355"/>
      <c r="H157" s="355"/>
      <c r="R157" s="100"/>
      <c r="S157" s="100"/>
    </row>
    <row r="158" spans="1:19">
      <c r="A158" s="430">
        <v>21</v>
      </c>
      <c r="B158" s="356" t="s">
        <v>949</v>
      </c>
      <c r="D158" s="355">
        <v>0</v>
      </c>
      <c r="E158" s="355">
        <v>-2.0364040299999999</v>
      </c>
      <c r="F158" s="355"/>
      <c r="G158" s="355"/>
      <c r="H158" s="355"/>
      <c r="R158" s="100"/>
      <c r="S158" s="100"/>
    </row>
    <row r="159" spans="1:19">
      <c r="A159" s="430">
        <v>22</v>
      </c>
      <c r="B159" s="356" t="s">
        <v>946</v>
      </c>
      <c r="C159" s="29" t="s">
        <v>555</v>
      </c>
      <c r="D159" s="355">
        <v>-0.10317792000000001</v>
      </c>
      <c r="E159" s="355">
        <v>5.0500000000000003E-2</v>
      </c>
      <c r="F159" s="355"/>
      <c r="G159" s="355"/>
      <c r="H159" s="355"/>
      <c r="R159" s="100"/>
      <c r="S159" s="100"/>
    </row>
    <row r="160" spans="1:19" ht="19.5" customHeight="1" thickBot="1">
      <c r="A160" s="430"/>
      <c r="B160" s="293" t="s">
        <v>655</v>
      </c>
      <c r="C160" s="29" t="s">
        <v>555</v>
      </c>
      <c r="D160" s="466">
        <f>SUM(D152:D159)</f>
        <v>12.20679803441999</v>
      </c>
      <c r="E160" s="466">
        <f t="shared" ref="E160:H160" si="58">SUM(E152:E159)</f>
        <v>-13.05677974977</v>
      </c>
      <c r="F160" s="466">
        <f t="shared" si="58"/>
        <v>0</v>
      </c>
      <c r="G160" s="466">
        <f t="shared" si="58"/>
        <v>0</v>
      </c>
      <c r="H160" s="466">
        <f t="shared" si="58"/>
        <v>0</v>
      </c>
      <c r="R160" s="100"/>
      <c r="S160" s="100"/>
    </row>
    <row r="161" spans="1:19" ht="17.5" customHeight="1" thickBot="1">
      <c r="B161" s="432" t="s">
        <v>656</v>
      </c>
      <c r="C161" s="29" t="s">
        <v>555</v>
      </c>
      <c r="D161" s="467">
        <f>D135+D150+D160</f>
        <v>-135.44321460830571</v>
      </c>
      <c r="E161" s="468">
        <f>E135+E150+E160</f>
        <v>-169.95811263310796</v>
      </c>
      <c r="F161" s="468">
        <f>F135+F150+F160</f>
        <v>0</v>
      </c>
      <c r="G161" s="468">
        <f>G135+G150+G160</f>
        <v>0</v>
      </c>
      <c r="H161" s="469">
        <f>H135+H150+H160</f>
        <v>0</v>
      </c>
      <c r="R161" s="100"/>
      <c r="S161" s="100"/>
    </row>
    <row r="162" spans="1:19">
      <c r="B162" s="293"/>
      <c r="D162" s="444"/>
      <c r="E162" s="444"/>
      <c r="F162" s="444"/>
      <c r="G162" s="444"/>
      <c r="H162" s="444"/>
      <c r="R162" s="100"/>
      <c r="S162" s="100"/>
    </row>
    <row r="163" spans="1:19">
      <c r="B163" s="432" t="s">
        <v>657</v>
      </c>
      <c r="C163" s="29" t="s">
        <v>555</v>
      </c>
      <c r="D163" s="448">
        <f>D161+D131</f>
        <v>465.1146614316944</v>
      </c>
      <c r="E163" s="448">
        <f>E161+E131</f>
        <v>539.50211768159556</v>
      </c>
      <c r="F163" s="448">
        <f>F161+F131</f>
        <v>0</v>
      </c>
      <c r="G163" s="448">
        <f>G161+G131</f>
        <v>0</v>
      </c>
      <c r="H163" s="448">
        <f>H161+H131</f>
        <v>0</v>
      </c>
      <c r="R163" s="379"/>
      <c r="S163" s="100"/>
    </row>
    <row r="164" spans="1:19">
      <c r="B164" s="293" t="s">
        <v>658</v>
      </c>
      <c r="C164" s="29" t="str">
        <f>Price_basis</f>
        <v>£m 20/21</v>
      </c>
      <c r="D164" s="447"/>
      <c r="E164" s="447"/>
      <c r="F164" s="447"/>
      <c r="G164" s="447"/>
      <c r="H164" s="447"/>
      <c r="I164" s="293" t="s">
        <v>659</v>
      </c>
      <c r="R164" s="100"/>
      <c r="S164" s="100"/>
    </row>
    <row r="165" spans="1:19">
      <c r="B165" s="293" t="s">
        <v>660</v>
      </c>
      <c r="C165" s="29" t="s">
        <v>555</v>
      </c>
      <c r="D165" s="447">
        <v>465.11413900965067</v>
      </c>
      <c r="E165" s="447">
        <v>539.50212477568527</v>
      </c>
      <c r="F165" s="447"/>
      <c r="G165" s="447"/>
      <c r="H165" s="447"/>
      <c r="I165" s="293" t="s">
        <v>659</v>
      </c>
    </row>
    <row r="166" spans="1:19">
      <c r="B166" s="293" t="s">
        <v>661</v>
      </c>
      <c r="C166" s="29" t="s">
        <v>555</v>
      </c>
      <c r="D166" s="470">
        <f>IF(Licensee="ESO",D165, IF(Sector="ED2",D165,D164*INDEX(real_to_nominal_CF,MATCH(D6,calendar_year,0))))</f>
        <v>465.11413900965067</v>
      </c>
      <c r="E166" s="470">
        <f>IF(Licensee="ESO",E165, IF(Sector="ED2",E165,E164*INDEX(real_to_nominal_CF,MATCH(E6,calendar_year,0))))</f>
        <v>539.50212477568527</v>
      </c>
      <c r="F166" s="470">
        <f>IF(Licensee="ESO",F165, IF(Sector="ED2",F165,F164*INDEX(real_to_nominal_CF,MATCH(F6,calendar_year,0))))</f>
        <v>0</v>
      </c>
      <c r="G166" s="470">
        <f>IF(Licensee="ESO",G165, IF(Sector="ED2",G165,G164*INDEX(real_to_nominal_CF,MATCH(G6,calendar_year,0))))</f>
        <v>0</v>
      </c>
      <c r="H166" s="470">
        <f>IF(Licensee="ESO",H165, IF(Sector="ED2",H165,H164*INDEX(real_to_nominal_CF,MATCH(H6,calendar_year,0))))</f>
        <v>0</v>
      </c>
      <c r="I166" s="100"/>
      <c r="R166" s="100"/>
      <c r="S166" s="100"/>
    </row>
    <row r="167" spans="1:19">
      <c r="B167" s="293"/>
      <c r="C167" s="29" t="s">
        <v>662</v>
      </c>
      <c r="D167" s="471" t="str">
        <f>IF(ISNUMBER(D166),IF(D$108="Actuals",IF(ABS(D163-D166)&lt;materiality_threshold,"OK","ERROR"),"N/A"))</f>
        <v>OK</v>
      </c>
      <c r="E167" s="471" t="str">
        <f>IF(ISNUMBER(E166),IF(E$108="Actuals",IF(ABS(E163-E166)&lt;materiality_threshold,"OK","ERROR"),"N/A"))</f>
        <v>OK</v>
      </c>
      <c r="F167" s="471" t="str">
        <f>IF(ISNUMBER(F166),IF(F$108="Actuals",IF(ABS(F163-F166)&lt;materiality_threshold,"OK","ERROR"),"N/A"))</f>
        <v>N/A</v>
      </c>
      <c r="G167" s="471" t="str">
        <f>IF(ISNUMBER(G166),IF(G$108="Actuals",IF(ABS(G163-G166)&lt;materiality_threshold,"OK","ERROR"),"N/A"))</f>
        <v>N/A</v>
      </c>
      <c r="H167" s="471" t="str">
        <f>IF(ISNUMBER(H166),IF(H$108="Actuals",IF(ABS(H163-H166)&lt;materiality_threshold,"OK","ERROR"),"N/A"))</f>
        <v>N/A</v>
      </c>
      <c r="I167" s="747"/>
      <c r="R167" s="100"/>
      <c r="S167" s="100"/>
    </row>
    <row r="168" spans="1:19">
      <c r="B168" s="293" t="s">
        <v>246</v>
      </c>
      <c r="R168" s="100"/>
      <c r="S168" s="100"/>
    </row>
    <row r="169" spans="1:19">
      <c r="B169" s="432" t="s">
        <v>663</v>
      </c>
    </row>
    <row r="170" spans="1:19">
      <c r="A170" s="430">
        <v>1</v>
      </c>
      <c r="B170" s="356" t="s">
        <v>950</v>
      </c>
      <c r="C170" s="29" t="s">
        <v>555</v>
      </c>
      <c r="D170" s="355">
        <v>0.24367393000000007</v>
      </c>
      <c r="E170" s="355">
        <v>9.3477490000000024E-2</v>
      </c>
      <c r="F170" s="355"/>
      <c r="G170" s="355"/>
      <c r="H170" s="355"/>
    </row>
    <row r="171" spans="1:19">
      <c r="A171" s="430">
        <v>2</v>
      </c>
      <c r="B171" s="356" t="s">
        <v>951</v>
      </c>
      <c r="C171" s="29" t="s">
        <v>555</v>
      </c>
      <c r="D171" s="433">
        <v>10.610653468333332</v>
      </c>
      <c r="E171" s="425">
        <v>10.542844462</v>
      </c>
      <c r="F171" s="425"/>
      <c r="G171" s="425"/>
      <c r="H171" s="425"/>
    </row>
    <row r="172" spans="1:19">
      <c r="A172" s="430">
        <v>3</v>
      </c>
      <c r="B172" s="356" t="s">
        <v>952</v>
      </c>
      <c r="C172" s="29" t="s">
        <v>555</v>
      </c>
      <c r="D172" s="433">
        <v>13.109462668574677</v>
      </c>
      <c r="E172" s="425">
        <v>11.35142684761945</v>
      </c>
      <c r="F172" s="425"/>
      <c r="G172" s="425"/>
      <c r="H172" s="425"/>
    </row>
    <row r="173" spans="1:19">
      <c r="A173" s="430">
        <v>4</v>
      </c>
      <c r="B173" s="356" t="s">
        <v>953</v>
      </c>
      <c r="C173" s="29" t="s">
        <v>555</v>
      </c>
      <c r="D173" s="433">
        <v>73.425263205090644</v>
      </c>
      <c r="E173" s="425">
        <v>58.221143494924817</v>
      </c>
      <c r="F173" s="425"/>
      <c r="G173" s="425"/>
      <c r="H173" s="425"/>
    </row>
    <row r="174" spans="1:19">
      <c r="A174" s="430">
        <v>5</v>
      </c>
      <c r="B174" s="356" t="s">
        <v>954</v>
      </c>
      <c r="C174" s="29" t="s">
        <v>555</v>
      </c>
      <c r="D174" s="433">
        <v>4.5396162922689474</v>
      </c>
      <c r="E174" s="425">
        <v>4.3522003767683843</v>
      </c>
      <c r="F174" s="425"/>
      <c r="G174" s="425"/>
      <c r="H174" s="425"/>
    </row>
    <row r="175" spans="1:19">
      <c r="A175" s="430">
        <v>6</v>
      </c>
      <c r="B175" s="356" t="s">
        <v>955</v>
      </c>
      <c r="C175" s="29" t="s">
        <v>555</v>
      </c>
      <c r="D175" s="433">
        <v>2.2680639442618142</v>
      </c>
      <c r="E175" s="425">
        <v>2.0857273640000003</v>
      </c>
      <c r="F175" s="425"/>
      <c r="G175" s="425"/>
      <c r="H175" s="425"/>
    </row>
    <row r="176" spans="1:19">
      <c r="A176" s="430">
        <v>7</v>
      </c>
      <c r="B176" s="356" t="s">
        <v>956</v>
      </c>
      <c r="C176" s="29" t="s">
        <v>555</v>
      </c>
      <c r="D176" s="433">
        <v>1.5745386965566257</v>
      </c>
      <c r="E176" s="425">
        <v>1.0346883223574628</v>
      </c>
      <c r="F176" s="425"/>
      <c r="G176" s="425"/>
      <c r="H176" s="425"/>
    </row>
    <row r="177" spans="1:19">
      <c r="A177" s="430">
        <v>8</v>
      </c>
      <c r="B177" s="356" t="s">
        <v>957</v>
      </c>
      <c r="C177" s="29" t="s">
        <v>555</v>
      </c>
      <c r="D177" s="433">
        <v>9.1901800000000009E-3</v>
      </c>
      <c r="E177" s="425">
        <v>3.5504789999999571E-2</v>
      </c>
      <c r="F177" s="425"/>
      <c r="G177" s="425"/>
      <c r="H177" s="425"/>
    </row>
    <row r="178" spans="1:19">
      <c r="A178" s="430">
        <v>9</v>
      </c>
      <c r="B178" s="356" t="s">
        <v>577</v>
      </c>
      <c r="C178" s="29" t="s">
        <v>555</v>
      </c>
      <c r="D178" s="433"/>
      <c r="E178" s="425"/>
      <c r="F178" s="425"/>
      <c r="G178" s="425"/>
      <c r="H178" s="425"/>
    </row>
    <row r="179" spans="1:19">
      <c r="A179" s="430">
        <v>10</v>
      </c>
      <c r="B179" s="356" t="s">
        <v>577</v>
      </c>
      <c r="C179" s="29" t="s">
        <v>555</v>
      </c>
      <c r="D179" s="433"/>
      <c r="E179" s="425"/>
      <c r="F179" s="425"/>
      <c r="G179" s="425"/>
      <c r="H179" s="425"/>
    </row>
    <row r="180" spans="1:19">
      <c r="A180" s="430">
        <v>11</v>
      </c>
      <c r="B180" s="356" t="s">
        <v>577</v>
      </c>
      <c r="C180" s="29" t="s">
        <v>555</v>
      </c>
      <c r="D180" s="433"/>
      <c r="E180" s="425"/>
      <c r="F180" s="425"/>
      <c r="G180" s="425"/>
      <c r="H180" s="425"/>
    </row>
    <row r="181" spans="1:19">
      <c r="A181" s="430">
        <v>12</v>
      </c>
      <c r="B181" s="356" t="s">
        <v>577</v>
      </c>
      <c r="C181" s="29" t="s">
        <v>555</v>
      </c>
      <c r="D181" s="433"/>
      <c r="E181" s="425"/>
      <c r="F181" s="425"/>
      <c r="G181" s="425"/>
      <c r="H181" s="425"/>
    </row>
    <row r="182" spans="1:19">
      <c r="A182" s="430">
        <v>13</v>
      </c>
      <c r="B182" s="356" t="s">
        <v>577</v>
      </c>
      <c r="C182" s="29" t="s">
        <v>555</v>
      </c>
      <c r="D182" s="433"/>
      <c r="E182" s="425"/>
      <c r="F182" s="425"/>
      <c r="G182" s="425"/>
      <c r="H182" s="425"/>
    </row>
    <row r="183" spans="1:19">
      <c r="A183" s="430">
        <v>14</v>
      </c>
      <c r="B183" s="356" t="s">
        <v>577</v>
      </c>
      <c r="C183" s="29" t="s">
        <v>555</v>
      </c>
      <c r="D183" s="433"/>
      <c r="E183" s="425"/>
      <c r="F183" s="425"/>
      <c r="G183" s="425"/>
      <c r="H183" s="425"/>
      <c r="R183" s="100"/>
      <c r="S183" s="100"/>
    </row>
    <row r="184" spans="1:19">
      <c r="A184" s="430">
        <v>15</v>
      </c>
      <c r="B184" s="356" t="s">
        <v>577</v>
      </c>
      <c r="C184" s="29" t="s">
        <v>555</v>
      </c>
      <c r="D184" s="433"/>
      <c r="E184" s="425"/>
      <c r="F184" s="425"/>
      <c r="G184" s="425"/>
      <c r="H184" s="425"/>
      <c r="R184" s="100"/>
      <c r="S184" s="100"/>
    </row>
    <row r="185" spans="1:19">
      <c r="A185" s="430">
        <v>16</v>
      </c>
      <c r="B185" s="356" t="s">
        <v>577</v>
      </c>
      <c r="C185" s="29" t="s">
        <v>555</v>
      </c>
      <c r="D185" s="433"/>
      <c r="E185" s="425"/>
      <c r="F185" s="425"/>
      <c r="G185" s="425"/>
      <c r="H185" s="425"/>
      <c r="R185" s="100"/>
      <c r="S185" s="100"/>
    </row>
    <row r="186" spans="1:19">
      <c r="A186" s="430">
        <v>17</v>
      </c>
      <c r="B186" s="356" t="s">
        <v>577</v>
      </c>
      <c r="C186" s="29" t="s">
        <v>555</v>
      </c>
      <c r="D186" s="433"/>
      <c r="E186" s="425"/>
      <c r="F186" s="425"/>
      <c r="G186" s="425"/>
      <c r="H186" s="425"/>
      <c r="R186" s="100"/>
      <c r="S186" s="100"/>
    </row>
    <row r="187" spans="1:19">
      <c r="A187" s="430">
        <v>18</v>
      </c>
      <c r="B187" s="356" t="s">
        <v>577</v>
      </c>
      <c r="C187" s="29" t="s">
        <v>555</v>
      </c>
      <c r="D187" s="433"/>
      <c r="E187" s="425"/>
      <c r="F187" s="425"/>
      <c r="G187" s="425"/>
      <c r="H187" s="425"/>
      <c r="R187" s="100"/>
      <c r="S187" s="100"/>
    </row>
    <row r="188" spans="1:19">
      <c r="A188" s="430">
        <v>19</v>
      </c>
      <c r="B188" s="356" t="s">
        <v>577</v>
      </c>
      <c r="C188" s="29" t="s">
        <v>555</v>
      </c>
      <c r="D188" s="433"/>
      <c r="E188" s="425"/>
      <c r="F188" s="425"/>
      <c r="G188" s="425"/>
      <c r="H188" s="425"/>
      <c r="R188" s="100"/>
      <c r="S188" s="100"/>
    </row>
    <row r="189" spans="1:19">
      <c r="A189" s="430">
        <v>20</v>
      </c>
      <c r="B189" s="356" t="s">
        <v>577</v>
      </c>
      <c r="C189" s="29" t="s">
        <v>555</v>
      </c>
      <c r="D189" s="433"/>
      <c r="E189" s="425"/>
      <c r="F189" s="425"/>
      <c r="G189" s="425"/>
      <c r="H189" s="425"/>
      <c r="R189" s="100"/>
      <c r="S189" s="100"/>
    </row>
    <row r="190" spans="1:19">
      <c r="A190" s="430">
        <v>21</v>
      </c>
      <c r="B190" s="356" t="s">
        <v>577</v>
      </c>
      <c r="C190" s="29" t="s">
        <v>555</v>
      </c>
      <c r="D190" s="433"/>
      <c r="E190" s="425"/>
      <c r="F190" s="425"/>
      <c r="G190" s="425"/>
      <c r="H190" s="425"/>
      <c r="R190" s="100"/>
      <c r="S190" s="100"/>
    </row>
    <row r="191" spans="1:19">
      <c r="A191" s="430">
        <v>22</v>
      </c>
      <c r="B191" s="356" t="s">
        <v>577</v>
      </c>
      <c r="C191" s="29" t="s">
        <v>555</v>
      </c>
      <c r="D191" s="433"/>
      <c r="E191" s="425"/>
      <c r="F191" s="425"/>
      <c r="G191" s="425"/>
      <c r="H191" s="425"/>
      <c r="R191" s="100"/>
      <c r="S191" s="100"/>
    </row>
    <row r="192" spans="1:19">
      <c r="A192" s="430">
        <v>23</v>
      </c>
      <c r="B192" s="356" t="s">
        <v>577</v>
      </c>
      <c r="C192" s="29" t="s">
        <v>555</v>
      </c>
      <c r="D192" s="433"/>
      <c r="E192" s="425"/>
      <c r="F192" s="425"/>
      <c r="G192" s="425"/>
      <c r="H192" s="425"/>
      <c r="R192" s="100"/>
      <c r="S192" s="100"/>
    </row>
    <row r="193" spans="1:19">
      <c r="A193" s="430">
        <v>24</v>
      </c>
      <c r="B193" s="356" t="s">
        <v>577</v>
      </c>
      <c r="C193" s="29" t="s">
        <v>555</v>
      </c>
      <c r="D193" s="433"/>
      <c r="E193" s="425"/>
      <c r="F193" s="425"/>
      <c r="G193" s="425"/>
      <c r="H193" s="425"/>
      <c r="R193" s="379"/>
      <c r="S193" s="100"/>
    </row>
    <row r="194" spans="1:19">
      <c r="A194" s="430">
        <v>25</v>
      </c>
      <c r="B194" s="356" t="s">
        <v>577</v>
      </c>
      <c r="C194" s="29" t="s">
        <v>555</v>
      </c>
      <c r="D194" s="433"/>
      <c r="E194" s="425"/>
      <c r="F194" s="425"/>
      <c r="G194" s="425"/>
      <c r="H194" s="425"/>
      <c r="R194" s="100"/>
      <c r="S194" s="100"/>
    </row>
    <row r="195" spans="1:19">
      <c r="B195" s="432" t="s">
        <v>664</v>
      </c>
      <c r="C195" s="29" t="s">
        <v>555</v>
      </c>
      <c r="D195" s="448">
        <f>SUM(D170:D194)</f>
        <v>105.78046238508604</v>
      </c>
      <c r="E195" s="448">
        <f t="shared" ref="E195:H195" si="59">SUM(E170:E194)</f>
        <v>87.71701314767013</v>
      </c>
      <c r="F195" s="448">
        <f t="shared" si="59"/>
        <v>0</v>
      </c>
      <c r="G195" s="448">
        <f t="shared" si="59"/>
        <v>0</v>
      </c>
      <c r="H195" s="448">
        <f t="shared" si="59"/>
        <v>0</v>
      </c>
      <c r="R195" s="100"/>
      <c r="S195" s="100"/>
    </row>
    <row r="196" spans="1:19">
      <c r="B196" s="293"/>
      <c r="D196" s="29"/>
      <c r="E196" s="29"/>
      <c r="F196" s="29"/>
      <c r="G196" s="29"/>
      <c r="H196" s="29"/>
      <c r="I196" s="29"/>
      <c r="J196" s="29"/>
      <c r="R196" s="100"/>
      <c r="S196" s="100"/>
    </row>
    <row r="197" spans="1:19">
      <c r="B197" s="432" t="s">
        <v>665</v>
      </c>
      <c r="C197" s="29" t="s">
        <v>555</v>
      </c>
      <c r="D197" s="448">
        <f>D163-D195</f>
        <v>359.33419904660838</v>
      </c>
      <c r="E197" s="448">
        <f t="shared" ref="E197:H197" si="60">E163-E195</f>
        <v>451.78510453392545</v>
      </c>
      <c r="F197" s="448">
        <f t="shared" si="60"/>
        <v>0</v>
      </c>
      <c r="G197" s="448">
        <f t="shared" si="60"/>
        <v>0</v>
      </c>
      <c r="H197" s="448">
        <f t="shared" si="60"/>
        <v>0</v>
      </c>
    </row>
    <row r="198" spans="1:19">
      <c r="B198" s="432" t="s">
        <v>666</v>
      </c>
      <c r="C198" s="29" t="s">
        <v>555</v>
      </c>
      <c r="D198" s="472">
        <f>('R3 - Totex - Reconciliation'!D$13+'R3 - Totex - Reconciliation'!D$47+'R3 - Totex - Reconciliation'!D76)*INDEX(real_to_nominal_CF,MATCH(D$109,calendar_year,0))</f>
        <v>359.33367662456459</v>
      </c>
      <c r="E198" s="472">
        <f>('R3 - Totex - Reconciliation'!E$13+'R3 - Totex - Reconciliation'!E$47+'R3 - Totex - Reconciliation'!E76)*INDEX(real_to_nominal_CF,MATCH(E$109,calendar_year,0))</f>
        <v>451.78511169158708</v>
      </c>
      <c r="F198" s="472">
        <f>('R3 - Totex - Reconciliation'!F$13+'R3 - Totex - Reconciliation'!F$47+'R3 - Totex - Reconciliation'!F76)*INDEX(real_to_nominal_CF,MATCH(F$109,calendar_year,0))</f>
        <v>604.75306923173366</v>
      </c>
      <c r="G198" s="472">
        <f>('R3 - Totex - Reconciliation'!G$13+'R3 - Totex - Reconciliation'!G$47+'R3 - Totex - Reconciliation'!G76)*INDEX(real_to_nominal_CF,MATCH(G$109,calendar_year,0))</f>
        <v>648.99062435926123</v>
      </c>
      <c r="H198" s="473">
        <f>('R3 - Totex - Reconciliation'!H$13+'R3 - Totex - Reconciliation'!H$47+'R3 - Totex - Reconciliation'!H76)*INDEX(real_to_nominal_CF,MATCH(H$109,calendar_year,0))</f>
        <v>685.87802190210743</v>
      </c>
      <c r="I198" s="293" t="s">
        <v>667</v>
      </c>
    </row>
    <row r="199" spans="1:19">
      <c r="B199" s="293"/>
      <c r="C199" s="29" t="s">
        <v>662</v>
      </c>
      <c r="D199" s="474" t="str">
        <f>IF(D$108="Actuals",IF(ABS(D197-('R3 - Totex - Reconciliation'!D13+'R3 - Totex - Reconciliation'!D47+D76)*INDEX(real_to_nominal_CF,MATCH(D6,Data!$F$33:$L$33,0)))&lt;materiality_threshold,"OK","Error"),"N/A")</f>
        <v>OK</v>
      </c>
      <c r="E199" s="474" t="str">
        <f>IF(E$108="Actuals",IF(ABS(E197-('R3 - Totex - Reconciliation'!E13+'R3 - Totex - Reconciliation'!E47+E76)*INDEX(real_to_nominal_CF,MATCH(E6,Data!$F$33:$L$33,0)))&lt;materiality_threshold,"OK","Error"),"N/A")</f>
        <v>OK</v>
      </c>
      <c r="F199" s="474" t="str">
        <f>IF(F$108="Actuals",IF(ABS(F197-('R3 - Totex - Reconciliation'!F13+'R3 - Totex - Reconciliation'!F47+F76)*INDEX(real_to_nominal_CF,MATCH(F6,Data!$F$33:$L$33,0)))&lt;materiality_threshold,"OK","Error"),"N/A")</f>
        <v>N/A</v>
      </c>
      <c r="G199" s="474" t="str">
        <f>IF(G$108="Actuals",IF(ABS(G197-('R3 - Totex - Reconciliation'!G13+'R3 - Totex - Reconciliation'!G47+G76)*INDEX(real_to_nominal_CF,MATCH(G6,Data!$F$33:$L$33,0)))&lt;materiality_threshold,"OK","Error"),"N/A")</f>
        <v>N/A</v>
      </c>
      <c r="H199" s="474" t="str">
        <f>IF(H$108="Actuals",IF(ABS(H197-('R3 - Totex - Reconciliation'!H13+'R3 - Totex - Reconciliation'!H47+H76)*INDEX(real_to_nominal_CF,MATCH(H6,Data!$F$33:$L$33,0)))&lt;materiality_threshold,"OK","Error"),"N/A")</f>
        <v>N/A</v>
      </c>
      <c r="I199" s="293" t="s">
        <v>668</v>
      </c>
    </row>
    <row r="200" spans="1:19">
      <c r="B200" s="293"/>
      <c r="C200" s="293"/>
    </row>
    <row r="201" spans="1:19">
      <c r="B201" s="379" t="s">
        <v>669</v>
      </c>
    </row>
    <row r="203" spans="1:19">
      <c r="B203" s="380" t="s">
        <v>610</v>
      </c>
      <c r="C203" s="100"/>
      <c r="D203" s="100"/>
      <c r="E203" s="100"/>
      <c r="F203" s="100"/>
    </row>
    <row r="204" spans="1:19">
      <c r="B204" s="771"/>
      <c r="C204" s="659"/>
      <c r="D204" s="659"/>
      <c r="E204" s="659"/>
      <c r="F204" s="660"/>
    </row>
    <row r="205" spans="1:19">
      <c r="B205" s="383" t="s">
        <v>958</v>
      </c>
      <c r="C205" s="384"/>
      <c r="D205" s="385"/>
      <c r="E205" s="386"/>
      <c r="F205" s="387"/>
    </row>
    <row r="206" spans="1:19">
      <c r="B206" s="383"/>
      <c r="C206" s="384"/>
      <c r="D206" s="385"/>
      <c r="E206" s="386"/>
      <c r="F206" s="387"/>
    </row>
    <row r="207" spans="1:19">
      <c r="B207" s="383"/>
      <c r="C207" s="384"/>
      <c r="D207" s="385"/>
      <c r="E207" s="386"/>
      <c r="F207" s="387"/>
    </row>
    <row r="208" spans="1:19">
      <c r="B208" s="383"/>
      <c r="C208" s="384"/>
      <c r="D208" s="385"/>
      <c r="E208" s="386"/>
      <c r="F208" s="387"/>
      <c r="R208" s="100"/>
      <c r="S208" s="100"/>
    </row>
    <row r="209" spans="2:6">
      <c r="B209" s="388"/>
      <c r="C209" s="389"/>
      <c r="D209" s="390"/>
      <c r="E209" s="391"/>
      <c r="F209" s="392"/>
    </row>
    <row r="226" spans="2:3">
      <c r="B226" s="293"/>
      <c r="C226" s="293"/>
    </row>
    <row r="227" spans="2:3">
      <c r="B227" s="293"/>
      <c r="C227" s="293"/>
    </row>
    <row r="228" spans="2:3">
      <c r="B228" s="293"/>
      <c r="C228" s="293"/>
    </row>
    <row r="229" spans="2:3">
      <c r="B229" s="293"/>
      <c r="C229" s="293"/>
    </row>
    <row r="230" spans="2:3">
      <c r="B230" s="293"/>
      <c r="C230" s="293"/>
    </row>
    <row r="231" spans="2:3">
      <c r="B231" s="293"/>
      <c r="C231" s="293"/>
    </row>
    <row r="232" spans="2:3">
      <c r="B232" s="293"/>
      <c r="C232" s="293"/>
    </row>
    <row r="233" spans="2:3">
      <c r="B233" s="293"/>
      <c r="C233" s="293"/>
    </row>
    <row r="237" spans="2:3" ht="12.75" customHeight="1"/>
    <row r="244" ht="29.25" customHeight="1"/>
  </sheetData>
  <sheetProtection insertRows="0"/>
  <mergeCells count="1">
    <mergeCell ref="K15:M15"/>
  </mergeCells>
  <phoneticPr fontId="248" type="noConversion"/>
  <conditionalFormatting sqref="B40">
    <cfRule type="expression" dxfId="58" priority="48">
      <formula>$B$51="n/a"</formula>
    </cfRule>
  </conditionalFormatting>
  <conditionalFormatting sqref="B69">
    <cfRule type="expression" dxfId="57" priority="47">
      <formula>$B$51="n/a"</formula>
    </cfRule>
  </conditionalFormatting>
  <conditionalFormatting sqref="B93">
    <cfRule type="expression" dxfId="56" priority="46">
      <formula>$B$51="n/a"</formula>
    </cfRule>
  </conditionalFormatting>
  <conditionalFormatting sqref="C23:C30">
    <cfRule type="expression" dxfId="55" priority="52">
      <formula>$B$45="n/a"</formula>
    </cfRule>
  </conditionalFormatting>
  <conditionalFormatting sqref="C33:C35">
    <cfRule type="expression" dxfId="54" priority="5">
      <formula>$B$45="n/a"</formula>
    </cfRule>
  </conditionalFormatting>
  <conditionalFormatting sqref="C37:C38">
    <cfRule type="expression" dxfId="53" priority="2">
      <formula>$B$45="n/a"</formula>
    </cfRule>
  </conditionalFormatting>
  <conditionalFormatting sqref="C45 B46:C54 B73:C73 Q73:T73 C74 B75:C84 B97:C97">
    <cfRule type="expression" dxfId="52" priority="69">
      <formula>$B$45="n/a"</formula>
    </cfRule>
  </conditionalFormatting>
  <conditionalFormatting sqref="C57:C59">
    <cfRule type="expression" dxfId="51" priority="51">
      <formula>$B$45="n/a"</formula>
    </cfRule>
  </conditionalFormatting>
  <conditionalFormatting sqref="C62:C64">
    <cfRule type="expression" dxfId="50" priority="3">
      <formula>$B$45="n/a"</formula>
    </cfRule>
  </conditionalFormatting>
  <conditionalFormatting sqref="C66:C67">
    <cfRule type="expression" dxfId="49" priority="1">
      <formula>$B$45="n/a"</formula>
    </cfRule>
  </conditionalFormatting>
  <conditionalFormatting sqref="C86:C88">
    <cfRule type="expression" dxfId="48" priority="49">
      <formula>$B$45="n/a"</formula>
    </cfRule>
  </conditionalFormatting>
  <conditionalFormatting sqref="C90:C91">
    <cfRule type="expression" dxfId="47" priority="8">
      <formula>$B$44="n/a"</formula>
    </cfRule>
  </conditionalFormatting>
  <conditionalFormatting sqref="D5:G6">
    <cfRule type="expression" dxfId="46" priority="73">
      <formula>AND(D$5="Actuals",E$5="Forecast")</formula>
    </cfRule>
  </conditionalFormatting>
  <conditionalFormatting sqref="D108:G109">
    <cfRule type="expression" dxfId="45" priority="65">
      <formula>AND(D$5="Actuals",E$5="N/A")</formula>
    </cfRule>
  </conditionalFormatting>
  <conditionalFormatting sqref="D7:H7">
    <cfRule type="expression" dxfId="44" priority="58">
      <formula>AND(D$5="Actuals",E$5="Forecast")</formula>
    </cfRule>
  </conditionalFormatting>
  <conditionalFormatting sqref="D110:H110">
    <cfRule type="expression" dxfId="43" priority="57">
      <formula>AND(D$5="Actuals",E$5="Forecast")</formula>
    </cfRule>
  </conditionalFormatting>
  <conditionalFormatting sqref="D113:H121 D124:H124 D135:H135">
    <cfRule type="expression" dxfId="42" priority="55">
      <formula>D$108="N/A"</formula>
    </cfRule>
  </conditionalFormatting>
  <conditionalFormatting sqref="D126:H129 D131:H131">
    <cfRule type="expression" dxfId="41" priority="27">
      <formula>D$108="N/A"</formula>
    </cfRule>
  </conditionalFormatting>
  <conditionalFormatting sqref="D137:H150">
    <cfRule type="expression" dxfId="40" priority="13">
      <formula>D$108="N/A"</formula>
    </cfRule>
  </conditionalFormatting>
  <conditionalFormatting sqref="D152:H161">
    <cfRule type="expression" dxfId="39" priority="12">
      <formula>D$108="N/A"</formula>
    </cfRule>
  </conditionalFormatting>
  <conditionalFormatting sqref="D163:H165">
    <cfRule type="expression" dxfId="38" priority="18">
      <formula>D$108="N/A"</formula>
    </cfRule>
  </conditionalFormatting>
  <conditionalFormatting sqref="D168:H195">
    <cfRule type="expression" dxfId="37" priority="23">
      <formula>D$108="N/A"</formula>
    </cfRule>
  </conditionalFormatting>
  <conditionalFormatting sqref="E122:H122">
    <cfRule type="expression" dxfId="36" priority="45">
      <formula>E$108="N/A"</formula>
    </cfRule>
  </conditionalFormatting>
  <conditionalFormatting sqref="H5:H6">
    <cfRule type="expression" dxfId="35" priority="274">
      <formula>AND(H$5="Actuals",#REF!="Forecast")</formula>
    </cfRule>
  </conditionalFormatting>
  <conditionalFormatting sqref="H108:H109">
    <cfRule type="expression" dxfId="34" priority="291">
      <formula>AND(H$5="Actuals",#REF!="N/A")</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80" zoomScaleNormal="80" workbookViewId="0">
      <selection activeCell="B5" sqref="B5"/>
    </sheetView>
  </sheetViews>
  <sheetFormatPr defaultColWidth="9" defaultRowHeight="13.5"/>
  <cols>
    <col min="1" max="1" width="8.3828125" style="100" customWidth="1"/>
    <col min="2" max="2" width="71.3828125" style="100" bestFit="1" customWidth="1"/>
    <col min="3" max="3" width="13.3828125" style="29" customWidth="1"/>
    <col min="4" max="8" width="11.15234375" style="100" customWidth="1"/>
    <col min="9" max="9" width="12.84375" style="100" customWidth="1"/>
    <col min="10" max="10" width="12.765625" style="100" customWidth="1"/>
    <col min="11" max="11" width="5.765625" style="100" bestFit="1" customWidth="1"/>
    <col min="12" max="16384" width="9" style="100"/>
  </cols>
  <sheetData>
    <row r="1" spans="1:14" ht="20">
      <c r="A1" s="778" t="s">
        <v>670</v>
      </c>
      <c r="B1" s="475"/>
      <c r="C1" s="476"/>
      <c r="D1" s="477"/>
      <c r="E1" s="477"/>
      <c r="F1" s="477"/>
      <c r="G1" s="477"/>
      <c r="H1" s="477"/>
      <c r="I1" s="283"/>
      <c r="J1" s="283"/>
      <c r="K1" s="407"/>
    </row>
    <row r="2" spans="1:14" ht="20">
      <c r="A2" s="776" t="str">
        <f>Licensee</f>
        <v>ENWL</v>
      </c>
      <c r="B2" s="478"/>
      <c r="C2" s="479"/>
      <c r="D2" s="480"/>
      <c r="E2" s="480"/>
      <c r="F2" s="480"/>
      <c r="G2" s="480"/>
      <c r="H2" s="480"/>
      <c r="I2" s="287"/>
      <c r="J2" s="287"/>
      <c r="K2" s="288"/>
    </row>
    <row r="3" spans="1:14" ht="20">
      <c r="A3" s="777">
        <f>Reporting_Year</f>
        <v>2025</v>
      </c>
      <c r="B3" s="286"/>
      <c r="C3" s="481"/>
      <c r="D3" s="482"/>
      <c r="E3" s="482"/>
      <c r="F3" s="482"/>
      <c r="G3" s="482"/>
      <c r="H3" s="482"/>
      <c r="I3" s="290"/>
      <c r="J3" s="290"/>
      <c r="K3" s="291"/>
    </row>
    <row r="4" spans="1:14" s="293" customFormat="1" ht="12.75" customHeight="1">
      <c r="B4" s="430"/>
      <c r="C4" s="29"/>
    </row>
    <row r="5" spans="1:14" s="293" customFormat="1" ht="21.65" customHeight="1">
      <c r="B5" s="430"/>
      <c r="C5" s="29"/>
      <c r="D5" s="292" t="str">
        <f t="shared" ref="D5:I5" si="0">IF(D6&lt;=Reporting_Year,"Actuals","Forecast")</f>
        <v>Actuals</v>
      </c>
      <c r="E5" s="292" t="str">
        <f t="shared" si="0"/>
        <v>Actuals</v>
      </c>
      <c r="F5" s="292" t="str">
        <f t="shared" si="0"/>
        <v>Forecast</v>
      </c>
      <c r="G5" s="292" t="str">
        <f t="shared" si="0"/>
        <v>Forecast</v>
      </c>
      <c r="H5" s="292" t="str">
        <f t="shared" si="0"/>
        <v>Forecast</v>
      </c>
      <c r="I5" s="292" t="str">
        <f t="shared" si="0"/>
        <v>Forecast</v>
      </c>
    </row>
    <row r="6" spans="1:14" s="293" customFormat="1" ht="29.25" customHeight="1">
      <c r="C6" s="29"/>
      <c r="D6" s="408">
        <f>'RFPR cover'!$C$6</f>
        <v>2024</v>
      </c>
      <c r="E6" s="409">
        <f>D6+1</f>
        <v>2025</v>
      </c>
      <c r="F6" s="409">
        <f t="shared" ref="F6:H6" si="1">E6+1</f>
        <v>2026</v>
      </c>
      <c r="G6" s="409">
        <f t="shared" si="1"/>
        <v>2027</v>
      </c>
      <c r="H6" s="409">
        <f t="shared" si="1"/>
        <v>2028</v>
      </c>
      <c r="I6" s="296" t="str">
        <f>"Cumulative to "&amp;'RFPR cover'!$C$9</f>
        <v>Cumulative to 2025</v>
      </c>
      <c r="J6" s="410" t="s">
        <v>515</v>
      </c>
    </row>
    <row r="7" spans="1:14" s="293" customFormat="1">
      <c r="C7" s="29"/>
      <c r="D7" s="297" t="str">
        <f>RIIO_2_start_date-1&amp;"/"&amp;RIGHT(RIIO_2_start_date,2)</f>
        <v>2023/24</v>
      </c>
      <c r="E7" s="297" t="str">
        <f>RIIO_2_start_date&amp;"/"&amp;RIGHT(RIIO_2_start_date+1,2)</f>
        <v>2024/25</v>
      </c>
      <c r="F7" s="297" t="str">
        <f>RIIO_2_start_date+1&amp;"/"&amp;RIGHT(RIIO_2_start_date+2,2)</f>
        <v>2025/26</v>
      </c>
      <c r="G7" s="297" t="str">
        <f>RIIO_2_start_date+2&amp;"/"&amp;RIGHT(RIIO_2_start_date+3,2)</f>
        <v>2026/27</v>
      </c>
      <c r="H7" s="297" t="str">
        <f>RIIO_2_start_date+3&amp;"/"&amp;RIGHT(RIIO_2_start_date+4,2)</f>
        <v>2027/28</v>
      </c>
    </row>
    <row r="8" spans="1:14" s="293" customFormat="1" ht="17.5">
      <c r="B8" s="483" t="s">
        <v>671</v>
      </c>
      <c r="C8" s="346"/>
      <c r="D8" s="347"/>
      <c r="E8" s="347"/>
      <c r="F8" s="347"/>
      <c r="G8" s="347"/>
      <c r="H8" s="347"/>
      <c r="I8" s="347"/>
      <c r="J8" s="347"/>
      <c r="K8" s="347"/>
    </row>
    <row r="9" spans="1:14" s="293" customFormat="1">
      <c r="N9" s="314"/>
    </row>
    <row r="10" spans="1:14" s="293" customFormat="1"/>
    <row r="11" spans="1:14" s="293" customFormat="1"/>
    <row r="12" spans="1:14" s="293" customFormat="1">
      <c r="A12" s="299" t="s">
        <v>519</v>
      </c>
      <c r="B12" s="432" t="s">
        <v>672</v>
      </c>
      <c r="C12" s="418" t="str">
        <f>Data!$C$9</f>
        <v>£m 20/21</v>
      </c>
      <c r="D12" s="715">
        <f>INDEX(Data!$C$98:$I$126,MATCH($A$2,Data!$B$98:$B$126,0),MATCH(D$6,Data!$C$97:$I$97))</f>
        <v>0</v>
      </c>
      <c r="E12" s="715">
        <f>INDEX(Data!$C$98:$I$126,MATCH($A$2,Data!$B$98:$B$126,0),MATCH(E$6,Data!$C$97:$I$97))</f>
        <v>0</v>
      </c>
      <c r="F12" s="715">
        <f>INDEX(Data!$C$98:$I$126,MATCH($A$2,Data!$B$98:$B$126,0),MATCH(F$6,Data!$C$97:$I$97))</f>
        <v>0</v>
      </c>
      <c r="G12" s="715">
        <f>INDEX(Data!$C$98:$I$126,MATCH($A$2,Data!$B$98:$B$126,0),MATCH(G$6,Data!$C$97:$I$97))</f>
        <v>0</v>
      </c>
      <c r="H12" s="715">
        <f>INDEX(Data!$C$98:$I$126,MATCH($A$2,Data!$B$98:$B$126,0),MATCH(H$6,Data!$C$97:$I$97))</f>
        <v>0</v>
      </c>
      <c r="I12" s="715">
        <f>SUM(D12:INDEX(D12:H12,0,MATCH('RFPR cover'!$C$9,$D$6:$H$6,0)))</f>
        <v>0</v>
      </c>
      <c r="J12" s="716">
        <f>SUM(D12:H12)</f>
        <v>0</v>
      </c>
    </row>
    <row r="13" spans="1:14" s="293" customFormat="1" ht="19.5" customHeight="1">
      <c r="A13" s="299"/>
      <c r="B13" s="484" t="s">
        <v>673</v>
      </c>
    </row>
    <row r="14" spans="1:14" s="293" customFormat="1">
      <c r="A14" s="299" t="s">
        <v>520</v>
      </c>
      <c r="B14" s="485" t="str">
        <f>Data!B132</f>
        <v>Time to connect ODI</v>
      </c>
      <c r="C14" s="418" t="str">
        <f>Data!$C$9</f>
        <v>£m 20/21</v>
      </c>
      <c r="D14" s="486">
        <v>0.86989227539797853</v>
      </c>
      <c r="E14" s="486">
        <v>1.0056221335282371</v>
      </c>
      <c r="F14" s="486">
        <v>1.1074151999999999</v>
      </c>
      <c r="G14" s="486">
        <v>1.2113529999999999</v>
      </c>
      <c r="H14" s="486">
        <v>1.2113529999999999</v>
      </c>
      <c r="I14" s="449">
        <f>SUM(D14:INDEX(D14:H14,0,MATCH('RFPR cover'!$C$9,$D$6:$H$6,0)))</f>
        <v>1.8755144089262157</v>
      </c>
      <c r="J14" s="450">
        <f t="shared" ref="J14:J22" si="2">SUM(D14:H14)</f>
        <v>5.4056356089262154</v>
      </c>
    </row>
    <row r="15" spans="1:14" s="293" customFormat="1">
      <c r="A15" s="299" t="s">
        <v>521</v>
      </c>
      <c r="B15" s="485" t="str">
        <f>Data!B133</f>
        <v>Broad Measure of Customer Service ODI</v>
      </c>
      <c r="C15" s="418" t="str">
        <f>Data!$C$9</f>
        <v>£m 20/21</v>
      </c>
      <c r="D15" s="486">
        <v>1.1510720841580784</v>
      </c>
      <c r="E15" s="486">
        <v>1.8586347601264408</v>
      </c>
      <c r="F15" s="486">
        <v>2.3252000000000042</v>
      </c>
      <c r="G15" s="486">
        <v>2.5743400000000176</v>
      </c>
      <c r="H15" s="486">
        <v>2.6950000000000029</v>
      </c>
      <c r="I15" s="449">
        <f>SUM(D15:INDEX(D15:H15,0,MATCH('RFPR cover'!$C$9,$D$6:$H$6,0)))</f>
        <v>3.0097068442845192</v>
      </c>
      <c r="J15" s="450">
        <f t="shared" si="2"/>
        <v>10.604246844284543</v>
      </c>
    </row>
    <row r="16" spans="1:14" s="293" customFormat="1">
      <c r="A16" s="299" t="s">
        <v>522</v>
      </c>
      <c r="B16" s="485" t="str">
        <f>Data!B134</f>
        <v>Interruptions incentive scheme ODI</v>
      </c>
      <c r="C16" s="418" t="str">
        <f>Data!$C$9</f>
        <v>£m 20/21</v>
      </c>
      <c r="D16" s="486">
        <v>0.86789628484173953</v>
      </c>
      <c r="E16" s="486">
        <v>0.42883547812039308</v>
      </c>
      <c r="F16" s="486">
        <v>2.0299999999999998</v>
      </c>
      <c r="G16" s="486">
        <v>2.508</v>
      </c>
      <c r="H16" s="486">
        <v>3.1989999999999998</v>
      </c>
      <c r="I16" s="449">
        <f>SUM(D16:INDEX(D16:H16,0,MATCH('RFPR cover'!$C$9,$D$6:$H$6,0)))</f>
        <v>1.2967317629621327</v>
      </c>
      <c r="J16" s="450">
        <f t="shared" si="2"/>
        <v>9.0337317629621321</v>
      </c>
    </row>
    <row r="17" spans="1:10" s="293" customFormat="1">
      <c r="A17" s="299" t="s">
        <v>523</v>
      </c>
      <c r="B17" s="485" t="str">
        <f>Data!B135</f>
        <v>Major connections ODI</v>
      </c>
      <c r="C17" s="418" t="str">
        <f>Data!$C$9</f>
        <v>£m 20/21</v>
      </c>
      <c r="D17" s="486">
        <v>0</v>
      </c>
      <c r="E17" s="486">
        <v>0</v>
      </c>
      <c r="F17" s="486">
        <v>0</v>
      </c>
      <c r="G17" s="486">
        <v>0</v>
      </c>
      <c r="H17" s="486">
        <v>0</v>
      </c>
      <c r="I17" s="449">
        <f>SUM(D17:INDEX(D17:H17,0,MATCH('RFPR cover'!$C$9,$D$6:$H$6,0)))</f>
        <v>0</v>
      </c>
      <c r="J17" s="450">
        <f t="shared" si="2"/>
        <v>0</v>
      </c>
    </row>
    <row r="18" spans="1:10" s="293" customFormat="1">
      <c r="A18" s="299" t="s">
        <v>524</v>
      </c>
      <c r="B18" s="485" t="str">
        <f>Data!B136</f>
        <v>Consumer Vulnerability ODI</v>
      </c>
      <c r="C18" s="418" t="str">
        <f>Data!$C$9</f>
        <v>£m 20/21</v>
      </c>
      <c r="D18" s="486">
        <v>0</v>
      </c>
      <c r="E18" s="486">
        <v>3.1283972222222221</v>
      </c>
      <c r="F18" s="486">
        <v>0</v>
      </c>
      <c r="G18" s="486">
        <v>0</v>
      </c>
      <c r="H18" s="486">
        <v>3</v>
      </c>
      <c r="I18" s="449">
        <f>SUM(D18:INDEX(D18:H18,0,MATCH('RFPR cover'!$C$9,$D$6:$H$6,0)))</f>
        <v>3.1283972222222221</v>
      </c>
      <c r="J18" s="450">
        <f t="shared" si="2"/>
        <v>6.1283972222222225</v>
      </c>
    </row>
    <row r="19" spans="1:10" s="293" customFormat="1">
      <c r="A19" s="299" t="s">
        <v>525</v>
      </c>
      <c r="B19" s="485" t="str">
        <f>Data!B137</f>
        <v>Distribution System Operator ODI</v>
      </c>
      <c r="C19" s="418" t="str">
        <f>Data!$C$9</f>
        <v>£m 20/21</v>
      </c>
      <c r="D19" s="486">
        <v>0.18591800000000003</v>
      </c>
      <c r="E19" s="486">
        <v>2.1416799999999987</v>
      </c>
      <c r="F19" s="486">
        <v>1.5735999999999983</v>
      </c>
      <c r="G19" s="486">
        <v>1.7870499999999991</v>
      </c>
      <c r="H19" s="486">
        <v>2.2003000000000008</v>
      </c>
      <c r="I19" s="449">
        <f>SUM(D19:INDEX(D19:H19,0,MATCH('RFPR cover'!$C$9,$D$6:$H$6,0)))</f>
        <v>2.3275979999999987</v>
      </c>
      <c r="J19" s="450">
        <f>SUM(D19:H19)</f>
        <v>7.8885479999999966</v>
      </c>
    </row>
    <row r="20" spans="1:10" s="293" customFormat="1">
      <c r="A20" s="299" t="s">
        <v>526</v>
      </c>
      <c r="B20" s="485" t="str">
        <f>Data!B138</f>
        <v>Dig, Fix and Go ODI (ENWL only)</v>
      </c>
      <c r="C20" s="418" t="str">
        <f>Data!$C$9</f>
        <v>£m 20/21</v>
      </c>
      <c r="D20" s="486">
        <v>0.39247716206816541</v>
      </c>
      <c r="E20" s="486">
        <v>0.7144781634938403</v>
      </c>
      <c r="F20" s="486">
        <v>0.68599999999999928</v>
      </c>
      <c r="G20" s="486">
        <v>0.78399999999999981</v>
      </c>
      <c r="H20" s="486">
        <v>0.8</v>
      </c>
      <c r="I20" s="449">
        <f>SUM(D20:INDEX(D20:H20,0,MATCH('RFPR cover'!$C$9,$D$6:$H$6,0)))</f>
        <v>1.1069553255620057</v>
      </c>
      <c r="J20" s="450">
        <f>SUM(D20:H20)</f>
        <v>3.3769553255620046</v>
      </c>
    </row>
    <row r="21" spans="1:10" s="293" customFormat="1">
      <c r="A21" s="299" t="s">
        <v>527</v>
      </c>
      <c r="B21" s="485" t="str">
        <f>Data!B139</f>
        <v>Collaborative Streetworks ODI (EPN, LPN and SPN only)</v>
      </c>
      <c r="C21" s="418" t="str">
        <f>Data!$C$9</f>
        <v>£m 20/21</v>
      </c>
      <c r="D21" s="486">
        <v>0</v>
      </c>
      <c r="E21" s="486">
        <v>0</v>
      </c>
      <c r="F21" s="486">
        <v>0</v>
      </c>
      <c r="G21" s="486">
        <v>0</v>
      </c>
      <c r="H21" s="486">
        <v>0</v>
      </c>
      <c r="I21" s="449">
        <f>SUM(D21:INDEX(D21:H21,0,MATCH('RFPR cover'!$C$9,$D$6:$H$6,0)))</f>
        <v>0</v>
      </c>
      <c r="J21" s="450">
        <f t="shared" si="2"/>
        <v>0</v>
      </c>
    </row>
    <row r="22" spans="1:10" s="293" customFormat="1">
      <c r="B22" s="432" t="s">
        <v>674</v>
      </c>
      <c r="C22" s="426" t="str">
        <f>Data!$C$9</f>
        <v>£m 20/21</v>
      </c>
      <c r="D22" s="461">
        <f>SUM(D14:D21)</f>
        <v>3.4672558064659622</v>
      </c>
      <c r="E22" s="461">
        <f>SUM(E14:E21)</f>
        <v>9.2776477574911329</v>
      </c>
      <c r="F22" s="461">
        <f>SUM(F14:F21)</f>
        <v>7.7222152000000008</v>
      </c>
      <c r="G22" s="461">
        <f>SUM(G14:G21)</f>
        <v>8.8647430000000149</v>
      </c>
      <c r="H22" s="461">
        <f>SUM(H14:H21)</f>
        <v>13.105653000000004</v>
      </c>
      <c r="I22" s="449">
        <f>SUM(D22:INDEX(D22:H22,0,MATCH('RFPR cover'!$C$9,$D$6:$H$6,0)))</f>
        <v>12.744903563957095</v>
      </c>
      <c r="J22" s="450">
        <f t="shared" si="2"/>
        <v>42.437514763957111</v>
      </c>
    </row>
    <row r="23" spans="1:10" s="293" customFormat="1"/>
    <row r="24" spans="1:10" s="488" customFormat="1" ht="14.25" customHeight="1">
      <c r="A24" s="487"/>
    </row>
    <row r="25" spans="1:10" s="293" customFormat="1">
      <c r="A25" s="489"/>
      <c r="B25" s="490" t="s">
        <v>675</v>
      </c>
      <c r="C25" s="491"/>
      <c r="D25" s="491"/>
      <c r="E25" s="491"/>
      <c r="F25" s="491"/>
      <c r="G25" s="491"/>
      <c r="H25" s="491"/>
      <c r="I25" s="491"/>
      <c r="J25" s="491"/>
    </row>
    <row r="26" spans="1:10" s="293" customFormat="1">
      <c r="A26" s="492" t="s">
        <v>519</v>
      </c>
      <c r="B26" s="356"/>
      <c r="C26" s="356"/>
      <c r="D26" s="356"/>
      <c r="E26" s="356"/>
      <c r="F26" s="356"/>
      <c r="G26" s="356"/>
      <c r="H26" s="356"/>
      <c r="I26" s="356"/>
      <c r="J26" s="356"/>
    </row>
    <row r="27" spans="1:10" s="293" customFormat="1">
      <c r="A27" s="492" t="s">
        <v>520</v>
      </c>
      <c r="B27" s="849"/>
      <c r="C27" s="849"/>
      <c r="D27" s="849"/>
      <c r="E27" s="849"/>
      <c r="F27" s="849"/>
      <c r="G27" s="849"/>
      <c r="H27" s="849"/>
      <c r="I27" s="849"/>
      <c r="J27" s="849"/>
    </row>
    <row r="28" spans="1:10" s="293" customFormat="1">
      <c r="A28" s="492" t="s">
        <v>521</v>
      </c>
      <c r="B28" s="849"/>
      <c r="C28" s="849"/>
      <c r="D28" s="849"/>
      <c r="E28" s="849"/>
      <c r="F28" s="849"/>
      <c r="G28" s="849"/>
      <c r="H28" s="849"/>
      <c r="I28" s="849"/>
      <c r="J28" s="849"/>
    </row>
    <row r="29" spans="1:10" s="293" customFormat="1">
      <c r="A29" s="492" t="s">
        <v>522</v>
      </c>
      <c r="B29" s="849"/>
      <c r="C29" s="849"/>
      <c r="D29" s="849"/>
      <c r="E29" s="849"/>
      <c r="F29" s="849"/>
      <c r="G29" s="849"/>
      <c r="H29" s="849"/>
      <c r="I29" s="849"/>
      <c r="J29" s="849"/>
    </row>
    <row r="30" spans="1:10" s="293" customFormat="1">
      <c r="A30" s="492" t="s">
        <v>523</v>
      </c>
      <c r="B30" s="849"/>
      <c r="C30" s="849"/>
      <c r="D30" s="849"/>
      <c r="E30" s="849"/>
      <c r="F30" s="849"/>
      <c r="G30" s="849"/>
      <c r="H30" s="849"/>
      <c r="I30" s="849"/>
      <c r="J30" s="849"/>
    </row>
    <row r="31" spans="1:10" s="293" customFormat="1">
      <c r="A31" s="492" t="s">
        <v>524</v>
      </c>
      <c r="B31" s="849"/>
      <c r="C31" s="849"/>
      <c r="D31" s="849"/>
      <c r="E31" s="849"/>
      <c r="F31" s="849"/>
      <c r="G31" s="849"/>
      <c r="H31" s="849"/>
      <c r="I31" s="849"/>
      <c r="J31" s="849"/>
    </row>
    <row r="32" spans="1:10" s="293" customFormat="1">
      <c r="A32" s="492" t="s">
        <v>525</v>
      </c>
      <c r="B32" s="356"/>
      <c r="C32" s="356"/>
      <c r="D32" s="356"/>
      <c r="E32" s="356"/>
      <c r="F32" s="356"/>
      <c r="G32" s="356"/>
      <c r="H32" s="356"/>
      <c r="I32" s="356"/>
      <c r="J32" s="356"/>
    </row>
    <row r="33" spans="1:11" s="293" customFormat="1">
      <c r="A33" s="492" t="s">
        <v>526</v>
      </c>
      <c r="B33" s="356"/>
      <c r="C33" s="356"/>
      <c r="D33" s="356"/>
      <c r="E33" s="356"/>
      <c r="F33" s="356"/>
      <c r="G33" s="356"/>
      <c r="H33" s="356"/>
      <c r="I33" s="356"/>
      <c r="J33" s="356"/>
    </row>
    <row r="34" spans="1:11" s="293" customFormat="1">
      <c r="A34" s="492" t="s">
        <v>527</v>
      </c>
      <c r="B34" s="849"/>
      <c r="C34" s="849"/>
      <c r="D34" s="849"/>
      <c r="E34" s="849"/>
      <c r="F34" s="849"/>
      <c r="G34" s="849"/>
      <c r="H34" s="849"/>
      <c r="I34" s="849"/>
      <c r="J34" s="849"/>
    </row>
    <row r="35" spans="1:11" s="293" customFormat="1">
      <c r="A35" s="299"/>
      <c r="C35" s="418"/>
      <c r="D35" s="418"/>
      <c r="E35" s="418"/>
      <c r="F35" s="418"/>
      <c r="G35" s="418"/>
      <c r="H35" s="418"/>
      <c r="I35" s="418"/>
      <c r="J35" s="418"/>
    </row>
    <row r="36" spans="1:11" s="293" customFormat="1" ht="20.5">
      <c r="B36" s="483" t="s">
        <v>676</v>
      </c>
      <c r="C36" s="346"/>
      <c r="D36" s="347"/>
      <c r="E36" s="347"/>
      <c r="F36" s="347"/>
      <c r="G36" s="347"/>
      <c r="H36" s="347"/>
      <c r="I36" s="347"/>
      <c r="J36" s="347"/>
      <c r="K36" s="347"/>
    </row>
    <row r="37" spans="1:11" s="293" customFormat="1">
      <c r="A37" s="432"/>
      <c r="C37" s="29"/>
    </row>
    <row r="38" spans="1:11">
      <c r="B38" s="493" t="s">
        <v>677</v>
      </c>
    </row>
    <row r="39" spans="1:11">
      <c r="B39" s="432"/>
    </row>
    <row r="40" spans="1:11" s="293" customFormat="1">
      <c r="A40" s="417" t="s">
        <v>527</v>
      </c>
      <c r="B40" s="432" t="s">
        <v>122</v>
      </c>
      <c r="C40" s="40" t="s">
        <v>678</v>
      </c>
      <c r="D40" s="444"/>
      <c r="E40" s="444"/>
      <c r="F40" s="444"/>
      <c r="G40" s="444"/>
      <c r="H40" s="444"/>
    </row>
    <row r="41" spans="1:11" s="293" customFormat="1">
      <c r="B41" s="343" t="s">
        <v>679</v>
      </c>
      <c r="C41" s="418" t="str">
        <f>Data!$C$9</f>
        <v>£m 20/21</v>
      </c>
      <c r="D41" s="351">
        <v>0</v>
      </c>
      <c r="E41" s="351">
        <v>0.13911785002388877</v>
      </c>
      <c r="F41" s="351">
        <v>2.3330000000000002</v>
      </c>
      <c r="G41" s="351">
        <v>2.3330000000000002</v>
      </c>
      <c r="H41" s="351">
        <v>2.3330000000000002</v>
      </c>
      <c r="I41" s="449">
        <f>SUM(D41:INDEX(D41:H41,0,MATCH('RFPR cover'!$C$9,$D$6:$H$6,0)))</f>
        <v>0.13911785002388877</v>
      </c>
      <c r="J41" s="450">
        <f t="shared" ref="J41" si="3">SUM(D41:H41)</f>
        <v>7.1381178500238889</v>
      </c>
      <c r="K41" s="293" t="s">
        <v>680</v>
      </c>
    </row>
    <row r="42" spans="1:11" s="293" customFormat="1">
      <c r="B42" s="343" t="s">
        <v>681</v>
      </c>
      <c r="C42" s="418" t="str">
        <f>Data!$C$9</f>
        <v>£m 20/21</v>
      </c>
      <c r="D42" s="494">
        <v>0</v>
      </c>
      <c r="E42" s="419">
        <v>0</v>
      </c>
      <c r="F42" s="419">
        <v>0</v>
      </c>
      <c r="G42" s="419">
        <v>0</v>
      </c>
      <c r="H42" s="419">
        <v>0</v>
      </c>
      <c r="I42" s="449">
        <f>SUM(D42:INDEX(D42:H42,0,MATCH('RFPR cover'!$C$9,$D$6:$H$6,0)))</f>
        <v>0</v>
      </c>
      <c r="J42" s="450">
        <f t="shared" ref="J42:J45" si="4">SUM(D42:H42)</f>
        <v>0</v>
      </c>
    </row>
    <row r="43" spans="1:11" s="293" customFormat="1">
      <c r="B43" s="343" t="s">
        <v>682</v>
      </c>
      <c r="C43" s="418" t="str">
        <f>Data!$C$9</f>
        <v>£m 20/21</v>
      </c>
      <c r="D43" s="355">
        <v>0</v>
      </c>
      <c r="E43" s="355">
        <v>1.3911785002388877E-2</v>
      </c>
      <c r="F43" s="355">
        <v>0.23329999999999984</v>
      </c>
      <c r="G43" s="355">
        <v>0.23329999999999984</v>
      </c>
      <c r="H43" s="355">
        <v>0.23329999999999984</v>
      </c>
      <c r="I43" s="449">
        <f>SUM(D43:INDEX(D43:H43,0,MATCH('RFPR cover'!$C$9,$D$6:$H$6,0)))</f>
        <v>1.3911785002388877E-2</v>
      </c>
      <c r="J43" s="450">
        <f t="shared" si="4"/>
        <v>0.7138117850023884</v>
      </c>
    </row>
    <row r="44" spans="1:11" s="432" customFormat="1">
      <c r="B44" s="293" t="s">
        <v>683</v>
      </c>
      <c r="C44" s="418" t="str">
        <f>Data!$C$9</f>
        <v>£m 20/21</v>
      </c>
      <c r="D44" s="461">
        <f>D41-D42-D43</f>
        <v>0</v>
      </c>
      <c r="E44" s="501">
        <f t="shared" ref="E44:H44" si="5">E41-E42-E43</f>
        <v>0.12520606502149989</v>
      </c>
      <c r="F44" s="501">
        <f t="shared" si="5"/>
        <v>2.0997000000000003</v>
      </c>
      <c r="G44" s="501">
        <f t="shared" si="5"/>
        <v>2.0997000000000003</v>
      </c>
      <c r="H44" s="501">
        <f t="shared" si="5"/>
        <v>2.0997000000000003</v>
      </c>
      <c r="I44" s="449">
        <f>SUM(D44:INDEX(D44:H44,0,MATCH('RFPR cover'!$C$9,$D$6:$H$6,0)))</f>
        <v>0.12520606502149989</v>
      </c>
      <c r="J44" s="450">
        <f t="shared" si="4"/>
        <v>6.4243060650215007</v>
      </c>
      <c r="K44" s="293"/>
    </row>
    <row r="45" spans="1:11" s="293" customFormat="1">
      <c r="A45" s="430"/>
      <c r="B45" s="432" t="s">
        <v>684</v>
      </c>
      <c r="C45" s="418" t="str">
        <f>Data!$C$9</f>
        <v>£m 20/21</v>
      </c>
      <c r="D45" s="502">
        <f>D42+D43</f>
        <v>0</v>
      </c>
      <c r="E45" s="502">
        <f t="shared" ref="E45:H45" si="6">E42+E43</f>
        <v>1.3911785002388877E-2</v>
      </c>
      <c r="F45" s="502">
        <f t="shared" si="6"/>
        <v>0.23329999999999984</v>
      </c>
      <c r="G45" s="502">
        <f t="shared" si="6"/>
        <v>0.23329999999999984</v>
      </c>
      <c r="H45" s="502">
        <f t="shared" si="6"/>
        <v>0.23329999999999984</v>
      </c>
      <c r="I45" s="449">
        <f>SUM(D45:INDEX(D45:H45,0,MATCH('RFPR cover'!$C$9,$D$6:$H$6,0)))</f>
        <v>1.3911785002388877E-2</v>
      </c>
      <c r="J45" s="450">
        <f t="shared" si="4"/>
        <v>0.7138117850023884</v>
      </c>
    </row>
    <row r="46" spans="1:11" s="293" customFormat="1">
      <c r="A46" s="430"/>
      <c r="B46" s="432"/>
      <c r="C46" s="418"/>
      <c r="D46" s="495"/>
      <c r="E46" s="495"/>
      <c r="F46" s="495"/>
      <c r="G46" s="495"/>
      <c r="H46" s="495"/>
    </row>
    <row r="47" spans="1:11" s="293" customFormat="1">
      <c r="A47" s="417" t="s">
        <v>528</v>
      </c>
      <c r="B47" s="432" t="s">
        <v>685</v>
      </c>
      <c r="C47" s="418" t="s">
        <v>686</v>
      </c>
      <c r="D47" s="495"/>
      <c r="E47" s="495"/>
      <c r="F47" s="495"/>
      <c r="G47" s="495"/>
      <c r="H47" s="495"/>
    </row>
    <row r="48" spans="1:11" s="293" customFormat="1" ht="14">
      <c r="A48" s="430"/>
      <c r="B48" s="343" t="s">
        <v>687</v>
      </c>
      <c r="C48" s="418" t="str">
        <f>Data!$C$9</f>
        <v>£m 20/21</v>
      </c>
      <c r="D48" s="351">
        <v>0.59196399804594457</v>
      </c>
      <c r="E48" s="496"/>
      <c r="F48" s="496"/>
      <c r="G48" s="496"/>
      <c r="H48" s="496"/>
      <c r="K48" s="293" t="s">
        <v>680</v>
      </c>
    </row>
    <row r="49" spans="1:11" s="293" customFormat="1" ht="14">
      <c r="A49" s="430"/>
      <c r="B49" s="343" t="s">
        <v>681</v>
      </c>
      <c r="C49" s="418" t="str">
        <f>Data!$C$9</f>
        <v>£m 20/21</v>
      </c>
      <c r="D49" s="494">
        <v>0</v>
      </c>
      <c r="E49" s="496"/>
      <c r="F49" s="496"/>
      <c r="G49" s="496"/>
      <c r="H49" s="496"/>
    </row>
    <row r="50" spans="1:11" s="293" customFormat="1" ht="14">
      <c r="A50" s="430"/>
      <c r="B50" s="343" t="s">
        <v>682</v>
      </c>
      <c r="C50" s="418" t="str">
        <f>Data!$C$9</f>
        <v>£m 20/21</v>
      </c>
      <c r="D50" s="355">
        <v>5.9196399804594457E-2</v>
      </c>
      <c r="E50" s="496"/>
      <c r="F50" s="496"/>
      <c r="G50" s="496"/>
      <c r="H50" s="496"/>
    </row>
    <row r="51" spans="1:11" s="293" customFormat="1" ht="14">
      <c r="A51" s="430"/>
      <c r="B51" s="293" t="s">
        <v>688</v>
      </c>
      <c r="C51" s="418" t="str">
        <f>Data!$C$9</f>
        <v>£m 20/21</v>
      </c>
      <c r="D51" s="461">
        <f>D48-D49-D50</f>
        <v>0.53276759824135012</v>
      </c>
      <c r="E51" s="496"/>
      <c r="F51" s="496"/>
      <c r="G51" s="496"/>
      <c r="H51" s="496"/>
    </row>
    <row r="52" spans="1:11" ht="14">
      <c r="A52" s="497"/>
      <c r="B52" s="432" t="s">
        <v>689</v>
      </c>
      <c r="C52" s="418" t="str">
        <f>Data!$C$9</f>
        <v>£m 20/21</v>
      </c>
      <c r="D52" s="501">
        <f>D49+D50</f>
        <v>5.9196399804594457E-2</v>
      </c>
      <c r="E52" s="496"/>
      <c r="F52" s="496"/>
      <c r="G52" s="496"/>
      <c r="H52" s="496"/>
      <c r="K52" s="293"/>
    </row>
    <row r="53" spans="1:11">
      <c r="B53" s="432"/>
      <c r="C53" s="418"/>
      <c r="D53" s="418"/>
      <c r="E53" s="418"/>
      <c r="F53" s="418"/>
      <c r="G53" s="418"/>
      <c r="H53" s="418"/>
      <c r="K53" s="418"/>
    </row>
    <row r="54" spans="1:11">
      <c r="A54" s="417" t="s">
        <v>529</v>
      </c>
      <c r="B54" s="432" t="s">
        <v>690</v>
      </c>
      <c r="C54" s="418" t="s">
        <v>691</v>
      </c>
      <c r="D54" s="495"/>
      <c r="E54" s="495"/>
      <c r="F54" s="495"/>
      <c r="G54" s="495"/>
      <c r="H54" s="495"/>
      <c r="K54" s="293"/>
    </row>
    <row r="55" spans="1:11">
      <c r="A55" s="430"/>
      <c r="B55" s="343" t="s">
        <v>692</v>
      </c>
      <c r="C55" s="418" t="str">
        <f>Data!$C$9</f>
        <v>£m 20/21</v>
      </c>
      <c r="D55" s="351">
        <v>0.53699535819155519</v>
      </c>
      <c r="E55" s="351">
        <v>0.83470874915703497</v>
      </c>
      <c r="F55" s="351"/>
      <c r="G55" s="351"/>
      <c r="H55" s="351"/>
      <c r="I55" s="449">
        <f>SUM(D55:INDEX(D55:H55,0,MATCH('RFPR cover'!$C$9,$D$6:$H$6,0)))</f>
        <v>1.3717041073485903</v>
      </c>
      <c r="J55" s="450">
        <f t="shared" ref="J55" si="7">SUM(D55:H55)</f>
        <v>1.3717041073485903</v>
      </c>
      <c r="K55" s="293" t="s">
        <v>680</v>
      </c>
    </row>
    <row r="56" spans="1:11">
      <c r="A56" s="430"/>
      <c r="B56" s="343" t="s">
        <v>693</v>
      </c>
      <c r="C56" s="418" t="str">
        <f>Data!$C$9</f>
        <v>£m 20/21</v>
      </c>
      <c r="D56" s="494"/>
      <c r="E56" s="419"/>
      <c r="F56" s="419"/>
      <c r="G56" s="419"/>
      <c r="H56" s="419"/>
      <c r="I56" s="449">
        <f>SUM(D56:INDEX(D56:H56,0,MATCH('RFPR cover'!$C$9,$D$6:$H$6,0)))</f>
        <v>0</v>
      </c>
      <c r="J56" s="450">
        <f t="shared" ref="J56:J59" si="8">SUM(D56:H56)</f>
        <v>0</v>
      </c>
    </row>
    <row r="57" spans="1:11">
      <c r="A57" s="430"/>
      <c r="B57" s="343" t="s">
        <v>682</v>
      </c>
      <c r="C57" s="418" t="str">
        <f>Data!$C$9</f>
        <v>£m 20/21</v>
      </c>
      <c r="D57" s="355">
        <v>2.56822646866459E-2</v>
      </c>
      <c r="E57" s="355">
        <v>3.6005000000000002E-2</v>
      </c>
      <c r="F57" s="355"/>
      <c r="G57" s="355"/>
      <c r="H57" s="355"/>
      <c r="I57" s="449">
        <f>SUM(D57:INDEX(D57:H57,0,MATCH('RFPR cover'!$C$9,$D$6:$H$6,0)))</f>
        <v>6.1687264686645898E-2</v>
      </c>
      <c r="J57" s="450">
        <f t="shared" si="8"/>
        <v>6.1687264686645898E-2</v>
      </c>
    </row>
    <row r="58" spans="1:11">
      <c r="A58" s="430"/>
      <c r="B58" s="293" t="s">
        <v>694</v>
      </c>
      <c r="C58" s="418" t="str">
        <f>Data!$C$9</f>
        <v>£m 20/21</v>
      </c>
      <c r="D58" s="461">
        <f>D55-D56-D57</f>
        <v>0.51131309350490928</v>
      </c>
      <c r="E58" s="501">
        <f>E55-E56-E57</f>
        <v>0.79870374915703501</v>
      </c>
      <c r="F58" s="501">
        <f>F55-F56-F57</f>
        <v>0</v>
      </c>
      <c r="G58" s="501">
        <f>G55-G56-G57</f>
        <v>0</v>
      </c>
      <c r="H58" s="501">
        <f>H55-H56-H57</f>
        <v>0</v>
      </c>
      <c r="I58" s="449">
        <f>SUM(D58:INDEX(D58:H58,0,MATCH('RFPR cover'!$C$9,$D$6:$H$6,0)))</f>
        <v>1.3100168426619443</v>
      </c>
      <c r="J58" s="450">
        <f t="shared" si="8"/>
        <v>1.3100168426619443</v>
      </c>
    </row>
    <row r="59" spans="1:11">
      <c r="A59" s="497"/>
      <c r="B59" s="432" t="s">
        <v>695</v>
      </c>
      <c r="C59" s="418" t="str">
        <f>Data!$C$9</f>
        <v>£m 20/21</v>
      </c>
      <c r="D59" s="501">
        <f>D56+D57</f>
        <v>2.56822646866459E-2</v>
      </c>
      <c r="E59" s="501">
        <f>E56+E57</f>
        <v>3.6005000000000002E-2</v>
      </c>
      <c r="F59" s="501">
        <f>F56+F57</f>
        <v>0</v>
      </c>
      <c r="G59" s="501">
        <f>G56+G57</f>
        <v>0</v>
      </c>
      <c r="H59" s="501">
        <f>H56+H57</f>
        <v>0</v>
      </c>
      <c r="I59" s="449">
        <f>SUM(D59:INDEX(D59:H59,0,MATCH('RFPR cover'!$C$9,$D$6:$H$6,0)))</f>
        <v>6.1687264686645898E-2</v>
      </c>
      <c r="J59" s="450">
        <f t="shared" si="8"/>
        <v>6.1687264686645898E-2</v>
      </c>
    </row>
    <row r="60" spans="1:11">
      <c r="B60" s="432"/>
      <c r="C60" s="418"/>
      <c r="D60" s="418"/>
      <c r="E60" s="418"/>
      <c r="F60" s="418"/>
      <c r="G60" s="418"/>
      <c r="H60" s="418"/>
      <c r="I60" s="418"/>
    </row>
    <row r="61" spans="1:11">
      <c r="B61" s="432"/>
      <c r="C61" s="418"/>
      <c r="D61" s="418"/>
      <c r="E61" s="418"/>
      <c r="F61" s="418"/>
      <c r="G61" s="418"/>
      <c r="H61" s="418"/>
      <c r="I61" s="418"/>
    </row>
    <row r="62" spans="1:11" s="293" customFormat="1">
      <c r="B62" s="493" t="s">
        <v>696</v>
      </c>
      <c r="C62" s="29"/>
    </row>
    <row r="63" spans="1:11" s="293" customFormat="1" ht="16">
      <c r="B63" s="498" t="s">
        <v>697</v>
      </c>
      <c r="C63" s="499"/>
      <c r="D63" s="498"/>
      <c r="E63" s="498"/>
      <c r="F63" s="498"/>
      <c r="G63" s="498"/>
      <c r="H63" s="498"/>
      <c r="I63" s="498"/>
      <c r="J63" s="498"/>
      <c r="K63" s="498"/>
    </row>
    <row r="64" spans="1:11" s="293" customFormat="1">
      <c r="B64" s="785" t="s">
        <v>698</v>
      </c>
      <c r="C64" s="29"/>
    </row>
    <row r="65" spans="1:13" s="293" customFormat="1" ht="19" customHeight="1">
      <c r="A65" s="299"/>
      <c r="B65" s="484" t="s">
        <v>699</v>
      </c>
    </row>
    <row r="66" spans="1:13" s="293" customFormat="1" ht="14.5" customHeight="1">
      <c r="A66" s="299" t="s">
        <v>530</v>
      </c>
      <c r="B66" s="500" t="str">
        <f>Data!B199</f>
        <v/>
      </c>
      <c r="C66" s="418" t="str">
        <f>Data!$C$9</f>
        <v>£m 20/21</v>
      </c>
      <c r="D66" s="486"/>
      <c r="E66" s="486"/>
      <c r="F66" s="486"/>
      <c r="G66" s="486"/>
      <c r="H66" s="486"/>
      <c r="I66" s="449">
        <f>SUM(D66:INDEX(D66:H66,0,MATCH('RFPR cover'!$C$9,$D$6:$H$6,0)))</f>
        <v>0</v>
      </c>
      <c r="J66" s="450">
        <f t="shared" ref="J66" si="9">SUM(D66:H66)</f>
        <v>0</v>
      </c>
    </row>
    <row r="67" spans="1:13" s="293" customFormat="1" ht="14.5" customHeight="1">
      <c r="A67" s="299" t="s">
        <v>531</v>
      </c>
      <c r="B67" s="500" t="str">
        <f>Data!B200</f>
        <v/>
      </c>
      <c r="C67" s="418" t="str">
        <f>Data!$C$9</f>
        <v>£m 20/21</v>
      </c>
      <c r="D67" s="486"/>
      <c r="E67" s="486"/>
      <c r="F67" s="486"/>
      <c r="G67" s="486"/>
      <c r="H67" s="486"/>
      <c r="I67" s="449">
        <f>SUM(D67:INDEX(D67:H67,0,MATCH('RFPR cover'!$C$9,$D$6:$H$6,0)))</f>
        <v>0</v>
      </c>
      <c r="J67" s="450">
        <f t="shared" ref="J67:J71" si="10">SUM(D67:H67)</f>
        <v>0</v>
      </c>
    </row>
    <row r="68" spans="1:13" s="293" customFormat="1" ht="14.5" customHeight="1">
      <c r="A68" s="299" t="s">
        <v>532</v>
      </c>
      <c r="B68" s="500" t="str">
        <f>Data!B201</f>
        <v/>
      </c>
      <c r="C68" s="418" t="str">
        <f>Data!$C$9</f>
        <v>£m 20/21</v>
      </c>
      <c r="D68" s="486"/>
      <c r="E68" s="486"/>
      <c r="F68" s="486"/>
      <c r="G68" s="486"/>
      <c r="H68" s="486"/>
      <c r="I68" s="449">
        <f>SUM(D68:INDEX(D68:H68,0,MATCH('RFPR cover'!$C$9,$D$6:$H$6,0)))</f>
        <v>0</v>
      </c>
      <c r="J68" s="450">
        <f t="shared" si="10"/>
        <v>0</v>
      </c>
    </row>
    <row r="69" spans="1:13" s="293" customFormat="1" ht="14.5" customHeight="1">
      <c r="A69" s="299" t="s">
        <v>533</v>
      </c>
      <c r="B69" s="500" t="str">
        <f>Data!B202</f>
        <v/>
      </c>
      <c r="C69" s="418" t="str">
        <f>Data!$C$9</f>
        <v>£m 20/21</v>
      </c>
      <c r="D69" s="486"/>
      <c r="E69" s="486"/>
      <c r="F69" s="486"/>
      <c r="G69" s="486"/>
      <c r="H69" s="486"/>
      <c r="I69" s="449">
        <f>SUM(D69:INDEX(D69:H69,0,MATCH('RFPR cover'!$C$9,$D$6:$H$6,0)))</f>
        <v>0</v>
      </c>
      <c r="J69" s="450">
        <f t="shared" si="10"/>
        <v>0</v>
      </c>
    </row>
    <row r="70" spans="1:13" s="293" customFormat="1" ht="14.5" customHeight="1">
      <c r="A70" s="299" t="s">
        <v>534</v>
      </c>
      <c r="B70" s="500" t="str">
        <f>Data!B203</f>
        <v/>
      </c>
      <c r="C70" s="418" t="str">
        <f>Data!$C$9</f>
        <v>£m 20/21</v>
      </c>
      <c r="D70" s="486"/>
      <c r="E70" s="486"/>
      <c r="F70" s="486"/>
      <c r="G70" s="486"/>
      <c r="H70" s="486"/>
      <c r="I70" s="449">
        <f>SUM(D70:INDEX(D70:H70,0,MATCH('RFPR cover'!$C$9,$D$6:$H$6,0)))</f>
        <v>0</v>
      </c>
      <c r="J70" s="450">
        <f t="shared" si="10"/>
        <v>0</v>
      </c>
    </row>
    <row r="71" spans="1:13" s="293" customFormat="1" ht="14.5" customHeight="1">
      <c r="B71" s="432"/>
      <c r="C71" s="426" t="str">
        <f>Data!$C$9</f>
        <v>£m 20/21</v>
      </c>
      <c r="D71" s="461">
        <f>SUM(D66:D70)</f>
        <v>0</v>
      </c>
      <c r="E71" s="461">
        <f>SUM(E66:E70)</f>
        <v>0</v>
      </c>
      <c r="F71" s="461">
        <f>SUM(F66:F70)</f>
        <v>0</v>
      </c>
      <c r="G71" s="461">
        <f>SUM(G66:G70)</f>
        <v>0</v>
      </c>
      <c r="H71" s="461">
        <f>SUM(H66:H70)</f>
        <v>0</v>
      </c>
      <c r="I71" s="449">
        <f>SUM(D71:INDEX(D71:H71,0,MATCH('RFPR cover'!$C$9,$D$6:$H$6,0)))</f>
        <v>0</v>
      </c>
      <c r="J71" s="450">
        <f t="shared" si="10"/>
        <v>0</v>
      </c>
    </row>
    <row r="72" spans="1:13" s="293" customFormat="1" ht="14.5" customHeight="1">
      <c r="B72" s="432"/>
      <c r="C72" s="426"/>
      <c r="D72" s="426"/>
      <c r="E72" s="426"/>
      <c r="F72" s="426"/>
      <c r="G72" s="426"/>
      <c r="H72" s="426"/>
      <c r="I72" s="426"/>
    </row>
    <row r="73" spans="1:13" s="488" customFormat="1" ht="14.25" customHeight="1">
      <c r="A73" s="487"/>
      <c r="M73" s="293"/>
    </row>
    <row r="74" spans="1:13" s="293" customFormat="1">
      <c r="A74" s="489"/>
      <c r="B74" s="490" t="s">
        <v>675</v>
      </c>
      <c r="C74" s="491"/>
      <c r="D74" s="491"/>
      <c r="E74" s="491"/>
      <c r="F74" s="491"/>
      <c r="G74" s="491"/>
      <c r="H74" s="491"/>
      <c r="I74" s="491"/>
      <c r="J74" s="491"/>
    </row>
    <row r="75" spans="1:13" s="293" customFormat="1">
      <c r="A75" s="492" t="s">
        <v>527</v>
      </c>
      <c r="B75" s="490"/>
      <c r="C75" s="491"/>
      <c r="D75" s="491"/>
      <c r="E75" s="491"/>
      <c r="F75" s="491"/>
      <c r="G75" s="491"/>
      <c r="H75" s="491"/>
      <c r="I75" s="491"/>
      <c r="J75" s="491"/>
    </row>
    <row r="76" spans="1:13" s="293" customFormat="1">
      <c r="A76" s="492" t="s">
        <v>528</v>
      </c>
      <c r="B76" s="490"/>
      <c r="C76" s="491"/>
      <c r="D76" s="491"/>
      <c r="E76" s="491"/>
      <c r="F76" s="491"/>
      <c r="G76" s="491"/>
      <c r="H76" s="491"/>
      <c r="I76" s="491"/>
      <c r="J76" s="491"/>
    </row>
    <row r="77" spans="1:13" s="293" customFormat="1">
      <c r="A77" s="492" t="s">
        <v>529</v>
      </c>
      <c r="B77" s="849"/>
      <c r="C77" s="849"/>
      <c r="D77" s="849"/>
      <c r="E77" s="849"/>
      <c r="F77" s="849"/>
      <c r="G77" s="849"/>
      <c r="H77" s="849"/>
      <c r="I77" s="849"/>
      <c r="J77" s="849"/>
    </row>
    <row r="78" spans="1:13" s="293" customFormat="1">
      <c r="A78" s="492" t="s">
        <v>530</v>
      </c>
      <c r="B78" s="849"/>
      <c r="C78" s="849"/>
      <c r="D78" s="849"/>
      <c r="E78" s="849"/>
      <c r="F78" s="849"/>
      <c r="G78" s="849"/>
      <c r="H78" s="849"/>
      <c r="I78" s="849"/>
      <c r="J78" s="849"/>
    </row>
    <row r="79" spans="1:13" s="293" customFormat="1">
      <c r="A79" s="492" t="s">
        <v>531</v>
      </c>
      <c r="B79" s="849"/>
      <c r="C79" s="849"/>
      <c r="D79" s="849"/>
      <c r="E79" s="849"/>
      <c r="F79" s="849"/>
      <c r="G79" s="849"/>
      <c r="H79" s="849"/>
      <c r="I79" s="849"/>
      <c r="J79" s="849"/>
    </row>
    <row r="80" spans="1:13" s="293" customFormat="1">
      <c r="A80" s="492" t="s">
        <v>532</v>
      </c>
      <c r="B80" s="849"/>
      <c r="C80" s="849"/>
      <c r="D80" s="849"/>
      <c r="E80" s="849"/>
      <c r="F80" s="849"/>
      <c r="G80" s="849"/>
      <c r="H80" s="849"/>
      <c r="I80" s="849"/>
      <c r="J80" s="849"/>
    </row>
    <row r="81" spans="1:10" s="293" customFormat="1">
      <c r="A81" s="492" t="s">
        <v>533</v>
      </c>
      <c r="B81" s="356"/>
      <c r="C81" s="356"/>
      <c r="D81" s="356"/>
      <c r="E81" s="356"/>
      <c r="F81" s="356"/>
      <c r="G81" s="356"/>
      <c r="H81" s="356"/>
      <c r="I81" s="356"/>
      <c r="J81" s="356"/>
    </row>
    <row r="82" spans="1:10" s="293" customFormat="1">
      <c r="A82" s="492" t="s">
        <v>534</v>
      </c>
      <c r="B82" s="849"/>
      <c r="C82" s="849"/>
      <c r="D82" s="849"/>
      <c r="E82" s="849"/>
      <c r="F82" s="849"/>
      <c r="G82" s="849"/>
      <c r="H82" s="849"/>
      <c r="I82" s="849"/>
      <c r="J82" s="849"/>
    </row>
  </sheetData>
  <sheetProtection insertRows="0" sort="0" autoFilter="0" pivotTables="0"/>
  <mergeCells count="11">
    <mergeCell ref="B34:J34"/>
    <mergeCell ref="B27:J27"/>
    <mergeCell ref="B28:J28"/>
    <mergeCell ref="B29:J29"/>
    <mergeCell ref="B30:J30"/>
    <mergeCell ref="B31:J31"/>
    <mergeCell ref="B82:J82"/>
    <mergeCell ref="B77:J77"/>
    <mergeCell ref="B78:J78"/>
    <mergeCell ref="B79:J79"/>
    <mergeCell ref="B80:J80"/>
  </mergeCells>
  <conditionalFormatting sqref="D7:H7">
    <cfRule type="expression" dxfId="33" priority="1">
      <formula>AND(D$5="Actuals",E$5="Forecast")</formula>
    </cfRule>
  </conditionalFormatting>
  <conditionalFormatting sqref="H5:H6">
    <cfRule type="expression" dxfId="32" priority="237">
      <formula>AND(H$5="Actuals",#REF!="Forecast")</formula>
    </cfRule>
  </conditionalFormatting>
  <conditionalFormatting sqref="I5 D5:G6">
    <cfRule type="expression" dxfId="31"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0" zoomScaleNormal="80" workbookViewId="0">
      <selection activeCell="B5" sqref="B5"/>
    </sheetView>
  </sheetViews>
  <sheetFormatPr defaultColWidth="0" defaultRowHeight="13.5" zeroHeight="1"/>
  <cols>
    <col min="1" max="1" width="8.3828125" style="100" customWidth="1"/>
    <col min="2" max="2" width="74.84375" style="100" customWidth="1"/>
    <col min="3" max="3" width="14.15234375" style="100" customWidth="1"/>
    <col min="4" max="8" width="11.15234375" style="100" customWidth="1"/>
    <col min="9" max="10" width="12.84375" style="100" customWidth="1"/>
    <col min="11" max="11" width="5" style="100" customWidth="1"/>
    <col min="12" max="23" width="9.23046875" style="100" customWidth="1"/>
    <col min="24" max="27" width="9" style="100" hidden="1" customWidth="1"/>
    <col min="28" max="16384" width="9" style="100" hidden="1"/>
  </cols>
  <sheetData>
    <row r="1" spans="1:27" ht="20">
      <c r="A1" s="775" t="s">
        <v>265</v>
      </c>
      <c r="B1" s="281"/>
      <c r="C1" s="282"/>
      <c r="D1" s="282"/>
      <c r="E1" s="282"/>
      <c r="F1" s="282"/>
      <c r="G1" s="282"/>
      <c r="H1" s="282"/>
      <c r="I1" s="283"/>
      <c r="J1" s="283"/>
      <c r="K1" s="407"/>
    </row>
    <row r="2" spans="1:27" ht="20">
      <c r="A2" s="776" t="str">
        <f>Licensee</f>
        <v>ENWL</v>
      </c>
      <c r="B2" s="285"/>
      <c r="C2" s="286"/>
      <c r="D2" s="286"/>
      <c r="E2" s="286"/>
      <c r="F2" s="286"/>
      <c r="G2" s="286"/>
      <c r="H2" s="286"/>
      <c r="I2" s="287"/>
      <c r="J2" s="287"/>
      <c r="K2" s="288"/>
    </row>
    <row r="3" spans="1:27" ht="20">
      <c r="A3" s="779">
        <f>Reporting_Year</f>
        <v>2025</v>
      </c>
      <c r="B3" s="780" t="str">
        <f>IF('RFPR cover'!C7=Data!B86,"Not required to be completed for System Operator","")</f>
        <v/>
      </c>
      <c r="C3" s="503"/>
      <c r="D3" s="289"/>
      <c r="E3" s="289"/>
      <c r="F3" s="289"/>
      <c r="G3" s="289"/>
      <c r="H3" s="289"/>
      <c r="I3" s="290"/>
      <c r="J3" s="290"/>
      <c r="K3" s="291"/>
    </row>
    <row r="4" spans="1:27" ht="12.75" customHeight="1">
      <c r="A4" s="504"/>
      <c r="B4" s="504"/>
      <c r="C4" s="504"/>
      <c r="D4" s="504"/>
      <c r="E4" s="504"/>
      <c r="F4" s="504"/>
      <c r="G4" s="504"/>
      <c r="H4" s="504"/>
      <c r="I4" s="505"/>
    </row>
    <row r="5" spans="1:27">
      <c r="A5" s="293"/>
      <c r="B5" s="430"/>
      <c r="C5" s="430"/>
      <c r="D5" s="292" t="str">
        <f t="shared" ref="D5:I5" si="0">IF(D6&lt;=Reporting_Year,"Actuals","Forecast")</f>
        <v>Actuals</v>
      </c>
      <c r="E5" s="292" t="str">
        <f t="shared" si="0"/>
        <v>Actuals</v>
      </c>
      <c r="F5" s="292" t="str">
        <f t="shared" si="0"/>
        <v>Forecast</v>
      </c>
      <c r="G5" s="292" t="str">
        <f t="shared" si="0"/>
        <v>Forecast</v>
      </c>
      <c r="H5" s="292" t="str">
        <f t="shared" si="0"/>
        <v>Forecast</v>
      </c>
      <c r="I5" s="292" t="str">
        <f t="shared" si="0"/>
        <v>Forecast</v>
      </c>
      <c r="J5" s="293"/>
      <c r="K5" s="293"/>
      <c r="L5" s="293"/>
      <c r="M5" s="293"/>
      <c r="N5" s="293"/>
      <c r="O5" s="293"/>
      <c r="P5" s="293"/>
      <c r="Q5" s="293"/>
      <c r="R5" s="293"/>
      <c r="S5" s="293"/>
      <c r="T5" s="293"/>
      <c r="U5" s="293"/>
      <c r="V5" s="293"/>
      <c r="W5" s="293"/>
      <c r="X5" s="293"/>
      <c r="Y5" s="293"/>
      <c r="Z5" s="293"/>
      <c r="AA5" s="293"/>
    </row>
    <row r="6" spans="1:27" ht="27">
      <c r="A6" s="293"/>
      <c r="B6" s="293"/>
      <c r="C6" s="293"/>
      <c r="D6" s="408">
        <f>'RFPR cover'!$C$6</f>
        <v>2024</v>
      </c>
      <c r="E6" s="409">
        <f>D6+1</f>
        <v>2025</v>
      </c>
      <c r="F6" s="409">
        <f t="shared" ref="F6:H6" si="1">E6+1</f>
        <v>2026</v>
      </c>
      <c r="G6" s="409">
        <f t="shared" si="1"/>
        <v>2027</v>
      </c>
      <c r="H6" s="506">
        <f t="shared" si="1"/>
        <v>2028</v>
      </c>
      <c r="I6" s="507" t="str">
        <f>"Cumulative to "&amp;'RFPR cover'!$C$9</f>
        <v>Cumulative to 2025</v>
      </c>
      <c r="J6" s="508" t="s">
        <v>515</v>
      </c>
      <c r="K6" s="293"/>
      <c r="L6" s="293"/>
      <c r="M6" s="293"/>
      <c r="N6" s="293"/>
      <c r="O6" s="293"/>
      <c r="P6" s="293"/>
      <c r="Q6" s="293"/>
      <c r="R6" s="293"/>
      <c r="S6" s="293"/>
      <c r="T6" s="293"/>
      <c r="U6" s="293"/>
      <c r="V6" s="293"/>
      <c r="W6" s="293"/>
      <c r="X6" s="293"/>
      <c r="Y6" s="293"/>
      <c r="Z6" s="293"/>
      <c r="AA6" s="293"/>
    </row>
    <row r="7" spans="1:27">
      <c r="A7" s="293"/>
      <c r="B7" s="293"/>
      <c r="C7" s="293"/>
      <c r="D7" s="408" t="str">
        <f>RIIO_2_start_date-1&amp;"/"&amp;RIGHT(RIIO_2_start_date,2)</f>
        <v>2023/24</v>
      </c>
      <c r="E7" s="408" t="str">
        <f>RIIO_2_start_date&amp;"/"&amp;RIGHT(RIIO_2_start_date+1,2)</f>
        <v>2024/25</v>
      </c>
      <c r="F7" s="408" t="str">
        <f>RIIO_2_start_date+1&amp;"/"&amp;RIGHT(RIIO_2_start_date+2,2)</f>
        <v>2025/26</v>
      </c>
      <c r="G7" s="408" t="str">
        <f>RIIO_2_start_date+2&amp;"/"&amp;RIGHT(RIIO_2_start_date+3,2)</f>
        <v>2026/27</v>
      </c>
      <c r="H7" s="509" t="str">
        <f>RIIO_2_start_date+3&amp;"/"&amp;RIGHT(RIIO_2_start_date+4,2)</f>
        <v>2027/28</v>
      </c>
      <c r="I7" s="293"/>
      <c r="J7" s="293"/>
      <c r="K7" s="293"/>
      <c r="L7" s="293"/>
      <c r="M7" s="293"/>
      <c r="N7" s="293"/>
      <c r="O7" s="293"/>
      <c r="P7" s="293"/>
      <c r="Q7" s="293"/>
      <c r="R7" s="293"/>
      <c r="S7" s="293"/>
      <c r="T7" s="293"/>
      <c r="U7" s="293"/>
      <c r="V7" s="293"/>
      <c r="W7" s="293"/>
      <c r="X7" s="293"/>
      <c r="Y7" s="293"/>
      <c r="Z7" s="293"/>
      <c r="AA7" s="293"/>
    </row>
    <row r="8" spans="1:27">
      <c r="A8" s="293"/>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row>
    <row r="9" spans="1:27">
      <c r="B9" s="510" t="s">
        <v>730</v>
      </c>
      <c r="C9" s="29" t="s">
        <v>555</v>
      </c>
      <c r="D9" s="538">
        <v>67.243701664641975</v>
      </c>
      <c r="E9" s="538">
        <v>32.405653570634627</v>
      </c>
      <c r="F9" s="538">
        <v>74.130814756134328</v>
      </c>
      <c r="G9" s="538">
        <v>39.807779701002708</v>
      </c>
      <c r="H9" s="538">
        <v>76.200980892439347</v>
      </c>
      <c r="I9" s="293"/>
      <c r="J9" s="293"/>
    </row>
    <row r="10" spans="1:27">
      <c r="B10" s="380"/>
      <c r="C10" s="29"/>
      <c r="D10" s="39"/>
      <c r="E10" s="39"/>
      <c r="F10" s="39"/>
      <c r="G10" s="39"/>
      <c r="H10" s="39"/>
      <c r="I10" s="293"/>
      <c r="J10" s="293"/>
    </row>
    <row r="11" spans="1:27">
      <c r="B11" s="380" t="s">
        <v>700</v>
      </c>
      <c r="C11" s="511"/>
      <c r="D11" s="512"/>
      <c r="E11" s="512"/>
      <c r="F11" s="512"/>
      <c r="G11" s="512"/>
      <c r="H11" s="512"/>
      <c r="I11" s="293"/>
      <c r="J11" s="293"/>
    </row>
    <row r="12" spans="1:27">
      <c r="B12" s="513" t="s">
        <v>732</v>
      </c>
      <c r="C12" s="29" t="s">
        <v>555</v>
      </c>
      <c r="D12" s="538">
        <v>0</v>
      </c>
      <c r="E12" s="538">
        <v>0</v>
      </c>
      <c r="F12" s="538">
        <v>0</v>
      </c>
      <c r="G12" s="538">
        <v>0</v>
      </c>
      <c r="H12" s="538">
        <v>0</v>
      </c>
      <c r="I12" s="293"/>
      <c r="J12" s="293"/>
    </row>
    <row r="13" spans="1:27">
      <c r="B13" s="513" t="s">
        <v>733</v>
      </c>
      <c r="C13" s="29" t="s">
        <v>555</v>
      </c>
      <c r="D13" s="538">
        <v>102.331869</v>
      </c>
      <c r="E13" s="538">
        <v>41.593009000000002</v>
      </c>
      <c r="F13" s="538">
        <v>0</v>
      </c>
      <c r="G13" s="538">
        <v>0</v>
      </c>
      <c r="H13" s="538">
        <v>0</v>
      </c>
      <c r="I13" s="293"/>
      <c r="J13" s="293"/>
    </row>
    <row r="14" spans="1:27">
      <c r="B14" s="513" t="s">
        <v>734</v>
      </c>
      <c r="C14" s="29" t="s">
        <v>555</v>
      </c>
      <c r="D14" s="538">
        <v>0</v>
      </c>
      <c r="E14" s="538">
        <v>0</v>
      </c>
      <c r="F14" s="538">
        <v>0</v>
      </c>
      <c r="G14" s="538">
        <v>0</v>
      </c>
      <c r="H14" s="538">
        <v>0</v>
      </c>
      <c r="I14" s="293"/>
      <c r="J14" s="293"/>
    </row>
    <row r="15" spans="1:27">
      <c r="B15" s="513" t="s">
        <v>735</v>
      </c>
      <c r="C15" s="29" t="s">
        <v>555</v>
      </c>
      <c r="D15" s="538">
        <v>0</v>
      </c>
      <c r="E15" s="538">
        <v>0</v>
      </c>
      <c r="F15" s="538">
        <v>0</v>
      </c>
      <c r="G15" s="538">
        <v>0</v>
      </c>
      <c r="H15" s="538">
        <v>0</v>
      </c>
      <c r="I15" s="293"/>
      <c r="J15" s="293"/>
    </row>
    <row r="16" spans="1:27">
      <c r="B16" s="513" t="s">
        <v>736</v>
      </c>
      <c r="C16" s="29" t="s">
        <v>555</v>
      </c>
      <c r="D16" s="538">
        <v>0</v>
      </c>
      <c r="E16" s="538">
        <v>0</v>
      </c>
      <c r="F16" s="538">
        <v>0</v>
      </c>
      <c r="G16" s="538">
        <v>0</v>
      </c>
      <c r="H16" s="538">
        <v>0</v>
      </c>
      <c r="I16" s="293"/>
      <c r="J16" s="293"/>
    </row>
    <row r="17" spans="2:9">
      <c r="B17" s="513" t="s">
        <v>737</v>
      </c>
      <c r="C17" s="29" t="s">
        <v>555</v>
      </c>
      <c r="D17" s="538">
        <v>2.22999992</v>
      </c>
      <c r="E17" s="538">
        <v>2.0709999899999998</v>
      </c>
      <c r="F17" s="538">
        <v>0</v>
      </c>
      <c r="G17" s="538">
        <v>0</v>
      </c>
      <c r="H17" s="538">
        <v>0</v>
      </c>
      <c r="I17" s="293"/>
    </row>
    <row r="18" spans="2:9">
      <c r="B18" s="513" t="s">
        <v>738</v>
      </c>
      <c r="C18" s="29" t="s">
        <v>555</v>
      </c>
      <c r="D18" s="538">
        <v>5.2595868400000008</v>
      </c>
      <c r="E18" s="538">
        <v>5.2475850300000006</v>
      </c>
      <c r="F18" s="538">
        <v>6.0706435469999178</v>
      </c>
      <c r="G18" s="538">
        <v>-0.37564297300002636</v>
      </c>
      <c r="H18" s="538">
        <v>-0.37564297300002636</v>
      </c>
      <c r="I18" s="293"/>
    </row>
    <row r="19" spans="2:9" ht="12.75" customHeight="1">
      <c r="B19" s="513" t="s">
        <v>739</v>
      </c>
      <c r="C19" s="29" t="s">
        <v>555</v>
      </c>
      <c r="D19" s="538">
        <v>-8.916781E-2</v>
      </c>
      <c r="E19" s="538">
        <v>-0.40863697999999998</v>
      </c>
      <c r="F19" s="538">
        <v>-0.96250000000000002</v>
      </c>
      <c r="G19" s="538">
        <v>-0.43749999999999994</v>
      </c>
      <c r="H19" s="538">
        <v>-0.43749999999999994</v>
      </c>
      <c r="I19" s="293"/>
    </row>
    <row r="20" spans="2:9">
      <c r="B20" s="513" t="s">
        <v>960</v>
      </c>
      <c r="C20" s="29" t="s">
        <v>555</v>
      </c>
      <c r="D20" s="538">
        <v>-86.960210000000004</v>
      </c>
      <c r="E20" s="538">
        <v>0</v>
      </c>
      <c r="F20" s="538">
        <v>0</v>
      </c>
      <c r="G20" s="538">
        <v>0</v>
      </c>
      <c r="H20" s="538">
        <v>-28.451542640991391</v>
      </c>
      <c r="I20" s="293"/>
    </row>
    <row r="21" spans="2:9">
      <c r="B21" s="513" t="s">
        <v>961</v>
      </c>
      <c r="C21" s="29" t="s">
        <v>555</v>
      </c>
      <c r="D21" s="538">
        <v>-0.26192884999999999</v>
      </c>
      <c r="E21" s="538">
        <v>-0.29784485999999999</v>
      </c>
      <c r="F21" s="538">
        <v>-0.29784485999999999</v>
      </c>
      <c r="G21" s="538">
        <v>-0.29784485999999999</v>
      </c>
      <c r="H21" s="538">
        <v>-0.29784485999999999</v>
      </c>
      <c r="I21" s="293"/>
    </row>
    <row r="22" spans="2:9">
      <c r="B22" s="513" t="s">
        <v>740</v>
      </c>
      <c r="C22" s="29" t="s">
        <v>555</v>
      </c>
      <c r="D22" s="538">
        <v>0</v>
      </c>
      <c r="E22" s="538">
        <v>0</v>
      </c>
      <c r="F22" s="538">
        <v>0</v>
      </c>
      <c r="G22" s="538">
        <v>0</v>
      </c>
      <c r="H22" s="538">
        <v>0</v>
      </c>
      <c r="I22" s="293"/>
    </row>
    <row r="23" spans="2:9">
      <c r="B23" s="513" t="s">
        <v>740</v>
      </c>
      <c r="C23" s="29" t="s">
        <v>555</v>
      </c>
      <c r="D23" s="538">
        <v>0</v>
      </c>
      <c r="E23" s="538">
        <v>0</v>
      </c>
      <c r="F23" s="538">
        <v>0</v>
      </c>
      <c r="G23" s="538">
        <v>0</v>
      </c>
      <c r="H23" s="538">
        <v>0</v>
      </c>
      <c r="I23" s="293"/>
    </row>
    <row r="24" spans="2:9">
      <c r="B24" s="513" t="s">
        <v>740</v>
      </c>
      <c r="C24" s="29" t="s">
        <v>555</v>
      </c>
      <c r="D24" s="538">
        <v>0</v>
      </c>
      <c r="E24" s="538">
        <v>0</v>
      </c>
      <c r="F24" s="538">
        <v>0</v>
      </c>
      <c r="G24" s="538">
        <v>0</v>
      </c>
      <c r="H24" s="538">
        <v>0</v>
      </c>
      <c r="I24" s="293"/>
    </row>
    <row r="25" spans="2:9">
      <c r="B25" s="513" t="s">
        <v>740</v>
      </c>
      <c r="C25" s="29" t="s">
        <v>555</v>
      </c>
      <c r="D25" s="538">
        <v>0</v>
      </c>
      <c r="E25" s="538">
        <v>0</v>
      </c>
      <c r="F25" s="538">
        <v>0</v>
      </c>
      <c r="G25" s="538">
        <v>0</v>
      </c>
      <c r="H25" s="538">
        <v>0</v>
      </c>
      <c r="I25" s="293"/>
    </row>
    <row r="26" spans="2:9">
      <c r="B26" s="513" t="s">
        <v>740</v>
      </c>
      <c r="C26" s="29" t="s">
        <v>555</v>
      </c>
      <c r="D26" s="538">
        <v>0</v>
      </c>
      <c r="E26" s="538">
        <v>0</v>
      </c>
      <c r="F26" s="538">
        <v>0</v>
      </c>
      <c r="G26" s="538">
        <v>0</v>
      </c>
      <c r="H26" s="538">
        <v>0</v>
      </c>
      <c r="I26" s="293"/>
    </row>
    <row r="27" spans="2:9">
      <c r="B27" s="513" t="s">
        <v>740</v>
      </c>
      <c r="C27" s="29" t="s">
        <v>555</v>
      </c>
      <c r="D27" s="538">
        <v>0</v>
      </c>
      <c r="E27" s="538">
        <v>0</v>
      </c>
      <c r="F27" s="538">
        <v>0</v>
      </c>
      <c r="G27" s="538">
        <v>0</v>
      </c>
      <c r="H27" s="538">
        <v>0</v>
      </c>
      <c r="I27" s="293"/>
    </row>
    <row r="28" spans="2:9">
      <c r="B28" s="513" t="s">
        <v>740</v>
      </c>
      <c r="C28" s="29" t="s">
        <v>555</v>
      </c>
      <c r="D28" s="538">
        <v>0</v>
      </c>
      <c r="E28" s="538">
        <v>0</v>
      </c>
      <c r="F28" s="538">
        <v>0</v>
      </c>
      <c r="G28" s="538">
        <v>0</v>
      </c>
      <c r="H28" s="538">
        <v>0</v>
      </c>
      <c r="I28" s="293"/>
    </row>
    <row r="29" spans="2:9">
      <c r="B29" s="514" t="s">
        <v>602</v>
      </c>
      <c r="C29" s="29" t="s">
        <v>555</v>
      </c>
      <c r="D29" s="26">
        <f>SUM(D9,D12:D28)</f>
        <v>89.753850764641996</v>
      </c>
      <c r="E29" s="27">
        <f t="shared" ref="E29:H29" si="2">SUM(E9,E12:E28)</f>
        <v>80.610765750634627</v>
      </c>
      <c r="F29" s="27">
        <f t="shared" si="2"/>
        <v>78.941113443134242</v>
      </c>
      <c r="G29" s="27">
        <f t="shared" si="2"/>
        <v>38.696791868002684</v>
      </c>
      <c r="H29" s="27">
        <f t="shared" si="2"/>
        <v>46.638450418447931</v>
      </c>
      <c r="I29" s="293"/>
    </row>
    <row r="30" spans="2:9" ht="14">
      <c r="B30" s="515" t="s">
        <v>701</v>
      </c>
      <c r="C30" s="29" t="s">
        <v>555</v>
      </c>
      <c r="D30" s="496"/>
      <c r="E30" s="516"/>
      <c r="F30" s="516">
        <v>1.0693732807529857</v>
      </c>
      <c r="G30" s="516">
        <v>40.881531530260794</v>
      </c>
      <c r="H30" s="516">
        <v>56.231178834725689</v>
      </c>
      <c r="I30" s="293"/>
    </row>
    <row r="31" spans="2:9">
      <c r="B31" s="514" t="s">
        <v>702</v>
      </c>
      <c r="C31" s="29" t="s">
        <v>555</v>
      </c>
      <c r="D31" s="26">
        <f>SUM(D29:D30)</f>
        <v>89.753850764641996</v>
      </c>
      <c r="E31" s="27">
        <f t="shared" ref="E31:H31" si="3">SUM(E29:E30)</f>
        <v>80.610765750634627</v>
      </c>
      <c r="F31" s="27">
        <f t="shared" si="3"/>
        <v>80.010486723887226</v>
      </c>
      <c r="G31" s="27">
        <f t="shared" si="3"/>
        <v>79.578323398263478</v>
      </c>
      <c r="H31" s="27">
        <f t="shared" si="3"/>
        <v>102.86962925317363</v>
      </c>
      <c r="I31" s="293"/>
    </row>
    <row r="32" spans="2:9">
      <c r="B32" s="76" t="s">
        <v>703</v>
      </c>
      <c r="C32" s="29" t="s">
        <v>555</v>
      </c>
      <c r="D32" s="516">
        <v>60.562711340941597</v>
      </c>
      <c r="E32" s="516">
        <v>51.048872880547563</v>
      </c>
      <c r="F32" s="516">
        <v>50.383066676824122</v>
      </c>
      <c r="G32" s="516">
        <v>49.945166975392134</v>
      </c>
      <c r="H32" s="516">
        <v>73.23647283030229</v>
      </c>
      <c r="I32" s="293"/>
    </row>
    <row r="33" spans="2:21">
      <c r="B33" s="76" t="s">
        <v>704</v>
      </c>
      <c r="C33" s="29" t="s">
        <v>555</v>
      </c>
      <c r="D33" s="516">
        <v>29.191142299058406</v>
      </c>
      <c r="E33" s="516">
        <v>29.56189287008706</v>
      </c>
      <c r="F33" s="516">
        <v>29.627420047063104</v>
      </c>
      <c r="G33" s="516">
        <v>29.633156422871345</v>
      </c>
      <c r="H33" s="516">
        <v>29.633156422871345</v>
      </c>
      <c r="I33" s="293"/>
    </row>
    <row r="34" spans="2:21">
      <c r="B34" s="76"/>
      <c r="D34" s="539" t="str">
        <f>IF(ABS(D31-SUM(D32:D33))&lt;Data!$F$7,"OK","ERROR")</f>
        <v>OK</v>
      </c>
      <c r="E34" s="540" t="str">
        <f>IF(ABS(E31-SUM(E32:E33))&lt;Data!$F$7,"OK","ERROR")</f>
        <v>OK</v>
      </c>
      <c r="F34" s="540" t="str">
        <f>IF(ABS(F31-SUM(F32:F33))&lt;Data!$F$7,"OK","ERROR")</f>
        <v>OK</v>
      </c>
      <c r="G34" s="540" t="str">
        <f>IF(ABS(G31-SUM(G32:G33))&lt;Data!$F$7,"OK","ERROR")</f>
        <v>OK</v>
      </c>
      <c r="H34" s="540" t="str">
        <f>IF(ABS(H31-SUM(H32:H33))&lt;Data!$F$7,"OK","ERROR")</f>
        <v>OK</v>
      </c>
      <c r="I34" s="293"/>
    </row>
    <row r="35" spans="2:21">
      <c r="D35" s="517"/>
      <c r="E35" s="517"/>
      <c r="F35" s="517"/>
      <c r="G35" s="517"/>
      <c r="H35" s="517"/>
      <c r="I35" s="293"/>
    </row>
    <row r="36" spans="2:21">
      <c r="B36" s="76" t="s">
        <v>705</v>
      </c>
      <c r="C36" s="29" t="s">
        <v>555</v>
      </c>
      <c r="D36" s="516">
        <v>20.074736590000018</v>
      </c>
      <c r="E36" s="516">
        <v>9.6</v>
      </c>
      <c r="F36" s="516">
        <v>12.51128267947097</v>
      </c>
      <c r="G36" s="516">
        <v>6.7672737926616779</v>
      </c>
      <c r="H36" s="516">
        <v>8.2469850601264749</v>
      </c>
      <c r="I36" s="293"/>
    </row>
    <row r="37" spans="2:21">
      <c r="D37" s="517"/>
      <c r="E37" s="517"/>
      <c r="F37" s="517"/>
      <c r="G37" s="517"/>
      <c r="H37" s="517"/>
      <c r="I37" s="293"/>
    </row>
    <row r="38" spans="2:21">
      <c r="B38" s="76" t="s">
        <v>706</v>
      </c>
      <c r="C38" s="29" t="s">
        <v>555</v>
      </c>
      <c r="D38" s="538">
        <v>110.61959196673277</v>
      </c>
      <c r="E38" s="538">
        <v>51.127306780063449</v>
      </c>
      <c r="F38" s="538">
        <v>49.778627525252013</v>
      </c>
      <c r="G38" s="538">
        <v>39.827067230476608</v>
      </c>
      <c r="H38" s="538">
        <v>41.827077641202735</v>
      </c>
      <c r="I38"/>
      <c r="J38"/>
      <c r="K38"/>
      <c r="L38"/>
      <c r="M38"/>
      <c r="N38"/>
      <c r="O38"/>
      <c r="P38"/>
      <c r="Q38"/>
      <c r="R38"/>
      <c r="S38"/>
      <c r="T38"/>
      <c r="U38"/>
    </row>
    <row r="39" spans="2:21">
      <c r="B39" s="76"/>
      <c r="C39" s="29"/>
      <c r="D39" s="518"/>
      <c r="E39" s="518"/>
      <c r="F39" s="518"/>
      <c r="G39" s="518"/>
      <c r="H39" s="518"/>
      <c r="I39" s="293"/>
      <c r="K39" s="300"/>
    </row>
    <row r="40" spans="2:21">
      <c r="B40" s="76" t="s">
        <v>707</v>
      </c>
      <c r="C40" s="29" t="s">
        <v>555</v>
      </c>
      <c r="D40" s="21">
        <f>D31-D38</f>
        <v>-20.865741202090774</v>
      </c>
      <c r="E40" s="21">
        <f t="shared" ref="E40:H40" si="4">E31-E38</f>
        <v>29.483458970571178</v>
      </c>
      <c r="F40" s="21">
        <f t="shared" si="4"/>
        <v>30.231859198635213</v>
      </c>
      <c r="G40" s="21">
        <f t="shared" si="4"/>
        <v>39.75125616778687</v>
      </c>
      <c r="H40" s="21">
        <f t="shared" si="4"/>
        <v>61.042551611970893</v>
      </c>
    </row>
    <row r="41" spans="2:21">
      <c r="B41" s="76"/>
      <c r="C41" s="29"/>
      <c r="D41" s="29"/>
      <c r="E41" s="29"/>
      <c r="F41" s="29"/>
      <c r="G41" s="29"/>
      <c r="H41" s="29"/>
      <c r="I41" s="29"/>
      <c r="K41" s="300"/>
    </row>
    <row r="42" spans="2:21">
      <c r="B42" s="519" t="s">
        <v>708</v>
      </c>
      <c r="C42" s="29" t="s">
        <v>709</v>
      </c>
      <c r="D42" s="541">
        <f t="shared" ref="D42:H42" si="5">INDEX(real_to_nominal_CF,MATCH(D$6,calendar_year,0))</f>
        <v>1.2806226704273584</v>
      </c>
      <c r="E42" s="541">
        <f t="shared" si="5"/>
        <v>1.321792585589326</v>
      </c>
      <c r="F42" s="541">
        <f t="shared" si="5"/>
        <v>1.3606232404135936</v>
      </c>
      <c r="G42" s="541">
        <f t="shared" si="5"/>
        <v>1.3888946222960665</v>
      </c>
      <c r="H42" s="541">
        <f t="shared" si="5"/>
        <v>1.4165977982772553</v>
      </c>
      <c r="I42" s="29"/>
      <c r="K42" s="300"/>
    </row>
    <row r="43" spans="2:21">
      <c r="I43" s="418"/>
      <c r="J43" s="418"/>
      <c r="K43" s="418"/>
    </row>
    <row r="44" spans="2:21">
      <c r="B44" s="75" t="s">
        <v>707</v>
      </c>
      <c r="C44" s="426" t="s">
        <v>20</v>
      </c>
      <c r="D44" s="26">
        <f>D40/D42</f>
        <v>-16.293434189422587</v>
      </c>
      <c r="E44" s="27">
        <f t="shared" ref="E44:H44" si="6">E40/E42</f>
        <v>22.305662243842796</v>
      </c>
      <c r="F44" s="27">
        <f t="shared" si="6"/>
        <v>22.219125986298401</v>
      </c>
      <c r="G44" s="27">
        <f t="shared" si="6"/>
        <v>28.620786292679025</v>
      </c>
      <c r="H44" s="27">
        <f t="shared" si="6"/>
        <v>43.090954741145019</v>
      </c>
      <c r="I44" s="542">
        <f>SUM(D44:INDEX(D44:H44,0,MATCH('RFPR cover'!$C$9,$D$6:$H$6,0)))</f>
        <v>6.0122280544202091</v>
      </c>
      <c r="J44" s="543">
        <f>SUM(D44:H44)</f>
        <v>99.943095074542654</v>
      </c>
    </row>
    <row r="45" spans="2:21">
      <c r="B45" s="76"/>
      <c r="C45" s="418"/>
      <c r="D45" s="520"/>
      <c r="E45" s="520"/>
      <c r="F45" s="520"/>
      <c r="G45" s="520"/>
      <c r="H45" s="520"/>
      <c r="I45" s="521"/>
      <c r="J45" s="521"/>
    </row>
    <row r="46" spans="2:21">
      <c r="B46" s="75" t="s">
        <v>710</v>
      </c>
      <c r="C46" s="29"/>
      <c r="D46" s="520"/>
      <c r="E46" s="520"/>
      <c r="F46" s="520"/>
      <c r="G46" s="520"/>
      <c r="H46" s="520"/>
      <c r="I46" s="521"/>
      <c r="J46" s="521"/>
    </row>
    <row r="47" spans="2:21">
      <c r="B47" s="513" t="s">
        <v>741</v>
      </c>
      <c r="C47" s="29" t="s">
        <v>555</v>
      </c>
      <c r="D47" s="87">
        <v>-5.2595868400000008</v>
      </c>
      <c r="E47" s="87">
        <v>-5.2475850300000006</v>
      </c>
      <c r="F47" s="87">
        <v>-6.0706435469999178</v>
      </c>
      <c r="G47" s="87">
        <v>0.37564297300002636</v>
      </c>
      <c r="H47" s="87">
        <v>0.37564297300002636</v>
      </c>
      <c r="I47" s="542">
        <f>SUM(D47:INDEX(D47:H47,0,MATCH('RFPR cover'!$C$9,$D$6:$H$6,0)))</f>
        <v>-10.507171870000001</v>
      </c>
      <c r="J47" s="542">
        <f t="shared" ref="J47:J54" si="7">SUM(D47:H47)</f>
        <v>-15.826529470999866</v>
      </c>
    </row>
    <row r="48" spans="2:21" ht="14">
      <c r="B48" s="513" t="s">
        <v>711</v>
      </c>
      <c r="C48" s="29" t="s">
        <v>555</v>
      </c>
      <c r="D48" s="496"/>
      <c r="E48" s="516">
        <v>0</v>
      </c>
      <c r="F48" s="516">
        <v>0.36049382716049388</v>
      </c>
      <c r="G48" s="516">
        <v>0.47032700030486091</v>
      </c>
      <c r="H48" s="516">
        <v>0.46199359412407137</v>
      </c>
      <c r="I48" s="542">
        <f>SUM(D48:INDEX(D48:H48,0,MATCH('RFPR cover'!$C$9,$D$6:$H$6,0)))</f>
        <v>0</v>
      </c>
      <c r="J48" s="542">
        <f t="shared" si="7"/>
        <v>1.2928144215894262</v>
      </c>
    </row>
    <row r="49" spans="1:11">
      <c r="B49" s="513" t="s">
        <v>742</v>
      </c>
      <c r="C49" s="29" t="s">
        <v>555</v>
      </c>
      <c r="D49" s="87">
        <v>0</v>
      </c>
      <c r="E49" s="87">
        <v>0</v>
      </c>
      <c r="F49" s="87">
        <v>0</v>
      </c>
      <c r="G49" s="87">
        <v>0</v>
      </c>
      <c r="H49" s="87">
        <v>0</v>
      </c>
      <c r="I49" s="542">
        <f>SUM(D49:INDEX(D49:H49,0,MATCH('RFPR cover'!$C$9,$D$6:$H$6,0)))</f>
        <v>0</v>
      </c>
      <c r="J49" s="542">
        <f t="shared" si="7"/>
        <v>0</v>
      </c>
    </row>
    <row r="50" spans="1:11">
      <c r="B50" s="513" t="s">
        <v>743</v>
      </c>
      <c r="C50" s="29" t="s">
        <v>555</v>
      </c>
      <c r="D50" s="87">
        <v>23.666408850104933</v>
      </c>
      <c r="E50" s="87">
        <v>18.318067867030365</v>
      </c>
      <c r="F50" s="87">
        <v>20.970844994635385</v>
      </c>
      <c r="G50" s="87">
        <v>17.447743035536647</v>
      </c>
      <c r="H50" s="87">
        <v>16.880691386881701</v>
      </c>
      <c r="I50" s="542">
        <f>SUM(D50:INDEX(D50:H50,0,MATCH('RFPR cover'!$C$9,$D$6:$H$6,0)))</f>
        <v>41.984476717135294</v>
      </c>
      <c r="J50" s="542">
        <f t="shared" si="7"/>
        <v>97.283756134189019</v>
      </c>
    </row>
    <row r="51" spans="1:11">
      <c r="B51" s="513" t="s">
        <v>970</v>
      </c>
      <c r="C51" s="29" t="s">
        <v>555</v>
      </c>
      <c r="D51" s="87">
        <v>1.32280171</v>
      </c>
      <c r="E51" s="87">
        <v>2.1431377200000004</v>
      </c>
      <c r="F51" s="87">
        <v>2.1431377200000004</v>
      </c>
      <c r="G51" s="87">
        <v>2.1431377200000004</v>
      </c>
      <c r="H51" s="87">
        <v>2.1431377200000004</v>
      </c>
      <c r="I51" s="542">
        <f>SUM(D51:INDEX(D51:H51,0,MATCH('RFPR cover'!$C$9,$D$6:$H$6,0)))</f>
        <v>3.4659394300000006</v>
      </c>
      <c r="J51" s="542">
        <f t="shared" si="7"/>
        <v>9.8953525900000017</v>
      </c>
    </row>
    <row r="52" spans="1:11">
      <c r="B52" s="513" t="s">
        <v>740</v>
      </c>
      <c r="C52" s="29" t="s">
        <v>555</v>
      </c>
      <c r="D52" s="87">
        <v>0</v>
      </c>
      <c r="E52" s="87">
        <v>0</v>
      </c>
      <c r="F52" s="87">
        <v>0</v>
      </c>
      <c r="G52" s="87">
        <v>0</v>
      </c>
      <c r="H52" s="87">
        <v>0</v>
      </c>
      <c r="I52" s="542">
        <f>SUM(D52:INDEX(D52:H52,0,MATCH('RFPR cover'!$C$9,$D$6:$H$6,0)))</f>
        <v>0</v>
      </c>
      <c r="J52" s="542">
        <f t="shared" si="7"/>
        <v>0</v>
      </c>
    </row>
    <row r="53" spans="1:11">
      <c r="B53" s="513" t="s">
        <v>740</v>
      </c>
      <c r="C53" s="29" t="s">
        <v>555</v>
      </c>
      <c r="D53" s="87">
        <v>0</v>
      </c>
      <c r="E53" s="87">
        <v>0</v>
      </c>
      <c r="F53" s="87">
        <v>0</v>
      </c>
      <c r="G53" s="87">
        <v>0</v>
      </c>
      <c r="H53" s="87">
        <v>0</v>
      </c>
      <c r="I53" s="542">
        <f>SUM(D53:INDEX(D53:H53,0,MATCH('RFPR cover'!$C$9,$D$6:$H$6,0)))</f>
        <v>0</v>
      </c>
      <c r="J53" s="542">
        <f t="shared" si="7"/>
        <v>0</v>
      </c>
    </row>
    <row r="54" spans="1:11">
      <c r="B54" s="513" t="s">
        <v>740</v>
      </c>
      <c r="C54" s="29" t="s">
        <v>555</v>
      </c>
      <c r="D54" s="87">
        <v>0</v>
      </c>
      <c r="E54" s="87">
        <v>0</v>
      </c>
      <c r="F54" s="87">
        <v>0</v>
      </c>
      <c r="G54" s="87">
        <v>0</v>
      </c>
      <c r="H54" s="87">
        <v>0</v>
      </c>
      <c r="I54" s="542">
        <f>SUM(D54:INDEX(D54:H54,0,MATCH('RFPR cover'!$C$9,$D$6:$H$6,0)))</f>
        <v>0</v>
      </c>
      <c r="J54" s="542">
        <f t="shared" si="7"/>
        <v>0</v>
      </c>
    </row>
    <row r="55" spans="1:11">
      <c r="A55" s="522"/>
      <c r="B55" s="523"/>
      <c r="C55" s="86"/>
      <c r="D55" s="524"/>
      <c r="E55" s="524"/>
      <c r="F55" s="524"/>
      <c r="G55" s="524"/>
      <c r="H55" s="524"/>
      <c r="I55" s="525"/>
      <c r="J55" s="525"/>
      <c r="K55" s="522"/>
    </row>
    <row r="56" spans="1:11">
      <c r="B56" s="526" t="s">
        <v>712</v>
      </c>
      <c r="C56" s="40" t="s">
        <v>555</v>
      </c>
      <c r="D56" s="26">
        <f>SUM(D47:D54)</f>
        <v>19.729623720104932</v>
      </c>
      <c r="E56" s="26">
        <f t="shared" ref="E56:H56" si="8">SUM(E47:E54)</f>
        <v>15.213620557030366</v>
      </c>
      <c r="F56" s="26">
        <f t="shared" si="8"/>
        <v>17.403832994795962</v>
      </c>
      <c r="G56" s="26">
        <f t="shared" si="8"/>
        <v>20.436850728841534</v>
      </c>
      <c r="H56" s="26">
        <f t="shared" si="8"/>
        <v>19.8614656740058</v>
      </c>
      <c r="I56" s="542">
        <f>SUM(D56:INDEX(D56:H56,0,MATCH('RFPR cover'!$C$9,$D$6:$H$6,0)))</f>
        <v>34.9432442771353</v>
      </c>
      <c r="J56" s="543">
        <f>SUM(D56:H56)</f>
        <v>92.645393674778589</v>
      </c>
    </row>
    <row r="57" spans="1:11">
      <c r="B57" s="526" t="s">
        <v>712</v>
      </c>
      <c r="C57" s="426" t="s">
        <v>20</v>
      </c>
      <c r="D57" s="26">
        <f>D56/D42</f>
        <v>15.406273975706624</v>
      </c>
      <c r="E57" s="26">
        <f t="shared" ref="E57:H57" si="9">E56/E42</f>
        <v>11.509839533747511</v>
      </c>
      <c r="F57" s="26">
        <f t="shared" si="9"/>
        <v>12.791074323782428</v>
      </c>
      <c r="G57" s="26">
        <f t="shared" si="9"/>
        <v>14.714471782644049</v>
      </c>
      <c r="H57" s="26">
        <f t="shared" si="9"/>
        <v>14.020539703054466</v>
      </c>
      <c r="I57" s="542">
        <f>SUM(D57:INDEX(D57:H57,0,MATCH('RFPR cover'!$C$9,$D$6:$H$6,0)))</f>
        <v>26.916113509454135</v>
      </c>
      <c r="J57" s="543">
        <f>SUM(D57:H57)</f>
        <v>68.442199318935067</v>
      </c>
    </row>
    <row r="58" spans="1:11">
      <c r="B58" s="76"/>
      <c r="C58" s="418"/>
      <c r="D58" s="520"/>
      <c r="E58" s="520"/>
      <c r="F58" s="520"/>
      <c r="G58" s="520"/>
      <c r="H58" s="520"/>
      <c r="I58" s="521"/>
      <c r="J58" s="521"/>
    </row>
    <row r="59" spans="1:11">
      <c r="A59" s="417"/>
      <c r="B59" s="293"/>
      <c r="C59" s="293"/>
      <c r="D59" s="293"/>
      <c r="E59" s="293"/>
      <c r="F59" s="293"/>
      <c r="G59" s="293"/>
      <c r="H59" s="293"/>
      <c r="I59" s="293"/>
      <c r="J59" s="293"/>
      <c r="K59" s="293"/>
    </row>
    <row r="60" spans="1:11">
      <c r="A60" s="417"/>
      <c r="B60" s="527" t="s">
        <v>713</v>
      </c>
      <c r="C60" s="347"/>
      <c r="D60" s="347"/>
      <c r="E60" s="347"/>
      <c r="F60" s="347"/>
      <c r="G60" s="347"/>
      <c r="H60" s="347"/>
      <c r="I60" s="347"/>
      <c r="J60" s="347"/>
      <c r="K60" s="347"/>
    </row>
    <row r="61" spans="1:11">
      <c r="A61" s="417"/>
      <c r="B61" s="528" t="s">
        <v>714</v>
      </c>
      <c r="C61" s="529"/>
      <c r="D61" s="529"/>
      <c r="E61" s="529"/>
      <c r="F61" s="529"/>
      <c r="G61" s="529"/>
      <c r="H61" s="529"/>
      <c r="I61" s="529"/>
      <c r="J61" s="529"/>
      <c r="K61" s="529"/>
    </row>
    <row r="62" spans="1:11">
      <c r="A62" s="417"/>
      <c r="B62" s="293"/>
      <c r="C62" s="293"/>
      <c r="D62" s="293"/>
      <c r="E62" s="293"/>
      <c r="F62" s="293"/>
      <c r="G62" s="293"/>
      <c r="H62" s="293"/>
      <c r="I62" s="293"/>
      <c r="J62" s="293"/>
      <c r="K62" s="293"/>
    </row>
    <row r="63" spans="1:11">
      <c r="B63" s="76" t="s">
        <v>24</v>
      </c>
      <c r="C63" s="418" t="s">
        <v>518</v>
      </c>
      <c r="D63" s="88">
        <f>Data!$C$8</f>
        <v>0.6</v>
      </c>
      <c r="E63" s="89">
        <f>Data!$C$8</f>
        <v>0.6</v>
      </c>
      <c r="F63" s="89">
        <f>Data!$C$8</f>
        <v>0.6</v>
      </c>
      <c r="G63" s="89">
        <f>Data!$C$8</f>
        <v>0.6</v>
      </c>
      <c r="H63" s="89">
        <f>Data!$C$8</f>
        <v>0.6</v>
      </c>
      <c r="I63" s="293"/>
      <c r="K63" s="300"/>
    </row>
    <row r="64" spans="1:11">
      <c r="B64" s="76" t="s">
        <v>715</v>
      </c>
      <c r="C64" s="418" t="s">
        <v>518</v>
      </c>
      <c r="D64" s="89">
        <f>'R6 - Net Debt'!D75</f>
        <v>0.52015440705308036</v>
      </c>
      <c r="E64" s="89">
        <f>'R6 - Net Debt'!E75</f>
        <v>0.51312508029999337</v>
      </c>
      <c r="F64" s="89">
        <f>'R6 - Net Debt'!F75</f>
        <v>0.50109498070548009</v>
      </c>
      <c r="G64" s="89">
        <f>'R6 - Net Debt'!G75</f>
        <v>0.51900046556404456</v>
      </c>
      <c r="H64" s="89">
        <f>'R6 - Net Debt'!H75</f>
        <v>0.54094051632311724</v>
      </c>
      <c r="I64" s="293"/>
      <c r="K64" s="300"/>
    </row>
    <row r="65" spans="2:12">
      <c r="B65" s="76"/>
      <c r="C65" s="418"/>
      <c r="D65" s="418"/>
      <c r="E65" s="418"/>
      <c r="F65" s="418"/>
      <c r="G65" s="418"/>
      <c r="H65" s="418"/>
      <c r="I65" s="293"/>
      <c r="K65" s="300"/>
    </row>
    <row r="66" spans="2:12">
      <c r="B66" s="76" t="s">
        <v>716</v>
      </c>
      <c r="C66" s="29" t="s">
        <v>555</v>
      </c>
      <c r="D66" s="18">
        <f t="shared" ref="D66:H66" si="10">D40</f>
        <v>-20.865741202090774</v>
      </c>
      <c r="E66" s="19">
        <f t="shared" si="10"/>
        <v>29.483458970571178</v>
      </c>
      <c r="F66" s="19">
        <f t="shared" si="10"/>
        <v>30.231859198635213</v>
      </c>
      <c r="G66" s="19">
        <f t="shared" si="10"/>
        <v>39.75125616778687</v>
      </c>
      <c r="H66" s="19">
        <f t="shared" si="10"/>
        <v>61.042551611970893</v>
      </c>
    </row>
    <row r="67" spans="2:12">
      <c r="B67" s="76" t="s">
        <v>717</v>
      </c>
      <c r="C67" s="29" t="s">
        <v>555</v>
      </c>
      <c r="D67" s="18">
        <f>((D63-D64)/D64)*D66</f>
        <v>-3.2029671496907928</v>
      </c>
      <c r="E67" s="18">
        <f t="shared" ref="E67:H67" si="11">((E63-E64)/E64)*E66</f>
        <v>4.9917129933491644</v>
      </c>
      <c r="F67" s="18">
        <f t="shared" si="11"/>
        <v>5.9670975213931614</v>
      </c>
      <c r="G67" s="18">
        <f t="shared" si="11"/>
        <v>6.2039120510920069</v>
      </c>
      <c r="H67" s="18">
        <f t="shared" si="11"/>
        <v>6.6645804330342049</v>
      </c>
      <c r="K67" s="300"/>
    </row>
    <row r="68" spans="2:12">
      <c r="B68" s="76" t="s">
        <v>718</v>
      </c>
      <c r="C68" s="29" t="s">
        <v>555</v>
      </c>
      <c r="D68" s="21">
        <f>SUM(D66:D67)</f>
        <v>-24.068708351781567</v>
      </c>
      <c r="E68" s="22">
        <f t="shared" ref="E68:H68" si="12">SUM(E66:E67)</f>
        <v>34.475171963920346</v>
      </c>
      <c r="F68" s="22">
        <f t="shared" si="12"/>
        <v>36.198956720028377</v>
      </c>
      <c r="G68" s="22">
        <f t="shared" si="12"/>
        <v>45.955168218878875</v>
      </c>
      <c r="H68" s="22">
        <f t="shared" si="12"/>
        <v>67.707132045005096</v>
      </c>
    </row>
    <row r="69" spans="2:12">
      <c r="B69" s="76"/>
      <c r="C69" s="29"/>
      <c r="D69" s="29"/>
      <c r="E69" s="29"/>
      <c r="F69" s="29"/>
      <c r="G69" s="29"/>
      <c r="H69" s="29"/>
      <c r="I69" s="29"/>
      <c r="J69" s="29"/>
      <c r="K69" s="29"/>
      <c r="L69" s="29"/>
    </row>
    <row r="70" spans="2:12">
      <c r="B70" s="75" t="s">
        <v>718</v>
      </c>
      <c r="C70" s="426" t="s">
        <v>20</v>
      </c>
      <c r="D70" s="26">
        <f t="shared" ref="D70:H70" si="13">D68/D42</f>
        <v>-18.794535586153231</v>
      </c>
      <c r="E70" s="27">
        <f t="shared" si="13"/>
        <v>26.082134473881517</v>
      </c>
      <c r="F70" s="27">
        <f t="shared" si="13"/>
        <v>26.604687943610937</v>
      </c>
      <c r="G70" s="27">
        <f t="shared" si="13"/>
        <v>33.087584530284651</v>
      </c>
      <c r="H70" s="27">
        <f t="shared" si="13"/>
        <v>47.795593165078117</v>
      </c>
      <c r="I70" s="542">
        <f>SUM(D70:INDEX(D70:H70,0,MATCH('RFPR cover'!$C$9,$D$6:$H$6,0)))</f>
        <v>7.2875988877282865</v>
      </c>
      <c r="J70" s="543">
        <f>SUM(D70:H70)</f>
        <v>114.775464526702</v>
      </c>
    </row>
    <row r="71" spans="2:12">
      <c r="B71" s="76" t="s">
        <v>719</v>
      </c>
      <c r="C71" s="418" t="s">
        <v>20</v>
      </c>
      <c r="D71" s="18">
        <f>D57*((D63-D64)/D64)+D57</f>
        <v>17.771193053605469</v>
      </c>
      <c r="E71" s="18">
        <f t="shared" ref="E71:H71" si="14">E57*((E63-E64)/E64)+E57</f>
        <v>13.458519151336434</v>
      </c>
      <c r="F71" s="18">
        <f t="shared" si="14"/>
        <v>15.315748290802077</v>
      </c>
      <c r="G71" s="18">
        <f t="shared" si="14"/>
        <v>17.010934778240525</v>
      </c>
      <c r="H71" s="18">
        <f t="shared" si="14"/>
        <v>15.551291811182782</v>
      </c>
      <c r="I71" s="544">
        <f>SUM(D71:INDEX(D71:H71,0,MATCH('RFPR cover'!$C$9,$D$6:$H$6,0)))</f>
        <v>31.229712204941904</v>
      </c>
      <c r="J71" s="545">
        <f>SUM(D71:H71)</f>
        <v>79.107687085167285</v>
      </c>
      <c r="K71" s="418"/>
    </row>
    <row r="72" spans="2:12"/>
    <row r="73" spans="2:12">
      <c r="B73" s="530" t="s">
        <v>720</v>
      </c>
      <c r="C73" s="531"/>
      <c r="D73" s="531"/>
      <c r="E73" s="531"/>
      <c r="F73" s="531"/>
      <c r="G73" s="531"/>
      <c r="H73" s="531"/>
      <c r="I73" s="531"/>
      <c r="J73" s="531"/>
      <c r="K73" s="531"/>
      <c r="L73" s="418"/>
    </row>
    <row r="74" spans="2:12">
      <c r="B74" s="443"/>
      <c r="C74" s="418"/>
      <c r="D74" s="418"/>
      <c r="E74" s="418"/>
      <c r="F74" s="418"/>
      <c r="G74" s="418"/>
      <c r="H74" s="418"/>
      <c r="I74" s="418"/>
      <c r="J74" s="418"/>
      <c r="K74" s="418"/>
      <c r="L74" s="418"/>
    </row>
    <row r="75" spans="2:12">
      <c r="B75" s="528" t="s">
        <v>721</v>
      </c>
      <c r="C75" s="532"/>
      <c r="D75" s="532"/>
      <c r="E75" s="532"/>
      <c r="F75" s="532"/>
      <c r="G75" s="532"/>
      <c r="H75" s="532"/>
      <c r="I75" s="532"/>
      <c r="J75" s="532"/>
      <c r="K75" s="532"/>
      <c r="L75" s="418"/>
    </row>
    <row r="76" spans="2:12">
      <c r="B76" s="533"/>
      <c r="C76" s="533"/>
      <c r="D76" s="533"/>
      <c r="E76" s="533"/>
      <c r="F76" s="533"/>
      <c r="G76" s="533"/>
      <c r="H76" s="533"/>
      <c r="I76" s="533"/>
      <c r="J76" s="533"/>
      <c r="K76" s="533"/>
      <c r="L76" s="418"/>
    </row>
    <row r="77" spans="2:12">
      <c r="B77" s="76" t="s">
        <v>722</v>
      </c>
      <c r="C77" s="418" t="s">
        <v>20</v>
      </c>
      <c r="D77" s="472">
        <f>'R7 - RAV'!F43</f>
        <v>36.938683013861862</v>
      </c>
      <c r="E77" s="472">
        <f>'R7 - RAV'!G43</f>
        <v>39.375299180528202</v>
      </c>
      <c r="F77" s="472">
        <f>'R7 - RAV'!H43</f>
        <v>41.94443512662118</v>
      </c>
      <c r="G77" s="472">
        <f>'R7 - RAV'!I43</f>
        <v>45.101089224862037</v>
      </c>
      <c r="H77" s="472">
        <f>'R7 - RAV'!J43</f>
        <v>48.667125555020405</v>
      </c>
      <c r="I77" s="533"/>
      <c r="J77" s="534"/>
      <c r="L77" s="418"/>
    </row>
    <row r="78" spans="2:12">
      <c r="B78" s="76"/>
      <c r="C78" s="418"/>
      <c r="D78" s="535"/>
      <c r="E78" s="535"/>
      <c r="F78" s="535"/>
      <c r="G78" s="535"/>
      <c r="H78" s="535"/>
      <c r="I78" s="533"/>
      <c r="J78" s="521"/>
      <c r="L78" s="418"/>
    </row>
    <row r="79" spans="2:12">
      <c r="B79" s="76"/>
      <c r="C79" s="418"/>
      <c r="D79" s="535"/>
      <c r="E79" s="536"/>
      <c r="F79" s="536"/>
      <c r="G79" s="536"/>
      <c r="H79" s="536"/>
      <c r="I79" s="521"/>
      <c r="J79" s="521"/>
      <c r="L79" s="418"/>
    </row>
    <row r="80" spans="2:12">
      <c r="B80" s="537" t="s">
        <v>723</v>
      </c>
      <c r="C80" s="531"/>
      <c r="D80" s="531"/>
      <c r="E80" s="531"/>
      <c r="F80" s="531"/>
      <c r="G80" s="531"/>
      <c r="H80" s="531"/>
      <c r="I80" s="531"/>
      <c r="J80" s="531"/>
      <c r="K80" s="531"/>
    </row>
    <row r="81" spans="2:11">
      <c r="B81" s="528" t="s">
        <v>724</v>
      </c>
      <c r="C81" s="529"/>
      <c r="D81" s="529"/>
      <c r="E81" s="529"/>
      <c r="F81" s="529"/>
      <c r="G81" s="529"/>
      <c r="H81" s="529"/>
      <c r="I81" s="529"/>
      <c r="J81" s="529"/>
      <c r="K81" s="529"/>
    </row>
    <row r="82" spans="2:11" ht="24.65" customHeight="1">
      <c r="B82" s="511" t="s">
        <v>725</v>
      </c>
      <c r="C82" s="418"/>
      <c r="D82" s="418"/>
      <c r="E82" s="418"/>
      <c r="F82" s="418"/>
      <c r="G82" s="418"/>
      <c r="H82" s="418"/>
      <c r="I82" s="418"/>
      <c r="J82" s="418"/>
      <c r="K82" s="418"/>
    </row>
    <row r="83" spans="2:11">
      <c r="B83" s="76" t="s">
        <v>726</v>
      </c>
      <c r="C83" s="418" t="s">
        <v>20</v>
      </c>
      <c r="D83" s="26">
        <f>D77-D44-D57</f>
        <v>37.82584322757782</v>
      </c>
      <c r="E83" s="26">
        <f>E77-E44-E57</f>
        <v>5.5597974029378943</v>
      </c>
      <c r="F83" s="26">
        <f>F77-F44-F57</f>
        <v>6.93423481654035</v>
      </c>
      <c r="G83" s="26">
        <f>G77-G44-G57</f>
        <v>1.7658311495389629</v>
      </c>
      <c r="H83" s="26">
        <f>H77-H44-H57</f>
        <v>-8.4443688891790796</v>
      </c>
      <c r="I83" s="542">
        <f>SUM(D83:INDEX(D83:H83,0,MATCH('RFPR cover'!$C$9,$D$6:$H$6,0)))</f>
        <v>43.385640630515717</v>
      </c>
      <c r="J83" s="543">
        <f>SUM(D83:H83)</f>
        <v>43.641337707415943</v>
      </c>
      <c r="K83" s="418"/>
    </row>
    <row r="84" spans="2:11">
      <c r="B84" s="76"/>
      <c r="K84" s="418"/>
    </row>
    <row r="85" spans="2:11">
      <c r="B85" s="76" t="s">
        <v>727</v>
      </c>
      <c r="C85" s="418" t="s">
        <v>20</v>
      </c>
      <c r="D85" s="26">
        <f>D77-D70-D71</f>
        <v>37.96202554640962</v>
      </c>
      <c r="E85" s="26">
        <f>E77-E70-E71</f>
        <v>-0.1653544446897488</v>
      </c>
      <c r="F85" s="26">
        <f>F77-F70-F71</f>
        <v>2.3998892208165756E-2</v>
      </c>
      <c r="G85" s="26">
        <f>G77-G70-G71</f>
        <v>-4.99743008366314</v>
      </c>
      <c r="H85" s="26">
        <f>H77-H70-H71</f>
        <v>-14.679759421240494</v>
      </c>
      <c r="I85" s="542">
        <f>SUM(D85:INDEX(D85:H85,0,MATCH('RFPR cover'!$C$9,$D$6:$H$6,0)))</f>
        <v>37.796671101719873</v>
      </c>
      <c r="J85" s="543">
        <f>SUM(D85:H85)</f>
        <v>18.143480489024402</v>
      </c>
      <c r="K85" s="418"/>
    </row>
    <row r="86" spans="2:11">
      <c r="B86" s="76"/>
      <c r="K86" s="418"/>
    </row>
    <row r="87" spans="2:11">
      <c r="B87" s="76" t="s">
        <v>728</v>
      </c>
      <c r="C87" s="418" t="s">
        <v>20</v>
      </c>
      <c r="D87" s="26">
        <f>D83-D85</f>
        <v>-0.13618231883179988</v>
      </c>
      <c r="E87" s="26">
        <f t="shared" ref="E87:H87" si="15">E83-E85</f>
        <v>5.7251518476276431</v>
      </c>
      <c r="F87" s="26">
        <f t="shared" si="15"/>
        <v>6.9102359243321843</v>
      </c>
      <c r="G87" s="26">
        <f t="shared" si="15"/>
        <v>6.7632612332021029</v>
      </c>
      <c r="H87" s="26">
        <f t="shared" si="15"/>
        <v>6.2353905320614142</v>
      </c>
      <c r="I87" s="542">
        <f>SUM(D87:INDEX(D87:H87,0,MATCH('RFPR cover'!$C$9,$D$6:$H$6,0)))</f>
        <v>5.5889695287958432</v>
      </c>
      <c r="J87" s="543">
        <f>SUM(D87:H87)</f>
        <v>25.497857218391545</v>
      </c>
      <c r="K87" s="418"/>
    </row>
    <row r="88" spans="2:11">
      <c r="K88" s="418"/>
    </row>
    <row r="89" spans="2:11">
      <c r="K89" s="418"/>
    </row>
    <row r="90" spans="2:11">
      <c r="K90" s="418"/>
    </row>
    <row r="91" spans="2:11">
      <c r="K91" s="418"/>
    </row>
    <row r="92" spans="2:11"/>
    <row r="93" spans="2:11"/>
    <row r="94" spans="2:11"/>
    <row r="95" spans="2:11"/>
    <row r="96" spans="2:11"/>
    <row r="97"/>
    <row r="98"/>
    <row r="99"/>
    <row r="100"/>
  </sheetData>
  <sheetProtection insertRows="0" sort="0" autoFilter="0" pivotTables="0"/>
  <conditionalFormatting sqref="D48">
    <cfRule type="expression" dxfId="30" priority="4">
      <formula>D$5="Forecast"</formula>
    </cfRule>
    <cfRule type="expression" dxfId="29" priority="5">
      <formula>C$12="N/A"</formula>
    </cfRule>
  </conditionalFormatting>
  <conditionalFormatting sqref="D30:H30">
    <cfRule type="expression" dxfId="28"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80" zoomScaleNormal="80" workbookViewId="0">
      <selection activeCell="B5" sqref="B5"/>
    </sheetView>
  </sheetViews>
  <sheetFormatPr defaultColWidth="0" defaultRowHeight="13.5" zeroHeight="1"/>
  <cols>
    <col min="1" max="1" width="8.3828125" style="100" customWidth="1"/>
    <col min="2" max="2" width="85.765625" style="100" bestFit="1" customWidth="1"/>
    <col min="3" max="3" width="14.15234375" style="100" customWidth="1"/>
    <col min="4" max="8" width="11.15234375" style="100" customWidth="1"/>
    <col min="9" max="9" width="5" style="100" customWidth="1"/>
    <col min="10" max="10" width="12.84375" style="100" customWidth="1"/>
    <col min="11" max="23" width="9.23046875" style="100" customWidth="1"/>
    <col min="24" max="16384" width="9" style="100" hidden="1"/>
  </cols>
  <sheetData>
    <row r="1" spans="1:23" ht="20">
      <c r="A1" s="775" t="s">
        <v>267</v>
      </c>
      <c r="B1" s="281"/>
      <c r="C1" s="282"/>
      <c r="D1" s="282"/>
      <c r="E1" s="282"/>
      <c r="F1" s="282"/>
      <c r="G1" s="282"/>
      <c r="H1" s="282"/>
      <c r="I1" s="407"/>
    </row>
    <row r="2" spans="1:23" ht="20">
      <c r="A2" s="776" t="str">
        <f>Licensee</f>
        <v>ENWL</v>
      </c>
      <c r="B2" s="285"/>
      <c r="C2" s="286"/>
      <c r="D2" s="286"/>
      <c r="E2" s="286"/>
      <c r="F2" s="286"/>
      <c r="G2" s="286"/>
      <c r="H2" s="286"/>
      <c r="I2" s="288"/>
    </row>
    <row r="3" spans="1:23" ht="20">
      <c r="A3" s="779">
        <f>Reporting_Year</f>
        <v>2025</v>
      </c>
      <c r="B3" s="780" t="str">
        <f>'R5 - Financing'!B3</f>
        <v/>
      </c>
      <c r="C3" s="289"/>
      <c r="D3" s="289"/>
      <c r="E3" s="289"/>
      <c r="F3" s="289"/>
      <c r="G3" s="289"/>
      <c r="H3" s="289"/>
      <c r="I3" s="291"/>
    </row>
    <row r="4" spans="1:23" ht="12.75" customHeight="1">
      <c r="A4" s="504"/>
      <c r="B4" s="504"/>
      <c r="C4" s="504"/>
      <c r="D4" s="504"/>
      <c r="E4" s="504"/>
      <c r="F4" s="504"/>
      <c r="G4" s="504"/>
      <c r="H4" s="504"/>
      <c r="I4" s="505"/>
    </row>
    <row r="5" spans="1:23">
      <c r="A5" s="293"/>
      <c r="B5" s="430"/>
      <c r="C5" s="430"/>
      <c r="D5" s="292" t="str">
        <f t="shared" ref="D5:H5" si="0">IF(D6&lt;=Reporting_Year,"Actuals","Forecast")</f>
        <v>Actuals</v>
      </c>
      <c r="E5" s="292" t="str">
        <f t="shared" si="0"/>
        <v>Actuals</v>
      </c>
      <c r="F5" s="292" t="str">
        <f t="shared" si="0"/>
        <v>Forecast</v>
      </c>
      <c r="G5" s="292" t="str">
        <f t="shared" si="0"/>
        <v>Forecast</v>
      </c>
      <c r="H5" s="292" t="str">
        <f t="shared" si="0"/>
        <v>Forecast</v>
      </c>
      <c r="I5" s="293"/>
      <c r="J5" s="293"/>
      <c r="K5" s="293"/>
      <c r="L5" s="293"/>
      <c r="M5" s="293"/>
      <c r="N5" s="293"/>
      <c r="O5" s="293"/>
      <c r="P5" s="293"/>
      <c r="Q5" s="293"/>
      <c r="R5" s="293"/>
      <c r="S5" s="293"/>
      <c r="T5" s="293"/>
      <c r="U5" s="293"/>
      <c r="V5" s="293"/>
      <c r="W5" s="293"/>
    </row>
    <row r="6" spans="1:23">
      <c r="A6" s="293"/>
      <c r="B6" s="293"/>
      <c r="C6" s="293"/>
      <c r="D6" s="408">
        <f>'RFPR cover'!$C$6</f>
        <v>2024</v>
      </c>
      <c r="E6" s="409">
        <f>D6+1</f>
        <v>2025</v>
      </c>
      <c r="F6" s="409">
        <f t="shared" ref="F6:H6" si="1">E6+1</f>
        <v>2026</v>
      </c>
      <c r="G6" s="409">
        <f t="shared" si="1"/>
        <v>2027</v>
      </c>
      <c r="H6" s="409">
        <f t="shared" si="1"/>
        <v>2028</v>
      </c>
      <c r="I6" s="293"/>
      <c r="J6" s="293"/>
      <c r="K6" s="293"/>
      <c r="L6" s="293"/>
      <c r="M6" s="293"/>
      <c r="N6" s="293"/>
      <c r="O6" s="293"/>
      <c r="P6" s="293"/>
      <c r="Q6" s="293"/>
      <c r="R6" s="293"/>
      <c r="S6" s="293"/>
      <c r="T6" s="293"/>
      <c r="U6" s="293"/>
      <c r="V6" s="293"/>
      <c r="W6" s="293"/>
    </row>
    <row r="7" spans="1:23">
      <c r="A7" s="293"/>
      <c r="B7" s="293"/>
      <c r="C7" s="293"/>
      <c r="D7" s="408" t="str">
        <f>RIIO_2_start_date-1&amp;"/"&amp;RIGHT(RIIO_2_start_date,2)</f>
        <v>2023/24</v>
      </c>
      <c r="E7" s="408" t="str">
        <f>RIIO_2_start_date&amp;"/"&amp;RIGHT(RIIO_2_start_date+1,2)</f>
        <v>2024/25</v>
      </c>
      <c r="F7" s="408" t="str">
        <f>RIIO_2_start_date+1&amp;"/"&amp;RIGHT(RIIO_2_start_date+2,2)</f>
        <v>2025/26</v>
      </c>
      <c r="G7" s="408" t="str">
        <f>RIIO_2_start_date+2&amp;"/"&amp;RIGHT(RIIO_2_start_date+3,2)</f>
        <v>2026/27</v>
      </c>
      <c r="H7" s="509" t="str">
        <f>RIIO_2_start_date+3&amp;"/"&amp;RIGHT(RIIO_2_start_date+4,2)</f>
        <v>2027/28</v>
      </c>
      <c r="I7" s="293"/>
      <c r="J7" s="293"/>
      <c r="K7" s="293"/>
      <c r="L7" s="293"/>
      <c r="M7" s="293"/>
      <c r="N7" s="293"/>
      <c r="O7" s="293"/>
      <c r="P7" s="293"/>
      <c r="Q7" s="293"/>
      <c r="R7" s="293"/>
      <c r="S7" s="293"/>
      <c r="T7" s="293"/>
      <c r="U7" s="293"/>
      <c r="V7" s="293"/>
      <c r="W7" s="293"/>
    </row>
    <row r="8" spans="1:23">
      <c r="A8" s="293"/>
      <c r="B8" s="293"/>
      <c r="C8" s="293"/>
      <c r="D8" s="293"/>
      <c r="E8" s="293"/>
      <c r="F8" s="293"/>
      <c r="G8" s="293"/>
      <c r="H8" s="293"/>
      <c r="I8" s="293"/>
      <c r="J8" s="293"/>
      <c r="K8" s="293"/>
      <c r="L8" s="293"/>
      <c r="M8" s="293"/>
      <c r="N8" s="293"/>
      <c r="O8" s="293"/>
      <c r="P8" s="293"/>
      <c r="Q8" s="293"/>
      <c r="R8" s="293"/>
      <c r="S8" s="293"/>
      <c r="T8" s="293"/>
      <c r="U8" s="293"/>
      <c r="V8" s="293"/>
      <c r="W8" s="293"/>
    </row>
    <row r="9" spans="1:23">
      <c r="A9" s="293"/>
      <c r="B9" s="76" t="s">
        <v>744</v>
      </c>
      <c r="C9" s="29" t="s">
        <v>555</v>
      </c>
      <c r="D9" s="546">
        <v>-173.8</v>
      </c>
      <c r="E9" s="553">
        <f>D11</f>
        <v>-189.80365245000002</v>
      </c>
      <c r="F9" s="553">
        <f t="shared" ref="F9:H9" si="2">E11</f>
        <v>-132.06127986000001</v>
      </c>
      <c r="G9" s="553">
        <f t="shared" si="2"/>
        <v>-217.49489483467116</v>
      </c>
      <c r="H9" s="553">
        <f t="shared" si="2"/>
        <v>-156.28369011733565</v>
      </c>
      <c r="I9" s="293"/>
      <c r="J9" s="293"/>
      <c r="K9" s="293"/>
      <c r="L9" s="293"/>
      <c r="M9" s="293"/>
      <c r="N9" s="293"/>
      <c r="O9" s="293"/>
      <c r="P9" s="293"/>
      <c r="Q9" s="293"/>
      <c r="R9" s="293"/>
      <c r="S9" s="293"/>
      <c r="T9" s="293"/>
      <c r="U9" s="293"/>
      <c r="V9" s="293"/>
      <c r="W9" s="293"/>
    </row>
    <row r="10" spans="1:23">
      <c r="A10" s="293"/>
      <c r="B10" s="76"/>
      <c r="C10" s="293"/>
      <c r="D10" s="293"/>
      <c r="E10" s="293"/>
      <c r="F10" s="293"/>
      <c r="G10" s="293"/>
      <c r="H10" s="293"/>
      <c r="I10" s="293"/>
      <c r="J10" s="293"/>
      <c r="K10" s="293"/>
      <c r="L10" s="293"/>
      <c r="M10" s="293"/>
      <c r="N10" s="293"/>
      <c r="O10" s="293"/>
      <c r="P10" s="293"/>
      <c r="Q10" s="293"/>
      <c r="R10" s="293"/>
      <c r="S10" s="293"/>
      <c r="T10" s="293"/>
      <c r="U10" s="293"/>
      <c r="V10" s="293"/>
      <c r="W10" s="293"/>
    </row>
    <row r="11" spans="1:23">
      <c r="B11" s="76" t="s">
        <v>745</v>
      </c>
      <c r="C11" s="29" t="s">
        <v>555</v>
      </c>
      <c r="D11" s="554">
        <v>-189.80365245000002</v>
      </c>
      <c r="E11" s="554">
        <v>-132.06127986000001</v>
      </c>
      <c r="F11" s="554">
        <v>-217.49489483467116</v>
      </c>
      <c r="G11" s="554">
        <v>-156.28369011733565</v>
      </c>
      <c r="H11" s="554">
        <v>-68.655726192183948</v>
      </c>
    </row>
    <row r="12" spans="1:23">
      <c r="B12" s="301" t="s">
        <v>777</v>
      </c>
      <c r="C12" s="29" t="s">
        <v>555</v>
      </c>
      <c r="D12" s="555">
        <v>645.53478712357219</v>
      </c>
      <c r="E12" s="555">
        <v>652.44029075804769</v>
      </c>
      <c r="F12" s="555">
        <v>208.414735831982</v>
      </c>
      <c r="G12" s="555">
        <v>215.07209518382192</v>
      </c>
      <c r="H12" s="555">
        <v>221.52425803933681</v>
      </c>
    </row>
    <row r="13" spans="1:23">
      <c r="B13" s="301" t="s">
        <v>778</v>
      </c>
      <c r="C13" s="29" t="s">
        <v>555</v>
      </c>
      <c r="D13" s="555">
        <v>76.616131745293998</v>
      </c>
      <c r="E13" s="555">
        <v>70.048853978869232</v>
      </c>
      <c r="F13" s="555">
        <v>63.039367682800545</v>
      </c>
      <c r="G13" s="555">
        <v>54.987764920415245</v>
      </c>
      <c r="H13" s="555">
        <v>46.333285320306246</v>
      </c>
    </row>
    <row r="14" spans="1:23">
      <c r="B14" s="301" t="s">
        <v>779</v>
      </c>
      <c r="C14" s="29" t="s">
        <v>555</v>
      </c>
      <c r="D14" s="555">
        <v>0</v>
      </c>
      <c r="E14" s="555">
        <v>0</v>
      </c>
      <c r="F14" s="555">
        <v>0</v>
      </c>
      <c r="G14" s="555">
        <v>0</v>
      </c>
      <c r="H14" s="555">
        <v>0</v>
      </c>
    </row>
    <row r="15" spans="1:23">
      <c r="B15" s="301" t="s">
        <v>780</v>
      </c>
      <c r="C15" s="29" t="s">
        <v>555</v>
      </c>
      <c r="D15" s="555">
        <v>0</v>
      </c>
      <c r="E15" s="555">
        <v>0</v>
      </c>
      <c r="F15" s="555">
        <v>0</v>
      </c>
      <c r="G15" s="555">
        <v>0</v>
      </c>
      <c r="H15" s="555">
        <v>0</v>
      </c>
    </row>
    <row r="16" spans="1:23">
      <c r="B16" s="301" t="s">
        <v>781</v>
      </c>
      <c r="C16" s="29" t="s">
        <v>555</v>
      </c>
      <c r="D16" s="555">
        <v>109.69873461</v>
      </c>
      <c r="E16" s="555">
        <v>110.99873461</v>
      </c>
      <c r="F16" s="555">
        <v>111.59873460999999</v>
      </c>
      <c r="G16" s="555">
        <v>111.59873460999999</v>
      </c>
      <c r="H16" s="555">
        <v>-9.9999999999999645E-2</v>
      </c>
    </row>
    <row r="17" spans="2:10">
      <c r="B17" s="301" t="s">
        <v>782</v>
      </c>
      <c r="C17" s="29" t="s">
        <v>555</v>
      </c>
      <c r="D17" s="555">
        <v>725</v>
      </c>
      <c r="E17" s="555">
        <v>725</v>
      </c>
      <c r="F17" s="555">
        <v>725</v>
      </c>
      <c r="G17" s="555">
        <v>725</v>
      </c>
      <c r="H17" s="555">
        <v>725</v>
      </c>
    </row>
    <row r="18" spans="2:10">
      <c r="B18" s="301" t="s">
        <v>783</v>
      </c>
      <c r="C18" s="29" t="s">
        <v>555</v>
      </c>
      <c r="D18" s="555">
        <v>900</v>
      </c>
      <c r="E18" s="555">
        <v>900</v>
      </c>
      <c r="F18" s="555">
        <v>900</v>
      </c>
      <c r="G18" s="555">
        <v>900</v>
      </c>
      <c r="H18" s="555">
        <v>900</v>
      </c>
    </row>
    <row r="19" spans="2:10">
      <c r="B19" s="301" t="s">
        <v>784</v>
      </c>
      <c r="C19" s="29" t="s">
        <v>555</v>
      </c>
      <c r="D19" s="555">
        <v>-900</v>
      </c>
      <c r="E19" s="555">
        <v>-900</v>
      </c>
      <c r="F19" s="555">
        <v>-900</v>
      </c>
      <c r="G19" s="555">
        <v>-900</v>
      </c>
      <c r="H19" s="555">
        <v>-900</v>
      </c>
    </row>
    <row r="20" spans="2:10">
      <c r="B20" s="301" t="s">
        <v>216</v>
      </c>
      <c r="C20" s="29" t="s">
        <v>555</v>
      </c>
      <c r="D20" s="555">
        <v>0</v>
      </c>
      <c r="E20" s="555">
        <v>0</v>
      </c>
      <c r="F20" s="555">
        <v>0</v>
      </c>
      <c r="G20" s="555">
        <v>0</v>
      </c>
      <c r="H20" s="555">
        <v>0</v>
      </c>
    </row>
    <row r="21" spans="2:10">
      <c r="B21" s="380" t="s">
        <v>746</v>
      </c>
      <c r="C21" s="40" t="s">
        <v>555</v>
      </c>
      <c r="D21" s="556">
        <f>SUM(D11:D20)</f>
        <v>1367.0460010288662</v>
      </c>
      <c r="E21" s="556">
        <f>SUM(E11:E20)</f>
        <v>1426.426599486917</v>
      </c>
      <c r="F21" s="556">
        <f>SUM(F11:F20)</f>
        <v>890.55794329011133</v>
      </c>
      <c r="G21" s="556">
        <f>SUM(G11:G20)</f>
        <v>950.37490459690162</v>
      </c>
      <c r="H21" s="556">
        <f>SUM(H11:H20)</f>
        <v>924.1018171674591</v>
      </c>
      <c r="I21" s="293"/>
      <c r="J21" s="547"/>
    </row>
    <row r="22" spans="2:10">
      <c r="B22" s="380"/>
      <c r="C22" s="29"/>
      <c r="D22" s="41"/>
      <c r="E22" s="41"/>
      <c r="F22" s="41"/>
      <c r="G22" s="41"/>
      <c r="H22" s="41"/>
      <c r="I22" s="293"/>
      <c r="J22" s="293"/>
    </row>
    <row r="23" spans="2:10">
      <c r="B23" s="380" t="s">
        <v>747</v>
      </c>
      <c r="C23" s="511"/>
      <c r="D23" s="548"/>
      <c r="E23" s="548"/>
      <c r="F23" s="548"/>
      <c r="G23" s="548"/>
      <c r="H23" s="548"/>
      <c r="I23" s="293"/>
      <c r="J23" s="293"/>
    </row>
    <row r="24" spans="2:10">
      <c r="B24" s="513" t="s">
        <v>785</v>
      </c>
      <c r="C24" s="29" t="s">
        <v>555</v>
      </c>
      <c r="D24" s="557">
        <v>0</v>
      </c>
      <c r="E24" s="557">
        <v>0</v>
      </c>
      <c r="F24" s="557">
        <v>0</v>
      </c>
      <c r="G24" s="557">
        <v>0</v>
      </c>
      <c r="H24" s="557">
        <v>0</v>
      </c>
      <c r="J24" s="293"/>
    </row>
    <row r="25" spans="2:10">
      <c r="B25" s="513" t="s">
        <v>786</v>
      </c>
      <c r="C25" s="29" t="s">
        <v>555</v>
      </c>
      <c r="D25" s="557">
        <v>0</v>
      </c>
      <c r="E25" s="557">
        <v>0</v>
      </c>
      <c r="F25" s="557">
        <v>0</v>
      </c>
      <c r="G25" s="557">
        <v>0</v>
      </c>
      <c r="H25" s="557">
        <v>0</v>
      </c>
      <c r="J25" s="293"/>
    </row>
    <row r="26" spans="2:10">
      <c r="B26" s="513" t="s">
        <v>787</v>
      </c>
      <c r="C26" s="29" t="s">
        <v>555</v>
      </c>
      <c r="D26" s="557">
        <v>0</v>
      </c>
      <c r="E26" s="557">
        <v>0</v>
      </c>
      <c r="F26" s="557">
        <v>0</v>
      </c>
      <c r="G26" s="557">
        <v>0</v>
      </c>
      <c r="H26" s="557">
        <v>0</v>
      </c>
      <c r="J26" s="293"/>
    </row>
    <row r="27" spans="2:10">
      <c r="B27" s="513" t="s">
        <v>788</v>
      </c>
      <c r="C27" s="29" t="s">
        <v>555</v>
      </c>
      <c r="D27" s="557">
        <v>0</v>
      </c>
      <c r="E27" s="557">
        <v>0</v>
      </c>
      <c r="F27" s="557">
        <v>0</v>
      </c>
      <c r="G27" s="557">
        <v>0</v>
      </c>
      <c r="H27" s="557">
        <v>0</v>
      </c>
      <c r="J27" s="293"/>
    </row>
    <row r="28" spans="2:10">
      <c r="B28" s="513" t="s">
        <v>789</v>
      </c>
      <c r="C28" s="29" t="s">
        <v>555</v>
      </c>
      <c r="D28" s="557">
        <v>9.5083283500000562</v>
      </c>
      <c r="E28" s="557">
        <v>3.7567288699999608</v>
      </c>
      <c r="F28" s="557">
        <v>-2.313914676999957</v>
      </c>
      <c r="G28" s="557">
        <v>-1.9382717039999307</v>
      </c>
      <c r="H28" s="557">
        <v>-1.5626287309999043</v>
      </c>
      <c r="J28" s="293"/>
    </row>
    <row r="29" spans="2:10">
      <c r="B29" s="513" t="s">
        <v>962</v>
      </c>
      <c r="C29" s="29" t="s">
        <v>555</v>
      </c>
      <c r="D29" s="557">
        <v>11.72689576</v>
      </c>
      <c r="E29" s="557">
        <v>9.5594401700000002</v>
      </c>
      <c r="F29" s="557">
        <v>9.5594401700000002</v>
      </c>
      <c r="G29" s="557">
        <v>9.5594401700000002</v>
      </c>
      <c r="H29" s="557">
        <v>9.5594401700000002</v>
      </c>
      <c r="J29" s="293"/>
    </row>
    <row r="30" spans="2:10" ht="12.75" customHeight="1">
      <c r="B30" s="513" t="s">
        <v>963</v>
      </c>
      <c r="C30" s="29" t="s">
        <v>555</v>
      </c>
      <c r="D30" s="557">
        <v>12.00403814</v>
      </c>
      <c r="E30" s="557">
        <v>31.757000000000001</v>
      </c>
      <c r="F30" s="557">
        <v>31.757000000000001</v>
      </c>
      <c r="G30" s="557">
        <v>31.757000000000001</v>
      </c>
      <c r="H30" s="557">
        <v>31.757000000000001</v>
      </c>
      <c r="J30" s="293"/>
    </row>
    <row r="31" spans="2:10">
      <c r="B31" s="513" t="s">
        <v>964</v>
      </c>
      <c r="C31" s="29" t="s">
        <v>555</v>
      </c>
      <c r="D31" s="557">
        <v>-1.2446922093588131</v>
      </c>
      <c r="E31" s="557">
        <v>-2.1354570437608307</v>
      </c>
      <c r="F31" s="557">
        <v>0</v>
      </c>
      <c r="G31" s="557">
        <v>0</v>
      </c>
      <c r="H31" s="557">
        <v>0</v>
      </c>
      <c r="J31" s="293"/>
    </row>
    <row r="32" spans="2:10">
      <c r="B32" s="513" t="s">
        <v>775</v>
      </c>
      <c r="C32" s="29" t="s">
        <v>555</v>
      </c>
      <c r="D32" s="557">
        <v>0</v>
      </c>
      <c r="E32" s="557">
        <v>0</v>
      </c>
      <c r="F32" s="557">
        <v>0</v>
      </c>
      <c r="G32" s="557">
        <v>0</v>
      </c>
      <c r="H32" s="557">
        <v>0</v>
      </c>
      <c r="J32" s="293"/>
    </row>
    <row r="33" spans="2:11">
      <c r="B33" s="513" t="s">
        <v>776</v>
      </c>
      <c r="C33" s="29" t="s">
        <v>555</v>
      </c>
      <c r="D33" s="557">
        <v>0</v>
      </c>
      <c r="E33" s="557">
        <v>0</v>
      </c>
      <c r="F33" s="557">
        <v>0</v>
      </c>
      <c r="G33" s="557">
        <v>0</v>
      </c>
      <c r="H33" s="557">
        <v>0</v>
      </c>
      <c r="J33" s="293"/>
    </row>
    <row r="34" spans="2:11">
      <c r="B34" s="513" t="s">
        <v>759</v>
      </c>
      <c r="C34" s="29" t="s">
        <v>555</v>
      </c>
      <c r="D34" s="557">
        <v>0</v>
      </c>
      <c r="E34" s="557">
        <v>0</v>
      </c>
      <c r="F34" s="557">
        <v>0</v>
      </c>
      <c r="G34" s="557">
        <v>0</v>
      </c>
      <c r="H34" s="557">
        <v>0</v>
      </c>
      <c r="J34" s="293"/>
    </row>
    <row r="35" spans="2:11">
      <c r="B35" s="513" t="s">
        <v>760</v>
      </c>
      <c r="C35" s="29" t="s">
        <v>555</v>
      </c>
      <c r="D35" s="557">
        <v>0</v>
      </c>
      <c r="E35" s="557">
        <v>0</v>
      </c>
      <c r="F35" s="557">
        <v>0</v>
      </c>
      <c r="G35" s="557">
        <v>0</v>
      </c>
      <c r="H35" s="557">
        <v>0</v>
      </c>
      <c r="J35" s="293"/>
      <c r="K35" s="549"/>
    </row>
    <row r="36" spans="2:11">
      <c r="B36" s="513" t="s">
        <v>761</v>
      </c>
      <c r="C36" s="29" t="s">
        <v>555</v>
      </c>
      <c r="D36" s="557">
        <v>0</v>
      </c>
      <c r="E36" s="557">
        <v>0</v>
      </c>
      <c r="F36" s="557">
        <v>0</v>
      </c>
      <c r="G36" s="557">
        <v>0</v>
      </c>
      <c r="H36" s="557">
        <v>0</v>
      </c>
    </row>
    <row r="37" spans="2:11">
      <c r="B37" s="513" t="s">
        <v>762</v>
      </c>
      <c r="C37" s="29" t="s">
        <v>555</v>
      </c>
      <c r="D37" s="557">
        <v>0</v>
      </c>
      <c r="E37" s="557">
        <v>0</v>
      </c>
      <c r="F37" s="557">
        <v>0</v>
      </c>
      <c r="G37" s="557">
        <v>0</v>
      </c>
      <c r="H37" s="557">
        <v>0</v>
      </c>
    </row>
    <row r="38" spans="2:11">
      <c r="B38" s="513" t="s">
        <v>763</v>
      </c>
      <c r="C38" s="29" t="s">
        <v>555</v>
      </c>
      <c r="D38" s="557">
        <v>0</v>
      </c>
      <c r="E38" s="557">
        <v>0</v>
      </c>
      <c r="F38" s="557">
        <v>0</v>
      </c>
      <c r="G38" s="557">
        <v>0</v>
      </c>
      <c r="H38" s="557">
        <v>0</v>
      </c>
    </row>
    <row r="39" spans="2:11">
      <c r="B39" s="513" t="s">
        <v>790</v>
      </c>
      <c r="C39" s="29" t="s">
        <v>555</v>
      </c>
      <c r="D39" s="557">
        <v>0</v>
      </c>
      <c r="E39" s="557">
        <v>0</v>
      </c>
      <c r="F39" s="557">
        <v>0</v>
      </c>
      <c r="G39" s="557">
        <v>0</v>
      </c>
      <c r="H39" s="557">
        <v>0</v>
      </c>
    </row>
    <row r="40" spans="2:11">
      <c r="B40" s="514" t="s">
        <v>748</v>
      </c>
      <c r="C40" s="29" t="s">
        <v>555</v>
      </c>
      <c r="D40" s="74">
        <f>SUM(D21,D24:D39)</f>
        <v>1399.0405710695072</v>
      </c>
      <c r="E40" s="74">
        <f t="shared" ref="E40:H40" si="3">SUM(E21,E24:E39)</f>
        <v>1469.3643114831561</v>
      </c>
      <c r="F40" s="74">
        <f t="shared" si="3"/>
        <v>929.56046878311133</v>
      </c>
      <c r="G40" s="74">
        <f t="shared" si="3"/>
        <v>989.75307306290165</v>
      </c>
      <c r="H40" s="74">
        <f t="shared" si="3"/>
        <v>963.85562860645916</v>
      </c>
    </row>
    <row r="41" spans="2:11">
      <c r="B41" s="515" t="s">
        <v>749</v>
      </c>
      <c r="C41" s="29" t="s">
        <v>555</v>
      </c>
      <c r="D41" s="367"/>
      <c r="E41" s="550"/>
      <c r="F41" s="550">
        <v>650</v>
      </c>
      <c r="G41" s="550">
        <v>900</v>
      </c>
      <c r="H41" s="550">
        <v>1125</v>
      </c>
    </row>
    <row r="42" spans="2:11">
      <c r="B42" s="514" t="s">
        <v>750</v>
      </c>
      <c r="C42" s="29" t="s">
        <v>555</v>
      </c>
      <c r="D42" s="18">
        <f>SUM(D40:D41)</f>
        <v>1399.0405710695072</v>
      </c>
      <c r="E42" s="19">
        <f t="shared" ref="E42:H42" si="4">SUM(E40:E41)</f>
        <v>1469.3643114831561</v>
      </c>
      <c r="F42" s="19">
        <f t="shared" si="4"/>
        <v>1579.5604687831114</v>
      </c>
      <c r="G42" s="19">
        <f t="shared" si="4"/>
        <v>1889.7530730629016</v>
      </c>
      <c r="H42" s="19">
        <f t="shared" si="4"/>
        <v>2088.855628606459</v>
      </c>
    </row>
    <row r="43" spans="2:11">
      <c r="D43" s="539" t="s">
        <v>980</v>
      </c>
      <c r="E43" s="539" t="s">
        <v>980</v>
      </c>
      <c r="F43" s="539" t="s">
        <v>980</v>
      </c>
      <c r="G43" s="539" t="s">
        <v>980</v>
      </c>
      <c r="H43" s="539" t="s">
        <v>980</v>
      </c>
    </row>
    <row r="44" spans="2:11"/>
    <row r="45" spans="2:11">
      <c r="B45" s="551" t="s">
        <v>751</v>
      </c>
      <c r="C45" s="29" t="s">
        <v>555</v>
      </c>
      <c r="D45" s="550">
        <v>1296.2744301100001</v>
      </c>
      <c r="E45" s="19">
        <f>D46</f>
        <v>1399.0405710695072</v>
      </c>
      <c r="F45" s="19">
        <f t="shared" ref="F45:H45" si="5">E46</f>
        <v>1469.3643114831561</v>
      </c>
      <c r="G45" s="19">
        <f t="shared" si="5"/>
        <v>1579.5604687831114</v>
      </c>
      <c r="H45" s="19">
        <f t="shared" si="5"/>
        <v>1889.7530730629016</v>
      </c>
      <c r="I45" s="120"/>
    </row>
    <row r="46" spans="2:11">
      <c r="B46" s="551" t="s">
        <v>752</v>
      </c>
      <c r="C46" s="29" t="s">
        <v>555</v>
      </c>
      <c r="D46" s="559">
        <f>D42</f>
        <v>1399.0405710695072</v>
      </c>
      <c r="E46" s="558">
        <f>E42</f>
        <v>1469.3643114831561</v>
      </c>
      <c r="F46" s="558">
        <f t="shared" ref="F46:H46" si="6">F42</f>
        <v>1579.5604687831114</v>
      </c>
      <c r="G46" s="558">
        <f t="shared" si="6"/>
        <v>1889.7530730629016</v>
      </c>
      <c r="H46" s="558">
        <f t="shared" si="6"/>
        <v>2088.855628606459</v>
      </c>
      <c r="I46" s="120"/>
    </row>
    <row r="47" spans="2:11">
      <c r="D47" s="552"/>
      <c r="E47" s="552"/>
      <c r="F47" s="552"/>
      <c r="G47" s="552"/>
      <c r="H47" s="552"/>
    </row>
    <row r="48" spans="2:11">
      <c r="B48" s="380" t="s">
        <v>753</v>
      </c>
      <c r="D48" s="552"/>
      <c r="E48" s="552"/>
      <c r="F48" s="552"/>
      <c r="G48" s="552"/>
      <c r="H48" s="552"/>
    </row>
    <row r="49" spans="2:10">
      <c r="B49" s="513" t="s">
        <v>754</v>
      </c>
      <c r="C49" s="29" t="s">
        <v>555</v>
      </c>
      <c r="D49" s="550"/>
      <c r="E49" s="550"/>
      <c r="F49" s="550"/>
      <c r="G49" s="550"/>
      <c r="H49" s="550"/>
    </row>
    <row r="50" spans="2:10">
      <c r="B50" s="513" t="s">
        <v>755</v>
      </c>
      <c r="C50" s="29" t="s">
        <v>555</v>
      </c>
      <c r="D50" s="550"/>
      <c r="E50" s="550"/>
      <c r="F50" s="550"/>
      <c r="G50" s="550"/>
      <c r="H50" s="550"/>
    </row>
    <row r="51" spans="2:10">
      <c r="B51" s="513" t="s">
        <v>756</v>
      </c>
      <c r="C51" s="29" t="s">
        <v>555</v>
      </c>
      <c r="D51" s="550"/>
      <c r="E51" s="550"/>
      <c r="F51" s="550"/>
      <c r="G51" s="550"/>
      <c r="H51" s="550"/>
    </row>
    <row r="52" spans="2:10">
      <c r="B52" s="513" t="s">
        <v>757</v>
      </c>
      <c r="C52" s="29" t="s">
        <v>555</v>
      </c>
      <c r="D52" s="550"/>
      <c r="E52" s="550"/>
      <c r="F52" s="550"/>
      <c r="G52" s="550"/>
      <c r="H52" s="550"/>
    </row>
    <row r="53" spans="2:10">
      <c r="B53" s="513" t="s">
        <v>758</v>
      </c>
      <c r="C53" s="29" t="s">
        <v>555</v>
      </c>
      <c r="D53" s="550">
        <v>4.8837433899999994</v>
      </c>
      <c r="E53" s="550">
        <v>5.7273097899999996</v>
      </c>
      <c r="F53" s="550">
        <v>5.7273097899999996</v>
      </c>
      <c r="G53" s="550">
        <v>5.7273097899999996</v>
      </c>
      <c r="H53" s="550">
        <v>5.7273097899999996</v>
      </c>
    </row>
    <row r="54" spans="2:10">
      <c r="B54" s="513" t="s">
        <v>971</v>
      </c>
      <c r="C54" s="29" t="s">
        <v>555</v>
      </c>
      <c r="D54" s="550">
        <v>-11.72689576</v>
      </c>
      <c r="E54" s="550">
        <v>-9.5594401700000002</v>
      </c>
      <c r="F54" s="550">
        <v>-9.5594401700000002</v>
      </c>
      <c r="G54" s="550">
        <v>-9.5594401700000002</v>
      </c>
      <c r="H54" s="550">
        <v>-9.5594401700000002</v>
      </c>
    </row>
    <row r="55" spans="2:10">
      <c r="B55" s="513" t="s">
        <v>972</v>
      </c>
      <c r="C55" s="29" t="s">
        <v>555</v>
      </c>
      <c r="D55" s="550">
        <v>0</v>
      </c>
      <c r="E55" s="550">
        <v>0</v>
      </c>
      <c r="F55" s="550">
        <v>0</v>
      </c>
      <c r="G55" s="550">
        <v>0</v>
      </c>
      <c r="H55" s="550">
        <v>0</v>
      </c>
    </row>
    <row r="56" spans="2:10">
      <c r="B56" s="513" t="s">
        <v>973</v>
      </c>
      <c r="C56" s="29" t="s">
        <v>555</v>
      </c>
      <c r="D56" s="550">
        <v>-12.00403814</v>
      </c>
      <c r="E56" s="550">
        <v>-31.757000000000001</v>
      </c>
      <c r="F56" s="550">
        <v>-31.757000000000001</v>
      </c>
      <c r="G56" s="550">
        <v>-31.757000000000001</v>
      </c>
      <c r="H56" s="550">
        <v>-31.757000000000001</v>
      </c>
    </row>
    <row r="57" spans="2:10">
      <c r="B57" s="513" t="s">
        <v>762</v>
      </c>
      <c r="C57" s="29" t="s">
        <v>555</v>
      </c>
      <c r="D57" s="550"/>
      <c r="E57" s="550"/>
      <c r="F57" s="550"/>
      <c r="G57" s="550"/>
      <c r="H57" s="550"/>
    </row>
    <row r="58" spans="2:10">
      <c r="B58" s="513" t="s">
        <v>763</v>
      </c>
      <c r="C58" s="29" t="s">
        <v>555</v>
      </c>
      <c r="D58" s="550"/>
      <c r="E58" s="550"/>
      <c r="F58" s="550"/>
      <c r="G58" s="550"/>
      <c r="H58" s="550"/>
    </row>
    <row r="59" spans="2:10">
      <c r="B59" s="513" t="s">
        <v>764</v>
      </c>
      <c r="C59" s="29" t="s">
        <v>555</v>
      </c>
      <c r="D59" s="18">
        <f>SUM(D49:D58)+D42</f>
        <v>1380.1933805595072</v>
      </c>
      <c r="E59" s="18">
        <f t="shared" ref="E59:H59" si="7">SUM(E49:E58)+E42</f>
        <v>1433.7751811031562</v>
      </c>
      <c r="F59" s="18">
        <f t="shared" si="7"/>
        <v>1543.9713384031115</v>
      </c>
      <c r="G59" s="18">
        <f t="shared" si="7"/>
        <v>1854.1639426829017</v>
      </c>
      <c r="H59" s="18">
        <f t="shared" si="7"/>
        <v>2053.2664982264591</v>
      </c>
    </row>
    <row r="60" spans="2:10">
      <c r="D60" s="552"/>
      <c r="E60" s="552"/>
      <c r="F60" s="552"/>
      <c r="G60" s="552"/>
      <c r="H60" s="552"/>
    </row>
    <row r="61" spans="2:10">
      <c r="B61" s="380" t="s">
        <v>765</v>
      </c>
    </row>
    <row r="62" spans="2:10">
      <c r="B62" s="100" t="s">
        <v>766</v>
      </c>
      <c r="C62" s="120" t="s">
        <v>518</v>
      </c>
      <c r="D62" s="560">
        <v>0</v>
      </c>
      <c r="E62" s="560">
        <v>0</v>
      </c>
      <c r="F62" s="560">
        <v>0</v>
      </c>
      <c r="G62" s="560">
        <v>0</v>
      </c>
      <c r="H62" s="560">
        <v>0</v>
      </c>
    </row>
    <row r="63" spans="2:10">
      <c r="B63" s="100" t="s">
        <v>731</v>
      </c>
      <c r="C63" s="120" t="s">
        <v>518</v>
      </c>
      <c r="D63" s="561">
        <f>1-D62</f>
        <v>1</v>
      </c>
      <c r="E63" s="562">
        <f t="shared" ref="E63:H63" si="8">1-E62</f>
        <v>1</v>
      </c>
      <c r="F63" s="562">
        <f t="shared" si="8"/>
        <v>1</v>
      </c>
      <c r="G63" s="562">
        <f t="shared" si="8"/>
        <v>1</v>
      </c>
      <c r="H63" s="562">
        <f t="shared" si="8"/>
        <v>1</v>
      </c>
      <c r="J63" s="549"/>
    </row>
    <row r="64" spans="2:10">
      <c r="C64" s="120"/>
      <c r="D64" s="120"/>
      <c r="E64" s="120"/>
      <c r="F64" s="120"/>
      <c r="G64" s="120"/>
      <c r="H64" s="120"/>
      <c r="I64" s="120"/>
    </row>
    <row r="65" spans="2:8">
      <c r="B65" s="100" t="s">
        <v>767</v>
      </c>
      <c r="C65" s="29" t="s">
        <v>555</v>
      </c>
      <c r="D65" s="563">
        <f>AVERAGE(D45:D46)*D63</f>
        <v>1347.6575005897537</v>
      </c>
      <c r="E65" s="564">
        <f t="shared" ref="E65:H65" si="9">AVERAGE(E45:E46)*E63</f>
        <v>1434.2024412763317</v>
      </c>
      <c r="F65" s="564">
        <f t="shared" si="9"/>
        <v>1524.4623901331338</v>
      </c>
      <c r="G65" s="564">
        <f t="shared" si="9"/>
        <v>1734.6567709230067</v>
      </c>
      <c r="H65" s="564">
        <f t="shared" si="9"/>
        <v>1989.3043508346805</v>
      </c>
    </row>
    <row r="66" spans="2:8">
      <c r="B66" s="100" t="s">
        <v>768</v>
      </c>
      <c r="C66" s="29" t="s">
        <v>555</v>
      </c>
      <c r="D66" s="565">
        <f>D67-D65</f>
        <v>1243.222211888062</v>
      </c>
      <c r="E66" s="566">
        <f t="shared" ref="E66:H66" si="10">E67-E65</f>
        <v>1360.8323296567901</v>
      </c>
      <c r="F66" s="566">
        <f t="shared" si="10"/>
        <v>1517.7999529996559</v>
      </c>
      <c r="G66" s="566">
        <f t="shared" si="10"/>
        <v>1607.6461478957635</v>
      </c>
      <c r="H66" s="566">
        <f t="shared" si="10"/>
        <v>1688.1875189856592</v>
      </c>
    </row>
    <row r="67" spans="2:8">
      <c r="B67" s="100" t="s">
        <v>769</v>
      </c>
      <c r="C67" s="29" t="s">
        <v>555</v>
      </c>
      <c r="D67" s="567">
        <f>IF(D6=RIIO_2_start_date,AVERAGE(('R7 - RAV'!F15*'R7 - RAV'!F30),'R7 - RAV'!F32),AVERAGE('R7 - RAV'!E32:F32))</f>
        <v>2590.8797124778157</v>
      </c>
      <c r="E67" s="567">
        <f>IF(E6=RIIO_2_start_date,AVERAGE(('R7 - RAV'!G15*'R7 - RAV'!G30),'R7 - RAV'!G32),AVERAGE('R7 - RAV'!F32:G32))</f>
        <v>2795.0347709331218</v>
      </c>
      <c r="F67" s="567">
        <f>IF(F6=RIIO_2_start_date,AVERAGE(('R7 - RAV'!H15*'R7 - RAV'!H30),'R7 - RAV'!H32),AVERAGE('R7 - RAV'!G32:H32))</f>
        <v>3042.2623431327897</v>
      </c>
      <c r="G67" s="567">
        <f>IF(G6=RIIO_2_start_date,AVERAGE(('R7 - RAV'!I15*'R7 - RAV'!I30),'R7 - RAV'!I32),AVERAGE('R7 - RAV'!H32:I32))</f>
        <v>3342.3029188187702</v>
      </c>
      <c r="H67" s="567">
        <f>IF(H6=RIIO_2_start_date,AVERAGE(('R7 - RAV'!J15*'R7 - RAV'!J30),'R7 - RAV'!J32),AVERAGE('R7 - RAV'!I32:J32))</f>
        <v>3677.4918698203396</v>
      </c>
    </row>
    <row r="68" spans="2:8">
      <c r="B68" s="100" t="s">
        <v>770</v>
      </c>
      <c r="C68" s="29" t="s">
        <v>518</v>
      </c>
      <c r="D68" s="568">
        <f>D65/D67</f>
        <v>0.52015440705308036</v>
      </c>
      <c r="E68" s="569">
        <f t="shared" ref="E68:H68" si="11">E65/E67</f>
        <v>0.51312508029999337</v>
      </c>
      <c r="F68" s="569">
        <f t="shared" si="11"/>
        <v>0.50109498070548009</v>
      </c>
      <c r="G68" s="569">
        <f t="shared" si="11"/>
        <v>0.51900046556404456</v>
      </c>
      <c r="H68" s="569">
        <f t="shared" si="11"/>
        <v>0.54094051632311724</v>
      </c>
    </row>
    <row r="69" spans="2:8">
      <c r="B69" s="100" t="s">
        <v>24</v>
      </c>
      <c r="C69" s="29" t="s">
        <v>518</v>
      </c>
      <c r="D69" s="570">
        <f>Data!$C$8</f>
        <v>0.6</v>
      </c>
      <c r="E69" s="571">
        <f>Data!$C$8</f>
        <v>0.6</v>
      </c>
      <c r="F69" s="571">
        <f>Data!$C$8</f>
        <v>0.6</v>
      </c>
      <c r="G69" s="571">
        <f>Data!$C$8</f>
        <v>0.6</v>
      </c>
      <c r="H69" s="571">
        <f>Data!$C$8</f>
        <v>0.6</v>
      </c>
    </row>
    <row r="70" spans="2:8">
      <c r="B70" s="100" t="s">
        <v>771</v>
      </c>
      <c r="C70" s="29" t="s">
        <v>518</v>
      </c>
      <c r="D70" s="572">
        <f t="shared" ref="D70:H70" si="12">IF(ISBLANK(D21),"n/a",D68-D69)</f>
        <v>-7.9845592946919619E-2</v>
      </c>
      <c r="E70" s="573">
        <f t="shared" si="12"/>
        <v>-8.6874919700006603E-2</v>
      </c>
      <c r="F70" s="573">
        <f t="shared" si="12"/>
        <v>-9.8905019294519891E-2</v>
      </c>
      <c r="G70" s="573">
        <f t="shared" si="12"/>
        <v>-8.0999534435955423E-2</v>
      </c>
      <c r="H70" s="573">
        <f t="shared" si="12"/>
        <v>-5.905948367688274E-2</v>
      </c>
    </row>
    <row r="71" spans="2:8"/>
    <row r="72" spans="2:8">
      <c r="B72" s="100" t="s">
        <v>772</v>
      </c>
      <c r="C72" s="418" t="s">
        <v>20</v>
      </c>
      <c r="D72" s="574">
        <f>D74*D68</f>
        <v>1033.001008623495</v>
      </c>
      <c r="E72" s="575">
        <f t="shared" ref="E72:H72" si="13">E74*E68</f>
        <v>1062.2741090349527</v>
      </c>
      <c r="F72" s="575">
        <f t="shared" si="13"/>
        <v>1098.1267455839343</v>
      </c>
      <c r="G72" s="575">
        <f t="shared" si="13"/>
        <v>1222.9616669356799</v>
      </c>
      <c r="H72" s="575">
        <f t="shared" si="13"/>
        <v>1375.4451424082924</v>
      </c>
    </row>
    <row r="73" spans="2:8">
      <c r="B73" s="100" t="s">
        <v>773</v>
      </c>
      <c r="C73" s="418" t="s">
        <v>20</v>
      </c>
      <c r="D73" s="576">
        <f>D74*(1-D68)</f>
        <v>952.94969104649749</v>
      </c>
      <c r="E73" s="577">
        <f t="shared" ref="E73:H73" si="14">E74*(1-E68)</f>
        <v>1007.9308951989174</v>
      </c>
      <c r="F73" s="577">
        <f t="shared" si="14"/>
        <v>1093.3275452531179</v>
      </c>
      <c r="G73" s="577">
        <f t="shared" si="14"/>
        <v>1133.417080444782</v>
      </c>
      <c r="H73" s="577">
        <f t="shared" si="14"/>
        <v>1167.2468928592318</v>
      </c>
    </row>
    <row r="74" spans="2:8">
      <c r="B74" s="100" t="s">
        <v>774</v>
      </c>
      <c r="C74" s="418" t="s">
        <v>20</v>
      </c>
      <c r="D74" s="567">
        <f>'R7 - RAV'!F41</f>
        <v>1985.9506996699924</v>
      </c>
      <c r="E74" s="567">
        <f>'R7 - RAV'!G41</f>
        <v>2070.2050042338701</v>
      </c>
      <c r="F74" s="567">
        <f>'R7 - RAV'!H41</f>
        <v>2191.4542908370522</v>
      </c>
      <c r="G74" s="567">
        <f>'R7 - RAV'!I41</f>
        <v>2356.3787473804618</v>
      </c>
      <c r="H74" s="567">
        <f>'R7 - RAV'!J41</f>
        <v>2542.6920352675243</v>
      </c>
    </row>
    <row r="75" spans="2:8">
      <c r="B75" s="100" t="s">
        <v>770</v>
      </c>
      <c r="C75" s="29" t="s">
        <v>518</v>
      </c>
      <c r="D75" s="568">
        <f>D72/D74</f>
        <v>0.52015440705308036</v>
      </c>
      <c r="E75" s="569">
        <f t="shared" ref="E75:H75" si="15">E72/E74</f>
        <v>0.51312508029999337</v>
      </c>
      <c r="F75" s="569">
        <f t="shared" si="15"/>
        <v>0.50109498070548009</v>
      </c>
      <c r="G75" s="569">
        <f t="shared" si="15"/>
        <v>0.51900046556404456</v>
      </c>
      <c r="H75" s="569">
        <f t="shared" si="15"/>
        <v>0.54094051632311724</v>
      </c>
    </row>
    <row r="76" spans="2:8">
      <c r="B76" s="100" t="s">
        <v>24</v>
      </c>
      <c r="C76" s="29" t="s">
        <v>518</v>
      </c>
      <c r="D76" s="570">
        <f>Data!$C$8</f>
        <v>0.6</v>
      </c>
      <c r="E76" s="571">
        <f>Data!$C$8</f>
        <v>0.6</v>
      </c>
      <c r="F76" s="571">
        <f>Data!$C$8</f>
        <v>0.6</v>
      </c>
      <c r="G76" s="571">
        <f>Data!$C$8</f>
        <v>0.6</v>
      </c>
      <c r="H76" s="571">
        <f>Data!$C$8</f>
        <v>0.6</v>
      </c>
    </row>
    <row r="77" spans="2:8">
      <c r="B77" s="100" t="s">
        <v>771</v>
      </c>
      <c r="C77" s="29" t="s">
        <v>518</v>
      </c>
      <c r="D77" s="572">
        <f t="shared" ref="D77:H77" si="16">IF(ISBLANK(D21),"n/a",D75-D76)</f>
        <v>-7.9845592946919619E-2</v>
      </c>
      <c r="E77" s="573">
        <f t="shared" si="16"/>
        <v>-8.6874919700006603E-2</v>
      </c>
      <c r="F77" s="573">
        <f t="shared" si="16"/>
        <v>-9.8905019294519891E-2</v>
      </c>
      <c r="G77" s="573">
        <f t="shared" si="16"/>
        <v>-8.0999534435955423E-2</v>
      </c>
      <c r="H77" s="573">
        <f t="shared" si="16"/>
        <v>-5.905948367688274E-2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7" priority="2">
      <formula>D$5="Forecast"</formula>
    </cfRule>
    <cfRule type="expression" dxfId="26" priority="3">
      <formula>C$12="N/A"</formula>
    </cfRule>
  </conditionalFormatting>
  <conditionalFormatting sqref="D41:H41">
    <cfRule type="expression" dxfId="25"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0" zoomScaleNormal="80" workbookViewId="0">
      <selection activeCell="M53" sqref="M53"/>
    </sheetView>
  </sheetViews>
  <sheetFormatPr defaultColWidth="9" defaultRowHeight="13.5"/>
  <cols>
    <col min="1" max="1" width="8.3828125" style="100" customWidth="1"/>
    <col min="2" max="2" width="52.15234375" style="100" bestFit="1" customWidth="1"/>
    <col min="3" max="4" width="4.23046875" style="100" customWidth="1"/>
    <col min="5" max="5" width="14.15234375" style="120" customWidth="1"/>
    <col min="6" max="10" width="11.15234375" style="100" customWidth="1"/>
    <col min="11" max="11" width="5" style="100" customWidth="1"/>
    <col min="12" max="12" width="9" style="100"/>
    <col min="13" max="13" width="9" style="76"/>
    <col min="14" max="16384" width="9" style="100"/>
  </cols>
  <sheetData>
    <row r="1" spans="1:19" ht="20">
      <c r="A1" s="775" t="s">
        <v>791</v>
      </c>
      <c r="B1" s="281"/>
      <c r="C1" s="281"/>
      <c r="D1" s="281"/>
      <c r="E1" s="578"/>
      <c r="F1" s="282"/>
      <c r="G1" s="282"/>
      <c r="H1" s="282"/>
      <c r="I1" s="282"/>
      <c r="J1" s="282"/>
      <c r="K1" s="407"/>
    </row>
    <row r="2" spans="1:19" ht="20">
      <c r="A2" s="776" t="str">
        <f>Licensee</f>
        <v>ENWL</v>
      </c>
      <c r="B2" s="285"/>
      <c r="C2" s="285"/>
      <c r="D2" s="285"/>
      <c r="E2" s="579"/>
      <c r="F2" s="286"/>
      <c r="G2" s="286"/>
      <c r="H2" s="286"/>
      <c r="I2" s="286"/>
      <c r="J2" s="286"/>
      <c r="K2" s="288"/>
    </row>
    <row r="3" spans="1:19" ht="20">
      <c r="A3" s="777">
        <f>Reporting_Year</f>
        <v>2025</v>
      </c>
      <c r="B3" s="289"/>
      <c r="C3" s="289"/>
      <c r="D3" s="289"/>
      <c r="E3" s="289"/>
      <c r="F3" s="289"/>
      <c r="G3" s="289"/>
      <c r="H3" s="289"/>
      <c r="I3" s="289"/>
      <c r="J3" s="289"/>
      <c r="K3" s="291"/>
    </row>
    <row r="4" spans="1:19" s="293" customFormat="1" ht="12.75" customHeight="1">
      <c r="E4" s="417"/>
      <c r="M4" s="343"/>
    </row>
    <row r="5" spans="1:19" s="293" customFormat="1">
      <c r="B5" s="430"/>
      <c r="C5" s="430"/>
      <c r="D5" s="430"/>
      <c r="E5" s="417"/>
      <c r="F5" s="431" t="str">
        <f>IF(F6&lt;=Reporting_Year,"Actuals","Forecast")</f>
        <v>Actuals</v>
      </c>
      <c r="G5" s="431" t="str">
        <f>IF(G6&lt;=Reporting_Year,"Actuals","Forecast")</f>
        <v>Actuals</v>
      </c>
      <c r="H5" s="431" t="str">
        <f>IF(H6&lt;=Reporting_Year,"Actuals","Forecast")</f>
        <v>Forecast</v>
      </c>
      <c r="I5" s="431" t="str">
        <f>IF(I6&lt;=Reporting_Year,"Actuals","Forecast")</f>
        <v>Forecast</v>
      </c>
      <c r="J5" s="431" t="str">
        <f>IF(J6&lt;=Reporting_Year,"Actuals","Forecast")</f>
        <v>Forecast</v>
      </c>
      <c r="M5" s="343"/>
    </row>
    <row r="6" spans="1:19" s="293" customFormat="1">
      <c r="E6" s="417"/>
      <c r="F6" s="408">
        <f>'RFPR cover'!$C$6</f>
        <v>2024</v>
      </c>
      <c r="G6" s="409">
        <f>F6+1</f>
        <v>2025</v>
      </c>
      <c r="H6" s="409">
        <f t="shared" ref="H6:J6" si="0">G6+1</f>
        <v>2026</v>
      </c>
      <c r="I6" s="409">
        <f t="shared" si="0"/>
        <v>2027</v>
      </c>
      <c r="J6" s="409">
        <f t="shared" si="0"/>
        <v>2028</v>
      </c>
      <c r="M6" s="343"/>
    </row>
    <row r="7" spans="1:19" s="293" customFormat="1">
      <c r="E7" s="417"/>
      <c r="F7" s="408" t="str">
        <f>RIIO_2_start_date-1&amp;"/"&amp;RIGHT(RIIO_2_start_date,2)</f>
        <v>2023/24</v>
      </c>
      <c r="G7" s="408" t="str">
        <f>RIIO_2_start_date&amp;"/"&amp;RIGHT(RIIO_2_start_date+1,2)</f>
        <v>2024/25</v>
      </c>
      <c r="H7" s="408" t="str">
        <f>RIIO_2_start_date+1&amp;"/"&amp;RIGHT(RIIO_2_start_date+2,2)</f>
        <v>2025/26</v>
      </c>
      <c r="I7" s="408" t="str">
        <f>RIIO_2_start_date+2&amp;"/"&amp;RIGHT(RIIO_2_start_date+3,2)</f>
        <v>2026/27</v>
      </c>
      <c r="J7" s="509" t="str">
        <f>RIIO_2_start_date+3&amp;"/"&amp;RIGHT(RIIO_2_start_date+4,2)</f>
        <v>2027/28</v>
      </c>
      <c r="M7" s="343"/>
    </row>
    <row r="8" spans="1:19" s="293" customFormat="1">
      <c r="E8" s="417"/>
      <c r="F8" s="417"/>
      <c r="G8" s="417"/>
      <c r="H8" s="417"/>
      <c r="I8" s="417"/>
      <c r="J8" s="417"/>
      <c r="K8" s="417"/>
      <c r="L8" s="417"/>
      <c r="M8" s="417"/>
      <c r="N8" s="417"/>
      <c r="O8" s="417"/>
      <c r="P8" s="417"/>
      <c r="Q8" s="417"/>
      <c r="R8" s="417"/>
      <c r="S8" s="417"/>
    </row>
    <row r="9" spans="1:19" s="293" customFormat="1">
      <c r="B9" s="580" t="s">
        <v>792</v>
      </c>
      <c r="C9" s="580"/>
      <c r="D9" s="580"/>
      <c r="L9" s="417"/>
      <c r="M9" s="343"/>
    </row>
    <row r="10" spans="1:19" s="293" customFormat="1">
      <c r="L10" s="417"/>
    </row>
    <row r="11" spans="1:19" s="293" customFormat="1">
      <c r="B11" s="581"/>
      <c r="C11" s="581"/>
      <c r="D11" s="581"/>
      <c r="E11" s="581"/>
      <c r="F11" s="581"/>
      <c r="G11" s="581"/>
      <c r="H11" s="581"/>
      <c r="I11" s="581"/>
      <c r="J11" s="581"/>
      <c r="K11" s="581"/>
      <c r="L11" s="417"/>
      <c r="M11" s="343"/>
    </row>
    <row r="12" spans="1:19" s="293" customFormat="1">
      <c r="B12" s="100" t="s">
        <v>793</v>
      </c>
      <c r="C12" s="100"/>
      <c r="D12" s="100"/>
      <c r="E12" s="582" t="str">
        <f>Data!$C$9</f>
        <v>£m 20/21</v>
      </c>
      <c r="F12" s="583">
        <v>2045.6601628403255</v>
      </c>
      <c r="G12" s="583">
        <v>2132.3231171335974</v>
      </c>
      <c r="H12" s="583">
        <v>2295.2986786447732</v>
      </c>
      <c r="I12" s="583">
        <v>2487.5454440917233</v>
      </c>
      <c r="J12" s="583">
        <v>2698.0086565025754</v>
      </c>
      <c r="L12" s="417"/>
      <c r="M12" s="343"/>
    </row>
    <row r="13" spans="1:19" s="293" customFormat="1">
      <c r="L13" s="417"/>
      <c r="M13" s="343"/>
    </row>
    <row r="14" spans="1:19" s="293" customFormat="1">
      <c r="B14" s="581"/>
      <c r="C14" s="581"/>
      <c r="D14" s="581"/>
      <c r="E14" s="417"/>
      <c r="F14" s="417"/>
      <c r="G14" s="417"/>
      <c r="H14" s="417"/>
      <c r="I14" s="417"/>
      <c r="J14" s="417"/>
      <c r="L14" s="417"/>
      <c r="M14" s="343"/>
    </row>
    <row r="15" spans="1:19" s="293" customFormat="1" ht="14">
      <c r="B15" s="293" t="s">
        <v>794</v>
      </c>
      <c r="E15" s="582" t="str">
        <f>Data!$C$9</f>
        <v>£m 20/21</v>
      </c>
      <c r="F15" s="583">
        <v>1983.2141869693728</v>
      </c>
      <c r="G15" s="603">
        <f>F24</f>
        <v>2067.7048700454675</v>
      </c>
      <c r="H15" s="603">
        <f>G24</f>
        <v>2158.4533297183834</v>
      </c>
      <c r="I15" s="603">
        <f>H24</f>
        <v>2315.5025577719803</v>
      </c>
      <c r="J15" s="603">
        <f>I24</f>
        <v>2495.8147530457054</v>
      </c>
      <c r="L15" s="417"/>
      <c r="M15" s="343"/>
    </row>
    <row r="16" spans="1:19" s="293" customFormat="1">
      <c r="B16" s="293" t="s">
        <v>795</v>
      </c>
      <c r="E16" s="582" t="str">
        <f>Data!$C$9</f>
        <v>£m 20/21</v>
      </c>
      <c r="F16" s="584"/>
      <c r="G16" s="585"/>
      <c r="H16" s="585"/>
      <c r="I16" s="585"/>
      <c r="J16" s="585"/>
      <c r="L16" s="417"/>
      <c r="M16" s="343"/>
    </row>
    <row r="17" spans="1:19" s="293" customFormat="1">
      <c r="B17" s="432" t="s">
        <v>796</v>
      </c>
      <c r="C17" s="432"/>
      <c r="D17" s="432"/>
      <c r="E17" s="582" t="str">
        <f>Data!$C$9</f>
        <v>£m 20/21</v>
      </c>
      <c r="F17" s="604">
        <f>SUM(F15:F16)</f>
        <v>1983.2141869693728</v>
      </c>
      <c r="G17" s="605">
        <f t="shared" ref="G17:J17" si="1">SUM(G15:G16)</f>
        <v>2067.7048700454675</v>
      </c>
      <c r="H17" s="605">
        <f t="shared" si="1"/>
        <v>2158.4533297183834</v>
      </c>
      <c r="I17" s="605">
        <f t="shared" si="1"/>
        <v>2315.5025577719803</v>
      </c>
      <c r="J17" s="605">
        <f t="shared" si="1"/>
        <v>2495.8147530457054</v>
      </c>
      <c r="L17" s="417"/>
      <c r="M17" s="343"/>
    </row>
    <row r="18" spans="1:19" s="293" customFormat="1">
      <c r="B18" s="586" t="s">
        <v>797</v>
      </c>
      <c r="C18" s="586"/>
      <c r="D18" s="586"/>
      <c r="E18" s="582" t="str">
        <f>Data!$C$9</f>
        <v>£m 20/21</v>
      </c>
      <c r="F18" s="587">
        <v>215.02676502298036</v>
      </c>
      <c r="G18" s="587">
        <v>235.04275809845694</v>
      </c>
      <c r="H18" s="587">
        <v>307.91253461259532</v>
      </c>
      <c r="I18" s="587">
        <v>333.85804613267788</v>
      </c>
      <c r="J18" s="587">
        <v>353.09086612208785</v>
      </c>
      <c r="L18" s="417"/>
      <c r="M18" s="343"/>
    </row>
    <row r="19" spans="1:19" s="293" customFormat="1">
      <c r="B19" s="586" t="s">
        <v>798</v>
      </c>
      <c r="C19" s="586"/>
      <c r="D19" s="586"/>
      <c r="E19" s="582" t="str">
        <f>Data!$C$9</f>
        <v>£m 20/21</v>
      </c>
      <c r="F19" s="588">
        <v>22.044707205141918</v>
      </c>
      <c r="G19" s="589">
        <v>4.5753877619804655</v>
      </c>
      <c r="H19" s="589">
        <v>-5.3347757916432101</v>
      </c>
      <c r="I19" s="589">
        <v>-11.46156308043652</v>
      </c>
      <c r="J19" s="589">
        <v>-9.8237560950427678</v>
      </c>
      <c r="L19" s="417"/>
      <c r="M19" s="343"/>
    </row>
    <row r="20" spans="1:19" s="293" customFormat="1">
      <c r="B20" s="590" t="s">
        <v>799</v>
      </c>
      <c r="C20" s="590"/>
      <c r="D20" s="590"/>
      <c r="E20" s="582" t="str">
        <f>Data!$C$9</f>
        <v>£m 20/21</v>
      </c>
      <c r="F20" s="606">
        <f>SUM(F18:F19)</f>
        <v>237.07147222812227</v>
      </c>
      <c r="G20" s="606">
        <f t="shared" ref="G20:J20" si="2">SUM(G18:G19)</f>
        <v>239.61814586043741</v>
      </c>
      <c r="H20" s="606">
        <f t="shared" si="2"/>
        <v>302.57775882095211</v>
      </c>
      <c r="I20" s="606">
        <f t="shared" si="2"/>
        <v>322.39648305224136</v>
      </c>
      <c r="J20" s="606">
        <f t="shared" si="2"/>
        <v>343.26711002704508</v>
      </c>
      <c r="L20" s="417"/>
      <c r="M20" s="343"/>
    </row>
    <row r="21" spans="1:19" s="293" customFormat="1">
      <c r="B21" s="586" t="s">
        <v>800</v>
      </c>
      <c r="C21" s="586"/>
      <c r="D21" s="586"/>
      <c r="E21" s="582" t="str">
        <f>Data!$C$9</f>
        <v>£m 20/21</v>
      </c>
      <c r="F21" s="591">
        <v>-152.58078915202768</v>
      </c>
      <c r="G21" s="591">
        <v>-148.37980380518479</v>
      </c>
      <c r="H21" s="591">
        <v>-144.93697310141931</v>
      </c>
      <c r="I21" s="591">
        <v>-141.61128068572756</v>
      </c>
      <c r="J21" s="592">
        <v>-142.62765371123567</v>
      </c>
      <c r="L21" s="417"/>
      <c r="M21" s="343"/>
    </row>
    <row r="22" spans="1:19" s="293" customFormat="1">
      <c r="B22" s="586" t="s">
        <v>801</v>
      </c>
      <c r="C22" s="586"/>
      <c r="D22" s="586"/>
      <c r="E22" s="582" t="str">
        <f>Data!$C$9</f>
        <v>£m 20/21</v>
      </c>
      <c r="F22" s="593">
        <v>0</v>
      </c>
      <c r="G22" s="594">
        <v>-0.4898823823365035</v>
      </c>
      <c r="H22" s="594">
        <v>-0.59155766593605108</v>
      </c>
      <c r="I22" s="594">
        <v>-0.47300709278843556</v>
      </c>
      <c r="J22" s="594">
        <v>-0.21830569100094976</v>
      </c>
      <c r="L22" s="417"/>
      <c r="M22" s="343"/>
    </row>
    <row r="23" spans="1:19" s="293" customFormat="1">
      <c r="B23" s="350" t="s">
        <v>802</v>
      </c>
      <c r="C23" s="350"/>
      <c r="D23" s="350"/>
      <c r="E23" s="582" t="str">
        <f>Data!$C$9</f>
        <v>£m 20/21</v>
      </c>
      <c r="F23" s="607">
        <f>SUM(F21:F22)</f>
        <v>-152.58078915202768</v>
      </c>
      <c r="G23" s="607">
        <f t="shared" ref="G23:J23" si="3">SUM(G21:G22)</f>
        <v>-148.8696861875213</v>
      </c>
      <c r="H23" s="607">
        <f t="shared" si="3"/>
        <v>-145.52853076735536</v>
      </c>
      <c r="I23" s="607">
        <f t="shared" si="3"/>
        <v>-142.084287778516</v>
      </c>
      <c r="J23" s="607">
        <f t="shared" si="3"/>
        <v>-142.84595940223662</v>
      </c>
      <c r="L23" s="731"/>
      <c r="M23" s="731"/>
      <c r="N23" s="731"/>
      <c r="O23" s="731"/>
    </row>
    <row r="24" spans="1:19" s="293" customFormat="1">
      <c r="B24" s="432" t="s">
        <v>803</v>
      </c>
      <c r="C24" s="432"/>
      <c r="D24" s="432"/>
      <c r="E24" s="582" t="str">
        <f>Data!$C$9</f>
        <v>£m 20/21</v>
      </c>
      <c r="F24" s="608">
        <f>F17+F20+F23</f>
        <v>2067.7048700454675</v>
      </c>
      <c r="G24" s="608">
        <f t="shared" ref="G24:J24" si="4">G17+G20+G23</f>
        <v>2158.4533297183834</v>
      </c>
      <c r="H24" s="608">
        <f t="shared" si="4"/>
        <v>2315.5025577719803</v>
      </c>
      <c r="I24" s="608">
        <f t="shared" si="4"/>
        <v>2495.8147530457054</v>
      </c>
      <c r="J24" s="608">
        <f t="shared" si="4"/>
        <v>2696.2359036705138</v>
      </c>
      <c r="L24" s="417"/>
      <c r="M24" s="343"/>
    </row>
    <row r="25" spans="1:19" s="293" customFormat="1">
      <c r="B25" s="432"/>
      <c r="C25" s="432"/>
      <c r="D25" s="432"/>
      <c r="E25" s="582"/>
      <c r="F25" s="582"/>
      <c r="G25" s="582"/>
      <c r="H25" s="582"/>
      <c r="I25" s="582"/>
      <c r="J25" s="582"/>
      <c r="K25" s="582"/>
      <c r="L25" s="417"/>
      <c r="M25" s="582"/>
      <c r="N25" s="582"/>
    </row>
    <row r="26" spans="1:19" s="293" customFormat="1">
      <c r="B26" s="432" t="s">
        <v>804</v>
      </c>
      <c r="C26" s="582"/>
      <c r="D26" s="582"/>
      <c r="E26" s="582" t="str">
        <f>Data!$C$9</f>
        <v>£m 20/21</v>
      </c>
      <c r="F26" s="608">
        <f>F19+F22</f>
        <v>22.044707205141918</v>
      </c>
      <c r="G26" s="609">
        <f>G19+G22</f>
        <v>4.085505379643962</v>
      </c>
      <c r="H26" s="609">
        <f t="shared" ref="H26:J26" si="5">H19+H22</f>
        <v>-5.9263334575792612</v>
      </c>
      <c r="I26" s="609">
        <f t="shared" si="5"/>
        <v>-11.934570173224955</v>
      </c>
      <c r="J26" s="610">
        <f t="shared" si="5"/>
        <v>-10.042061786043718</v>
      </c>
      <c r="K26" s="582"/>
      <c r="L26" s="417"/>
      <c r="M26" s="582"/>
      <c r="N26" s="582"/>
    </row>
    <row r="27" spans="1:19" s="293" customFormat="1">
      <c r="B27" s="432" t="s">
        <v>805</v>
      </c>
      <c r="C27" s="582"/>
      <c r="D27" s="582"/>
      <c r="E27" s="596"/>
      <c r="F27" s="611" t="str">
        <f>IF(F5="Actuals",IF(ABS((F24-SUM($F26:F$26))-F12)&lt;0.1,"TRUE","FALSE"),"NA")</f>
        <v>TRUE</v>
      </c>
      <c r="G27" s="612" t="str">
        <f>IF(G5="Actuals",IF(ABS((G24-SUM($F26:G$26))-G12)&lt;0.1,"TRUE","FALSE"),"NA")</f>
        <v>TRUE</v>
      </c>
      <c r="H27" s="612" t="str">
        <f>IF(H5="Actuals",IF(ABS((H24-SUM($F26:H$26))-H12)&lt;0.1,"TRUE","FALSE"),"NA")</f>
        <v>NA</v>
      </c>
      <c r="I27" s="612" t="str">
        <f>IF(I5="Actuals",IF(ABS((I24-SUM($F26:I$26))-I12)&lt;0.1,"TRUE","FALSE"),"NA")</f>
        <v>NA</v>
      </c>
      <c r="J27" s="613" t="str">
        <f>IF(J5="Actuals",IF(ABS((J24-SUM($F26:J$26))-J12)&lt;0.1,"TRUE","FALSE"),"NA")</f>
        <v>NA</v>
      </c>
      <c r="K27" s="582"/>
      <c r="L27" s="417"/>
      <c r="N27" s="582"/>
    </row>
    <row r="28" spans="1:19" s="293" customFormat="1">
      <c r="B28" s="432"/>
      <c r="C28" s="432"/>
      <c r="D28" s="432"/>
      <c r="E28" s="582"/>
      <c r="F28" s="582"/>
      <c r="G28" s="582"/>
      <c r="H28" s="582"/>
      <c r="I28" s="582"/>
      <c r="J28" s="582"/>
      <c r="K28" s="582"/>
      <c r="L28" s="417"/>
      <c r="M28" s="582"/>
      <c r="N28" s="582"/>
    </row>
    <row r="29" spans="1:19" s="293" customFormat="1">
      <c r="B29" s="432"/>
      <c r="C29" s="432"/>
      <c r="D29" s="432"/>
      <c r="E29" s="582"/>
      <c r="F29" s="595"/>
      <c r="G29" s="582"/>
      <c r="H29" s="595"/>
      <c r="I29" s="595"/>
      <c r="J29" s="595"/>
      <c r="K29" s="582"/>
      <c r="L29" s="417"/>
      <c r="M29" s="582"/>
      <c r="N29" s="582"/>
    </row>
    <row r="30" spans="1:19" s="293" customFormat="1">
      <c r="A30" s="100"/>
      <c r="B30" s="293" t="s">
        <v>806</v>
      </c>
      <c r="E30" s="120" t="s">
        <v>807</v>
      </c>
      <c r="F30" s="722">
        <f>IF(Sector="ED2",(INDEX(Data!C29:N29,MATCH(RIIO_2_start_date-1,Data!C27:N27,0))/Data!$E$28),INDEX(Data!C20:N20,MATCH(RIIO_2_start_date-1,Data!C18:N18,0))/Data!$C$19)</f>
        <v>1.2567228174904603</v>
      </c>
      <c r="G30" s="582"/>
      <c r="H30" s="595"/>
      <c r="I30" s="595"/>
      <c r="J30" s="597"/>
      <c r="K30" s="598"/>
      <c r="L30" s="417"/>
      <c r="M30" s="738"/>
      <c r="N30" s="738"/>
    </row>
    <row r="31" spans="1:19" s="293" customFormat="1">
      <c r="B31" s="432"/>
      <c r="C31" s="432"/>
      <c r="D31" s="432"/>
      <c r="E31" s="582"/>
      <c r="F31" s="599"/>
      <c r="G31" s="599"/>
      <c r="H31" s="599"/>
      <c r="I31" s="599"/>
      <c r="J31" s="599"/>
      <c r="K31" s="582"/>
      <c r="L31" s="417"/>
    </row>
    <row r="32" spans="1:19" s="293" customFormat="1">
      <c r="B32" s="432" t="s">
        <v>803</v>
      </c>
      <c r="C32" s="432"/>
      <c r="D32" s="432"/>
      <c r="E32" s="29" t="s">
        <v>555</v>
      </c>
      <c r="F32" s="614">
        <f>IF(Sector="ED2",F24*Data!H36,F24*Combined_real_to_nominal_prices_conversion_factor__financial_year_end)</f>
        <v>2689.4089042204282</v>
      </c>
      <c r="G32" s="614">
        <f>IF(Sector="ED2",G24*Data!I36,G24*Combined_real_to_nominal_prices_conversion_factor__financial_year_end)</f>
        <v>2900.6606376458149</v>
      </c>
      <c r="H32" s="614">
        <f>IF(Sector="ED2",H24*Data!J36,H24*Combined_real_to_nominal_prices_conversion_factor__financial_year_end)</f>
        <v>3183.8640486197646</v>
      </c>
      <c r="I32" s="614">
        <f>IF(Sector="ED2",I24*Data!K36,I24*Combined_real_to_nominal_prices_conversion_factor__financial_year_end)</f>
        <v>3500.7417890177753</v>
      </c>
      <c r="J32" s="614">
        <f>IF(Sector="ED2",J24*Data!L36,J24*Combined_real_to_nominal_prices_conversion_factor__financial_year_end)</f>
        <v>3854.2419506229039</v>
      </c>
      <c r="K32" s="582"/>
      <c r="Q32" s="731"/>
      <c r="R32" s="731"/>
      <c r="S32" s="731"/>
    </row>
    <row r="33" spans="1:14" s="293" customFormat="1">
      <c r="B33" s="432"/>
      <c r="C33" s="432"/>
      <c r="D33" s="432"/>
      <c r="E33" s="582"/>
      <c r="F33" s="582"/>
      <c r="G33" s="582"/>
      <c r="H33" s="582"/>
      <c r="I33" s="582"/>
      <c r="J33" s="582"/>
      <c r="K33" s="582"/>
      <c r="L33" s="417"/>
      <c r="M33" s="582"/>
      <c r="N33" s="582"/>
    </row>
    <row r="34" spans="1:14" s="293" customFormat="1">
      <c r="B34" s="343" t="s">
        <v>808</v>
      </c>
      <c r="C34" s="343"/>
      <c r="D34" s="343"/>
      <c r="E34" s="582" t="s">
        <v>809</v>
      </c>
      <c r="F34" s="615">
        <f>INDEX(Data!$H$63:$P$91,MATCH('RFPR cover'!$C$7,Data!$B$63:$B$91,0),MATCH('R7 - RAV'!F$6,Data!$H$62:$P$62,0))</f>
        <v>3.1E-2</v>
      </c>
      <c r="G34" s="615">
        <f>INDEX(Data!$H$63:$P$91,MATCH('RFPR cover'!$C$7,Data!$B$63:$B$91,0),MATCH('R7 - RAV'!G$6,Data!$H$62:$P$62,0))</f>
        <v>3.1699999999999999E-2</v>
      </c>
      <c r="H34" s="615">
        <f>INDEX(Data!$H$63:$P$91,MATCH('RFPR cover'!$C$7,Data!$B$63:$B$91,0),MATCH('R7 - RAV'!H$6,Data!$H$62:$P$62,0))</f>
        <v>3.1899999999999998E-2</v>
      </c>
      <c r="I34" s="615">
        <f>INDEX(Data!$H$63:$P$91,MATCH('RFPR cover'!$C$7,Data!$B$63:$B$91,0),MATCH('R7 - RAV'!I$6,Data!$H$62:$P$62,0))</f>
        <v>3.1899999999999998E-2</v>
      </c>
      <c r="J34" s="615">
        <f>INDEX(Data!$H$63:$P$91,MATCH('RFPR cover'!$C$7,Data!$B$63:$B$91,0),MATCH('R7 - RAV'!J$6,Data!$H$62:$P$62,0))</f>
        <v>3.1899999999999998E-2</v>
      </c>
      <c r="K34" s="582"/>
      <c r="L34" s="417"/>
      <c r="M34" s="582"/>
      <c r="N34" s="582"/>
    </row>
    <row r="35" spans="1:14" s="293" customFormat="1">
      <c r="B35" s="343" t="s">
        <v>810</v>
      </c>
      <c r="C35" s="343"/>
      <c r="D35" s="343"/>
      <c r="E35" s="582" t="s">
        <v>809</v>
      </c>
      <c r="F35" s="616">
        <f>INDEX(Data!$O$63:$U$91,MATCH('RFPR cover'!$C$7,Data!$B$63:$B$91,0),MATCH('R7 - RAV'!F$6,Data!$O$62:$U$62,0))</f>
        <v>5.2833944000000001E-2</v>
      </c>
      <c r="G35" s="616">
        <f>INDEX(Data!$O$63:$U$91,MATCH('RFPR cover'!$C$7,Data!$B$63:$B$91,0),MATCH('R7 - RAV'!G$6,Data!$O$62:$U$62,0))</f>
        <v>5.5875458000000003E-2</v>
      </c>
      <c r="H35" s="616">
        <f>INDEX(Data!$O$63:$U$91,MATCH('RFPR cover'!$C$7,Data!$B$63:$B$91,0),MATCH('R7 - RAV'!H$6,Data!$O$62:$U$62,0))</f>
        <v>5.4475396000000002E-2</v>
      </c>
      <c r="I35" s="616">
        <f>INDEX(Data!$O$63:$U$91,MATCH('RFPR cover'!$C$7,Data!$B$63:$B$91,0),MATCH('R7 - RAV'!I$6,Data!$O$62:$U$62,0))</f>
        <v>5.4934037000000012E-2</v>
      </c>
      <c r="J35" s="616">
        <f>INDEX(Data!$O$63:$U$91,MATCH('RFPR cover'!$C$7,Data!$B$63:$B$91,0),MATCH('R7 - RAV'!J$6,Data!$O$62:$U$62,0))</f>
        <v>5.5127149E-2</v>
      </c>
      <c r="K35" s="582"/>
      <c r="L35" s="417"/>
      <c r="M35" s="582"/>
      <c r="N35" s="582"/>
    </row>
    <row r="36" spans="1:14">
      <c r="A36" s="293"/>
      <c r="B36" s="343" t="s">
        <v>811</v>
      </c>
      <c r="C36" s="343"/>
      <c r="D36" s="343"/>
      <c r="E36" s="582" t="s">
        <v>518</v>
      </c>
      <c r="F36" s="617">
        <f t="shared" ref="F36:J36" si="6">Notional_Gearing</f>
        <v>0.6</v>
      </c>
      <c r="G36" s="617">
        <f t="shared" si="6"/>
        <v>0.6</v>
      </c>
      <c r="H36" s="617">
        <f t="shared" si="6"/>
        <v>0.6</v>
      </c>
      <c r="I36" s="617">
        <f t="shared" si="6"/>
        <v>0.6</v>
      </c>
      <c r="J36" s="617">
        <f t="shared" si="6"/>
        <v>0.6</v>
      </c>
      <c r="K36" s="582"/>
      <c r="L36" s="417"/>
      <c r="M36" s="582"/>
      <c r="N36" s="582"/>
    </row>
    <row r="37" spans="1:14">
      <c r="B37" s="100" t="s">
        <v>812</v>
      </c>
      <c r="E37" s="582" t="s">
        <v>809</v>
      </c>
      <c r="F37" s="618">
        <f t="shared" ref="F37:J37" si="7">F34*F36+F35*(1-F36)</f>
        <v>3.97335776E-2</v>
      </c>
      <c r="G37" s="619">
        <f t="shared" si="7"/>
        <v>4.1370183200000001E-2</v>
      </c>
      <c r="H37" s="619">
        <f t="shared" si="7"/>
        <v>4.09301584E-2</v>
      </c>
      <c r="I37" s="619">
        <f t="shared" si="7"/>
        <v>4.1113614800000003E-2</v>
      </c>
      <c r="J37" s="619">
        <f t="shared" si="7"/>
        <v>4.1190859599999997E-2</v>
      </c>
      <c r="K37" s="582"/>
      <c r="L37" s="417"/>
      <c r="M37" s="582"/>
      <c r="N37" s="582"/>
    </row>
    <row r="38" spans="1:14" s="293" customFormat="1">
      <c r="A38" s="100"/>
      <c r="B38" s="100"/>
      <c r="C38" s="100"/>
      <c r="D38" s="100"/>
      <c r="E38" s="600"/>
      <c r="F38" s="601"/>
      <c r="G38" s="601"/>
      <c r="H38" s="601"/>
      <c r="I38" s="601"/>
      <c r="J38" s="601"/>
      <c r="K38" s="582"/>
      <c r="L38" s="417"/>
      <c r="M38" s="582"/>
      <c r="N38" s="582"/>
    </row>
    <row r="39" spans="1:14" s="293" customFormat="1">
      <c r="A39" s="100"/>
      <c r="B39" s="76" t="s">
        <v>813</v>
      </c>
      <c r="C39" s="76"/>
      <c r="D39" s="76"/>
      <c r="E39" s="582" t="str">
        <f>Data!$C$9</f>
        <v>£m 20/21</v>
      </c>
      <c r="F39" s="18">
        <f>F41*F36</f>
        <v>1191.5704198019955</v>
      </c>
      <c r="G39" s="19">
        <f t="shared" ref="G39:J39" si="8">G41*G36</f>
        <v>1242.123002540322</v>
      </c>
      <c r="H39" s="19">
        <f t="shared" si="8"/>
        <v>1314.8725745022314</v>
      </c>
      <c r="I39" s="19">
        <f t="shared" si="8"/>
        <v>1413.827248428277</v>
      </c>
      <c r="J39" s="19">
        <f t="shared" si="8"/>
        <v>1525.6152211605145</v>
      </c>
      <c r="K39" s="582"/>
      <c r="L39" s="417"/>
      <c r="M39" s="582"/>
      <c r="N39" s="582"/>
    </row>
    <row r="40" spans="1:14" s="293" customFormat="1">
      <c r="A40" s="100"/>
      <c r="B40" s="76" t="s">
        <v>814</v>
      </c>
      <c r="C40" s="76"/>
      <c r="D40" s="76"/>
      <c r="E40" s="582" t="str">
        <f>Data!$C$9</f>
        <v>£m 20/21</v>
      </c>
      <c r="F40" s="62">
        <f>F41*(1-F36)</f>
        <v>794.38027986799705</v>
      </c>
      <c r="G40" s="63">
        <f t="shared" ref="G40:J40" si="9">G41*(1-G36)</f>
        <v>828.08200169354814</v>
      </c>
      <c r="H40" s="63">
        <f t="shared" si="9"/>
        <v>876.58171633482095</v>
      </c>
      <c r="I40" s="63">
        <f t="shared" si="9"/>
        <v>942.55149895218483</v>
      </c>
      <c r="J40" s="63">
        <f t="shared" si="9"/>
        <v>1017.0768141070098</v>
      </c>
      <c r="K40" s="582"/>
      <c r="L40" s="417"/>
      <c r="M40" s="582"/>
      <c r="N40" s="582"/>
    </row>
    <row r="41" spans="1:14" s="293" customFormat="1">
      <c r="A41" s="100"/>
      <c r="B41" s="100" t="s">
        <v>815</v>
      </c>
      <c r="C41" s="100"/>
      <c r="D41" s="100"/>
      <c r="E41" s="582" t="str">
        <f>Data!$C$9</f>
        <v>£m 20/21</v>
      </c>
      <c r="F41" s="21">
        <f>AVERAGE(F17,F24*(1/(1+F37)))</f>
        <v>1985.9506996699924</v>
      </c>
      <c r="G41" s="21">
        <f t="shared" ref="G41:J41" si="10">AVERAGE(G17,G24*(1/(1+G37)))</f>
        <v>2070.2050042338701</v>
      </c>
      <c r="H41" s="21">
        <f t="shared" si="10"/>
        <v>2191.4542908370522</v>
      </c>
      <c r="I41" s="21">
        <f t="shared" si="10"/>
        <v>2356.3787473804618</v>
      </c>
      <c r="J41" s="21">
        <f t="shared" si="10"/>
        <v>2542.6920352675243</v>
      </c>
      <c r="K41" s="582"/>
      <c r="L41" s="417"/>
      <c r="M41" s="582"/>
      <c r="N41" s="582"/>
    </row>
    <row r="42" spans="1:14" s="293" customFormat="1">
      <c r="A42" s="100"/>
      <c r="B42" s="100"/>
      <c r="C42" s="100"/>
      <c r="D42" s="100"/>
      <c r="E42" s="582"/>
      <c r="F42" s="582"/>
      <c r="G42" s="582"/>
      <c r="H42" s="582"/>
      <c r="I42" s="582"/>
      <c r="J42" s="582"/>
      <c r="K42" s="582"/>
      <c r="L42" s="417"/>
      <c r="M42" s="582"/>
      <c r="N42" s="582"/>
    </row>
    <row r="43" spans="1:14" s="293" customFormat="1">
      <c r="A43" s="100"/>
      <c r="B43" s="76" t="s">
        <v>816</v>
      </c>
      <c r="C43" s="76"/>
      <c r="D43" s="76"/>
      <c r="E43" s="582" t="str">
        <f>Data!$C$9</f>
        <v>£m 20/21</v>
      </c>
      <c r="F43" s="137">
        <f>F34*F39</f>
        <v>36.938683013861862</v>
      </c>
      <c r="G43" s="138">
        <f t="shared" ref="G43:J44" si="11">G34*G39</f>
        <v>39.375299180528202</v>
      </c>
      <c r="H43" s="138">
        <f t="shared" si="11"/>
        <v>41.94443512662118</v>
      </c>
      <c r="I43" s="138">
        <f t="shared" si="11"/>
        <v>45.101089224862037</v>
      </c>
      <c r="J43" s="138">
        <f t="shared" si="11"/>
        <v>48.667125555020405</v>
      </c>
      <c r="K43" s="582"/>
      <c r="L43" s="417"/>
      <c r="M43" s="582"/>
      <c r="N43" s="582"/>
    </row>
    <row r="44" spans="1:14">
      <c r="B44" s="76" t="s">
        <v>817</v>
      </c>
      <c r="C44" s="76"/>
      <c r="D44" s="76"/>
      <c r="E44" s="582" t="str">
        <f>Data!$C$9</f>
        <v>£m 20/21</v>
      </c>
      <c r="F44" s="15">
        <f>F35*F40</f>
        <v>41.970243221250087</v>
      </c>
      <c r="G44" s="16">
        <f t="shared" si="11"/>
        <v>46.269461106183783</v>
      </c>
      <c r="H44" s="16">
        <f t="shared" si="11"/>
        <v>47.752136123699039</v>
      </c>
      <c r="I44" s="16">
        <f t="shared" si="11"/>
        <v>51.778158917844792</v>
      </c>
      <c r="J44" s="16">
        <f t="shared" si="11"/>
        <v>56.068545075722433</v>
      </c>
      <c r="K44" s="582"/>
      <c r="L44" s="417"/>
      <c r="M44" s="582"/>
      <c r="N44" s="582"/>
    </row>
    <row r="45" spans="1:14">
      <c r="B45" s="100" t="s">
        <v>818</v>
      </c>
      <c r="E45" s="582" t="str">
        <f>Data!$C$9</f>
        <v>£m 20/21</v>
      </c>
      <c r="F45" s="21">
        <f>SUM(F43:F44)</f>
        <v>78.908926235111949</v>
      </c>
      <c r="G45" s="22">
        <f t="shared" ref="G45:J45" si="12">SUM(G43:G44)</f>
        <v>85.644760286711985</v>
      </c>
      <c r="H45" s="22">
        <f t="shared" si="12"/>
        <v>89.696571250320218</v>
      </c>
      <c r="I45" s="22">
        <f t="shared" si="12"/>
        <v>96.879248142706828</v>
      </c>
      <c r="J45" s="22">
        <f t="shared" si="12"/>
        <v>104.73567063074285</v>
      </c>
      <c r="K45" s="582"/>
      <c r="L45" s="417"/>
      <c r="M45" s="582"/>
      <c r="N45" s="582"/>
    </row>
    <row r="46" spans="1:14">
      <c r="K46" s="582"/>
      <c r="L46" s="417"/>
      <c r="M46" s="582"/>
      <c r="N46" s="582"/>
    </row>
    <row r="47" spans="1:14">
      <c r="B47" s="76"/>
      <c r="C47" s="76"/>
      <c r="D47" s="76"/>
      <c r="E47" s="29"/>
      <c r="F47" s="520"/>
      <c r="G47" s="520"/>
      <c r="H47" s="520"/>
      <c r="I47" s="520"/>
      <c r="J47" s="520"/>
      <c r="K47" s="582"/>
      <c r="L47" s="417"/>
      <c r="M47" s="582"/>
      <c r="N47" s="582"/>
    </row>
    <row r="48" spans="1:14">
      <c r="B48" s="76"/>
      <c r="C48" s="76"/>
      <c r="D48" s="76"/>
      <c r="E48" s="29"/>
      <c r="F48" s="520"/>
      <c r="G48" s="520"/>
      <c r="H48" s="520"/>
      <c r="I48" s="520"/>
      <c r="J48" s="520"/>
      <c r="K48" s="582"/>
      <c r="L48" s="417"/>
      <c r="M48" s="582"/>
      <c r="N48" s="582"/>
    </row>
    <row r="49" spans="2:14">
      <c r="E49" s="29"/>
      <c r="F49" s="602"/>
      <c r="G49" s="602"/>
      <c r="H49" s="602"/>
      <c r="I49" s="602"/>
      <c r="J49" s="602"/>
      <c r="K49" s="582"/>
      <c r="L49" s="417"/>
      <c r="M49" s="582"/>
      <c r="N49" s="582"/>
    </row>
    <row r="50" spans="2:14">
      <c r="E50" s="582"/>
      <c r="F50" s="582"/>
      <c r="G50" s="582"/>
      <c r="H50" s="582"/>
      <c r="I50" s="582"/>
      <c r="J50" s="582"/>
      <c r="K50" s="582"/>
      <c r="L50" s="417"/>
      <c r="M50" s="582"/>
      <c r="N50" s="582"/>
    </row>
    <row r="54" spans="2:14">
      <c r="E54" s="100"/>
      <c r="M54" s="100"/>
    </row>
    <row r="55" spans="2:14">
      <c r="E55" s="100"/>
      <c r="M55" s="100"/>
    </row>
    <row r="56" spans="2:14">
      <c r="B56" s="76"/>
      <c r="C56" s="76"/>
      <c r="D56" s="76"/>
      <c r="E56" s="29"/>
      <c r="F56" s="520"/>
      <c r="G56" s="520"/>
      <c r="H56" s="520"/>
      <c r="I56" s="520"/>
      <c r="J56" s="520"/>
      <c r="K56" s="380"/>
    </row>
    <row r="57" spans="2:14">
      <c r="B57" s="76"/>
      <c r="C57" s="76"/>
      <c r="D57" s="76"/>
      <c r="E57" s="29"/>
      <c r="F57" s="602"/>
      <c r="G57" s="602"/>
      <c r="H57" s="602"/>
      <c r="I57" s="602"/>
      <c r="J57" s="602"/>
    </row>
    <row r="58" spans="2:14">
      <c r="E58" s="29"/>
      <c r="F58" s="520"/>
      <c r="G58" s="520"/>
      <c r="H58" s="520"/>
      <c r="I58" s="520"/>
      <c r="J58" s="520"/>
    </row>
    <row r="59" spans="2:14">
      <c r="B59" s="380"/>
      <c r="C59" s="380"/>
      <c r="D59" s="380"/>
      <c r="E59" s="40"/>
      <c r="F59" s="40"/>
      <c r="G59" s="40"/>
      <c r="H59" s="40"/>
      <c r="I59" s="40"/>
      <c r="J59" s="40"/>
    </row>
    <row r="60" spans="2:14">
      <c r="B60" s="380"/>
      <c r="C60" s="380"/>
      <c r="D60" s="380"/>
      <c r="E60" s="40"/>
      <c r="F60" s="40"/>
      <c r="G60" s="40"/>
      <c r="H60" s="40"/>
      <c r="I60" s="40"/>
      <c r="J60" s="40"/>
    </row>
    <row r="61" spans="2:14">
      <c r="B61" s="380"/>
      <c r="C61" s="380"/>
      <c r="D61" s="380"/>
      <c r="E61" s="40"/>
      <c r="F61" s="40"/>
      <c r="G61" s="40"/>
      <c r="H61" s="40"/>
      <c r="I61" s="40"/>
      <c r="J61" s="40"/>
    </row>
    <row r="64" spans="2:14">
      <c r="B64" s="380"/>
      <c r="C64" s="380"/>
      <c r="D64" s="380"/>
      <c r="E64" s="40"/>
      <c r="F64" s="40"/>
      <c r="G64" s="40"/>
      <c r="H64" s="40"/>
      <c r="I64" s="40"/>
      <c r="J64" s="40"/>
    </row>
  </sheetData>
  <sheetProtection insertRows="0" sort="0" autoFilter="0" pivotTables="0"/>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0" zoomScaleNormal="80" workbookViewId="0">
      <selection activeCell="M27" sqref="M27"/>
    </sheetView>
  </sheetViews>
  <sheetFormatPr defaultColWidth="9" defaultRowHeight="13.5"/>
  <cols>
    <col min="1" max="1" width="8.3828125" style="100" customWidth="1"/>
    <col min="2" max="2" width="54.765625" style="100" customWidth="1"/>
    <col min="3" max="3" width="1.765625" style="100" customWidth="1"/>
    <col min="4" max="4" width="14.15234375" style="100" customWidth="1"/>
    <col min="5" max="9" width="11.15234375" style="100" customWidth="1"/>
    <col min="10" max="10" width="7.765625" style="100" customWidth="1"/>
    <col min="11" max="16384" width="9" style="100"/>
  </cols>
  <sheetData>
    <row r="1" spans="1:20" ht="20">
      <c r="A1" s="775" t="s">
        <v>270</v>
      </c>
      <c r="B1" s="281"/>
      <c r="C1" s="281"/>
      <c r="D1" s="282"/>
      <c r="E1" s="282"/>
      <c r="F1" s="282"/>
      <c r="G1" s="282"/>
      <c r="H1" s="282"/>
      <c r="I1" s="282"/>
      <c r="J1" s="407"/>
    </row>
    <row r="2" spans="1:20" ht="20">
      <c r="A2" s="776" t="str">
        <f>Licensee</f>
        <v>ENWL</v>
      </c>
      <c r="B2" s="286"/>
      <c r="C2" s="286"/>
      <c r="D2" s="286"/>
      <c r="E2" s="286"/>
      <c r="F2" s="286"/>
      <c r="G2" s="286"/>
      <c r="H2" s="286"/>
      <c r="I2" s="286"/>
      <c r="J2" s="288"/>
    </row>
    <row r="3" spans="1:20" ht="20">
      <c r="A3" s="777">
        <f>Reporting_Year</f>
        <v>2025</v>
      </c>
      <c r="B3" s="289"/>
      <c r="C3" s="289"/>
      <c r="D3" s="289"/>
      <c r="E3" s="620"/>
      <c r="F3" s="620"/>
      <c r="G3" s="620"/>
      <c r="H3" s="620"/>
      <c r="I3" s="620"/>
      <c r="J3" s="291"/>
    </row>
    <row r="4" spans="1:20" ht="12.75" customHeight="1">
      <c r="A4" s="621"/>
      <c r="B4" s="622"/>
      <c r="C4" s="622"/>
      <c r="D4" s="621"/>
      <c r="E4" s="621"/>
      <c r="F4" s="621"/>
      <c r="G4" s="621"/>
      <c r="H4" s="621"/>
      <c r="I4" s="621"/>
      <c r="J4" s="621"/>
      <c r="K4" s="622"/>
    </row>
    <row r="5" spans="1:20" s="293" customFormat="1">
      <c r="B5" s="430"/>
      <c r="C5" s="430"/>
      <c r="D5" s="430"/>
      <c r="E5" s="292" t="str">
        <f>IF(E6+1&lt;=Reporting_Year,"Actuals","Forecast")</f>
        <v>Actuals</v>
      </c>
      <c r="F5" s="292" t="str">
        <f>IF(F6+1&lt;=Reporting_Year,"Actuals","Forecast")</f>
        <v>Forecast</v>
      </c>
      <c r="G5" s="292" t="str">
        <f>IF(G6+1&lt;=Reporting_Year,"Actuals","Forecast")</f>
        <v>Forecast</v>
      </c>
      <c r="H5" s="292" t="str">
        <f>IF(H6+1&lt;=Reporting_Year,"Actuals","Forecast")</f>
        <v>Forecast</v>
      </c>
      <c r="I5" s="292" t="str">
        <f>IF(I6+1&lt;=Reporting_Year,"Actuals","Forecast")</f>
        <v>Forecast</v>
      </c>
    </row>
    <row r="6" spans="1:20" s="293" customFormat="1">
      <c r="E6" s="408">
        <f>'RFPR cover'!$C$6</f>
        <v>2024</v>
      </c>
      <c r="F6" s="409">
        <f>E6+1</f>
        <v>2025</v>
      </c>
      <c r="G6" s="409">
        <f t="shared" ref="G6:I6" si="0">F6+1</f>
        <v>2026</v>
      </c>
      <c r="H6" s="409">
        <f t="shared" si="0"/>
        <v>2027</v>
      </c>
      <c r="I6" s="409">
        <f t="shared" si="0"/>
        <v>2028</v>
      </c>
    </row>
    <row r="7" spans="1:20" s="293" customFormat="1">
      <c r="E7" s="408" t="str">
        <f>RIIO_2_start_date-1&amp;"/"&amp;RIGHT(RIIO_2_start_date,2)</f>
        <v>2023/24</v>
      </c>
      <c r="F7" s="408" t="str">
        <f>RIIO_2_start_date&amp;"/"&amp;RIGHT(RIIO_2_start_date+1,2)</f>
        <v>2024/25</v>
      </c>
      <c r="G7" s="408" t="str">
        <f>RIIO_2_start_date+1&amp;"/"&amp;RIGHT(RIIO_2_start_date+2,2)</f>
        <v>2025/26</v>
      </c>
      <c r="H7" s="408" t="str">
        <f>RIIO_2_start_date+2&amp;"/"&amp;RIGHT(RIIO_2_start_date+3,2)</f>
        <v>2026/27</v>
      </c>
      <c r="I7" s="509" t="str">
        <f>RIIO_2_start_date+3&amp;"/"&amp;RIGHT(RIIO_2_start_date+4,2)</f>
        <v>2027/28</v>
      </c>
    </row>
    <row r="8" spans="1:20" s="293" customFormat="1">
      <c r="B8" s="623" t="s">
        <v>819</v>
      </c>
      <c r="C8" s="528"/>
      <c r="D8" s="529"/>
      <c r="E8" s="529"/>
      <c r="F8" s="529"/>
      <c r="G8" s="529"/>
      <c r="H8" s="529"/>
      <c r="I8" s="529"/>
    </row>
    <row r="9" spans="1:20" s="293" customFormat="1" ht="34.5" customHeight="1">
      <c r="B9" s="850" t="s">
        <v>820</v>
      </c>
      <c r="C9" s="850"/>
      <c r="D9" s="850"/>
      <c r="E9" s="850"/>
      <c r="F9" s="850"/>
      <c r="G9" s="850"/>
      <c r="H9" s="850"/>
      <c r="I9" s="850"/>
    </row>
    <row r="10" spans="1:20" s="293" customFormat="1">
      <c r="B10" s="581"/>
      <c r="C10" s="581"/>
    </row>
    <row r="11" spans="1:20" s="293" customFormat="1" ht="34.5" customHeight="1">
      <c r="B11" s="624" t="s">
        <v>821</v>
      </c>
      <c r="C11" s="380"/>
      <c r="D11" s="29" t="s">
        <v>555</v>
      </c>
      <c r="E11" s="625">
        <v>13.872646052284123</v>
      </c>
      <c r="F11" s="625"/>
      <c r="G11" s="625"/>
      <c r="H11" s="625"/>
      <c r="I11" s="625"/>
      <c r="J11" s="100" t="s">
        <v>822</v>
      </c>
    </row>
    <row r="12" spans="1:20" s="293" customFormat="1">
      <c r="B12" s="380"/>
      <c r="C12" s="380"/>
      <c r="D12" s="380"/>
      <c r="E12" s="787"/>
      <c r="F12" s="380"/>
      <c r="G12" s="380"/>
      <c r="H12" s="380"/>
      <c r="I12" s="380"/>
      <c r="J12" s="380"/>
      <c r="K12" s="380"/>
      <c r="L12" s="380"/>
      <c r="M12" s="380"/>
      <c r="N12" s="380"/>
      <c r="O12" s="380"/>
      <c r="P12" s="380"/>
      <c r="Q12" s="380"/>
      <c r="R12" s="380"/>
      <c r="S12" s="380"/>
      <c r="T12" s="380"/>
    </row>
    <row r="13" spans="1:20" s="293" customFormat="1">
      <c r="B13" s="380"/>
      <c r="C13" s="380"/>
      <c r="D13" s="380"/>
      <c r="E13" s="787"/>
      <c r="F13" s="380"/>
      <c r="G13" s="380"/>
      <c r="H13" s="380"/>
      <c r="I13" s="380"/>
      <c r="J13" s="380"/>
      <c r="K13" s="380"/>
      <c r="L13" s="380"/>
      <c r="M13" s="380"/>
      <c r="N13" s="380"/>
      <c r="O13" s="380"/>
      <c r="P13" s="380"/>
      <c r="Q13" s="380"/>
      <c r="R13" s="380"/>
      <c r="S13" s="380"/>
      <c r="T13" s="380"/>
    </row>
    <row r="14" spans="1:20" s="293" customFormat="1">
      <c r="B14" s="626"/>
      <c r="C14" s="380"/>
      <c r="D14" s="29"/>
      <c r="E14" s="627"/>
      <c r="F14" s="627"/>
      <c r="G14" s="627"/>
      <c r="H14" s="627"/>
      <c r="I14" s="627"/>
      <c r="J14" s="100"/>
    </row>
    <row r="15" spans="1:20">
      <c r="B15" s="380" t="s">
        <v>823</v>
      </c>
      <c r="C15" s="380"/>
      <c r="D15" s="29"/>
      <c r="E15" s="227"/>
      <c r="F15" s="29"/>
      <c r="G15" s="29"/>
      <c r="H15" s="29"/>
      <c r="I15" s="29"/>
      <c r="M15" s="293"/>
      <c r="N15" s="293"/>
    </row>
    <row r="16" spans="1:20">
      <c r="B16" s="513" t="s">
        <v>824</v>
      </c>
      <c r="C16" s="513"/>
      <c r="D16" s="29" t="s">
        <v>555</v>
      </c>
      <c r="E16" s="625">
        <v>5.5971756700306265</v>
      </c>
      <c r="F16" s="625"/>
      <c r="G16" s="625"/>
      <c r="H16" s="625"/>
      <c r="I16" s="625"/>
      <c r="M16" s="293"/>
      <c r="N16" s="293"/>
    </row>
    <row r="17" spans="2:38">
      <c r="B17" s="513" t="s">
        <v>825</v>
      </c>
      <c r="C17" s="513"/>
      <c r="D17" s="29" t="s">
        <v>555</v>
      </c>
      <c r="E17" s="625">
        <v>0.516083230127797</v>
      </c>
      <c r="F17" s="625"/>
      <c r="G17" s="625"/>
      <c r="H17" s="625"/>
      <c r="I17" s="625"/>
      <c r="M17" s="293"/>
      <c r="N17" s="293"/>
    </row>
    <row r="18" spans="2:38">
      <c r="B18" s="513" t="s">
        <v>826</v>
      </c>
      <c r="C18" s="513"/>
      <c r="D18" s="29" t="s">
        <v>555</v>
      </c>
      <c r="E18" s="625">
        <v>-0.25114486621612619</v>
      </c>
      <c r="F18" s="625"/>
      <c r="G18" s="625"/>
      <c r="H18" s="625"/>
      <c r="I18" s="625"/>
      <c r="M18" s="293"/>
      <c r="N18" s="293"/>
    </row>
    <row r="19" spans="2:38">
      <c r="B19" s="513" t="s">
        <v>827</v>
      </c>
      <c r="C19" s="513"/>
      <c r="D19" s="29" t="s">
        <v>555</v>
      </c>
      <c r="E19" s="625">
        <v>2.7740920944398266</v>
      </c>
      <c r="F19" s="625"/>
      <c r="G19" s="625"/>
      <c r="H19" s="625"/>
      <c r="I19" s="625"/>
      <c r="M19" s="293"/>
      <c r="N19" s="293"/>
    </row>
    <row r="20" spans="2:38">
      <c r="B20" s="628" t="s">
        <v>828</v>
      </c>
      <c r="C20" s="628"/>
      <c r="D20" s="29" t="s">
        <v>555</v>
      </c>
      <c r="E20" s="502">
        <f>SUM(E16:E19)</f>
        <v>8.6362061283821241</v>
      </c>
      <c r="F20" s="462">
        <f t="shared" ref="F20:I20" si="1">SUM(F16:F19)</f>
        <v>0</v>
      </c>
      <c r="G20" s="462">
        <f t="shared" si="1"/>
        <v>0</v>
      </c>
      <c r="H20" s="462">
        <f t="shared" si="1"/>
        <v>0</v>
      </c>
      <c r="I20" s="462">
        <f t="shared" si="1"/>
        <v>0</v>
      </c>
      <c r="M20" s="293"/>
      <c r="N20" s="293"/>
    </row>
    <row r="21" spans="2:38">
      <c r="B21" s="513"/>
      <c r="C21" s="513"/>
      <c r="D21" s="513"/>
      <c r="E21" s="629"/>
      <c r="F21" s="629"/>
      <c r="G21" s="629"/>
      <c r="H21" s="629"/>
      <c r="I21" s="629"/>
      <c r="M21" s="293"/>
    </row>
    <row r="22" spans="2:38">
      <c r="B22" s="380" t="s">
        <v>729</v>
      </c>
      <c r="C22" s="380"/>
      <c r="D22" s="29"/>
      <c r="E22" s="227"/>
      <c r="F22" s="227"/>
      <c r="G22" s="227"/>
      <c r="H22" s="227"/>
      <c r="I22" s="227"/>
      <c r="M22" s="29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row>
    <row r="23" spans="2:38">
      <c r="B23" s="513" t="s">
        <v>829</v>
      </c>
      <c r="C23" s="630"/>
      <c r="D23" s="29" t="s">
        <v>555</v>
      </c>
      <c r="E23" s="635">
        <f>IF(E5="Actuals",('R4 - Incentives and Other Rev'!D71+'R4 - Incentives and Other Rev'!D45+'R4 - Incentives and Other Rev'!D52+'R4 - Incentives and Other Rev'!D59)/(1-INDEX(Corporate_Tax,MATCH(E$6,Data!$C$18:$N$18,0)))*INDEX(Corporate_Tax,MATCH(E$6,Data!$C$18:$N$18,0)),0)*E38</f>
        <v>3.6232513994360012E-2</v>
      </c>
      <c r="F23" s="635">
        <f>IF(F5="Actuals",('R4 - Incentives and Other Rev'!E71+'R4 - Incentives and Other Rev'!E45+'R4 - Incentives and Other Rev'!E52+'R4 - Incentives and Other Rev'!E59)/(1-INDEX(Corporate_Tax,MATCH(F$6,Data!$C$18:$N$18,0)))*INDEX(Corporate_Tax,MATCH(F$6,Data!$C$18:$N$18,0)),0)*F38</f>
        <v>0</v>
      </c>
      <c r="G23" s="635">
        <f>IF(G5="Actuals",('R4 - Incentives and Other Rev'!F71+'R4 - Incentives and Other Rev'!F45+'R4 - Incentives and Other Rev'!F52+'R4 - Incentives and Other Rev'!F59)/(1-INDEX(Corporate_Tax,MATCH(G$6,Data!$C$18:$N$18,0)))*INDEX(Corporate_Tax,MATCH(G$6,Data!$C$18:$N$18,0)),0)*G38</f>
        <v>0</v>
      </c>
      <c r="H23" s="635">
        <f>IF(H5="Actuals",('R4 - Incentives and Other Rev'!G71+'R4 - Incentives and Other Rev'!G45+'R4 - Incentives and Other Rev'!G52+'R4 - Incentives and Other Rev'!G59)/(1-INDEX(Corporate_Tax,MATCH(H$6,Data!$C$18:$N$18,0)))*INDEX(Corporate_Tax,MATCH(H$6,Data!$C$18:$N$18,0)),0)*H38</f>
        <v>0</v>
      </c>
      <c r="I23" s="635">
        <f>IF(I5="Actuals",('R4 - Incentives and Other Rev'!H71+'R4 - Incentives and Other Rev'!H45+'R4 - Incentives and Other Rev'!H52+'R4 - Incentives and Other Rev'!H59)/(1-INDEX(Corporate_Tax,MATCH(I$6,Data!$C$18:$N$18,0)))*INDEX(Corporate_Tax,MATCH(I$6,Data!$C$18:$N$18,0)),0)*I38</f>
        <v>0</v>
      </c>
      <c r="M23" s="29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row>
    <row r="24" spans="2:38">
      <c r="B24" s="513" t="s">
        <v>830</v>
      </c>
      <c r="C24" s="513"/>
      <c r="D24" s="29" t="s">
        <v>555</v>
      </c>
      <c r="E24" s="625">
        <v>-0.33879704208229366</v>
      </c>
      <c r="F24" s="625"/>
      <c r="G24" s="625"/>
      <c r="H24" s="625"/>
      <c r="I24" s="625"/>
      <c r="M24" s="29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row>
    <row r="25" spans="2:38">
      <c r="B25" s="513" t="s">
        <v>831</v>
      </c>
      <c r="C25" s="513"/>
      <c r="D25" s="29" t="s">
        <v>555</v>
      </c>
      <c r="E25" s="625"/>
      <c r="F25" s="625"/>
      <c r="G25" s="625"/>
      <c r="H25" s="625"/>
      <c r="I25" s="625"/>
      <c r="M25" s="293"/>
    </row>
    <row r="26" spans="2:38">
      <c r="B26" s="513" t="s">
        <v>832</v>
      </c>
      <c r="C26" s="513"/>
      <c r="D26" s="29" t="s">
        <v>555</v>
      </c>
      <c r="E26" s="625"/>
      <c r="F26" s="625"/>
      <c r="G26" s="625"/>
      <c r="H26" s="625"/>
      <c r="I26" s="625"/>
      <c r="M26" s="293"/>
    </row>
    <row r="27" spans="2:38">
      <c r="B27" s="513" t="s">
        <v>833</v>
      </c>
      <c r="C27" s="513"/>
      <c r="D27" s="29" t="s">
        <v>555</v>
      </c>
      <c r="E27" s="625"/>
      <c r="F27" s="625"/>
      <c r="G27" s="625"/>
      <c r="H27" s="625"/>
      <c r="I27" s="625"/>
      <c r="M27" s="293"/>
    </row>
    <row r="28" spans="2:38">
      <c r="B28" s="513" t="s">
        <v>965</v>
      </c>
      <c r="C28" s="513"/>
      <c r="D28" s="29" t="s">
        <v>555</v>
      </c>
      <c r="E28" s="625">
        <v>0.62957135749999993</v>
      </c>
      <c r="F28" s="625"/>
      <c r="G28" s="625"/>
      <c r="H28" s="625"/>
      <c r="I28" s="625"/>
      <c r="M28" s="293"/>
    </row>
    <row r="29" spans="2:38">
      <c r="B29" s="513" t="s">
        <v>966</v>
      </c>
      <c r="C29" s="513"/>
      <c r="D29" s="29" t="s">
        <v>555</v>
      </c>
      <c r="E29" s="625">
        <v>4.7683157257124211</v>
      </c>
      <c r="F29" s="625"/>
      <c r="G29" s="625"/>
      <c r="H29" s="625"/>
      <c r="I29" s="625"/>
      <c r="M29" s="293"/>
    </row>
    <row r="30" spans="2:38">
      <c r="B30" s="513" t="s">
        <v>834</v>
      </c>
      <c r="C30" s="513"/>
      <c r="D30" s="29" t="s">
        <v>555</v>
      </c>
      <c r="E30" s="625"/>
      <c r="F30" s="625"/>
      <c r="G30" s="625"/>
      <c r="H30" s="625"/>
      <c r="I30" s="625"/>
      <c r="M30" s="293"/>
    </row>
    <row r="31" spans="2:38">
      <c r="B31" s="513" t="s">
        <v>834</v>
      </c>
      <c r="C31" s="513"/>
      <c r="D31" s="29" t="s">
        <v>555</v>
      </c>
      <c r="E31" s="625"/>
      <c r="F31" s="625"/>
      <c r="G31" s="625"/>
      <c r="H31" s="625"/>
      <c r="I31" s="625"/>
      <c r="M31" s="293"/>
    </row>
    <row r="32" spans="2:38">
      <c r="B32" s="513" t="s">
        <v>835</v>
      </c>
      <c r="C32" s="513"/>
      <c r="D32" s="29" t="s">
        <v>555</v>
      </c>
      <c r="E32" s="625"/>
      <c r="F32" s="625"/>
      <c r="G32" s="625"/>
      <c r="H32" s="625"/>
      <c r="I32" s="625"/>
      <c r="M32" s="293"/>
    </row>
    <row r="33" spans="2:13">
      <c r="B33" s="380" t="s">
        <v>578</v>
      </c>
      <c r="C33" s="380"/>
      <c r="D33" s="29" t="s">
        <v>555</v>
      </c>
      <c r="E33" s="635">
        <f>SUM(E23:E32)</f>
        <v>5.0953225551244872</v>
      </c>
      <c r="F33" s="636">
        <f>SUM(F23:F32)</f>
        <v>0</v>
      </c>
      <c r="G33" s="636">
        <f>SUM(G23:G32)</f>
        <v>0</v>
      </c>
      <c r="H33" s="636">
        <f>SUM(H23:H32)</f>
        <v>0</v>
      </c>
      <c r="I33" s="636">
        <f>SUM(I23:I32)</f>
        <v>0</v>
      </c>
      <c r="M33" s="293"/>
    </row>
    <row r="34" spans="2:13">
      <c r="E34" s="602"/>
      <c r="M34" s="293"/>
    </row>
    <row r="35" spans="2:13" ht="25.5" customHeight="1">
      <c r="B35" s="551" t="s">
        <v>836</v>
      </c>
      <c r="D35" s="29" t="s">
        <v>555</v>
      </c>
      <c r="E35" s="625"/>
      <c r="F35" s="625">
        <v>0</v>
      </c>
      <c r="G35" s="625">
        <v>0</v>
      </c>
      <c r="H35" s="625">
        <v>0</v>
      </c>
      <c r="I35" s="625">
        <v>0</v>
      </c>
      <c r="M35" s="293"/>
    </row>
    <row r="36" spans="2:13" ht="12.75" customHeight="1">
      <c r="B36" s="551" t="s">
        <v>837</v>
      </c>
      <c r="C36" s="551"/>
      <c r="D36" s="29" t="s">
        <v>555</v>
      </c>
      <c r="E36" s="635">
        <f>IF(ISNUMBER(E11),E11-E20-E33,E35-E20-E33)</f>
        <v>0.14111736877751202</v>
      </c>
      <c r="F36" s="635">
        <f t="shared" ref="F36:I36" si="2">IF(ISNUMBER(F11),F11-F20-F33,F35-F20-F33)</f>
        <v>0</v>
      </c>
      <c r="G36" s="635">
        <f t="shared" si="2"/>
        <v>0</v>
      </c>
      <c r="H36" s="635">
        <f t="shared" si="2"/>
        <v>0</v>
      </c>
      <c r="I36" s="635">
        <f t="shared" si="2"/>
        <v>0</v>
      </c>
      <c r="M36" s="293"/>
    </row>
    <row r="37" spans="2:13" ht="12.75" customHeight="1">
      <c r="B37" s="514"/>
      <c r="C37" s="514"/>
      <c r="D37" s="29"/>
      <c r="E37" s="627"/>
      <c r="F37" s="627"/>
      <c r="G37" s="627"/>
      <c r="H37" s="627"/>
      <c r="I37" s="627"/>
    </row>
    <row r="38" spans="2:13">
      <c r="B38" s="100" t="s">
        <v>708</v>
      </c>
      <c r="D38" s="120" t="s">
        <v>709</v>
      </c>
      <c r="E38" s="637">
        <f t="shared" ref="E38:I38" si="3">INDEX(real_to_nominal_CF,MATCH(E$6,calendar_year,0))</f>
        <v>1.2806226704273584</v>
      </c>
      <c r="F38" s="637">
        <f t="shared" si="3"/>
        <v>1.321792585589326</v>
      </c>
      <c r="G38" s="637">
        <f t="shared" si="3"/>
        <v>1.3606232404135936</v>
      </c>
      <c r="H38" s="637">
        <f t="shared" si="3"/>
        <v>1.3888946222960665</v>
      </c>
      <c r="I38" s="637">
        <f t="shared" si="3"/>
        <v>1.4165977982772553</v>
      </c>
    </row>
    <row r="39" spans="2:13">
      <c r="B39" s="514"/>
      <c r="C39" s="514"/>
      <c r="D39" s="29"/>
      <c r="E39" s="29"/>
      <c r="F39" s="29"/>
      <c r="G39" s="29"/>
      <c r="H39" s="29"/>
      <c r="I39" s="29"/>
    </row>
    <row r="40" spans="2:13">
      <c r="B40" s="551" t="s">
        <v>838</v>
      </c>
      <c r="C40" s="551"/>
      <c r="D40" s="582" t="str">
        <f>Data!$C$9</f>
        <v>£m 20/21</v>
      </c>
      <c r="E40" s="635">
        <f>Adjusted_regulated_tax_liability/E38</f>
        <v>0.11019433907914464</v>
      </c>
      <c r="F40" s="635">
        <f>Adjusted_regulated_tax_liability/F38</f>
        <v>0</v>
      </c>
      <c r="G40" s="635">
        <f>Adjusted_regulated_tax_liability/G38</f>
        <v>0</v>
      </c>
      <c r="H40" s="635">
        <f>Adjusted_regulated_tax_liability/H38</f>
        <v>0</v>
      </c>
      <c r="I40" s="635">
        <f>Adjusted_regulated_tax_liability/I38</f>
        <v>0</v>
      </c>
    </row>
    <row r="41" spans="2:13">
      <c r="B41" s="551"/>
      <c r="C41" s="551"/>
      <c r="D41" s="551"/>
      <c r="E41" s="551"/>
      <c r="F41" s="551"/>
      <c r="G41" s="551"/>
      <c r="H41" s="551"/>
      <c r="I41" s="551"/>
    </row>
    <row r="42" spans="2:13">
      <c r="B42" s="527" t="s">
        <v>839</v>
      </c>
      <c r="C42" s="527"/>
      <c r="D42" s="582"/>
      <c r="E42" s="582"/>
      <c r="F42" s="582"/>
      <c r="G42" s="582"/>
      <c r="H42" s="582"/>
      <c r="I42" s="582"/>
    </row>
    <row r="43" spans="2:13">
      <c r="B43" s="528" t="s">
        <v>714</v>
      </c>
      <c r="C43" s="528"/>
      <c r="D43" s="551"/>
      <c r="E43" s="551"/>
      <c r="F43" s="551"/>
      <c r="G43" s="551"/>
      <c r="H43" s="551"/>
      <c r="I43" s="551"/>
      <c r="K43" s="551"/>
    </row>
    <row r="44" spans="2:13">
      <c r="K44" s="551"/>
    </row>
    <row r="45" spans="2:13" ht="12.75" customHeight="1">
      <c r="B45" s="76" t="s">
        <v>24</v>
      </c>
      <c r="C45" s="76"/>
      <c r="D45" s="418" t="s">
        <v>518</v>
      </c>
      <c r="E45" s="90">
        <f>Data!$C$8</f>
        <v>0.6</v>
      </c>
      <c r="F45" s="91">
        <f>Data!$C$8</f>
        <v>0.6</v>
      </c>
      <c r="G45" s="91">
        <f>Data!$C$8</f>
        <v>0.6</v>
      </c>
      <c r="H45" s="91">
        <f>Data!$C$8</f>
        <v>0.6</v>
      </c>
      <c r="I45" s="91">
        <f>Data!$C$8</f>
        <v>0.6</v>
      </c>
      <c r="K45" s="551"/>
    </row>
    <row r="46" spans="2:13" ht="12.75" customHeight="1">
      <c r="B46" s="76" t="s">
        <v>715</v>
      </c>
      <c r="C46" s="76"/>
      <c r="D46" s="418" t="s">
        <v>518</v>
      </c>
      <c r="E46" s="91">
        <f>'R6 - Net Debt'!D68</f>
        <v>0.52015440705308036</v>
      </c>
      <c r="F46" s="91">
        <f>'R6 - Net Debt'!E68</f>
        <v>0.51312508029999337</v>
      </c>
      <c r="G46" s="91">
        <f>'R6 - Net Debt'!F68</f>
        <v>0.50109498070548009</v>
      </c>
      <c r="H46" s="91">
        <f>'R6 - Net Debt'!G68</f>
        <v>0.51900046556404456</v>
      </c>
      <c r="I46" s="91">
        <f>'R6 - Net Debt'!H68</f>
        <v>0.54094051632311724</v>
      </c>
      <c r="K46" s="551"/>
    </row>
    <row r="47" spans="2:13" ht="12.75" customHeight="1">
      <c r="B47" s="76"/>
      <c r="C47" s="76"/>
      <c r="D47" s="418"/>
      <c r="E47" s="418"/>
      <c r="F47" s="418"/>
      <c r="G47" s="418"/>
      <c r="H47" s="418"/>
      <c r="I47" s="418"/>
      <c r="K47" s="551"/>
    </row>
    <row r="48" spans="2:13" ht="12.75" customHeight="1">
      <c r="B48" s="551" t="s">
        <v>838</v>
      </c>
      <c r="C48" s="551"/>
      <c r="D48" s="29" t="s">
        <v>555</v>
      </c>
      <c r="E48" s="635">
        <f>E36</f>
        <v>0.14111736877751202</v>
      </c>
      <c r="F48" s="635">
        <f>F36</f>
        <v>0</v>
      </c>
      <c r="G48" s="635">
        <f>G36</f>
        <v>0</v>
      </c>
      <c r="H48" s="635">
        <f>H36</f>
        <v>0</v>
      </c>
      <c r="I48" s="635">
        <f>I36</f>
        <v>0</v>
      </c>
      <c r="K48" s="551"/>
    </row>
    <row r="49" spans="2:11">
      <c r="B49" s="76" t="s">
        <v>840</v>
      </c>
      <c r="C49" s="76"/>
      <c r="D49" s="29" t="s">
        <v>555</v>
      </c>
      <c r="E49" s="635">
        <f>E66-E68</f>
        <v>4.359954120184284E-2</v>
      </c>
      <c r="F49" s="635">
        <f>F66-F68</f>
        <v>-1.8918658158918122</v>
      </c>
      <c r="G49" s="635">
        <f>G66-G68</f>
        <v>-2.3505568988468202</v>
      </c>
      <c r="H49" s="635">
        <f>H66-H68</f>
        <v>-2.3483642889944658</v>
      </c>
      <c r="I49" s="635">
        <f>I66-I68</f>
        <v>-2.2082601247792608</v>
      </c>
      <c r="K49" s="551"/>
    </row>
    <row r="50" spans="2:11">
      <c r="B50" s="76" t="s">
        <v>841</v>
      </c>
      <c r="C50" s="76"/>
      <c r="D50" s="29" t="s">
        <v>555</v>
      </c>
      <c r="E50" s="635">
        <f>SUM(E48:E49)</f>
        <v>0.18471690997935486</v>
      </c>
      <c r="F50" s="635">
        <f>SUM(F48:F49)</f>
        <v>-1.8918658158918122</v>
      </c>
      <c r="G50" s="635">
        <f>SUM(G48:G49)</f>
        <v>-2.3505568988468202</v>
      </c>
      <c r="H50" s="635">
        <f>SUM(H48:H49)</f>
        <v>-2.3483642889944658</v>
      </c>
      <c r="I50" s="635">
        <f>SUM(I48:I49)</f>
        <v>-2.2082601247792608</v>
      </c>
    </row>
    <row r="52" spans="2:11">
      <c r="B52" s="76" t="s">
        <v>841</v>
      </c>
      <c r="C52" s="76"/>
      <c r="D52" s="582" t="str">
        <f>Data!$C$9</f>
        <v>£m 20/21</v>
      </c>
      <c r="E52" s="635">
        <f>E50/E38</f>
        <v>0.14423991878709497</v>
      </c>
      <c r="F52" s="635">
        <f>F50/F38</f>
        <v>-1.4312879619069108</v>
      </c>
      <c r="G52" s="635">
        <f>G50/G38</f>
        <v>-1.7275589810830461</v>
      </c>
      <c r="H52" s="635">
        <f>H50/H38</f>
        <v>-1.6908153083005255</v>
      </c>
      <c r="I52" s="635">
        <f>I50/I38</f>
        <v>-1.5588476330153536</v>
      </c>
    </row>
    <row r="54" spans="2:11">
      <c r="B54" s="631" t="s">
        <v>842</v>
      </c>
      <c r="C54" s="631"/>
      <c r="D54" s="632"/>
      <c r="E54" s="632"/>
      <c r="F54" s="632"/>
      <c r="G54" s="632"/>
      <c r="H54" s="632"/>
      <c r="I54" s="632"/>
      <c r="K54" s="551"/>
    </row>
    <row r="55" spans="2:11" ht="12.65" customHeight="1">
      <c r="D55" s="582"/>
      <c r="E55" s="633"/>
      <c r="F55" s="633"/>
      <c r="G55" s="633"/>
      <c r="H55" s="633"/>
      <c r="I55" s="633"/>
    </row>
    <row r="56" spans="2:11">
      <c r="B56" s="100" t="s">
        <v>843</v>
      </c>
      <c r="D56" s="582" t="str">
        <f>Data!$C$9</f>
        <v>£m 20/21</v>
      </c>
      <c r="E56" s="592">
        <v>14.975475941627851</v>
      </c>
      <c r="F56" s="592">
        <v>11.307273825247817</v>
      </c>
      <c r="G56" s="592">
        <v>1.3387242747520958</v>
      </c>
      <c r="H56" s="592">
        <v>1.3157760668756753</v>
      </c>
      <c r="I56" s="592">
        <v>1.3331838830220746</v>
      </c>
    </row>
    <row r="57" spans="2:11">
      <c r="D57" s="582"/>
      <c r="E57" s="582"/>
      <c r="F57" s="582"/>
      <c r="G57" s="582"/>
      <c r="H57" s="582"/>
      <c r="I57" s="582"/>
    </row>
    <row r="58" spans="2:11">
      <c r="B58" s="537" t="s">
        <v>723</v>
      </c>
      <c r="C58" s="537"/>
      <c r="D58" s="537"/>
      <c r="E58" s="537"/>
      <c r="F58" s="537"/>
      <c r="G58" s="537"/>
      <c r="H58" s="537"/>
      <c r="I58" s="537"/>
    </row>
    <row r="60" spans="2:11">
      <c r="B60" s="380" t="s">
        <v>844</v>
      </c>
      <c r="C60" s="380"/>
      <c r="D60" s="634" t="str">
        <f>Data!$C$9</f>
        <v>£m 20/21</v>
      </c>
      <c r="E60" s="461">
        <f>E$56-E40</f>
        <v>14.865281602548706</v>
      </c>
      <c r="F60" s="461">
        <f>F$56-F40</f>
        <v>11.307273825247817</v>
      </c>
      <c r="G60" s="461">
        <f>G$56-G40</f>
        <v>1.3387242747520958</v>
      </c>
      <c r="H60" s="461">
        <f>H$56-H40</f>
        <v>1.3157760668756753</v>
      </c>
      <c r="I60" s="461">
        <f>I$56-I40</f>
        <v>1.3331838830220746</v>
      </c>
    </row>
    <row r="61" spans="2:11">
      <c r="B61" s="380"/>
      <c r="C61" s="380"/>
      <c r="D61" s="380"/>
      <c r="E61" s="380"/>
      <c r="F61" s="380"/>
      <c r="G61" s="380"/>
      <c r="H61" s="380"/>
      <c r="I61" s="380"/>
    </row>
    <row r="62" spans="2:11">
      <c r="B62" s="380" t="s">
        <v>845</v>
      </c>
      <c r="C62" s="380"/>
      <c r="D62" s="634" t="str">
        <f>Data!$C$9</f>
        <v>£m 20/21</v>
      </c>
      <c r="E62" s="461">
        <f>E$56-E52</f>
        <v>14.831236022840756</v>
      </c>
      <c r="F62" s="461">
        <f>F$56-F52</f>
        <v>12.738561787154728</v>
      </c>
      <c r="G62" s="461">
        <f>G$56-G52</f>
        <v>3.0662832558351418</v>
      </c>
      <c r="H62" s="461">
        <f>H$56-H52</f>
        <v>3.0065913751762006</v>
      </c>
      <c r="I62" s="461">
        <f>I$56-I52</f>
        <v>2.8920315160374281</v>
      </c>
    </row>
    <row r="64" spans="2:11">
      <c r="B64" s="380" t="s">
        <v>846</v>
      </c>
      <c r="C64" s="380"/>
      <c r="D64" s="634" t="str">
        <f>Data!$C$9</f>
        <v>£m 20/21</v>
      </c>
      <c r="E64" s="461">
        <f>E60-E62</f>
        <v>3.4045579707949969E-2</v>
      </c>
      <c r="F64" s="501">
        <f>F60-F62</f>
        <v>-1.4312879619069108</v>
      </c>
      <c r="G64" s="501">
        <f>G60-G62</f>
        <v>-1.7275589810830461</v>
      </c>
      <c r="H64" s="501">
        <f>H60-H62</f>
        <v>-1.6908153083005253</v>
      </c>
      <c r="I64" s="501">
        <f>I60-I62</f>
        <v>-1.5588476330153536</v>
      </c>
    </row>
    <row r="66" spans="2:10">
      <c r="B66" s="100" t="s">
        <v>847</v>
      </c>
      <c r="D66" s="29" t="s">
        <v>555</v>
      </c>
      <c r="E66" s="638">
        <f>-('R5 - Financing'!D83*INDEX(Corporate_Tax,MATCH(E$6,Data!$C$18:$N$18,0))*'R8 - Tax'!E$38)</f>
        <v>-12.11015809131683</v>
      </c>
      <c r="F66" s="638">
        <f>-('R5 - Financing'!E83*INDEX(Corporate_Tax,MATCH(F$6,Data!$C$18:$N$18,0))*'R8 - Tax'!F$38)</f>
        <v>-1.8372247461455247</v>
      </c>
      <c r="G66" s="638">
        <f>-('R5 - Financing'!F83*INDEX(Corporate_Tax,MATCH(G$6,Data!$C$18:$N$18,0))*'R8 - Tax'!G$38)</f>
        <v>-2.3587202614674729</v>
      </c>
      <c r="H66" s="638">
        <f>-('R5 - Financing'!G83*INDEX(Corporate_Tax,MATCH(H$6,Data!$C$18:$N$18,0))*'R8 - Tax'!H$38)</f>
        <v>-0.61313834686938673</v>
      </c>
      <c r="I66" s="638">
        <f>-('R5 - Financing'!H83*INDEX(Corporate_Tax,MATCH(I$6,Data!$C$18:$N$18,0))*'R8 - Tax'!I$38)</f>
        <v>2.9905685940630091</v>
      </c>
      <c r="J66" s="100" t="s">
        <v>848</v>
      </c>
    </row>
    <row r="67" spans="2:10">
      <c r="B67" s="100" t="s">
        <v>847</v>
      </c>
      <c r="D67" s="582" t="str">
        <f>Data!$C$9</f>
        <v>£m 20/21</v>
      </c>
      <c r="E67" s="635">
        <f>E66/E$38</f>
        <v>-9.4564608068944551</v>
      </c>
      <c r="F67" s="635">
        <f>F66/F$38</f>
        <v>-1.3899493507344736</v>
      </c>
      <c r="G67" s="635">
        <f>G66/G$38</f>
        <v>-1.7335587041350875</v>
      </c>
      <c r="H67" s="635">
        <f>H66/H$38</f>
        <v>-0.44145778738474073</v>
      </c>
      <c r="I67" s="635">
        <f>I66/I$38</f>
        <v>2.1110922222947699</v>
      </c>
    </row>
    <row r="68" spans="2:10">
      <c r="B68" s="100" t="s">
        <v>849</v>
      </c>
      <c r="D68" s="29" t="s">
        <v>555</v>
      </c>
      <c r="E68" s="638">
        <f>-('R5 - Financing'!D85*INDEX(Corporate_Tax,MATCH(E$6,Data!$C$18:$N$18,0))*'R8 - Tax'!E$38)</f>
        <v>-12.153757632518673</v>
      </c>
      <c r="F68" s="638">
        <f>-('R5 - Financing'!E85*INDEX(Corporate_Tax,MATCH(F$6,Data!$C$18:$N$18,0))*'R8 - Tax'!F$38)</f>
        <v>5.4641069746287567E-2</v>
      </c>
      <c r="G68" s="638">
        <f>-('R5 - Financing'!F85*INDEX(Corporate_Tax,MATCH(G$6,Data!$C$18:$N$18,0))*'R8 - Tax'!G$38)</f>
        <v>-8.1633626206527587E-3</v>
      </c>
      <c r="H68" s="638">
        <f>-('R5 - Financing'!G85*INDEX(Corporate_Tax,MATCH(H$6,Data!$C$18:$N$18,0))*'R8 - Tax'!H$38)</f>
        <v>1.7352259421250793</v>
      </c>
      <c r="I68" s="638">
        <f>-('R5 - Financing'!H85*INDEX(Corporate_Tax,MATCH(I$6,Data!$C$18:$N$18,0))*'R8 - Tax'!I$38)</f>
        <v>5.1988287188422699</v>
      </c>
      <c r="J68" s="100" t="s">
        <v>848</v>
      </c>
    </row>
    <row r="69" spans="2:10">
      <c r="B69" s="100" t="s">
        <v>849</v>
      </c>
      <c r="D69" s="582" t="str">
        <f>Data!$C$9</f>
        <v>£m 20/21</v>
      </c>
      <c r="E69" s="635">
        <f>E68/E$38</f>
        <v>-9.4905063866024051</v>
      </c>
      <c r="F69" s="635">
        <f>F68/F$38</f>
        <v>4.1338611172437201E-2</v>
      </c>
      <c r="G69" s="635">
        <f>G68/G$38</f>
        <v>-5.9997230520414391E-3</v>
      </c>
      <c r="H69" s="635">
        <f>H68/H$38</f>
        <v>1.249357520915785</v>
      </c>
      <c r="I69" s="635">
        <f>I68/I$38</f>
        <v>3.6699398553101235</v>
      </c>
    </row>
    <row r="70" spans="2:10">
      <c r="B70" s="100" t="s">
        <v>850</v>
      </c>
      <c r="D70" s="582" t="str">
        <f>Data!$C$9</f>
        <v>£m 20/21</v>
      </c>
      <c r="E70" s="635">
        <f>E67-E69</f>
        <v>3.4045579707949969E-2</v>
      </c>
      <c r="F70" s="635">
        <f>F67-F69</f>
        <v>-1.4312879619069108</v>
      </c>
      <c r="G70" s="635">
        <f>G67-G69</f>
        <v>-1.7275589810830461</v>
      </c>
      <c r="H70" s="635">
        <f>H67-H69</f>
        <v>-1.6908153083005257</v>
      </c>
      <c r="I70" s="635">
        <f>I67-I69</f>
        <v>-1.5588476330153536</v>
      </c>
    </row>
  </sheetData>
  <sheetProtection insertRows="0" sort="0" autoFilter="0" pivotTables="0"/>
  <mergeCells count="1">
    <mergeCell ref="B9:I9"/>
  </mergeCells>
  <phoneticPr fontId="248" type="noConversion"/>
  <conditionalFormatting sqref="E7:I7">
    <cfRule type="expression" dxfId="21" priority="15">
      <formula>AND(E$5="Actuals",F$5="Forecast")</formula>
    </cfRule>
  </conditionalFormatting>
  <conditionalFormatting sqref="E11:I11">
    <cfRule type="expression" dxfId="20" priority="10">
      <formula>E$5="Forecast"</formula>
    </cfRule>
  </conditionalFormatting>
  <conditionalFormatting sqref="E16:I19">
    <cfRule type="expression" dxfId="19" priority="7">
      <formula>E$5="Forecast"</formula>
    </cfRule>
  </conditionalFormatting>
  <conditionalFormatting sqref="E23:I32">
    <cfRule type="expression" dxfId="18" priority="13">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ignoredErrors>
    <ignoredError sqref="F46:I4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4"/>
  <sheetViews>
    <sheetView zoomScale="80" zoomScaleNormal="80" workbookViewId="0">
      <selection activeCell="L31" sqref="L31"/>
    </sheetView>
  </sheetViews>
  <sheetFormatPr defaultColWidth="9" defaultRowHeight="13.5"/>
  <cols>
    <col min="1" max="1" width="8.3828125" style="100" customWidth="1"/>
    <col min="2" max="2" width="83" style="100" customWidth="1"/>
    <col min="3" max="3" width="15.15234375" style="100" customWidth="1"/>
    <col min="4" max="4" width="14.765625" style="100" customWidth="1"/>
    <col min="5" max="5" width="14.84375" style="100" customWidth="1"/>
    <col min="6" max="6" width="14.3828125" style="100" customWidth="1"/>
    <col min="7" max="8" width="11.15234375" style="100" customWidth="1"/>
    <col min="9" max="9" width="5" style="100" customWidth="1"/>
    <col min="10" max="13" width="9" style="100"/>
    <col min="14" max="14" width="13.15234375" style="100" customWidth="1"/>
    <col min="15" max="16384" width="9" style="100"/>
  </cols>
  <sheetData>
    <row r="1" spans="1:15" ht="20">
      <c r="A1" s="775" t="s">
        <v>272</v>
      </c>
      <c r="B1" s="281"/>
      <c r="C1" s="282"/>
      <c r="D1" s="282"/>
      <c r="E1" s="282"/>
      <c r="F1" s="282"/>
      <c r="G1" s="282"/>
      <c r="H1" s="282"/>
      <c r="I1" s="407"/>
    </row>
    <row r="2" spans="1:15" ht="20">
      <c r="A2" s="776" t="str">
        <f>Licensee</f>
        <v>ENWL</v>
      </c>
      <c r="B2" s="285"/>
      <c r="C2" s="286"/>
      <c r="D2" s="286"/>
      <c r="E2" s="286"/>
      <c r="F2" s="286"/>
      <c r="G2" s="286"/>
      <c r="H2" s="286"/>
      <c r="I2" s="288"/>
    </row>
    <row r="3" spans="1:15" ht="20">
      <c r="A3" s="777">
        <f>Reporting_Year</f>
        <v>2025</v>
      </c>
      <c r="B3" s="289"/>
      <c r="C3" s="289"/>
      <c r="D3" s="289"/>
      <c r="E3" s="289"/>
      <c r="F3" s="289"/>
      <c r="G3" s="289"/>
      <c r="H3" s="289"/>
      <c r="I3" s="291"/>
    </row>
    <row r="4" spans="1:15" s="293" customFormat="1" ht="12.75" customHeight="1"/>
    <row r="5" spans="1:15" s="293" customFormat="1">
      <c r="B5" s="430"/>
      <c r="C5" s="430"/>
      <c r="D5" s="292" t="str">
        <f t="shared" ref="D5:H5" si="0">IF(D6&lt;=Reporting_Year,"Actuals","Forecast")</f>
        <v>Actuals</v>
      </c>
      <c r="E5" s="292" t="str">
        <f t="shared" si="0"/>
        <v>Actuals</v>
      </c>
      <c r="F5" s="292" t="str">
        <f t="shared" si="0"/>
        <v>Forecast</v>
      </c>
      <c r="G5" s="292" t="str">
        <f t="shared" si="0"/>
        <v>Forecast</v>
      </c>
      <c r="H5" s="292" t="str">
        <f t="shared" si="0"/>
        <v>Forecast</v>
      </c>
    </row>
    <row r="6" spans="1:15" s="293" customFormat="1">
      <c r="D6" s="408">
        <f>'RFPR cover'!$C$6</f>
        <v>2024</v>
      </c>
      <c r="E6" s="409">
        <f>D6+1</f>
        <v>2025</v>
      </c>
      <c r="F6" s="409">
        <f t="shared" ref="F6:H6" si="1">E6+1</f>
        <v>2026</v>
      </c>
      <c r="G6" s="409">
        <f t="shared" si="1"/>
        <v>2027</v>
      </c>
      <c r="H6" s="409">
        <f t="shared" si="1"/>
        <v>2028</v>
      </c>
    </row>
    <row r="7" spans="1:15" s="293" customFormat="1">
      <c r="D7" s="408" t="str">
        <f>RIIO_2_start_date-1&amp;"/"&amp;RIGHT(RIIO_2_start_date,2)</f>
        <v>2023/24</v>
      </c>
      <c r="E7" s="408" t="str">
        <f>RIIO_2_start_date&amp;"/"&amp;RIGHT(RIIO_2_start_date+1,2)</f>
        <v>2024/25</v>
      </c>
      <c r="F7" s="408" t="str">
        <f>RIIO_2_start_date+1&amp;"/"&amp;RIGHT(RIIO_2_start_date+2,2)</f>
        <v>2025/26</v>
      </c>
      <c r="G7" s="408" t="str">
        <f>RIIO_2_start_date+2&amp;"/"&amp;RIGHT(RIIO_2_start_date+3,2)</f>
        <v>2026/27</v>
      </c>
      <c r="H7" s="509" t="str">
        <f>RIIO_2_start_date+3&amp;"/"&amp;RIGHT(RIIO_2_start_date+4,2)</f>
        <v>2027/28</v>
      </c>
    </row>
    <row r="8" spans="1:15" s="293" customFormat="1"/>
    <row r="9" spans="1:15" s="293" customFormat="1">
      <c r="A9" s="639" t="s">
        <v>852</v>
      </c>
      <c r="B9" s="640"/>
      <c r="C9" s="298"/>
      <c r="D9" s="298"/>
      <c r="E9" s="298"/>
      <c r="F9" s="298"/>
      <c r="G9" s="298"/>
      <c r="H9" s="298"/>
    </row>
    <row r="10" spans="1:15" s="293" customFormat="1"/>
    <row r="11" spans="1:15">
      <c r="B11" s="380" t="s">
        <v>853</v>
      </c>
      <c r="C11" s="29" t="s">
        <v>555</v>
      </c>
      <c r="D11" s="625">
        <v>30.400000000000002</v>
      </c>
      <c r="E11" s="625">
        <v>45.4</v>
      </c>
      <c r="F11" s="625"/>
      <c r="G11" s="625"/>
      <c r="H11" s="625"/>
      <c r="J11" s="293"/>
    </row>
    <row r="12" spans="1:15">
      <c r="B12" s="365" t="s">
        <v>854</v>
      </c>
      <c r="C12" s="380"/>
      <c r="D12" s="602"/>
      <c r="E12" s="602"/>
      <c r="F12" s="602"/>
      <c r="G12" s="602"/>
      <c r="H12" s="602"/>
      <c r="J12" s="293"/>
    </row>
    <row r="13" spans="1:15">
      <c r="B13" s="513" t="s">
        <v>834</v>
      </c>
      <c r="C13" s="29" t="s">
        <v>555</v>
      </c>
      <c r="D13" s="625">
        <v>0</v>
      </c>
      <c r="E13" s="625">
        <v>0</v>
      </c>
      <c r="F13" s="625"/>
      <c r="G13" s="625"/>
      <c r="H13" s="625"/>
      <c r="J13" s="293"/>
    </row>
    <row r="14" spans="1:15">
      <c r="B14" s="513" t="s">
        <v>834</v>
      </c>
      <c r="C14" s="29" t="s">
        <v>555</v>
      </c>
      <c r="D14" s="625">
        <v>0</v>
      </c>
      <c r="E14" s="625">
        <v>0</v>
      </c>
      <c r="F14" s="625"/>
      <c r="G14" s="625"/>
      <c r="H14" s="625"/>
      <c r="J14" s="293"/>
    </row>
    <row r="15" spans="1:15">
      <c r="B15" s="513" t="s">
        <v>835</v>
      </c>
      <c r="C15" s="29" t="s">
        <v>555</v>
      </c>
      <c r="D15" s="625">
        <v>0</v>
      </c>
      <c r="E15" s="625">
        <v>0</v>
      </c>
      <c r="F15" s="625"/>
      <c r="G15" s="625"/>
      <c r="H15" s="625"/>
      <c r="J15" s="293"/>
      <c r="N15" s="641"/>
    </row>
    <row r="16" spans="1:15">
      <c r="B16" s="380" t="s">
        <v>855</v>
      </c>
      <c r="C16" s="29" t="s">
        <v>555</v>
      </c>
      <c r="D16" s="635">
        <f>D11-SUM(D13:D15)</f>
        <v>30.400000000000002</v>
      </c>
      <c r="E16" s="635">
        <f t="shared" ref="E16:H16" si="2">E11-SUM(E13:E15)</f>
        <v>45.4</v>
      </c>
      <c r="F16" s="635">
        <f t="shared" si="2"/>
        <v>0</v>
      </c>
      <c r="G16" s="635">
        <f t="shared" si="2"/>
        <v>0</v>
      </c>
      <c r="H16" s="635">
        <f t="shared" si="2"/>
        <v>0</v>
      </c>
      <c r="J16" s="293"/>
      <c r="O16" s="642"/>
    </row>
    <row r="17" spans="1:14">
      <c r="C17" s="380"/>
      <c r="J17" s="293"/>
      <c r="N17" s="641"/>
    </row>
    <row r="18" spans="1:14">
      <c r="B18" s="380" t="s">
        <v>856</v>
      </c>
      <c r="C18" s="29" t="s">
        <v>555</v>
      </c>
      <c r="D18" s="625">
        <v>0</v>
      </c>
      <c r="E18" s="625">
        <v>0</v>
      </c>
      <c r="F18" s="625"/>
      <c r="G18" s="625"/>
      <c r="H18" s="625"/>
      <c r="J18" s="293"/>
    </row>
    <row r="19" spans="1:14">
      <c r="J19" s="293"/>
    </row>
    <row r="22" spans="1:14">
      <c r="A22" s="639" t="s">
        <v>857</v>
      </c>
      <c r="B22" s="643"/>
      <c r="C22" s="298"/>
      <c r="D22" s="298"/>
      <c r="E22" s="298"/>
      <c r="F22" s="298"/>
      <c r="G22" s="298"/>
      <c r="H22" s="298"/>
    </row>
    <row r="23" spans="1:14">
      <c r="D23" s="851" t="str">
        <f>Reporting_Year&amp;" "&amp;"- Actuals"</f>
        <v>2025 - Actuals</v>
      </c>
      <c r="E23" s="852"/>
      <c r="F23" s="852"/>
      <c r="G23" s="852"/>
      <c r="H23" s="853"/>
    </row>
    <row r="24" spans="1:14">
      <c r="D24" s="644" t="s">
        <v>858</v>
      </c>
      <c r="E24" s="644" t="s">
        <v>859</v>
      </c>
      <c r="F24" s="644" t="s">
        <v>860</v>
      </c>
      <c r="G24" s="644" t="s">
        <v>861</v>
      </c>
      <c r="H24" s="644" t="s">
        <v>862</v>
      </c>
    </row>
    <row r="25" spans="1:14" ht="35.15" customHeight="1">
      <c r="C25" s="100" t="s">
        <v>863</v>
      </c>
      <c r="D25" s="645" t="s">
        <v>974</v>
      </c>
      <c r="E25" s="645" t="s">
        <v>975</v>
      </c>
      <c r="F25" s="645"/>
      <c r="G25" s="645"/>
      <c r="H25" s="645"/>
    </row>
    <row r="26" spans="1:14" ht="44.5" customHeight="1">
      <c r="B26" s="380" t="s">
        <v>864</v>
      </c>
    </row>
    <row r="27" spans="1:14">
      <c r="B27" s="100" t="s">
        <v>865</v>
      </c>
      <c r="C27" s="29" t="s">
        <v>555</v>
      </c>
      <c r="D27" s="646">
        <v>0.49703999999999998</v>
      </c>
      <c r="E27" s="647">
        <v>0.40698000000000001</v>
      </c>
      <c r="F27" s="647"/>
      <c r="G27" s="647"/>
      <c r="H27" s="647"/>
    </row>
    <row r="28" spans="1:14">
      <c r="B28" s="100" t="s">
        <v>866</v>
      </c>
      <c r="C28" s="29" t="s">
        <v>555</v>
      </c>
      <c r="D28" s="648">
        <v>0</v>
      </c>
      <c r="E28" s="649">
        <v>0</v>
      </c>
      <c r="F28" s="649"/>
      <c r="G28" s="649"/>
      <c r="H28" s="649"/>
    </row>
    <row r="29" spans="1:14">
      <c r="B29" s="513" t="s">
        <v>835</v>
      </c>
      <c r="C29" s="29" t="s">
        <v>555</v>
      </c>
      <c r="D29" s="648">
        <v>0</v>
      </c>
      <c r="E29" s="649">
        <v>0</v>
      </c>
      <c r="F29" s="649"/>
      <c r="G29" s="649"/>
      <c r="H29" s="649"/>
    </row>
    <row r="30" spans="1:14">
      <c r="B30" s="100" t="s">
        <v>867</v>
      </c>
      <c r="C30" s="29" t="s">
        <v>555</v>
      </c>
      <c r="D30" s="650">
        <v>0</v>
      </c>
      <c r="E30" s="651">
        <v>0</v>
      </c>
      <c r="F30" s="651"/>
      <c r="G30" s="651"/>
      <c r="H30" s="651"/>
    </row>
    <row r="31" spans="1:14">
      <c r="B31" s="513" t="s">
        <v>967</v>
      </c>
      <c r="C31" s="29" t="s">
        <v>555</v>
      </c>
      <c r="D31" s="652">
        <v>4.1269999999999996E-3</v>
      </c>
      <c r="E31" s="653">
        <v>4.1269999999999996E-3</v>
      </c>
      <c r="F31" s="653"/>
      <c r="G31" s="653"/>
      <c r="H31" s="653"/>
    </row>
    <row r="32" spans="1:14">
      <c r="B32" s="513" t="s">
        <v>968</v>
      </c>
      <c r="C32" s="29" t="s">
        <v>555</v>
      </c>
      <c r="D32" s="652">
        <v>1.400004E-2</v>
      </c>
      <c r="E32" s="653">
        <v>1.250004E-2</v>
      </c>
      <c r="F32" s="653"/>
      <c r="G32" s="653"/>
      <c r="H32" s="653"/>
    </row>
    <row r="33" spans="2:8">
      <c r="B33" s="513" t="s">
        <v>969</v>
      </c>
      <c r="C33" s="29" t="s">
        <v>555</v>
      </c>
      <c r="D33" s="652">
        <v>4.4999999999999998E-2</v>
      </c>
      <c r="E33" s="653">
        <v>1.9199999999999998E-2</v>
      </c>
      <c r="F33" s="653"/>
      <c r="G33" s="653"/>
      <c r="H33" s="653"/>
    </row>
    <row r="34" spans="2:8">
      <c r="B34" s="100" t="s">
        <v>868</v>
      </c>
      <c r="C34" s="29" t="s">
        <v>555</v>
      </c>
      <c r="D34" s="652"/>
      <c r="E34" s="653"/>
      <c r="F34" s="653"/>
      <c r="G34" s="653"/>
      <c r="H34" s="653"/>
    </row>
    <row r="35" spans="2:8">
      <c r="B35" s="513" t="s">
        <v>835</v>
      </c>
      <c r="C35" s="29" t="s">
        <v>555</v>
      </c>
      <c r="D35" s="646"/>
      <c r="E35" s="647"/>
      <c r="F35" s="647"/>
      <c r="G35" s="647"/>
      <c r="H35" s="647"/>
    </row>
    <row r="36" spans="2:8">
      <c r="B36" s="380" t="s">
        <v>869</v>
      </c>
      <c r="C36" s="29" t="s">
        <v>555</v>
      </c>
      <c r="D36" s="665">
        <f>SUM(D27:D35)</f>
        <v>0.56016704000000006</v>
      </c>
      <c r="E36" s="665">
        <f>SUM(E27:E35)</f>
        <v>0.44280703999999999</v>
      </c>
      <c r="F36" s="665">
        <f>SUM(F27:F35)</f>
        <v>0</v>
      </c>
      <c r="G36" s="665">
        <f>SUM(G27:G35)</f>
        <v>0</v>
      </c>
      <c r="H36" s="665">
        <f>SUM(H27:H35)</f>
        <v>0</v>
      </c>
    </row>
    <row r="37" spans="2:8">
      <c r="B37" s="380" t="s">
        <v>870</v>
      </c>
      <c r="C37" s="29" t="s">
        <v>555</v>
      </c>
      <c r="D37" s="654">
        <v>0.54229484804863881</v>
      </c>
      <c r="E37" s="654">
        <v>0.42867923195136126</v>
      </c>
      <c r="F37" s="654"/>
      <c r="G37" s="654"/>
      <c r="H37" s="654"/>
    </row>
    <row r="38" spans="2:8">
      <c r="B38" s="513"/>
      <c r="D38" s="655"/>
      <c r="E38" s="655"/>
      <c r="F38" s="655"/>
      <c r="G38" s="655"/>
      <c r="H38" s="655"/>
    </row>
    <row r="39" spans="2:8">
      <c r="B39" s="380" t="s">
        <v>871</v>
      </c>
      <c r="D39" s="655"/>
      <c r="E39" s="655"/>
      <c r="F39" s="655"/>
      <c r="G39" s="655"/>
      <c r="H39" s="655"/>
    </row>
    <row r="40" spans="2:8">
      <c r="B40" s="100" t="s">
        <v>872</v>
      </c>
      <c r="C40" s="29" t="s">
        <v>555</v>
      </c>
      <c r="D40" s="646"/>
      <c r="E40" s="647"/>
      <c r="F40" s="647"/>
      <c r="G40" s="647"/>
      <c r="H40" s="647"/>
    </row>
    <row r="41" spans="2:8">
      <c r="B41" s="513" t="s">
        <v>835</v>
      </c>
      <c r="C41" s="29" t="s">
        <v>555</v>
      </c>
      <c r="D41" s="652"/>
      <c r="E41" s="653"/>
      <c r="F41" s="653"/>
      <c r="G41" s="653"/>
      <c r="H41" s="653"/>
    </row>
    <row r="42" spans="2:8">
      <c r="B42" s="100" t="s">
        <v>873</v>
      </c>
      <c r="C42" s="29" t="s">
        <v>555</v>
      </c>
      <c r="D42" s="650"/>
      <c r="E42" s="651"/>
      <c r="F42" s="651"/>
      <c r="G42" s="651"/>
      <c r="H42" s="651"/>
    </row>
    <row r="43" spans="2:8">
      <c r="B43" s="513" t="s">
        <v>835</v>
      </c>
      <c r="C43" s="29" t="s">
        <v>555</v>
      </c>
      <c r="D43" s="652">
        <v>1.0900000000000001</v>
      </c>
      <c r="E43" s="653">
        <v>0.69615000000000005</v>
      </c>
      <c r="F43" s="653"/>
      <c r="G43" s="653"/>
      <c r="H43" s="653"/>
    </row>
    <row r="44" spans="2:8">
      <c r="B44" s="380" t="s">
        <v>874</v>
      </c>
      <c r="C44" s="29" t="s">
        <v>555</v>
      </c>
      <c r="D44" s="666">
        <f t="shared" ref="D44:H44" si="3">SUM(D40:D43)</f>
        <v>1.0900000000000001</v>
      </c>
      <c r="E44" s="666">
        <f t="shared" si="3"/>
        <v>0.69615000000000005</v>
      </c>
      <c r="F44" s="666">
        <f t="shared" si="3"/>
        <v>0</v>
      </c>
      <c r="G44" s="666">
        <f t="shared" si="3"/>
        <v>0</v>
      </c>
      <c r="H44" s="666">
        <f t="shared" si="3"/>
        <v>0</v>
      </c>
    </row>
    <row r="45" spans="2:8">
      <c r="B45" s="380" t="s">
        <v>870</v>
      </c>
      <c r="C45" s="29" t="s">
        <v>555</v>
      </c>
      <c r="D45" s="654">
        <v>1.0900000000000001</v>
      </c>
      <c r="E45" s="654">
        <v>0.69615000000000005</v>
      </c>
      <c r="F45" s="654"/>
      <c r="G45" s="654"/>
      <c r="H45" s="654"/>
    </row>
    <row r="46" spans="2:8">
      <c r="D46" s="655"/>
      <c r="E46" s="655"/>
      <c r="F46" s="655"/>
      <c r="G46" s="655"/>
      <c r="H46" s="655"/>
    </row>
    <row r="47" spans="2:8">
      <c r="B47" s="380" t="s">
        <v>875</v>
      </c>
      <c r="C47" s="29" t="s">
        <v>555</v>
      </c>
      <c r="D47" s="666">
        <f t="shared" ref="D47:H47" si="4">SUM(D36,D44)</f>
        <v>1.6501670400000001</v>
      </c>
      <c r="E47" s="666">
        <f t="shared" si="4"/>
        <v>1.13895704</v>
      </c>
      <c r="F47" s="666">
        <f t="shared" si="4"/>
        <v>0</v>
      </c>
      <c r="G47" s="666">
        <f t="shared" si="4"/>
        <v>0</v>
      </c>
      <c r="H47" s="666">
        <f t="shared" si="4"/>
        <v>0</v>
      </c>
    </row>
    <row r="48" spans="2:8">
      <c r="B48" s="380" t="s">
        <v>876</v>
      </c>
      <c r="C48" s="29" t="s">
        <v>555</v>
      </c>
      <c r="D48" s="666">
        <f>D37+D45</f>
        <v>1.6322948480486388</v>
      </c>
      <c r="E48" s="666">
        <f t="shared" ref="E48:H48" si="5">E37+E45</f>
        <v>1.1248292319513613</v>
      </c>
      <c r="F48" s="666">
        <f t="shared" si="5"/>
        <v>0</v>
      </c>
      <c r="G48" s="666">
        <f t="shared" si="5"/>
        <v>0</v>
      </c>
      <c r="H48" s="666">
        <f t="shared" si="5"/>
        <v>0</v>
      </c>
    </row>
    <row r="49" spans="2:14">
      <c r="D49" s="655"/>
      <c r="E49" s="655"/>
      <c r="F49" s="655"/>
      <c r="G49" s="655"/>
      <c r="H49" s="655"/>
    </row>
    <row r="50" spans="2:14">
      <c r="B50" s="380" t="s">
        <v>877</v>
      </c>
      <c r="D50" s="655"/>
      <c r="E50" s="655"/>
      <c r="F50" s="655"/>
      <c r="G50" s="655"/>
      <c r="H50" s="655"/>
    </row>
    <row r="51" spans="2:14">
      <c r="B51" s="100" t="s">
        <v>878</v>
      </c>
      <c r="C51" s="29" t="s">
        <v>879</v>
      </c>
      <c r="D51" s="646"/>
      <c r="E51" s="647"/>
      <c r="F51" s="647"/>
      <c r="G51" s="647"/>
      <c r="H51" s="647"/>
    </row>
    <row r="52" spans="2:14">
      <c r="B52" s="513" t="s">
        <v>835</v>
      </c>
      <c r="C52" s="29"/>
      <c r="D52" s="646"/>
      <c r="E52" s="647"/>
      <c r="F52" s="647"/>
      <c r="G52" s="647"/>
      <c r="H52" s="647"/>
    </row>
    <row r="53" spans="2:14">
      <c r="B53" s="100" t="s">
        <v>880</v>
      </c>
      <c r="C53" s="29" t="s">
        <v>518</v>
      </c>
      <c r="D53" s="646"/>
      <c r="E53" s="647"/>
      <c r="F53" s="647"/>
      <c r="G53" s="647"/>
      <c r="H53" s="647"/>
    </row>
    <row r="54" spans="2:14">
      <c r="B54" s="184" t="s">
        <v>881</v>
      </c>
      <c r="C54" s="29" t="s">
        <v>518</v>
      </c>
      <c r="D54" s="646"/>
      <c r="E54" s="647"/>
      <c r="F54" s="647"/>
      <c r="G54" s="647"/>
      <c r="H54" s="647"/>
    </row>
    <row r="55" spans="2:14">
      <c r="B55" s="380" t="s">
        <v>882</v>
      </c>
      <c r="C55" s="29" t="s">
        <v>555</v>
      </c>
      <c r="D55" s="646"/>
      <c r="E55" s="647"/>
      <c r="F55" s="647"/>
      <c r="G55" s="647"/>
      <c r="H55" s="647"/>
    </row>
    <row r="56" spans="2:14">
      <c r="B56" s="184" t="s">
        <v>883</v>
      </c>
      <c r="C56" s="29" t="s">
        <v>884</v>
      </c>
      <c r="D56" s="646"/>
      <c r="E56" s="647"/>
      <c r="F56" s="647"/>
      <c r="G56" s="647"/>
      <c r="H56" s="647"/>
    </row>
    <row r="57" spans="2:14">
      <c r="B57" s="184" t="s">
        <v>885</v>
      </c>
      <c r="C57" s="29" t="s">
        <v>886</v>
      </c>
      <c r="D57" s="646"/>
      <c r="E57" s="647"/>
      <c r="F57" s="647"/>
      <c r="G57" s="647"/>
      <c r="H57" s="647"/>
    </row>
    <row r="58" spans="2:14">
      <c r="B58" s="184" t="s">
        <v>887</v>
      </c>
      <c r="C58" s="29" t="s">
        <v>884</v>
      </c>
      <c r="D58" s="646"/>
      <c r="E58" s="647"/>
      <c r="F58" s="647"/>
      <c r="G58" s="647"/>
      <c r="H58" s="647"/>
    </row>
    <row r="59" spans="2:14">
      <c r="B59" s="380" t="s">
        <v>888</v>
      </c>
      <c r="C59" s="29" t="s">
        <v>555</v>
      </c>
      <c r="D59" s="667">
        <f>D57*D58</f>
        <v>0</v>
      </c>
      <c r="E59" s="667">
        <f t="shared" ref="E59:H59" si="6">E57*E58</f>
        <v>0</v>
      </c>
      <c r="F59" s="667">
        <f t="shared" si="6"/>
        <v>0</v>
      </c>
      <c r="G59" s="667">
        <f t="shared" si="6"/>
        <v>0</v>
      </c>
      <c r="H59" s="667">
        <f t="shared" si="6"/>
        <v>0</v>
      </c>
    </row>
    <row r="60" spans="2:14">
      <c r="C60" s="29"/>
      <c r="D60" s="655"/>
      <c r="E60" s="655"/>
      <c r="F60" s="655"/>
      <c r="G60" s="655"/>
      <c r="H60" s="655"/>
    </row>
    <row r="61" spans="2:14">
      <c r="B61" s="380" t="s">
        <v>889</v>
      </c>
      <c r="C61" s="29" t="s">
        <v>555</v>
      </c>
      <c r="D61" s="646"/>
      <c r="E61" s="647"/>
      <c r="F61" s="647"/>
      <c r="G61" s="647"/>
      <c r="H61" s="647"/>
    </row>
    <row r="62" spans="2:14">
      <c r="B62" s="380"/>
      <c r="C62" s="380"/>
      <c r="D62" s="656"/>
      <c r="E62" s="656"/>
      <c r="F62" s="656"/>
      <c r="G62" s="656"/>
      <c r="H62" s="656"/>
      <c r="I62" s="380"/>
      <c r="J62" s="380"/>
      <c r="K62" s="380"/>
      <c r="L62" s="380"/>
      <c r="M62" s="380"/>
      <c r="N62" s="380"/>
    </row>
    <row r="63" spans="2:14">
      <c r="B63" s="380" t="s">
        <v>890</v>
      </c>
      <c r="C63" s="29"/>
      <c r="D63" s="667">
        <f>D55+D59+D61</f>
        <v>0</v>
      </c>
      <c r="E63" s="667">
        <f>E55+E59+E61</f>
        <v>0</v>
      </c>
      <c r="F63" s="667">
        <f>F55+F59+F61</f>
        <v>0</v>
      </c>
      <c r="G63" s="667">
        <f>G55+G59+G61</f>
        <v>0</v>
      </c>
      <c r="H63" s="667">
        <f>H55+H59+H61</f>
        <v>0</v>
      </c>
    </row>
    <row r="64" spans="2:14">
      <c r="B64" s="380" t="s">
        <v>870</v>
      </c>
      <c r="C64" s="29" t="s">
        <v>555</v>
      </c>
      <c r="D64" s="646"/>
      <c r="E64" s="647"/>
      <c r="F64" s="647"/>
      <c r="G64" s="647"/>
      <c r="H64" s="647"/>
    </row>
    <row r="65" spans="1:12">
      <c r="B65" s="380"/>
      <c r="C65" s="29"/>
      <c r="D65" s="656"/>
      <c r="E65" s="656"/>
      <c r="F65" s="656"/>
      <c r="G65" s="656"/>
      <c r="H65" s="656"/>
      <c r="J65" s="380"/>
      <c r="K65" s="380"/>
    </row>
    <row r="66" spans="1:12">
      <c r="B66" s="380" t="s">
        <v>891</v>
      </c>
      <c r="C66" s="29" t="s">
        <v>555</v>
      </c>
      <c r="D66" s="667">
        <f>D47+D63</f>
        <v>1.6501670400000001</v>
      </c>
      <c r="E66" s="667">
        <f t="shared" ref="E66:H66" si="7">E47+E63</f>
        <v>1.13895704</v>
      </c>
      <c r="F66" s="667">
        <f t="shared" si="7"/>
        <v>0</v>
      </c>
      <c r="G66" s="667">
        <f t="shared" si="7"/>
        <v>0</v>
      </c>
      <c r="H66" s="667">
        <f t="shared" si="7"/>
        <v>0</v>
      </c>
    </row>
    <row r="67" spans="1:12">
      <c r="B67" s="380" t="s">
        <v>892</v>
      </c>
      <c r="C67" s="29" t="s">
        <v>555</v>
      </c>
      <c r="D67" s="667">
        <f>D48+D64</f>
        <v>1.6322948480486388</v>
      </c>
      <c r="E67" s="667">
        <f t="shared" ref="E67:H67" si="8">E48+E64</f>
        <v>1.1248292319513613</v>
      </c>
      <c r="F67" s="667">
        <f t="shared" si="8"/>
        <v>0</v>
      </c>
      <c r="G67" s="667">
        <f t="shared" si="8"/>
        <v>0</v>
      </c>
      <c r="H67" s="667">
        <f t="shared" si="8"/>
        <v>0</v>
      </c>
      <c r="J67" s="380"/>
    </row>
    <row r="68" spans="1:12">
      <c r="B68" s="380"/>
      <c r="C68" s="29"/>
      <c r="D68" s="495"/>
      <c r="E68" s="495"/>
      <c r="F68" s="495"/>
      <c r="G68" s="495"/>
      <c r="H68" s="495"/>
      <c r="J68" s="380"/>
    </row>
    <row r="69" spans="1:12">
      <c r="B69" s="380" t="s">
        <v>893</v>
      </c>
      <c r="C69" s="29"/>
      <c r="D69" s="495"/>
      <c r="E69" s="495"/>
      <c r="F69" s="495"/>
      <c r="G69" s="495"/>
      <c r="H69" s="495"/>
      <c r="I69" s="495"/>
      <c r="J69" s="495"/>
      <c r="K69" s="495"/>
    </row>
    <row r="70" spans="1:12">
      <c r="B70" s="100" t="s">
        <v>894</v>
      </c>
      <c r="C70" s="29"/>
      <c r="D70" s="446" t="s">
        <v>976</v>
      </c>
      <c r="E70" s="495"/>
      <c r="F70" s="495"/>
      <c r="G70" s="495"/>
      <c r="H70" s="495"/>
      <c r="I70" s="495"/>
      <c r="J70" s="495"/>
      <c r="K70" s="495"/>
    </row>
    <row r="71" spans="1:12">
      <c r="B71" s="100" t="s">
        <v>895</v>
      </c>
      <c r="C71" s="29"/>
      <c r="D71" s="446" t="s">
        <v>977</v>
      </c>
      <c r="E71" s="495"/>
      <c r="F71" s="495"/>
      <c r="G71" s="495"/>
      <c r="H71" s="495"/>
      <c r="I71" s="495"/>
      <c r="J71" s="495"/>
      <c r="K71" s="495"/>
    </row>
    <row r="72" spans="1:12">
      <c r="B72" s="100" t="s">
        <v>896</v>
      </c>
      <c r="C72" s="29"/>
      <c r="D72" s="446" t="s">
        <v>978</v>
      </c>
      <c r="E72" s="495"/>
      <c r="F72" s="495"/>
      <c r="G72" s="495"/>
      <c r="H72" s="495"/>
      <c r="I72" s="495"/>
      <c r="J72" s="495"/>
      <c r="K72" s="495"/>
    </row>
    <row r="73" spans="1:12">
      <c r="B73" s="380"/>
      <c r="C73" s="29"/>
      <c r="D73" s="495"/>
      <c r="E73" s="495"/>
      <c r="F73" s="495"/>
      <c r="G73" s="495"/>
      <c r="H73" s="495"/>
      <c r="I73" s="495"/>
      <c r="J73" s="495"/>
      <c r="K73" s="495"/>
    </row>
    <row r="74" spans="1:12">
      <c r="A74" s="379" t="s">
        <v>897</v>
      </c>
      <c r="B74" s="380"/>
      <c r="C74" s="29"/>
      <c r="D74" s="29"/>
      <c r="E74" s="495"/>
      <c r="F74" s="495"/>
      <c r="G74" s="495"/>
      <c r="H74" s="495"/>
      <c r="I74" s="495"/>
      <c r="J74" s="495"/>
      <c r="K74" s="495"/>
      <c r="L74" s="29"/>
    </row>
    <row r="75" spans="1:12">
      <c r="A75" s="379" t="s">
        <v>898</v>
      </c>
      <c r="B75" s="380"/>
      <c r="C75" s="380"/>
      <c r="D75" s="380"/>
      <c r="E75" s="495"/>
      <c r="F75" s="380"/>
      <c r="G75" s="380"/>
      <c r="H75" s="380"/>
      <c r="I75" s="380"/>
      <c r="J75" s="380"/>
    </row>
    <row r="76" spans="1:12">
      <c r="A76" s="379"/>
      <c r="B76" s="380"/>
      <c r="C76" s="380"/>
      <c r="D76" s="380"/>
      <c r="E76" s="380"/>
      <c r="F76" s="380"/>
      <c r="G76" s="380"/>
      <c r="H76" s="380"/>
      <c r="I76" s="380"/>
      <c r="J76" s="380"/>
    </row>
    <row r="77" spans="1:12">
      <c r="B77" s="380" t="s">
        <v>899</v>
      </c>
    </row>
    <row r="78" spans="1:12">
      <c r="B78" s="380"/>
    </row>
    <row r="79" spans="1:12">
      <c r="B79" s="657"/>
      <c r="C79" s="658"/>
      <c r="D79" s="658"/>
      <c r="E79" s="658"/>
      <c r="F79" s="658"/>
      <c r="G79" s="659"/>
      <c r="H79" s="660"/>
    </row>
    <row r="80" spans="1:12">
      <c r="B80" s="661"/>
      <c r="C80" s="662"/>
      <c r="D80" s="385"/>
      <c r="E80" s="386"/>
      <c r="F80" s="386"/>
      <c r="G80" s="386"/>
      <c r="H80" s="387"/>
    </row>
    <row r="81" spans="2:8">
      <c r="B81" s="661"/>
      <c r="C81" s="662"/>
      <c r="D81" s="385"/>
      <c r="E81" s="386"/>
      <c r="F81" s="386"/>
      <c r="G81" s="386"/>
      <c r="H81" s="387"/>
    </row>
    <row r="82" spans="2:8">
      <c r="B82" s="661"/>
      <c r="C82" s="662"/>
      <c r="D82" s="385"/>
      <c r="E82" s="386"/>
      <c r="F82" s="386"/>
      <c r="G82" s="386"/>
      <c r="H82" s="387"/>
    </row>
    <row r="83" spans="2:8">
      <c r="B83" s="661"/>
      <c r="C83" s="662"/>
      <c r="D83" s="385"/>
      <c r="E83" s="386"/>
      <c r="F83" s="386"/>
      <c r="G83" s="386"/>
      <c r="H83" s="387"/>
    </row>
    <row r="84" spans="2:8">
      <c r="B84" s="663"/>
      <c r="C84" s="664"/>
      <c r="D84" s="390"/>
      <c r="E84" s="391"/>
      <c r="F84" s="391"/>
      <c r="G84" s="391"/>
      <c r="H84" s="392"/>
    </row>
  </sheetData>
  <sheetProtection insertRows="0" sort="0" autoFilter="0" pivotTables="0"/>
  <mergeCells count="1">
    <mergeCell ref="D23:H23"/>
  </mergeCells>
  <phoneticPr fontId="248" type="noConversion"/>
  <conditionalFormatting sqref="D5:G6">
    <cfRule type="expression" dxfId="17" priority="35">
      <formula>AND(D$5="Actuals",E$5="N/A")</formula>
    </cfRule>
  </conditionalFormatting>
  <conditionalFormatting sqref="D5:H6 D27:H37 D45:H45 D51:H59 D66:H68 D69:K69 D70:D73 F70:K74 E70:E75">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40:H43">
    <cfRule type="expression" dxfId="11" priority="11">
      <formula>D$5="N/A"</formula>
    </cfRule>
  </conditionalFormatting>
  <conditionalFormatting sqref="D61:H61 D63:H64">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0" zoomScaleNormal="80" workbookViewId="0">
      <selection activeCell="M19" sqref="M19"/>
    </sheetView>
  </sheetViews>
  <sheetFormatPr defaultColWidth="9" defaultRowHeight="13.5"/>
  <cols>
    <col min="1" max="1" width="8.3828125" style="100" customWidth="1"/>
    <col min="2" max="2" width="77.23046875" style="100" bestFit="1" customWidth="1"/>
    <col min="3" max="3" width="14.15234375" style="100" customWidth="1"/>
    <col min="4" max="8" width="11.15234375" style="100" customWidth="1"/>
    <col min="9" max="9" width="6.61328125" style="100" bestFit="1" customWidth="1"/>
    <col min="10" max="16384" width="9" style="100"/>
  </cols>
  <sheetData>
    <row r="1" spans="1:10" ht="20">
      <c r="A1" s="775" t="s">
        <v>900</v>
      </c>
      <c r="B1" s="281"/>
      <c r="C1" s="282"/>
      <c r="D1" s="282"/>
      <c r="E1" s="282"/>
      <c r="F1" s="282"/>
      <c r="G1" s="282"/>
      <c r="H1" s="282"/>
      <c r="I1" s="407"/>
    </row>
    <row r="2" spans="1:10" ht="20">
      <c r="A2" s="776" t="str">
        <f>Licensee</f>
        <v>ENWL</v>
      </c>
      <c r="B2" s="285"/>
      <c r="C2" s="286"/>
      <c r="D2" s="286"/>
      <c r="E2" s="286"/>
      <c r="F2" s="286"/>
      <c r="G2" s="286"/>
      <c r="H2" s="286"/>
      <c r="I2" s="288"/>
    </row>
    <row r="3" spans="1:10" ht="20">
      <c r="A3" s="777">
        <f>Reporting_Year</f>
        <v>2025</v>
      </c>
      <c r="B3" s="503"/>
      <c r="C3" s="289"/>
      <c r="D3" s="289"/>
      <c r="E3" s="289"/>
      <c r="F3" s="289"/>
      <c r="G3" s="289"/>
      <c r="H3" s="289"/>
      <c r="I3" s="291"/>
    </row>
    <row r="4" spans="1:10" s="293" customFormat="1" ht="12.75" customHeight="1">
      <c r="B4" s="430"/>
      <c r="C4" s="100"/>
      <c r="D4" s="547"/>
      <c r="E4" s="547"/>
    </row>
    <row r="5" spans="1:10" s="293" customFormat="1" ht="12.75" customHeight="1">
      <c r="B5" s="430"/>
      <c r="C5" s="100"/>
      <c r="D5" s="668" t="str">
        <f t="shared" ref="D5:H5" si="0">IF(D6&lt;=Reporting_Year,"Actuals","Forecast")</f>
        <v>Actuals</v>
      </c>
      <c r="E5" s="668" t="str">
        <f t="shared" si="0"/>
        <v>Actuals</v>
      </c>
      <c r="F5" s="668" t="str">
        <f t="shared" si="0"/>
        <v>Forecast</v>
      </c>
      <c r="G5" s="668" t="str">
        <f t="shared" si="0"/>
        <v>Forecast</v>
      </c>
      <c r="H5" s="668" t="str">
        <f t="shared" si="0"/>
        <v>Forecast</v>
      </c>
      <c r="I5" s="417"/>
    </row>
    <row r="6" spans="1:10" s="293" customFormat="1">
      <c r="C6" s="100"/>
      <c r="D6" s="509">
        <f>'RFPR cover'!$C$6</f>
        <v>2024</v>
      </c>
      <c r="E6" s="509">
        <f>D6+1</f>
        <v>2025</v>
      </c>
      <c r="F6" s="509">
        <f t="shared" ref="F6:H6" si="1">E6+1</f>
        <v>2026</v>
      </c>
      <c r="G6" s="509">
        <f t="shared" si="1"/>
        <v>2027</v>
      </c>
      <c r="H6" s="509">
        <f t="shared" si="1"/>
        <v>2028</v>
      </c>
      <c r="I6" s="417"/>
    </row>
    <row r="7" spans="1:10" s="293" customFormat="1">
      <c r="D7" s="408" t="str">
        <f>RIIO_2_start_date-1&amp;"/"&amp;RIGHT(RIIO_2_start_date,2)</f>
        <v>2023/24</v>
      </c>
      <c r="E7" s="408" t="str">
        <f>RIIO_2_start_date&amp;"/"&amp;RIGHT(RIIO_2_start_date+1,2)</f>
        <v>2024/25</v>
      </c>
      <c r="F7" s="408" t="str">
        <f>RIIO_2_start_date+1&amp;"/"&amp;RIGHT(RIIO_2_start_date+2,2)</f>
        <v>2025/26</v>
      </c>
      <c r="G7" s="408" t="str">
        <f>RIIO_2_start_date+2&amp;"/"&amp;RIGHT(RIIO_2_start_date+3,2)</f>
        <v>2026/27</v>
      </c>
      <c r="H7" s="509" t="str">
        <f>RIIO_2_start_date+3&amp;"/"&amp;RIGHT(RIIO_2_start_date+4,2)</f>
        <v>2027/28</v>
      </c>
      <c r="I7" s="417"/>
    </row>
    <row r="8" spans="1:10" s="293" customFormat="1">
      <c r="I8" s="417"/>
    </row>
    <row r="9" spans="1:10" s="293" customFormat="1">
      <c r="B9" s="669" t="s">
        <v>901</v>
      </c>
      <c r="C9" s="346"/>
      <c r="D9" s="347"/>
      <c r="E9" s="347"/>
      <c r="F9" s="347"/>
      <c r="G9" s="347"/>
      <c r="H9" s="347"/>
      <c r="I9" s="417"/>
    </row>
    <row r="10" spans="1:10" s="293" customFormat="1">
      <c r="B10" s="432"/>
      <c r="C10" s="29"/>
      <c r="I10" s="417"/>
    </row>
    <row r="11" spans="1:10" s="293" customFormat="1">
      <c r="B11" s="432"/>
      <c r="C11" s="29"/>
      <c r="I11" s="417"/>
    </row>
    <row r="12" spans="1:10">
      <c r="B12" s="380" t="s">
        <v>902</v>
      </c>
      <c r="C12" s="29" t="s">
        <v>555</v>
      </c>
      <c r="D12" s="670">
        <v>0</v>
      </c>
      <c r="E12" s="670">
        <v>0</v>
      </c>
      <c r="F12" s="670"/>
      <c r="G12" s="670"/>
      <c r="H12" s="670"/>
      <c r="I12" s="417"/>
      <c r="J12" s="293"/>
    </row>
    <row r="13" spans="1:10">
      <c r="B13" s="511" t="s">
        <v>903</v>
      </c>
      <c r="D13" s="602"/>
      <c r="E13" s="602"/>
      <c r="F13" s="602"/>
      <c r="G13" s="602"/>
      <c r="H13" s="602"/>
      <c r="J13" s="293"/>
    </row>
    <row r="14" spans="1:10">
      <c r="B14" s="100" t="s">
        <v>904</v>
      </c>
      <c r="C14" s="29" t="s">
        <v>555</v>
      </c>
      <c r="D14" s="670">
        <v>0</v>
      </c>
      <c r="E14" s="670">
        <v>0</v>
      </c>
      <c r="F14" s="670"/>
      <c r="G14" s="670"/>
      <c r="H14" s="670"/>
      <c r="I14" s="417"/>
      <c r="J14" s="293"/>
    </row>
    <row r="15" spans="1:10">
      <c r="B15" s="100" t="s">
        <v>905</v>
      </c>
      <c r="C15" s="29" t="s">
        <v>555</v>
      </c>
      <c r="D15" s="670">
        <v>0</v>
      </c>
      <c r="E15" s="670">
        <v>0</v>
      </c>
      <c r="F15" s="670"/>
      <c r="G15" s="670"/>
      <c r="H15" s="670"/>
      <c r="I15" s="417"/>
      <c r="J15" s="293"/>
    </row>
    <row r="16" spans="1:10">
      <c r="D16" s="602"/>
      <c r="E16" s="602"/>
      <c r="F16" s="602"/>
      <c r="G16" s="602"/>
      <c r="H16" s="602"/>
      <c r="I16" s="417"/>
      <c r="J16" s="293"/>
    </row>
    <row r="17" spans="2:10">
      <c r="D17" s="602"/>
      <c r="E17" s="602"/>
      <c r="F17" s="602"/>
      <c r="G17" s="602"/>
      <c r="H17" s="602"/>
      <c r="I17" s="417"/>
      <c r="J17" s="293"/>
    </row>
    <row r="18" spans="2:10">
      <c r="B18" s="100" t="s">
        <v>904</v>
      </c>
      <c r="C18" s="582" t="str">
        <f>Data!$C$9</f>
        <v>£m 20/21</v>
      </c>
      <c r="D18" s="220">
        <f t="shared" ref="D18:H18" si="2">D$14/INDEX(real_to_nominal_CF,MATCH(D6,calendar_year,0))</f>
        <v>0</v>
      </c>
      <c r="E18" s="220">
        <f t="shared" si="2"/>
        <v>0</v>
      </c>
      <c r="F18" s="220">
        <f t="shared" si="2"/>
        <v>0</v>
      </c>
      <c r="G18" s="220">
        <f t="shared" si="2"/>
        <v>0</v>
      </c>
      <c r="H18" s="220">
        <f t="shared" si="2"/>
        <v>0</v>
      </c>
      <c r="I18" s="417"/>
      <c r="J18" s="293"/>
    </row>
    <row r="19" spans="2:10">
      <c r="D19" s="602"/>
      <c r="E19" s="602"/>
      <c r="F19" s="602"/>
      <c r="G19" s="602"/>
      <c r="H19" s="602"/>
      <c r="I19" s="417"/>
      <c r="J19" s="293"/>
    </row>
    <row r="20" spans="2:10">
      <c r="D20" s="602"/>
      <c r="E20" s="602"/>
      <c r="F20" s="602"/>
      <c r="G20" s="602"/>
      <c r="H20" s="602"/>
      <c r="I20" s="417"/>
      <c r="J20" s="293"/>
    </row>
    <row r="21" spans="2:10" s="293" customFormat="1">
      <c r="B21" s="380" t="s">
        <v>906</v>
      </c>
      <c r="C21" s="582" t="str">
        <f>Data!$C$9</f>
        <v>£m 20/21</v>
      </c>
      <c r="D21" s="592">
        <v>0</v>
      </c>
      <c r="E21" s="592">
        <v>-7.2817562255393451</v>
      </c>
      <c r="F21" s="592">
        <v>0</v>
      </c>
      <c r="G21" s="592">
        <v>0</v>
      </c>
      <c r="H21" s="592">
        <v>0</v>
      </c>
      <c r="I21" s="417"/>
    </row>
    <row r="22" spans="2:10" s="293" customFormat="1">
      <c r="B22" s="100" t="s">
        <v>907</v>
      </c>
      <c r="C22" s="582" t="str">
        <f>Data!$C$9</f>
        <v>£m 20/21</v>
      </c>
      <c r="D22" s="546">
        <v>0</v>
      </c>
      <c r="E22" s="546">
        <v>-7.2817562255393451</v>
      </c>
      <c r="F22" s="546">
        <v>0</v>
      </c>
      <c r="G22" s="546">
        <v>0</v>
      </c>
      <c r="H22" s="546">
        <v>0</v>
      </c>
      <c r="I22" s="417"/>
    </row>
    <row r="23" spans="2:10" s="293" customFormat="1">
      <c r="B23" s="380" t="s">
        <v>908</v>
      </c>
      <c r="C23" s="582" t="str">
        <f>Data!$C$9</f>
        <v>£m 20/21</v>
      </c>
      <c r="D23" s="220">
        <f>D21-D22</f>
        <v>0</v>
      </c>
      <c r="E23" s="220">
        <f t="shared" ref="E23:H23" si="3">E21-E22</f>
        <v>0</v>
      </c>
      <c r="F23" s="220">
        <f t="shared" si="3"/>
        <v>0</v>
      </c>
      <c r="G23" s="220">
        <f t="shared" si="3"/>
        <v>0</v>
      </c>
      <c r="H23" s="220">
        <f t="shared" si="3"/>
        <v>0</v>
      </c>
      <c r="I23" s="417"/>
    </row>
    <row r="24" spans="2:10" s="293" customFormat="1">
      <c r="B24" s="380"/>
      <c r="C24" s="380"/>
      <c r="D24" s="380"/>
      <c r="E24" s="380"/>
      <c r="F24" s="380"/>
      <c r="G24" s="380"/>
      <c r="H24" s="380"/>
      <c r="I24" s="417"/>
    </row>
    <row r="25" spans="2:10" s="293" customFormat="1">
      <c r="B25" s="380"/>
      <c r="C25" s="380"/>
      <c r="D25" s="854" t="s">
        <v>909</v>
      </c>
      <c r="E25" s="380"/>
      <c r="F25" s="380"/>
      <c r="G25" s="380"/>
      <c r="H25" s="380"/>
      <c r="I25" s="417"/>
    </row>
    <row r="26" spans="2:10" s="293" customFormat="1" ht="12.75" customHeight="1">
      <c r="B26" s="380"/>
      <c r="C26" s="380"/>
      <c r="D26" s="855"/>
      <c r="E26" s="380"/>
      <c r="F26" s="380"/>
      <c r="G26" s="380"/>
      <c r="H26" s="380"/>
      <c r="I26" s="417"/>
    </row>
    <row r="27" spans="2:10">
      <c r="C27" s="380"/>
      <c r="D27" s="856"/>
      <c r="E27" s="380"/>
      <c r="F27" s="380"/>
      <c r="I27" s="417"/>
    </row>
    <row r="28" spans="2:10">
      <c r="B28" s="380" t="s">
        <v>910</v>
      </c>
      <c r="C28" s="380"/>
      <c r="D28" s="671">
        <v>44651</v>
      </c>
      <c r="E28" s="380"/>
      <c r="F28" s="380"/>
      <c r="I28" s="417"/>
    </row>
    <row r="29" spans="2:10">
      <c r="B29" s="380"/>
      <c r="C29" s="380"/>
      <c r="D29" s="672"/>
      <c r="E29" s="380"/>
      <c r="F29" s="380"/>
      <c r="I29" s="417"/>
    </row>
    <row r="30" spans="2:10">
      <c r="B30" s="100" t="s">
        <v>851</v>
      </c>
      <c r="C30" s="380"/>
      <c r="D30" s="673" t="s">
        <v>979</v>
      </c>
      <c r="E30" s="380"/>
      <c r="F30" s="380"/>
      <c r="I30" s="417"/>
    </row>
    <row r="31" spans="2:10">
      <c r="C31" s="380"/>
      <c r="D31" s="380"/>
      <c r="E31" s="380"/>
      <c r="F31" s="380"/>
      <c r="H31"/>
      <c r="I31" s="417"/>
    </row>
    <row r="32" spans="2:10">
      <c r="B32" s="380"/>
      <c r="F32" s="380"/>
      <c r="I32" s="417"/>
    </row>
    <row r="33" spans="2:9">
      <c r="B33" s="100" t="s">
        <v>911</v>
      </c>
      <c r="C33" s="674" t="str">
        <f>"£m "&amp;$D$30</f>
        <v>£m 2021/22</v>
      </c>
      <c r="D33" s="546">
        <v>244.44605000000001</v>
      </c>
      <c r="E33" s="380"/>
      <c r="F33" s="380"/>
      <c r="I33" s="417"/>
    </row>
    <row r="34" spans="2:9">
      <c r="B34" s="100" t="s">
        <v>912</v>
      </c>
      <c r="C34" s="674" t="str">
        <f>"£m "&amp;$D$30</f>
        <v>£m 2021/22</v>
      </c>
      <c r="D34" s="546">
        <v>1153.55395</v>
      </c>
      <c r="E34" s="380"/>
      <c r="F34" s="380"/>
      <c r="I34" s="417"/>
    </row>
    <row r="35" spans="2:9">
      <c r="C35" s="675"/>
      <c r="D35" s="602"/>
      <c r="E35" s="380"/>
      <c r="F35" s="380"/>
      <c r="I35" s="417"/>
    </row>
    <row r="36" spans="2:9">
      <c r="B36" s="100" t="s">
        <v>913</v>
      </c>
      <c r="C36" s="674" t="str">
        <f>"£m "&amp;$D$30</f>
        <v>£m 2021/22</v>
      </c>
      <c r="D36" s="546">
        <v>241.3</v>
      </c>
      <c r="I36" s="417"/>
    </row>
    <row r="37" spans="2:9">
      <c r="B37" s="100" t="s">
        <v>914</v>
      </c>
      <c r="C37" s="674" t="str">
        <f>"£m "&amp;$D$30</f>
        <v>£m 2021/22</v>
      </c>
      <c r="D37" s="546">
        <v>1137.3</v>
      </c>
      <c r="I37" s="417"/>
    </row>
    <row r="38" spans="2:9">
      <c r="C38" s="675"/>
      <c r="D38" s="602"/>
      <c r="I38" s="417"/>
    </row>
    <row r="39" spans="2:9">
      <c r="B39" s="522" t="s">
        <v>915</v>
      </c>
      <c r="C39" s="674" t="str">
        <f>"£m "&amp;$D$30</f>
        <v>£m 2021/22</v>
      </c>
      <c r="D39" s="220">
        <f>D33-D36</f>
        <v>3.1460500000000025</v>
      </c>
      <c r="I39" s="417"/>
    </row>
    <row r="40" spans="2:9">
      <c r="B40" s="522" t="s">
        <v>916</v>
      </c>
      <c r="C40" s="674" t="str">
        <f>"£m "&amp;$D$30</f>
        <v>£m 2021/22</v>
      </c>
      <c r="D40" s="220">
        <f>D34-D37</f>
        <v>16.253950000000032</v>
      </c>
      <c r="I40" s="417"/>
    </row>
    <row r="41" spans="2:9">
      <c r="C41" s="675"/>
      <c r="D41" s="602"/>
      <c r="I41" s="417"/>
    </row>
    <row r="42" spans="2:9">
      <c r="B42" s="100" t="s">
        <v>917</v>
      </c>
      <c r="C42" s="674" t="str">
        <f>"£m "&amp;$D$30</f>
        <v>£m 2021/22</v>
      </c>
      <c r="D42" s="546">
        <v>16.253950000000032</v>
      </c>
      <c r="I42" s="417"/>
    </row>
    <row r="43" spans="2:9">
      <c r="B43" s="100" t="s">
        <v>918</v>
      </c>
      <c r="C43" s="674" t="str">
        <f>"£m "&amp;$D$30</f>
        <v>£m 2021/22</v>
      </c>
      <c r="D43" s="546">
        <v>3.1460500000000025</v>
      </c>
      <c r="I43" s="417"/>
    </row>
    <row r="44" spans="2:9">
      <c r="I44" s="417"/>
    </row>
    <row r="45" spans="2:9">
      <c r="I45" s="417"/>
    </row>
    <row r="46" spans="2:9">
      <c r="I46" s="417"/>
    </row>
    <row r="47" spans="2:9">
      <c r="B47" s="669" t="s">
        <v>919</v>
      </c>
      <c r="C47" s="346"/>
      <c r="D47" s="347"/>
      <c r="E47" s="347"/>
      <c r="F47" s="347"/>
      <c r="G47" s="347"/>
      <c r="H47" s="347"/>
      <c r="I47" s="417"/>
    </row>
    <row r="48" spans="2:9">
      <c r="I48" s="417"/>
    </row>
    <row r="49" spans="1:9">
      <c r="I49" s="417"/>
    </row>
    <row r="50" spans="1:9">
      <c r="I50" s="417"/>
    </row>
    <row r="51" spans="1:9">
      <c r="A51" s="293"/>
      <c r="B51" s="430"/>
      <c r="C51" s="430"/>
      <c r="D51" s="668" t="str">
        <f t="shared" ref="D51:H51" si="4">IF(D52&lt;=Reporting_Year,"Actuals","Forecast")</f>
        <v>Actuals</v>
      </c>
      <c r="E51" s="668" t="str">
        <f t="shared" si="4"/>
        <v>Actuals</v>
      </c>
      <c r="F51" s="668" t="str">
        <f t="shared" si="4"/>
        <v>Forecast</v>
      </c>
      <c r="G51" s="668" t="str">
        <f t="shared" si="4"/>
        <v>Forecast</v>
      </c>
      <c r="H51" s="668" t="str">
        <f t="shared" si="4"/>
        <v>Forecast</v>
      </c>
      <c r="I51" s="417"/>
    </row>
    <row r="52" spans="1:9">
      <c r="A52" s="293"/>
      <c r="B52" s="293"/>
      <c r="C52" s="380"/>
      <c r="D52" s="509">
        <f>'RFPR cover'!$C$6</f>
        <v>2024</v>
      </c>
      <c r="E52" s="509">
        <f t="shared" ref="E52:H52" si="5">D52+1</f>
        <v>2025</v>
      </c>
      <c r="F52" s="509">
        <f t="shared" si="5"/>
        <v>2026</v>
      </c>
      <c r="G52" s="509">
        <f t="shared" si="5"/>
        <v>2027</v>
      </c>
      <c r="H52" s="509">
        <f t="shared" si="5"/>
        <v>2028</v>
      </c>
      <c r="I52" s="417"/>
    </row>
    <row r="53" spans="1:9">
      <c r="D53" s="676"/>
      <c r="E53" s="676"/>
      <c r="F53" s="676"/>
      <c r="G53" s="676"/>
      <c r="H53" s="676"/>
      <c r="I53" s="417"/>
    </row>
    <row r="54" spans="1:9">
      <c r="B54" s="432" t="s">
        <v>920</v>
      </c>
      <c r="C54" s="582" t="str">
        <f>Data!$C$9</f>
        <v>£m 20/21</v>
      </c>
      <c r="D54" s="221">
        <f>(D$62+D$67)/INDEX(real_to_nominal_CF,MATCH('R10 - Pensions &amp; Oth Activities'!D52,calendar_year,0))</f>
        <v>0.39051705982458462</v>
      </c>
      <c r="E54" s="221">
        <f>(E$62+E$67)/INDEX(real_to_nominal_CF,MATCH('R10 - Pensions &amp; Oth Activities'!E52,calendar_year,0))</f>
        <v>0.6508850249121475</v>
      </c>
      <c r="F54" s="221">
        <f>(F$62+F$67)/INDEX(real_to_nominal_CF,MATCH('R10 - Pensions &amp; Oth Activities'!F52,calendar_year,0))</f>
        <v>0</v>
      </c>
      <c r="G54" s="221">
        <f>(G$62+G$67)/INDEX(real_to_nominal_CF,MATCH('R10 - Pensions &amp; Oth Activities'!G52,calendar_year,0))</f>
        <v>0</v>
      </c>
      <c r="H54" s="221">
        <f>(H$62+H$67)/INDEX(real_to_nominal_CF,MATCH('R10 - Pensions &amp; Oth Activities'!H52,calendar_year,0))</f>
        <v>0</v>
      </c>
      <c r="I54" s="417"/>
    </row>
    <row r="55" spans="1:9">
      <c r="D55" s="676"/>
      <c r="E55" s="676"/>
      <c r="F55" s="676"/>
      <c r="G55" s="676"/>
      <c r="H55" s="676"/>
    </row>
    <row r="56" spans="1:9">
      <c r="B56" s="380" t="s">
        <v>921</v>
      </c>
      <c r="D56" s="676"/>
      <c r="E56" s="676"/>
      <c r="F56" s="676"/>
      <c r="G56" s="676"/>
      <c r="H56" s="676"/>
    </row>
    <row r="57" spans="1:9">
      <c r="B57" s="677" t="s">
        <v>922</v>
      </c>
      <c r="C57" s="29" t="s">
        <v>555</v>
      </c>
      <c r="D57" s="446">
        <v>0</v>
      </c>
      <c r="E57" s="446">
        <v>0</v>
      </c>
      <c r="F57" s="446"/>
      <c r="G57" s="446"/>
      <c r="H57" s="446"/>
    </row>
    <row r="58" spans="1:9">
      <c r="B58" s="677" t="s">
        <v>922</v>
      </c>
      <c r="C58" s="29" t="s">
        <v>555</v>
      </c>
      <c r="D58" s="446">
        <v>0</v>
      </c>
      <c r="E58" s="446">
        <v>0</v>
      </c>
      <c r="F58" s="446"/>
      <c r="G58" s="446"/>
      <c r="H58" s="446"/>
    </row>
    <row r="59" spans="1:9">
      <c r="B59" s="677" t="s">
        <v>835</v>
      </c>
      <c r="C59" s="29" t="s">
        <v>555</v>
      </c>
      <c r="D59" s="446">
        <v>0</v>
      </c>
      <c r="E59" s="446">
        <v>0</v>
      </c>
      <c r="F59" s="446"/>
      <c r="G59" s="446"/>
      <c r="H59" s="446"/>
    </row>
    <row r="60" spans="1:9">
      <c r="B60" s="380" t="s">
        <v>923</v>
      </c>
      <c r="C60" s="29" t="s">
        <v>555</v>
      </c>
      <c r="D60" s="221">
        <f t="shared" ref="D60:H60" si="6">SUM(D57:D59)</f>
        <v>0</v>
      </c>
      <c r="E60" s="221">
        <f t="shared" si="6"/>
        <v>0</v>
      </c>
      <c r="F60" s="221">
        <f t="shared" si="6"/>
        <v>0</v>
      </c>
      <c r="G60" s="221">
        <f t="shared" si="6"/>
        <v>0</v>
      </c>
      <c r="H60" s="221">
        <f t="shared" si="6"/>
        <v>0</v>
      </c>
    </row>
    <row r="61" spans="1:9">
      <c r="B61" s="293" t="s">
        <v>924</v>
      </c>
      <c r="C61" s="29" t="s">
        <v>555</v>
      </c>
      <c r="D61" s="446">
        <v>0</v>
      </c>
      <c r="E61" s="446">
        <v>0</v>
      </c>
      <c r="F61" s="446"/>
      <c r="G61" s="446"/>
      <c r="H61" s="446"/>
    </row>
    <row r="62" spans="1:9">
      <c r="B62" s="432" t="s">
        <v>925</v>
      </c>
      <c r="C62" s="29" t="s">
        <v>555</v>
      </c>
      <c r="D62" s="221">
        <f t="shared" ref="D62:H62" si="7">D60-D61</f>
        <v>0</v>
      </c>
      <c r="E62" s="221">
        <f t="shared" si="7"/>
        <v>0</v>
      </c>
      <c r="F62" s="221">
        <f t="shared" si="7"/>
        <v>0</v>
      </c>
      <c r="G62" s="221">
        <f t="shared" si="7"/>
        <v>0</v>
      </c>
      <c r="H62" s="221">
        <f t="shared" si="7"/>
        <v>0</v>
      </c>
    </row>
    <row r="64" spans="1:9">
      <c r="B64" s="380" t="s">
        <v>926</v>
      </c>
      <c r="D64" s="676"/>
      <c r="E64" s="676"/>
      <c r="F64" s="676"/>
      <c r="G64" s="676"/>
      <c r="H64" s="676"/>
    </row>
    <row r="65" spans="2:8">
      <c r="B65" s="677" t="s">
        <v>927</v>
      </c>
      <c r="C65" s="29" t="s">
        <v>555</v>
      </c>
      <c r="D65" s="446">
        <v>0.50010500000000002</v>
      </c>
      <c r="E65" s="446">
        <v>0.86033500000000029</v>
      </c>
      <c r="F65" s="446"/>
      <c r="G65" s="446"/>
      <c r="H65" s="446"/>
    </row>
    <row r="66" spans="2:8">
      <c r="B66" s="293" t="s">
        <v>924</v>
      </c>
      <c r="C66" s="29" t="s">
        <v>555</v>
      </c>
      <c r="D66" s="446">
        <v>0</v>
      </c>
      <c r="E66" s="446">
        <v>0</v>
      </c>
      <c r="F66" s="446"/>
      <c r="G66" s="446"/>
      <c r="H66" s="446"/>
    </row>
    <row r="67" spans="2:8">
      <c r="B67" s="432" t="s">
        <v>928</v>
      </c>
      <c r="C67" s="29" t="s">
        <v>555</v>
      </c>
      <c r="D67" s="221">
        <f t="shared" ref="D67:H67" si="8">D65-D66</f>
        <v>0.50010500000000002</v>
      </c>
      <c r="E67" s="221">
        <f t="shared" si="8"/>
        <v>0.86033500000000029</v>
      </c>
      <c r="F67" s="221">
        <f t="shared" si="8"/>
        <v>0</v>
      </c>
      <c r="G67" s="221">
        <f t="shared" si="8"/>
        <v>0</v>
      </c>
      <c r="H67" s="221">
        <f t="shared" si="8"/>
        <v>0</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1381</PublicationRequestID>
    <TaxCatchAll xmlns="d66eba0d-a2b9-4833-9603-ab5d8f45883c" xsi:nil="true"/>
    <DocumentTitle xmlns="3ffacce4-957f-4f0a-910f-9efe2ecf512c">RIIO-2 RFPR template v.4.0</DocumentTitle>
    <DocumentRank xmlns="3ffacce4-957f-4f0a-910f-9efe2ecf512c">Subsidiary</DocumentRank>
  </documentManagement>
</p:properties>
</file>

<file path=customXml/item3.xml>��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D735D4-DBAF-43CF-BFC3-C9BA02FD3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504A4547-FCA8-46B5-8101-4FDF780DCDE6}">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F84B15B-8890-4BBF-8F1F-B67789940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64</vt:i4>
      </vt:variant>
    </vt:vector>
  </HeadingPairs>
  <TitlesOfParts>
    <vt:vector size="78"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ODI_7</vt:lpstr>
      <vt:lpstr>ODI_8</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Ball, Dave (Finance)</cp:lastModifiedBy>
  <cp:revision/>
  <dcterms:created xsi:type="dcterms:W3CDTF">2018-06-13T08:32:09Z</dcterms:created>
  <dcterms:modified xsi:type="dcterms:W3CDTF">2025-09-30T14:24:41Z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0x010100D7C6947C0F765F428416B2828D309B65</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ies>
</file>