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S:\Finance\Enw-core-finance\Investors &amp; Planning\Regulation\RIGs\RFPR\2019-20\Final Submission to Regulation\"/>
    </mc:Choice>
  </mc:AlternateContent>
  <xr:revisionPtr revIDLastSave="0" documentId="10_ncr:100000_{AF0C85C7-5E84-480F-9911-3B27FB4B60C6}" xr6:coauthVersionLast="31" xr6:coauthVersionMax="31" xr10:uidLastSave="{00000000-0000-0000-0000-000000000000}"/>
  <bookViews>
    <workbookView xWindow="0" yWindow="0" windowWidth="28800" windowHeight="11625" tabRatio="847" xr2:uid="{00000000-000D-0000-FFFF-FFFF00000000}"/>
  </bookViews>
  <sheets>
    <sheet name="RFPR cover" sheetId="13" r:id="rId1"/>
    <sheet name="Data" sheetId="28" r:id="rId2"/>
    <sheet name="Content &amp; Version Control" sheetId="21" r:id="rId3"/>
    <sheet name="Change log" sheetId="14" r:id="rId4"/>
    <sheet name="R1 - RoRE" sheetId="1" r:id="rId5"/>
    <sheet name="R2 - Revenue" sheetId="4" r:id="rId6"/>
    <sheet name="R3 - Rec to totex" sheetId="15" r:id="rId7"/>
    <sheet name="R4 - Totex" sheetId="2" r:id="rId8"/>
    <sheet name="R5 - Output Incentives" sheetId="5" r:id="rId9"/>
    <sheet name="R6 - Innovation" sheetId="3" r:id="rId10"/>
    <sheet name="R7 - Financing" sheetId="17" r:id="rId11"/>
    <sheet name="R8 - Net Debt" sheetId="27" r:id="rId12"/>
    <sheet name="R9 - RAV" sheetId="10" r:id="rId13"/>
    <sheet name="R10 - Tax" sheetId="29" r:id="rId14"/>
    <sheet name="R11 - Dividends" sheetId="11" r:id="rId15"/>
    <sheet name="R12 - Pensions" sheetId="19" r:id="rId16"/>
    <sheet name="R13 - Other Activities " sheetId="20" r:id="rId17"/>
  </sheets>
  <externalReferences>
    <externalReference r:id="rId18"/>
    <externalReference r:id="rId19"/>
    <externalReference r:id="rId20"/>
    <externalReference r:id="rId21"/>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3">#REF!</definedName>
    <definedName name="ANIA" localSheetId="11">#REF!</definedName>
    <definedName name="ANIA">#REF!</definedName>
    <definedName name="AR" localSheetId="13">#REF!</definedName>
    <definedName name="AR" localSheetId="11">#REF!</definedName>
    <definedName name="AR">#REF!</definedName>
    <definedName name="ARCMt">'[1]R4 Licence Condition Values'!$G$32:$N$32</definedName>
    <definedName name="ARtDR5" comment="Allowed distribution netwrok reveue in 2014/15">'[1]R5 Input Page'!$E$48:$F$48</definedName>
    <definedName name="AUM">'[1]R5 Input Page'!$G$133:$N$133</definedName>
    <definedName name="BM" localSheetId="13">#REF!</definedName>
    <definedName name="BM" localSheetId="11">#REF!</definedName>
    <definedName name="BM">#REF!</definedName>
    <definedName name="BMt_2">'[1]R5 Input Page'!$E$65:$F$65</definedName>
    <definedName name="Bond_or_Loan_Type_List">[2]!Bond_or_loan_type_table[[#All],[Column1]]</definedName>
    <definedName name="BPC">'[1]R5 Input Page'!$G$123:$N$123</definedName>
    <definedName name="BR" localSheetId="13">#REF!</definedName>
    <definedName name="BR" localSheetId="11">#REF!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3">#REF!</definedName>
    <definedName name="CIIS" localSheetId="11">#REF!</definedName>
    <definedName name="CIIS">#REF!</definedName>
    <definedName name="CIM">'[1]R5 Input Page'!$G$71:$N$71</definedName>
    <definedName name="CM" localSheetId="13">#REF!</definedName>
    <definedName name="CM" localSheetId="11">#REF!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3">#REF!</definedName>
    <definedName name="CMLISt" localSheetId="11">#REF!</definedName>
    <definedName name="CMLISt">#REF!</definedName>
    <definedName name="CMP" localSheetId="13">#REF!</definedName>
    <definedName name="CMP" localSheetId="11">#REF!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3">#REF!</definedName>
    <definedName name="CS" localSheetId="11">#REF!</definedName>
    <definedName name="CS">#REF!</definedName>
    <definedName name="CSA" localSheetId="13">#REF!</definedName>
    <definedName name="CSA" localSheetId="11">#REF!</definedName>
    <definedName name="CSA">#REF!</definedName>
    <definedName name="CSADt">'[1]R4 Licence Condition Values'!$G$25:$N$25</definedName>
    <definedName name="CSAUt">'[1]R4 Licence Condition Values'!$G$19:$N$19</definedName>
    <definedName name="CSB" localSheetId="13">#REF!</definedName>
    <definedName name="CSB" localSheetId="11">#REF!</definedName>
    <definedName name="CSB">#REF!</definedName>
    <definedName name="CSBDt">'[1]R4 Licence Condition Values'!$G$28:$N$28</definedName>
    <definedName name="CSBUt">'[1]R4 Licence Condition Values'!$G$21:$N$21</definedName>
    <definedName name="CSC" localSheetId="13">#REF!</definedName>
    <definedName name="CSC" localSheetId="11">#REF!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3">#REF!</definedName>
    <definedName name="ICE" localSheetId="11">#REF!</definedName>
    <definedName name="ICE">#REF!</definedName>
    <definedName name="ICEO">'[1]R5 Input Page'!$G$106:$N$106</definedName>
    <definedName name="IP" localSheetId="13">#REF!</definedName>
    <definedName name="IP" localSheetId="11">#REF!</definedName>
    <definedName name="IP">#REF!</definedName>
    <definedName name="IQ" localSheetId="13">#REF!</definedName>
    <definedName name="IQ" localSheetId="11">#REF!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3">#REF!</definedName>
    <definedName name="LCN" localSheetId="11">#REF!</definedName>
    <definedName name="LCN">#REF!</definedName>
    <definedName name="LCN1t">'[1]R5 Input Page'!$G$129:$N$129</definedName>
    <definedName name="LCN2t">'[1]R5 Input Page'!$G$128:$N$128</definedName>
    <definedName name="LDR" localSheetId="13">#REF!</definedName>
    <definedName name="LDR" localSheetId="11">#REF!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3">#REF!</definedName>
    <definedName name="NIA" localSheetId="11">#REF!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3">'Change log'!$A$1:$D$60</definedName>
    <definedName name="_xlnm.Print_Area" localSheetId="2">'Content &amp; Version Control'!$A$1:$H$19</definedName>
    <definedName name="_xlnm.Print_Area" localSheetId="4">'R1 - RoRE'!$A$1:$O$47</definedName>
    <definedName name="_xlnm.Print_Area" localSheetId="13">'R10 - Tax'!$A$1:$L$45</definedName>
    <definedName name="_xlnm.Print_Area" localSheetId="14">'R11 - Dividends'!$A$1:$L$15</definedName>
    <definedName name="_xlnm.Print_Area" localSheetId="15">'R12 - Pensions'!$A$1:$K$40</definedName>
    <definedName name="_xlnm.Print_Area" localSheetId="16">'R13 - Other Activities '!$A$1:$L$15</definedName>
    <definedName name="_xlnm.Print_Area" localSheetId="5">'R2 - Revenue'!$A$1:$L$71</definedName>
    <definedName name="_xlnm.Print_Area" localSheetId="6">'R3 - Rec to totex'!$A$1:$K$83</definedName>
    <definedName name="_xlnm.Print_Area" localSheetId="7">'R4 - Totex'!$A$1:$N$165</definedName>
    <definedName name="_xlnm.Print_Area" localSheetId="8">'R5 - Output Incentives'!$A$1:$L$114</definedName>
    <definedName name="_xlnm.Print_Area" localSheetId="9">'R6 - Innovation'!$A$1:$L$28</definedName>
    <definedName name="_xlnm.Print_Area" localSheetId="10">'R7 - Financing'!$A$1:$L$86</definedName>
    <definedName name="_xlnm.Print_Area" localSheetId="11">'R8 - Net Debt'!$A$1:$L$52</definedName>
    <definedName name="_xlnm.Print_Area" localSheetId="12">'R9 - RAV'!$A$1:$L$44</definedName>
    <definedName name="_xlnm.Print_Area" localSheetId="0">'RFPR cover'!$A$1:$K$80</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3">#REF!</definedName>
    <definedName name="QA" localSheetId="11">#REF!</definedName>
    <definedName name="QA">#REF!</definedName>
    <definedName name="QB" localSheetId="13">#REF!</definedName>
    <definedName name="QB" localSheetId="11">#REF!</definedName>
    <definedName name="QB">#REF!</definedName>
    <definedName name="QC" localSheetId="13">#REF!</definedName>
    <definedName name="QC" localSheetId="11">#REF!</definedName>
    <definedName name="QC">#REF!</definedName>
    <definedName name="QD" localSheetId="13">#REF!</definedName>
    <definedName name="QD" localSheetId="11">#REF!</definedName>
    <definedName name="QD">#REF!</definedName>
    <definedName name="QZ" localSheetId="13">#REF!</definedName>
    <definedName name="QZ" localSheetId="11">#REF!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3">#REF!</definedName>
    <definedName name="REV" localSheetId="11">#REF!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3">#REF!</definedName>
    <definedName name="SWE" localSheetId="11">#REF!</definedName>
    <definedName name="SWE">#REF!</definedName>
    <definedName name="SWPD">'[1]R5 Input Page'!$G$99:$N$99</definedName>
    <definedName name="SWPM">'[1]R5 Input Page'!$G$98:$N$98</definedName>
    <definedName name="TA" localSheetId="13">#REF!</definedName>
    <definedName name="TA" localSheetId="11">#REF!</definedName>
    <definedName name="TA">#REF!</definedName>
    <definedName name="TAP" localSheetId="13">#REF!</definedName>
    <definedName name="TAP" localSheetId="11">#REF!</definedName>
    <definedName name="TAP">#REF!</definedName>
    <definedName name="TAUt">'[1]R4 Licence Condition Values'!$G$36:$N$36</definedName>
    <definedName name="TB">'[1]R8 Pass-Through Items'!$G$46:$N$46</definedName>
    <definedName name="TBd" localSheetId="13">#REF!</definedName>
    <definedName name="TBd" localSheetId="11">#REF!</definedName>
    <definedName name="TBd">#REF!</definedName>
    <definedName name="TBP" localSheetId="13">#REF!</definedName>
    <definedName name="TBP" localSheetId="11">#REF!</definedName>
    <definedName name="TBP">#REF!</definedName>
    <definedName name="TBUt">'[1]R4 Licence Condition Values'!$G$39:$N$39</definedName>
    <definedName name="TCA" localSheetId="13">#REF!</definedName>
    <definedName name="TCA" localSheetId="11">#REF!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3">#REF!</definedName>
    <definedName name="TCB" localSheetId="11">#REF!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3">#REF!</definedName>
    <definedName name="TQA" localSheetId="11">#REF!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3">#REF!</definedName>
    <definedName name="TQB" localSheetId="11">#REF!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3">#REF!</definedName>
    <definedName name="TRT" localSheetId="11">#REF!</definedName>
    <definedName name="TRT">#REF!</definedName>
    <definedName name="TRU" localSheetId="13">#REF!</definedName>
    <definedName name="TRU" localSheetId="11">#REF!</definedName>
    <definedName name="TRU">#REF!</definedName>
    <definedName name="TTC" localSheetId="13">#REF!</definedName>
    <definedName name="TTC" localSheetId="11">#REF!</definedName>
    <definedName name="TTC">#REF!</definedName>
    <definedName name="UCPIR">'[1]R4 Licence Condition Values'!$G$27:$N$27</definedName>
    <definedName name="UNC">'[1]R5 Input Page'!$G$61:$N$61</definedName>
    <definedName name="Year">'[4]Pension Pack cover'!$B$80:$B$99</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 i="1" l="1"/>
  <c r="B3" i="1" l="1"/>
  <c r="K21" i="20" l="1"/>
  <c r="J21" i="20"/>
  <c r="I21" i="20"/>
  <c r="H21" i="20"/>
  <c r="G21" i="20"/>
  <c r="F21" i="20"/>
  <c r="E21" i="20"/>
  <c r="D21" i="20"/>
  <c r="K14" i="20"/>
  <c r="K16" i="20" s="1"/>
  <c r="J14" i="20"/>
  <c r="J16" i="20" s="1"/>
  <c r="I14" i="20"/>
  <c r="I16" i="20" s="1"/>
  <c r="H14" i="20"/>
  <c r="H16" i="20" s="1"/>
  <c r="G14" i="20"/>
  <c r="G16" i="20" s="1"/>
  <c r="F14" i="20"/>
  <c r="F16" i="20" s="1"/>
  <c r="E14" i="20"/>
  <c r="E16" i="20" s="1"/>
  <c r="D14" i="20"/>
  <c r="D16" i="20" s="1"/>
  <c r="A3" i="20"/>
  <c r="A2" i="20"/>
  <c r="D36" i="19"/>
  <c r="D35" i="19"/>
  <c r="K19" i="19"/>
  <c r="J19" i="19"/>
  <c r="I19" i="19"/>
  <c r="H19" i="19"/>
  <c r="G19" i="19"/>
  <c r="F19" i="19"/>
  <c r="E19" i="19"/>
  <c r="D19" i="19"/>
  <c r="A3" i="19"/>
  <c r="A2" i="19"/>
  <c r="K13" i="11"/>
  <c r="J13" i="11"/>
  <c r="I13" i="11"/>
  <c r="H13" i="11"/>
  <c r="G13" i="11"/>
  <c r="F13" i="11"/>
  <c r="E13" i="11"/>
  <c r="D13" i="11"/>
  <c r="B3" i="11"/>
  <c r="A3" i="11"/>
  <c r="A2" i="11"/>
  <c r="K68" i="29"/>
  <c r="J68" i="29"/>
  <c r="I68" i="29"/>
  <c r="H68" i="29"/>
  <c r="G68" i="29"/>
  <c r="F68" i="29"/>
  <c r="E68" i="29"/>
  <c r="D68" i="29"/>
  <c r="K62" i="29"/>
  <c r="J62" i="29"/>
  <c r="I62" i="29"/>
  <c r="H62" i="29"/>
  <c r="G62" i="29"/>
  <c r="F62" i="29"/>
  <c r="E62" i="29"/>
  <c r="D62" i="29"/>
  <c r="K19" i="29"/>
  <c r="J19" i="29"/>
  <c r="I19" i="29"/>
  <c r="H19" i="29"/>
  <c r="G19" i="29"/>
  <c r="F19" i="29"/>
  <c r="E19" i="29"/>
  <c r="D19" i="29"/>
  <c r="A3" i="29"/>
  <c r="A2" i="29"/>
  <c r="K28" i="10"/>
  <c r="K31" i="10" s="1"/>
  <c r="J28" i="10"/>
  <c r="J31" i="10" s="1"/>
  <c r="I28" i="10"/>
  <c r="I31" i="10" s="1"/>
  <c r="H28" i="10"/>
  <c r="H31" i="10" s="1"/>
  <c r="G28" i="10"/>
  <c r="G31" i="10" s="1"/>
  <c r="F28" i="10"/>
  <c r="F31" i="10" s="1"/>
  <c r="E28" i="10"/>
  <c r="E31" i="10" s="1"/>
  <c r="D28" i="10"/>
  <c r="D31" i="10" s="1"/>
  <c r="K24" i="10"/>
  <c r="J24" i="10"/>
  <c r="I24" i="10"/>
  <c r="H24" i="10"/>
  <c r="G24" i="10"/>
  <c r="F24" i="10"/>
  <c r="E24" i="10"/>
  <c r="D24" i="10"/>
  <c r="K21" i="10"/>
  <c r="J21" i="10"/>
  <c r="I21" i="10"/>
  <c r="H21" i="10"/>
  <c r="G21" i="10"/>
  <c r="F21" i="10"/>
  <c r="E21" i="10"/>
  <c r="D21" i="10"/>
  <c r="D18" i="10"/>
  <c r="D29" i="10" s="1"/>
  <c r="E16" i="10" s="1"/>
  <c r="E18" i="10" s="1"/>
  <c r="E29" i="10" s="1"/>
  <c r="F16" i="10" s="1"/>
  <c r="F18" i="10" s="1"/>
  <c r="F29" i="10" s="1"/>
  <c r="G16" i="10" s="1"/>
  <c r="G18" i="10" s="1"/>
  <c r="G29" i="10" s="1"/>
  <c r="H16" i="10" s="1"/>
  <c r="H18" i="10" s="1"/>
  <c r="H29" i="10" s="1"/>
  <c r="I16" i="10" s="1"/>
  <c r="I18" i="10" s="1"/>
  <c r="I29" i="10" s="1"/>
  <c r="J16" i="10" s="1"/>
  <c r="J18" i="10" s="1"/>
  <c r="J29" i="10" s="1"/>
  <c r="K16" i="10" s="1"/>
  <c r="K18" i="10" s="1"/>
  <c r="K29" i="10" s="1"/>
  <c r="A3" i="10"/>
  <c r="A2" i="10"/>
  <c r="B3" i="27"/>
  <c r="A3" i="27"/>
  <c r="A2" i="27"/>
  <c r="L6" i="17"/>
  <c r="B3" i="17"/>
  <c r="A3" i="17"/>
  <c r="A2" i="17"/>
  <c r="K17" i="3"/>
  <c r="K18" i="4" s="1"/>
  <c r="J17" i="3"/>
  <c r="J18" i="4" s="1"/>
  <c r="I17" i="3"/>
  <c r="I18" i="4" s="1"/>
  <c r="H17" i="3"/>
  <c r="H18" i="4" s="1"/>
  <c r="G17" i="3"/>
  <c r="G18" i="4" s="1"/>
  <c r="F17" i="3"/>
  <c r="F18" i="4" s="1"/>
  <c r="E17" i="3"/>
  <c r="E18" i="4" s="1"/>
  <c r="D17" i="3"/>
  <c r="D18" i="4" s="1"/>
  <c r="K12" i="3"/>
  <c r="K17" i="4" s="1"/>
  <c r="J12" i="3"/>
  <c r="J17" i="4" s="1"/>
  <c r="I12" i="3"/>
  <c r="I17" i="4" s="1"/>
  <c r="H12" i="3"/>
  <c r="H17" i="4" s="1"/>
  <c r="G12" i="3"/>
  <c r="G17" i="4" s="1"/>
  <c r="F12" i="3"/>
  <c r="F17" i="4" s="1"/>
  <c r="E12" i="3"/>
  <c r="E17" i="4" s="1"/>
  <c r="D12" i="3"/>
  <c r="D17" i="4" s="1"/>
  <c r="B3" i="3"/>
  <c r="A3" i="3"/>
  <c r="A2" i="3"/>
  <c r="A110" i="5"/>
  <c r="A108" i="5"/>
  <c r="A106" i="5"/>
  <c r="K102" i="5"/>
  <c r="K15" i="4" s="1"/>
  <c r="J102" i="5"/>
  <c r="J15" i="4" s="1"/>
  <c r="I102" i="5"/>
  <c r="I15" i="4" s="1"/>
  <c r="H102" i="5"/>
  <c r="H15" i="4" s="1"/>
  <c r="G102" i="5"/>
  <c r="G15" i="4" s="1"/>
  <c r="F102" i="5"/>
  <c r="F15" i="4" s="1"/>
  <c r="E102" i="5"/>
  <c r="E15" i="4" s="1"/>
  <c r="D102" i="5"/>
  <c r="D15" i="4" s="1"/>
  <c r="A100" i="5"/>
  <c r="A111" i="5" s="1"/>
  <c r="A97" i="5"/>
  <c r="A94" i="5"/>
  <c r="A109" i="5" s="1"/>
  <c r="A91" i="5"/>
  <c r="A88" i="5"/>
  <c r="A107" i="5" s="1"/>
  <c r="A85" i="5"/>
  <c r="A82" i="5"/>
  <c r="A105" i="5" s="1"/>
  <c r="K73" i="5"/>
  <c r="J73" i="5"/>
  <c r="I73" i="5"/>
  <c r="H73" i="5"/>
  <c r="G73" i="5"/>
  <c r="F73" i="5"/>
  <c r="E73" i="5"/>
  <c r="D73" i="5"/>
  <c r="I69" i="5"/>
  <c r="H69" i="5"/>
  <c r="E69" i="5"/>
  <c r="D69" i="5"/>
  <c r="A69" i="5"/>
  <c r="K69" i="5" s="1"/>
  <c r="J65" i="5"/>
  <c r="F65" i="5"/>
  <c r="A65" i="5"/>
  <c r="I65" i="5" s="1"/>
  <c r="I61" i="5"/>
  <c r="H61" i="5"/>
  <c r="E61" i="5"/>
  <c r="D61" i="5"/>
  <c r="A61" i="5"/>
  <c r="K61" i="5" s="1"/>
  <c r="J57" i="5"/>
  <c r="F57" i="5"/>
  <c r="A57" i="5"/>
  <c r="I57" i="5" s="1"/>
  <c r="I53" i="5"/>
  <c r="H53" i="5"/>
  <c r="E53" i="5"/>
  <c r="D53" i="5"/>
  <c r="A53" i="5"/>
  <c r="K53" i="5" s="1"/>
  <c r="J49" i="5"/>
  <c r="F49" i="5"/>
  <c r="A49" i="5"/>
  <c r="I49" i="5" s="1"/>
  <c r="A45" i="5"/>
  <c r="A44" i="5"/>
  <c r="A43" i="5"/>
  <c r="A42" i="5"/>
  <c r="A41" i="5"/>
  <c r="A40" i="5"/>
  <c r="A39" i="5"/>
  <c r="A25" i="5"/>
  <c r="A24" i="5"/>
  <c r="A23" i="5"/>
  <c r="A22" i="5"/>
  <c r="A21" i="5"/>
  <c r="K18" i="5"/>
  <c r="J18" i="5"/>
  <c r="I18" i="5"/>
  <c r="H18" i="5"/>
  <c r="G18" i="5"/>
  <c r="F18" i="5"/>
  <c r="E18" i="5"/>
  <c r="D18" i="5"/>
  <c r="M17" i="5"/>
  <c r="M16" i="5"/>
  <c r="M15" i="5"/>
  <c r="M14" i="5"/>
  <c r="M13" i="5"/>
  <c r="M12" i="5"/>
  <c r="M11" i="5"/>
  <c r="L6" i="5"/>
  <c r="A3" i="5"/>
  <c r="A2" i="5"/>
  <c r="B133" i="2"/>
  <c r="B132" i="2"/>
  <c r="B131" i="2"/>
  <c r="B130" i="2"/>
  <c r="B129" i="2"/>
  <c r="B128" i="2"/>
  <c r="K122" i="2"/>
  <c r="J122" i="2"/>
  <c r="I122" i="2"/>
  <c r="H122" i="2"/>
  <c r="G122" i="2"/>
  <c r="F122" i="2"/>
  <c r="E122" i="2"/>
  <c r="D122" i="2"/>
  <c r="B105" i="2"/>
  <c r="B104" i="2"/>
  <c r="B103" i="2"/>
  <c r="B102" i="2"/>
  <c r="B101" i="2"/>
  <c r="B100" i="2"/>
  <c r="K94" i="2"/>
  <c r="J94" i="2"/>
  <c r="I94" i="2"/>
  <c r="H94" i="2"/>
  <c r="G94" i="2"/>
  <c r="F94" i="2"/>
  <c r="E94" i="2"/>
  <c r="D94" i="2"/>
  <c r="B86" i="2"/>
  <c r="K56" i="2"/>
  <c r="J56" i="2"/>
  <c r="I56" i="2"/>
  <c r="H56" i="2"/>
  <c r="G56" i="2"/>
  <c r="F56" i="2"/>
  <c r="E56" i="2"/>
  <c r="D56" i="2"/>
  <c r="M56" i="2" s="1"/>
  <c r="M55" i="2"/>
  <c r="M54" i="2"/>
  <c r="M53" i="2"/>
  <c r="M52" i="2"/>
  <c r="M51" i="2"/>
  <c r="M50" i="2"/>
  <c r="K44" i="2"/>
  <c r="J44" i="2"/>
  <c r="I44" i="2"/>
  <c r="H44" i="2"/>
  <c r="G44" i="2"/>
  <c r="F44" i="2"/>
  <c r="F46" i="2" s="1"/>
  <c r="E44" i="2"/>
  <c r="D44" i="2"/>
  <c r="K42" i="2"/>
  <c r="J42" i="2"/>
  <c r="I42" i="2"/>
  <c r="H42" i="2"/>
  <c r="G42" i="2"/>
  <c r="F42" i="2"/>
  <c r="E42" i="2"/>
  <c r="D42" i="2"/>
  <c r="M41" i="2"/>
  <c r="M42" i="2" s="1"/>
  <c r="M40" i="2"/>
  <c r="K28" i="2"/>
  <c r="J28" i="2"/>
  <c r="I28" i="2"/>
  <c r="H28" i="2"/>
  <c r="G28" i="2"/>
  <c r="F28" i="2"/>
  <c r="E28" i="2"/>
  <c r="D28" i="2"/>
  <c r="M27" i="2"/>
  <c r="M26" i="2"/>
  <c r="M25" i="2"/>
  <c r="M24" i="2"/>
  <c r="M23" i="2"/>
  <c r="M22" i="2"/>
  <c r="K16" i="2"/>
  <c r="J16" i="2"/>
  <c r="I16" i="2"/>
  <c r="H16" i="2"/>
  <c r="G16" i="2"/>
  <c r="F16" i="2"/>
  <c r="E16" i="2"/>
  <c r="D16" i="2"/>
  <c r="K14" i="2"/>
  <c r="J14" i="2"/>
  <c r="I14" i="2"/>
  <c r="H14" i="2"/>
  <c r="G14" i="2"/>
  <c r="F14" i="2"/>
  <c r="E14" i="2"/>
  <c r="D14" i="2"/>
  <c r="M13" i="2"/>
  <c r="M12" i="2"/>
  <c r="L6" i="2"/>
  <c r="A3" i="2"/>
  <c r="A2" i="2"/>
  <c r="K78" i="15"/>
  <c r="J78" i="15"/>
  <c r="I78" i="15"/>
  <c r="H78" i="15"/>
  <c r="G78" i="15"/>
  <c r="F78" i="15"/>
  <c r="E78" i="15"/>
  <c r="D78" i="15"/>
  <c r="J48" i="15"/>
  <c r="J80" i="15" s="1"/>
  <c r="K46" i="15"/>
  <c r="J46" i="15"/>
  <c r="I46" i="15"/>
  <c r="I48" i="15" s="1"/>
  <c r="I80" i="15" s="1"/>
  <c r="H46" i="15"/>
  <c r="G46" i="15"/>
  <c r="F46" i="15"/>
  <c r="E46" i="15"/>
  <c r="D46" i="15"/>
  <c r="J23" i="15"/>
  <c r="K18" i="15"/>
  <c r="K23" i="15" s="1"/>
  <c r="J18" i="15"/>
  <c r="I18" i="15"/>
  <c r="I23" i="15" s="1"/>
  <c r="H18" i="15"/>
  <c r="H23" i="15" s="1"/>
  <c r="G18" i="15"/>
  <c r="G23" i="15" s="1"/>
  <c r="F18" i="15"/>
  <c r="F23" i="15" s="1"/>
  <c r="E18" i="15"/>
  <c r="E23" i="15" s="1"/>
  <c r="D18" i="15"/>
  <c r="D23" i="15" s="1"/>
  <c r="A3" i="15"/>
  <c r="A2" i="15"/>
  <c r="K64" i="4"/>
  <c r="J64" i="4"/>
  <c r="I64" i="4"/>
  <c r="H64" i="4"/>
  <c r="K45" i="4"/>
  <c r="K66" i="4" s="1"/>
  <c r="K68" i="4" s="1"/>
  <c r="J45" i="4"/>
  <c r="J66" i="4" s="1"/>
  <c r="J68" i="4" s="1"/>
  <c r="I45" i="4"/>
  <c r="I66" i="4" s="1"/>
  <c r="I68" i="4" s="1"/>
  <c r="H45" i="4"/>
  <c r="H66" i="4" s="1"/>
  <c r="H68" i="4" s="1"/>
  <c r="K28" i="4"/>
  <c r="J28" i="4"/>
  <c r="I28" i="4"/>
  <c r="K14" i="4"/>
  <c r="J14" i="4"/>
  <c r="I14" i="4"/>
  <c r="H14" i="4"/>
  <c r="G14" i="4"/>
  <c r="F14" i="4"/>
  <c r="E14" i="4"/>
  <c r="D14" i="4"/>
  <c r="A3" i="4"/>
  <c r="A2" i="4"/>
  <c r="B42" i="1"/>
  <c r="B39" i="1"/>
  <c r="B38" i="1"/>
  <c r="B37" i="1"/>
  <c r="B31" i="1"/>
  <c r="B30" i="1"/>
  <c r="B23" i="1"/>
  <c r="B22" i="1"/>
  <c r="B20" i="1"/>
  <c r="B19" i="1"/>
  <c r="B18" i="1"/>
  <c r="B12" i="1"/>
  <c r="B11" i="1"/>
  <c r="M6" i="1"/>
  <c r="A3" i="1"/>
  <c r="A2" i="1"/>
  <c r="A3" i="14"/>
  <c r="A2" i="14"/>
  <c r="A3" i="21"/>
  <c r="A2" i="21"/>
  <c r="E202" i="28"/>
  <c r="F159" i="28" s="1"/>
  <c r="B202" i="28"/>
  <c r="F158" i="28" s="1"/>
  <c r="E192" i="28"/>
  <c r="B192" i="28"/>
  <c r="E182" i="28"/>
  <c r="F155" i="28" s="1"/>
  <c r="B182" i="28"/>
  <c r="F154" i="28" s="1"/>
  <c r="F157" i="28"/>
  <c r="F156" i="28"/>
  <c r="F153" i="28"/>
  <c r="F152" i="28"/>
  <c r="E118" i="28"/>
  <c r="F118" i="28" s="1"/>
  <c r="G118" i="28" s="1"/>
  <c r="H118" i="28" s="1"/>
  <c r="I118" i="28" s="1"/>
  <c r="J118" i="28" s="1"/>
  <c r="K118" i="28" s="1"/>
  <c r="L118" i="28" s="1"/>
  <c r="D118" i="28"/>
  <c r="D105" i="28"/>
  <c r="E105" i="28" s="1"/>
  <c r="F105" i="28" s="1"/>
  <c r="G105" i="28" s="1"/>
  <c r="H105" i="28" s="1"/>
  <c r="I105" i="28" s="1"/>
  <c r="J105" i="28" s="1"/>
  <c r="R100" i="28"/>
  <c r="Q100" i="28"/>
  <c r="P100" i="28"/>
  <c r="O100" i="28"/>
  <c r="N100" i="28"/>
  <c r="M100" i="28"/>
  <c r="L100" i="28"/>
  <c r="K100" i="28"/>
  <c r="H100" i="28"/>
  <c r="R99" i="28"/>
  <c r="Q99" i="28"/>
  <c r="P99" i="28"/>
  <c r="O99" i="28"/>
  <c r="N99" i="28"/>
  <c r="M99" i="28"/>
  <c r="L99" i="28"/>
  <c r="K99" i="28"/>
  <c r="H99" i="28"/>
  <c r="R98" i="28"/>
  <c r="Q98" i="28"/>
  <c r="P98" i="28"/>
  <c r="O98" i="28"/>
  <c r="N98" i="28"/>
  <c r="M98" i="28"/>
  <c r="L98" i="28"/>
  <c r="K98" i="28"/>
  <c r="H98" i="28"/>
  <c r="R97" i="28"/>
  <c r="Q97" i="28"/>
  <c r="P97" i="28"/>
  <c r="O97" i="28"/>
  <c r="N97" i="28"/>
  <c r="M97" i="28"/>
  <c r="L97" i="28"/>
  <c r="K97" i="28"/>
  <c r="H97" i="28"/>
  <c r="R96" i="28"/>
  <c r="Q96" i="28"/>
  <c r="P96" i="28"/>
  <c r="O96" i="28"/>
  <c r="N96" i="28"/>
  <c r="M96" i="28"/>
  <c r="L96" i="28"/>
  <c r="K96" i="28"/>
  <c r="H96" i="28"/>
  <c r="R95" i="28"/>
  <c r="Q95" i="28"/>
  <c r="P95" i="28"/>
  <c r="O95" i="28"/>
  <c r="N95" i="28"/>
  <c r="M95" i="28"/>
  <c r="L95" i="28"/>
  <c r="K95" i="28"/>
  <c r="H95" i="28"/>
  <c r="R94" i="28"/>
  <c r="Q94" i="28"/>
  <c r="P94" i="28"/>
  <c r="O94" i="28"/>
  <c r="N94" i="28"/>
  <c r="M94" i="28"/>
  <c r="L94" i="28"/>
  <c r="K94" i="28"/>
  <c r="H94" i="28"/>
  <c r="R93" i="28"/>
  <c r="Q93" i="28"/>
  <c r="P93" i="28"/>
  <c r="O93" i="28"/>
  <c r="N93" i="28"/>
  <c r="M93" i="28"/>
  <c r="L93" i="28"/>
  <c r="K93" i="28"/>
  <c r="H93" i="28"/>
  <c r="R92" i="28"/>
  <c r="Q92" i="28"/>
  <c r="P92" i="28"/>
  <c r="O92" i="28"/>
  <c r="N92" i="28"/>
  <c r="M92" i="28"/>
  <c r="L92" i="28"/>
  <c r="K92" i="28"/>
  <c r="H92" i="28"/>
  <c r="R91" i="28"/>
  <c r="Q91" i="28"/>
  <c r="P91" i="28"/>
  <c r="O91" i="28"/>
  <c r="N91" i="28"/>
  <c r="M91" i="28"/>
  <c r="L91" i="28"/>
  <c r="K91" i="28"/>
  <c r="H91" i="28"/>
  <c r="R90" i="28"/>
  <c r="Q90" i="28"/>
  <c r="P90" i="28"/>
  <c r="O90" i="28"/>
  <c r="N90" i="28"/>
  <c r="M90" i="28"/>
  <c r="L90" i="28"/>
  <c r="K90" i="28"/>
  <c r="H90" i="28"/>
  <c r="R89" i="28"/>
  <c r="Q89" i="28"/>
  <c r="P89" i="28"/>
  <c r="O89" i="28"/>
  <c r="N89" i="28"/>
  <c r="M89" i="28"/>
  <c r="L89" i="28"/>
  <c r="K89" i="28"/>
  <c r="H89" i="28"/>
  <c r="R88" i="28"/>
  <c r="Q88" i="28"/>
  <c r="P88" i="28"/>
  <c r="O88" i="28"/>
  <c r="N88" i="28"/>
  <c r="M88" i="28"/>
  <c r="L88" i="28"/>
  <c r="K88" i="28"/>
  <c r="H88" i="28"/>
  <c r="R87" i="28"/>
  <c r="Q87" i="28"/>
  <c r="P87" i="28"/>
  <c r="O87" i="28"/>
  <c r="N87" i="28"/>
  <c r="M87" i="28"/>
  <c r="L87" i="28"/>
  <c r="K87" i="28"/>
  <c r="H87" i="28"/>
  <c r="T86" i="28"/>
  <c r="S86" i="28"/>
  <c r="R86" i="28"/>
  <c r="Q86" i="28"/>
  <c r="P86" i="28"/>
  <c r="O86" i="28"/>
  <c r="N86" i="28"/>
  <c r="M86" i="28"/>
  <c r="H86" i="28"/>
  <c r="T85" i="28"/>
  <c r="S85" i="28"/>
  <c r="R85" i="28"/>
  <c r="Q85" i="28"/>
  <c r="P85" i="28"/>
  <c r="O85" i="28"/>
  <c r="N85" i="28"/>
  <c r="M85" i="28"/>
  <c r="H85" i="28"/>
  <c r="T84" i="28"/>
  <c r="S84" i="28"/>
  <c r="R84" i="28"/>
  <c r="Q84" i="28"/>
  <c r="P84" i="28"/>
  <c r="O84" i="28"/>
  <c r="N84" i="28"/>
  <c r="M84" i="28"/>
  <c r="H84" i="28"/>
  <c r="T83" i="28"/>
  <c r="S83" i="28"/>
  <c r="R83" i="28"/>
  <c r="Q83" i="28"/>
  <c r="P83" i="28"/>
  <c r="O83" i="28"/>
  <c r="N83" i="28"/>
  <c r="M83" i="28"/>
  <c r="H83" i="28"/>
  <c r="T82" i="28"/>
  <c r="S82" i="28"/>
  <c r="R82" i="28"/>
  <c r="Q82" i="28"/>
  <c r="P82" i="28"/>
  <c r="O82" i="28"/>
  <c r="N82" i="28"/>
  <c r="M82" i="28"/>
  <c r="H82" i="28"/>
  <c r="T81" i="28"/>
  <c r="S81" i="28"/>
  <c r="R81" i="28"/>
  <c r="Q81" i="28"/>
  <c r="P81" i="28"/>
  <c r="O81" i="28"/>
  <c r="N81" i="28"/>
  <c r="M81" i="28"/>
  <c r="H81" i="28"/>
  <c r="T80" i="28"/>
  <c r="S80" i="28"/>
  <c r="R80" i="28"/>
  <c r="Q80" i="28"/>
  <c r="P80" i="28"/>
  <c r="O80" i="28"/>
  <c r="N80" i="28"/>
  <c r="M80" i="28"/>
  <c r="H80" i="28"/>
  <c r="T79" i="28"/>
  <c r="S79" i="28"/>
  <c r="R79" i="28"/>
  <c r="Q79" i="28"/>
  <c r="P79" i="28"/>
  <c r="O79" i="28"/>
  <c r="N79" i="28"/>
  <c r="M79" i="28"/>
  <c r="H79" i="28"/>
  <c r="T78" i="28"/>
  <c r="S78" i="28"/>
  <c r="R78" i="28"/>
  <c r="Q78" i="28"/>
  <c r="P78" i="28"/>
  <c r="O78" i="28"/>
  <c r="N78" i="28"/>
  <c r="M78" i="28"/>
  <c r="H78" i="28"/>
  <c r="T77" i="28"/>
  <c r="S77" i="28"/>
  <c r="R77" i="28"/>
  <c r="Q77" i="28"/>
  <c r="P77" i="28"/>
  <c r="O77" i="28"/>
  <c r="N77" i="28"/>
  <c r="M77" i="28"/>
  <c r="H77" i="28"/>
  <c r="T76" i="28"/>
  <c r="S76" i="28"/>
  <c r="R76" i="28"/>
  <c r="Q76" i="28"/>
  <c r="P76" i="28"/>
  <c r="O76" i="28"/>
  <c r="N76" i="28"/>
  <c r="M76" i="28"/>
  <c r="H76" i="28"/>
  <c r="T75" i="28"/>
  <c r="S75" i="28"/>
  <c r="R75" i="28"/>
  <c r="Q75" i="28"/>
  <c r="P75" i="28"/>
  <c r="O75" i="28"/>
  <c r="N75" i="28"/>
  <c r="M75" i="28"/>
  <c r="H75" i="28"/>
  <c r="T74" i="28"/>
  <c r="S74" i="28"/>
  <c r="R74" i="28"/>
  <c r="Q74" i="28"/>
  <c r="P74" i="28"/>
  <c r="O74" i="28"/>
  <c r="N74" i="28"/>
  <c r="M74" i="28"/>
  <c r="H74" i="28"/>
  <c r="T73" i="28"/>
  <c r="S73" i="28"/>
  <c r="R73" i="28"/>
  <c r="Q73" i="28"/>
  <c r="P73" i="28"/>
  <c r="O73" i="28"/>
  <c r="N73" i="28"/>
  <c r="M73" i="28"/>
  <c r="H73" i="28"/>
  <c r="C14" i="13" s="1"/>
  <c r="C42" i="2" s="1"/>
  <c r="M72" i="28"/>
  <c r="N72" i="28" s="1"/>
  <c r="O72" i="28" s="1"/>
  <c r="P72" i="28" s="1"/>
  <c r="Q72" i="28" s="1"/>
  <c r="R72" i="28" s="1"/>
  <c r="S72" i="28" s="1"/>
  <c r="T72" i="28" s="1"/>
  <c r="L72" i="28"/>
  <c r="D62" i="28"/>
  <c r="E62" i="28" s="1"/>
  <c r="F62" i="28" s="1"/>
  <c r="G62" i="28" s="1"/>
  <c r="H62" i="28" s="1"/>
  <c r="I62" i="28" s="1"/>
  <c r="J62" i="28" s="1"/>
  <c r="K62" i="28" s="1"/>
  <c r="L62" i="28" s="1"/>
  <c r="J51" i="28"/>
  <c r="I51" i="28"/>
  <c r="H51" i="28"/>
  <c r="G51" i="28"/>
  <c r="F51" i="28"/>
  <c r="E51" i="28"/>
  <c r="D51" i="28"/>
  <c r="C51" i="28"/>
  <c r="E50" i="28"/>
  <c r="F50" i="28" s="1"/>
  <c r="G50" i="28" s="1"/>
  <c r="H50" i="28" s="1"/>
  <c r="I50" i="28" s="1"/>
  <c r="J50" i="28" s="1"/>
  <c r="D50" i="28"/>
  <c r="C48" i="28"/>
  <c r="B45" i="28"/>
  <c r="J43" i="28"/>
  <c r="I43" i="28"/>
  <c r="H43" i="28"/>
  <c r="F42" i="28"/>
  <c r="G42" i="28" s="1"/>
  <c r="H42" i="28" s="1"/>
  <c r="I42" i="28" s="1"/>
  <c r="J42" i="28" s="1"/>
  <c r="E42" i="28"/>
  <c r="E38" i="28"/>
  <c r="F38" i="28" s="1"/>
  <c r="G38" i="28" s="1"/>
  <c r="H38" i="28" s="1"/>
  <c r="I38" i="28" s="1"/>
  <c r="J38" i="28" s="1"/>
  <c r="D30" i="28"/>
  <c r="D29" i="28"/>
  <c r="D28" i="28"/>
  <c r="D27" i="28"/>
  <c r="D26" i="28"/>
  <c r="D25" i="28"/>
  <c r="D24" i="28"/>
  <c r="D23" i="28"/>
  <c r="D22" i="28"/>
  <c r="D21" i="28"/>
  <c r="D20" i="28"/>
  <c r="D19" i="28"/>
  <c r="D18" i="28"/>
  <c r="D17" i="28"/>
  <c r="D16" i="28"/>
  <c r="D15" i="28"/>
  <c r="D14" i="28"/>
  <c r="A3" i="28"/>
  <c r="A2" i="28"/>
  <c r="C13" i="13"/>
  <c r="D6" i="15" s="1"/>
  <c r="C12" i="13"/>
  <c r="C11" i="13"/>
  <c r="C10" i="13"/>
  <c r="C6" i="13"/>
  <c r="A3" i="13"/>
  <c r="A2" i="13"/>
  <c r="E31" i="2" l="1"/>
  <c r="I31" i="2"/>
  <c r="M14" i="2"/>
  <c r="F26" i="4"/>
  <c r="F28" i="4" s="1"/>
  <c r="E26" i="4"/>
  <c r="E28" i="4" s="1"/>
  <c r="D26" i="4"/>
  <c r="D28" i="4" s="1"/>
  <c r="J26" i="4"/>
  <c r="I26" i="4"/>
  <c r="H26" i="4"/>
  <c r="H28" i="4" s="1"/>
  <c r="M18" i="5"/>
  <c r="M73" i="5"/>
  <c r="D19" i="2"/>
  <c r="F48" i="15"/>
  <c r="F80" i="15" s="1"/>
  <c r="E48" i="15"/>
  <c r="E80" i="15" s="1"/>
  <c r="E156" i="28"/>
  <c r="F25" i="28"/>
  <c r="F26" i="28" s="1"/>
  <c r="G48" i="15"/>
  <c r="G80" i="15" s="1"/>
  <c r="K48" i="15"/>
  <c r="K80" i="15" s="1"/>
  <c r="M28" i="2"/>
  <c r="G26" i="4"/>
  <c r="G28" i="4" s="1"/>
  <c r="K26" i="4"/>
  <c r="D48" i="15"/>
  <c r="D80" i="15" s="1"/>
  <c r="H48" i="15"/>
  <c r="H80" i="15" s="1"/>
  <c r="K47" i="2"/>
  <c r="G49" i="5"/>
  <c r="K49" i="5"/>
  <c r="G57" i="5"/>
  <c r="K57" i="5"/>
  <c r="G65" i="5"/>
  <c r="K65" i="5"/>
  <c r="F31" i="2"/>
  <c r="J18" i="2"/>
  <c r="H58" i="2"/>
  <c r="D49" i="5"/>
  <c r="H49" i="5"/>
  <c r="F53" i="5"/>
  <c r="J53" i="5"/>
  <c r="D57" i="5"/>
  <c r="H57" i="5"/>
  <c r="F61" i="5"/>
  <c r="J61" i="5"/>
  <c r="D65" i="5"/>
  <c r="H65" i="5"/>
  <c r="F69" i="5"/>
  <c r="J69" i="5"/>
  <c r="G19" i="2"/>
  <c r="K31" i="2"/>
  <c r="E58" i="2"/>
  <c r="I58" i="2"/>
  <c r="E49" i="5"/>
  <c r="G53" i="5"/>
  <c r="E57" i="5"/>
  <c r="G61" i="5"/>
  <c r="E65" i="5"/>
  <c r="G69" i="5"/>
  <c r="I70" i="29"/>
  <c r="I74" i="29" s="1"/>
  <c r="F70" i="29"/>
  <c r="F74" i="29" s="1"/>
  <c r="J70" i="29"/>
  <c r="J74" i="29" s="1"/>
  <c r="E70" i="29"/>
  <c r="E74" i="29" s="1"/>
  <c r="G70" i="29"/>
  <c r="G74" i="29" s="1"/>
  <c r="K70" i="29"/>
  <c r="K74" i="29" s="1"/>
  <c r="D70" i="29"/>
  <c r="D74" i="29" s="1"/>
  <c r="H70" i="29"/>
  <c r="H74" i="29" s="1"/>
  <c r="I59" i="2"/>
  <c r="K46" i="2"/>
  <c r="G18" i="2"/>
  <c r="K18" i="2"/>
  <c r="G30" i="2"/>
  <c r="F47" i="2"/>
  <c r="G31" i="2"/>
  <c r="E46" i="2"/>
  <c r="I46" i="2"/>
  <c r="I62" i="2" s="1"/>
  <c r="E59" i="2"/>
  <c r="E6" i="15"/>
  <c r="D5" i="15"/>
  <c r="E154" i="28"/>
  <c r="E159" i="28"/>
  <c r="C51" i="1"/>
  <c r="C55" i="1"/>
  <c r="C61" i="1"/>
  <c r="C11" i="4"/>
  <c r="J46" i="29"/>
  <c r="F46" i="29"/>
  <c r="J42" i="10"/>
  <c r="F42" i="10"/>
  <c r="I65" i="27"/>
  <c r="E65" i="27"/>
  <c r="H58" i="27"/>
  <c r="D58" i="27"/>
  <c r="J62" i="17"/>
  <c r="F62" i="17"/>
  <c r="I46" i="29"/>
  <c r="E46" i="29"/>
  <c r="I42" i="10"/>
  <c r="E42" i="10"/>
  <c r="H65" i="27"/>
  <c r="D65" i="27"/>
  <c r="K58" i="27"/>
  <c r="G58" i="27"/>
  <c r="I62" i="17"/>
  <c r="E62" i="17"/>
  <c r="H46" i="29"/>
  <c r="D46" i="29"/>
  <c r="H42" i="10"/>
  <c r="D42" i="10"/>
  <c r="K65" i="27"/>
  <c r="G65" i="27"/>
  <c r="J58" i="27"/>
  <c r="F58" i="27"/>
  <c r="H62" i="17"/>
  <c r="D62" i="17"/>
  <c r="J65" i="27"/>
  <c r="E58" i="27"/>
  <c r="K42" i="10"/>
  <c r="F65" i="27"/>
  <c r="K62" i="17"/>
  <c r="K46" i="29"/>
  <c r="G42" i="10"/>
  <c r="G62" i="17"/>
  <c r="G46" i="29"/>
  <c r="I58" i="27"/>
  <c r="C33" i="28"/>
  <c r="C50" i="1"/>
  <c r="C54" i="1"/>
  <c r="C66" i="1"/>
  <c r="E157" i="28"/>
  <c r="E153" i="28"/>
  <c r="D6" i="20"/>
  <c r="D6" i="19"/>
  <c r="D6" i="3"/>
  <c r="D6" i="10"/>
  <c r="D5" i="10" s="1"/>
  <c r="D6" i="27"/>
  <c r="D6" i="11"/>
  <c r="D6" i="29"/>
  <c r="D5" i="29" s="1"/>
  <c r="D6" i="17"/>
  <c r="E6" i="17" s="1"/>
  <c r="D6" i="4"/>
  <c r="D6" i="1"/>
  <c r="D6" i="2"/>
  <c r="D6" i="5"/>
  <c r="B48" i="28"/>
  <c r="B10" i="2" s="1"/>
  <c r="B88" i="2" s="1"/>
  <c r="B149" i="28"/>
  <c r="E158" i="28"/>
  <c r="C48" i="1"/>
  <c r="C53" i="1"/>
  <c r="C12" i="2"/>
  <c r="F58" i="2"/>
  <c r="F62" i="2" s="1"/>
  <c r="F59" i="2"/>
  <c r="J58" i="2"/>
  <c r="J59" i="2"/>
  <c r="J47" i="2"/>
  <c r="J46" i="2"/>
  <c r="J41" i="10"/>
  <c r="F41" i="10"/>
  <c r="I41" i="10"/>
  <c r="E41" i="10"/>
  <c r="H41" i="10"/>
  <c r="D41" i="10"/>
  <c r="G41" i="10"/>
  <c r="K41" i="10"/>
  <c r="C8" i="20"/>
  <c r="C14" i="19"/>
  <c r="C86" i="29"/>
  <c r="C74" i="29"/>
  <c r="C68" i="29"/>
  <c r="C61" i="29"/>
  <c r="C47" i="10"/>
  <c r="C29" i="10"/>
  <c r="C25" i="10"/>
  <c r="C21" i="10"/>
  <c r="C17" i="10"/>
  <c r="C16" i="10"/>
  <c r="C28" i="3"/>
  <c r="C19" i="19"/>
  <c r="C83" i="29"/>
  <c r="C73" i="29"/>
  <c r="C67" i="29"/>
  <c r="C60" i="29"/>
  <c r="C51" i="10"/>
  <c r="C46" i="10"/>
  <c r="C28" i="10"/>
  <c r="C24" i="10"/>
  <c r="C20" i="10"/>
  <c r="C11" i="10"/>
  <c r="C18" i="19"/>
  <c r="C89" i="29"/>
  <c r="C81" i="29"/>
  <c r="C72" i="29"/>
  <c r="C66" i="29"/>
  <c r="C53" i="29"/>
  <c r="C50" i="10"/>
  <c r="C45" i="10"/>
  <c r="C27" i="10"/>
  <c r="C23" i="10"/>
  <c r="C19" i="10"/>
  <c r="C17" i="19"/>
  <c r="C71" i="29"/>
  <c r="C41" i="29"/>
  <c r="C49" i="10"/>
  <c r="C26" i="10"/>
  <c r="C69" i="5"/>
  <c r="C53" i="5"/>
  <c r="C43" i="5"/>
  <c r="C39" i="5"/>
  <c r="C17" i="5"/>
  <c r="C16" i="5"/>
  <c r="C15" i="5"/>
  <c r="C14" i="5"/>
  <c r="C13" i="5"/>
  <c r="C12" i="5"/>
  <c r="C11" i="5"/>
  <c r="C62" i="29"/>
  <c r="C22" i="10"/>
  <c r="C88" i="29"/>
  <c r="C18" i="10"/>
  <c r="C73" i="5"/>
  <c r="C61" i="5"/>
  <c r="C79" i="29"/>
  <c r="C31" i="10"/>
  <c r="C65" i="5"/>
  <c r="C49" i="5"/>
  <c r="C46" i="5"/>
  <c r="C44" i="5"/>
  <c r="C40" i="5"/>
  <c r="C57" i="5"/>
  <c r="C45" i="5"/>
  <c r="C42" i="5"/>
  <c r="C41" i="5"/>
  <c r="C77" i="2"/>
  <c r="C64" i="2"/>
  <c r="C58" i="2"/>
  <c r="C53" i="2"/>
  <c r="C79" i="2"/>
  <c r="C69" i="2"/>
  <c r="C59" i="2"/>
  <c r="C54" i="2"/>
  <c r="C18" i="5"/>
  <c r="C70" i="2"/>
  <c r="C62" i="2"/>
  <c r="C55" i="2"/>
  <c r="C51" i="2"/>
  <c r="C35" i="2"/>
  <c r="C28" i="2"/>
  <c r="C63" i="2"/>
  <c r="C52" i="2"/>
  <c r="C40" i="2"/>
  <c r="C25" i="2"/>
  <c r="C19" i="2"/>
  <c r="C13" i="2"/>
  <c r="C10" i="4"/>
  <c r="C65" i="1"/>
  <c r="C60" i="1"/>
  <c r="C56" i="1"/>
  <c r="B46" i="1"/>
  <c r="C71" i="2"/>
  <c r="C50" i="2"/>
  <c r="C47" i="2"/>
  <c r="C46" i="2"/>
  <c r="C36" i="2"/>
  <c r="C22" i="2"/>
  <c r="C14" i="2"/>
  <c r="C63" i="1"/>
  <c r="C59" i="1"/>
  <c r="C56" i="2"/>
  <c r="C41" i="2"/>
  <c r="C34" i="2"/>
  <c r="C31" i="2"/>
  <c r="C30" i="2"/>
  <c r="C26" i="2"/>
  <c r="C23" i="2"/>
  <c r="C12" i="4"/>
  <c r="C62" i="1"/>
  <c r="C58" i="1"/>
  <c r="C49" i="1"/>
  <c r="B51" i="28"/>
  <c r="B38" i="2" s="1"/>
  <c r="B116" i="2" s="1"/>
  <c r="E152" i="28"/>
  <c r="B153" i="28" s="1"/>
  <c r="E155" i="28"/>
  <c r="C52" i="1"/>
  <c r="C57" i="1"/>
  <c r="D30" i="2"/>
  <c r="D31" i="2"/>
  <c r="D18" i="2"/>
  <c r="H30" i="2"/>
  <c r="H31" i="2"/>
  <c r="H18" i="2"/>
  <c r="C18" i="2"/>
  <c r="H19" i="2"/>
  <c r="C24" i="2"/>
  <c r="C27" i="2"/>
  <c r="E19" i="2"/>
  <c r="I19" i="2"/>
  <c r="I30" i="2"/>
  <c r="G58" i="2"/>
  <c r="G59" i="2"/>
  <c r="K58" i="2"/>
  <c r="K62" i="2" s="1"/>
  <c r="K59" i="2"/>
  <c r="K63" i="2" s="1"/>
  <c r="G46" i="2"/>
  <c r="G62" i="2" s="1"/>
  <c r="G47" i="2"/>
  <c r="G63" i="2" s="1"/>
  <c r="E18" i="2"/>
  <c r="I18" i="2"/>
  <c r="I34" i="2" s="1"/>
  <c r="F19" i="2"/>
  <c r="J19" i="2"/>
  <c r="E30" i="2"/>
  <c r="J30" i="2"/>
  <c r="J31" i="2"/>
  <c r="D59" i="2"/>
  <c r="D46" i="2"/>
  <c r="H59" i="2"/>
  <c r="H46" i="2"/>
  <c r="H62" i="2" s="1"/>
  <c r="H47" i="2"/>
  <c r="F18" i="2"/>
  <c r="K19" i="2"/>
  <c r="F30" i="2"/>
  <c r="K30" i="2"/>
  <c r="D47" i="2"/>
  <c r="D58" i="2"/>
  <c r="E47" i="2"/>
  <c r="I47" i="2"/>
  <c r="E25" i="28"/>
  <c r="E35" i="2" l="1"/>
  <c r="I35" i="2"/>
  <c r="F35" i="2"/>
  <c r="M69" i="5"/>
  <c r="M61" i="5"/>
  <c r="M53" i="5"/>
  <c r="K35" i="2"/>
  <c r="K70" i="2" s="1"/>
  <c r="G35" i="2"/>
  <c r="G70" i="2" s="1"/>
  <c r="J34" i="2"/>
  <c r="D50" i="15"/>
  <c r="E62" i="2"/>
  <c r="I63" i="2"/>
  <c r="M65" i="5"/>
  <c r="M57" i="5"/>
  <c r="M49" i="5"/>
  <c r="G34" i="2"/>
  <c r="G69" i="2" s="1"/>
  <c r="K34" i="2"/>
  <c r="K69" i="2" s="1"/>
  <c r="I64" i="2"/>
  <c r="J35" i="2"/>
  <c r="F63" i="2"/>
  <c r="M58" i="2"/>
  <c r="M59" i="2"/>
  <c r="H35" i="2"/>
  <c r="E63" i="2"/>
  <c r="E64" i="2" s="1"/>
  <c r="K64" i="2"/>
  <c r="D78" i="2"/>
  <c r="E6" i="2"/>
  <c r="D5" i="2"/>
  <c r="D77" i="2"/>
  <c r="E6" i="27"/>
  <c r="D5" i="27"/>
  <c r="D5" i="20"/>
  <c r="E6" i="20"/>
  <c r="F6" i="15"/>
  <c r="E5" i="15"/>
  <c r="E50" i="15" s="1"/>
  <c r="F34" i="2"/>
  <c r="I69" i="2"/>
  <c r="I36" i="2"/>
  <c r="H34" i="2"/>
  <c r="M31" i="2"/>
  <c r="D5" i="1"/>
  <c r="E6" i="1"/>
  <c r="E6" i="29"/>
  <c r="E5" i="29" s="1"/>
  <c r="D22" i="29"/>
  <c r="E6" i="10"/>
  <c r="E5" i="10" s="1"/>
  <c r="D40" i="10"/>
  <c r="D43" i="10" s="1"/>
  <c r="D47" i="10" s="1"/>
  <c r="D63" i="27" s="1"/>
  <c r="D32" i="10"/>
  <c r="D36" i="10"/>
  <c r="D63" i="2"/>
  <c r="M47" i="2"/>
  <c r="G64" i="2"/>
  <c r="D34" i="2"/>
  <c r="M18" i="2"/>
  <c r="H63" i="2"/>
  <c r="D62" i="2"/>
  <c r="M46" i="2"/>
  <c r="E34" i="2"/>
  <c r="I70" i="2"/>
  <c r="I49" i="1"/>
  <c r="M30" i="2"/>
  <c r="B159" i="28"/>
  <c r="B17" i="5" s="1"/>
  <c r="B160" i="28"/>
  <c r="B156" i="28"/>
  <c r="B14" i="5" s="1"/>
  <c r="B157" i="28"/>
  <c r="B15" i="5" s="1"/>
  <c r="B154" i="28"/>
  <c r="B12" i="5" s="1"/>
  <c r="B155" i="28"/>
  <c r="B13" i="5" s="1"/>
  <c r="B158" i="28"/>
  <c r="B16" i="5" s="1"/>
  <c r="B11" i="5"/>
  <c r="J62" i="2"/>
  <c r="D5" i="4"/>
  <c r="E6" i="4"/>
  <c r="D5" i="3"/>
  <c r="E6" i="3"/>
  <c r="M19" i="2"/>
  <c r="J63" i="2"/>
  <c r="D99" i="5"/>
  <c r="D93" i="5"/>
  <c r="D87" i="5"/>
  <c r="D81" i="5"/>
  <c r="D96" i="5"/>
  <c r="D90" i="5"/>
  <c r="D84" i="5"/>
  <c r="D66" i="5"/>
  <c r="D67" i="5" s="1"/>
  <c r="D50" i="5"/>
  <c r="D51" i="5" s="1"/>
  <c r="D70" i="5"/>
  <c r="D71" i="5" s="1"/>
  <c r="D58" i="5"/>
  <c r="D59" i="5" s="1"/>
  <c r="D74" i="5"/>
  <c r="D75" i="5" s="1"/>
  <c r="D62" i="5"/>
  <c r="D63" i="5" s="1"/>
  <c r="D5" i="5"/>
  <c r="E6" i="5"/>
  <c r="D54" i="5"/>
  <c r="D55" i="5" s="1"/>
  <c r="D5" i="17"/>
  <c r="E6" i="11"/>
  <c r="D5" i="11"/>
  <c r="D5" i="19"/>
  <c r="E6" i="19"/>
  <c r="D33" i="28"/>
  <c r="C36" i="28"/>
  <c r="C35" i="28"/>
  <c r="D34" i="10" s="1"/>
  <c r="D38" i="10" s="1"/>
  <c r="C34" i="28"/>
  <c r="C32" i="28"/>
  <c r="D35" i="2"/>
  <c r="E26" i="28"/>
  <c r="F27" i="28"/>
  <c r="E5" i="17"/>
  <c r="F6" i="17"/>
  <c r="F70" i="2" l="1"/>
  <c r="K49" i="1"/>
  <c r="G36" i="2"/>
  <c r="G49" i="1"/>
  <c r="J36" i="2"/>
  <c r="K36" i="2"/>
  <c r="D45" i="10"/>
  <c r="D49" i="10" s="1"/>
  <c r="D46" i="10"/>
  <c r="D65" i="1" s="1"/>
  <c r="J70" i="2"/>
  <c r="F64" i="2"/>
  <c r="F49" i="1"/>
  <c r="E49" i="1"/>
  <c r="H70" i="2"/>
  <c r="J64" i="2"/>
  <c r="E70" i="2"/>
  <c r="G71" i="2"/>
  <c r="H49" i="1"/>
  <c r="D79" i="2"/>
  <c r="D50" i="1" s="1"/>
  <c r="D70" i="2"/>
  <c r="D49" i="1"/>
  <c r="M35" i="2"/>
  <c r="D42" i="5"/>
  <c r="D41" i="5"/>
  <c r="B49" i="5"/>
  <c r="B82" i="5"/>
  <c r="B39" i="5"/>
  <c r="B51" i="1" s="1"/>
  <c r="B94" i="5"/>
  <c r="B65" i="5"/>
  <c r="B43" i="5"/>
  <c r="B55" i="1" s="1"/>
  <c r="M63" i="2"/>
  <c r="H69" i="2"/>
  <c r="H36" i="2"/>
  <c r="E78" i="2"/>
  <c r="E77" i="2"/>
  <c r="E5" i="2"/>
  <c r="F6" i="2"/>
  <c r="E33" i="28"/>
  <c r="D36" i="28"/>
  <c r="D35" i="28"/>
  <c r="E34" i="10" s="1"/>
  <c r="E38" i="10" s="1"/>
  <c r="E56" i="27" s="1"/>
  <c r="D34" i="28"/>
  <c r="D32" i="28"/>
  <c r="F6" i="11"/>
  <c r="E5" i="11"/>
  <c r="F6" i="4"/>
  <c r="E5" i="4"/>
  <c r="B97" i="5"/>
  <c r="B44" i="5"/>
  <c r="B69" i="5"/>
  <c r="B91" i="5"/>
  <c r="B61" i="5"/>
  <c r="B42" i="5"/>
  <c r="B54" i="1" s="1"/>
  <c r="M62" i="2"/>
  <c r="D64" i="2"/>
  <c r="D69" i="2"/>
  <c r="D36" i="2"/>
  <c r="M34" i="2"/>
  <c r="F6" i="29"/>
  <c r="F5" i="29" s="1"/>
  <c r="E22" i="29"/>
  <c r="H64" i="2"/>
  <c r="J69" i="2"/>
  <c r="J71" i="2" s="1"/>
  <c r="D35" i="10"/>
  <c r="D39" i="29"/>
  <c r="D41" i="17"/>
  <c r="D8" i="20"/>
  <c r="D57" i="1" s="1"/>
  <c r="D14" i="19"/>
  <c r="D86" i="2"/>
  <c r="D28" i="3"/>
  <c r="D56" i="1" s="1"/>
  <c r="F6" i="19"/>
  <c r="E5" i="19"/>
  <c r="D40" i="5"/>
  <c r="E96" i="5"/>
  <c r="E90" i="5"/>
  <c r="E84" i="5"/>
  <c r="E99" i="5"/>
  <c r="E70" i="5"/>
  <c r="E71" i="5" s="1"/>
  <c r="E44" i="5" s="1"/>
  <c r="E54" i="5"/>
  <c r="E55" i="5" s="1"/>
  <c r="E40" i="5" s="1"/>
  <c r="E52" i="1" s="1"/>
  <c r="F6" i="5"/>
  <c r="E81" i="5"/>
  <c r="E87" i="5"/>
  <c r="E74" i="5"/>
  <c r="E75" i="5" s="1"/>
  <c r="E45" i="5" s="1"/>
  <c r="E62" i="5"/>
  <c r="E63" i="5" s="1"/>
  <c r="E42" i="5" s="1"/>
  <c r="E54" i="1" s="1"/>
  <c r="E93" i="5"/>
  <c r="E66" i="5"/>
  <c r="E67" i="5" s="1"/>
  <c r="E43" i="5" s="1"/>
  <c r="E55" i="1" s="1"/>
  <c r="E50" i="5"/>
  <c r="E51" i="5" s="1"/>
  <c r="E39" i="5" s="1"/>
  <c r="E5" i="5"/>
  <c r="E58" i="5"/>
  <c r="E59" i="5" s="1"/>
  <c r="E41" i="5" s="1"/>
  <c r="E53" i="1" s="1"/>
  <c r="D43" i="5"/>
  <c r="B57" i="5"/>
  <c r="B88" i="5"/>
  <c r="B41" i="5"/>
  <c r="B53" i="1" s="1"/>
  <c r="E40" i="10"/>
  <c r="E43" i="10" s="1"/>
  <c r="E47" i="10" s="1"/>
  <c r="E32" i="10"/>
  <c r="F6" i="10"/>
  <c r="F5" i="10" s="1"/>
  <c r="F6" i="1"/>
  <c r="E5" i="1"/>
  <c r="I71" i="2"/>
  <c r="G6" i="15"/>
  <c r="F5" i="15"/>
  <c r="F50" i="15" s="1"/>
  <c r="E5" i="27"/>
  <c r="F6" i="27"/>
  <c r="J49" i="1"/>
  <c r="D45" i="5"/>
  <c r="D44" i="5"/>
  <c r="D39" i="5"/>
  <c r="F6" i="3"/>
  <c r="E5" i="3"/>
  <c r="B85" i="5"/>
  <c r="B40" i="5"/>
  <c r="B52" i="1" s="1"/>
  <c r="B53" i="5"/>
  <c r="B100" i="5"/>
  <c r="B73" i="5"/>
  <c r="B45" i="5"/>
  <c r="E36" i="2"/>
  <c r="E69" i="2"/>
  <c r="D56" i="27"/>
  <c r="F69" i="2"/>
  <c r="F71" i="2" s="1"/>
  <c r="F36" i="2"/>
  <c r="F6" i="20"/>
  <c r="E5" i="20"/>
  <c r="K71" i="2"/>
  <c r="E27" i="28"/>
  <c r="G6" i="17"/>
  <c r="F5" i="17"/>
  <c r="D53" i="10" l="1"/>
  <c r="D50" i="10"/>
  <c r="D51" i="10" s="1"/>
  <c r="H71" i="2"/>
  <c r="E71" i="2"/>
  <c r="M70" i="2"/>
  <c r="D54" i="10"/>
  <c r="B33" i="1"/>
  <c r="B14" i="1"/>
  <c r="D46" i="5"/>
  <c r="D51" i="1"/>
  <c r="D13" i="1" s="1"/>
  <c r="G6" i="19"/>
  <c r="F5" i="19"/>
  <c r="G6" i="4"/>
  <c r="F5" i="4"/>
  <c r="E41" i="17"/>
  <c r="E8" i="20"/>
  <c r="E57" i="1" s="1"/>
  <c r="E35" i="10"/>
  <c r="E14" i="19"/>
  <c r="E39" i="29"/>
  <c r="E86" i="2"/>
  <c r="E28" i="3"/>
  <c r="E56" i="1" s="1"/>
  <c r="E79" i="2"/>
  <c r="B36" i="1"/>
  <c r="B17" i="1"/>
  <c r="D53" i="1"/>
  <c r="D15" i="1" s="1"/>
  <c r="E45" i="10"/>
  <c r="E49" i="10" s="1"/>
  <c r="E80" i="17" s="1"/>
  <c r="E46" i="10"/>
  <c r="E63" i="27"/>
  <c r="D55" i="1"/>
  <c r="D17" i="1" s="1"/>
  <c r="D52" i="1"/>
  <c r="D14" i="1" s="1"/>
  <c r="M36" i="2"/>
  <c r="B35" i="1"/>
  <c r="B16" i="1"/>
  <c r="F77" i="2"/>
  <c r="G6" i="2"/>
  <c r="F78" i="2"/>
  <c r="F5" i="2"/>
  <c r="G6" i="20"/>
  <c r="F5" i="20"/>
  <c r="G5" i="15"/>
  <c r="H6" i="15"/>
  <c r="G6" i="1"/>
  <c r="F5" i="1"/>
  <c r="B34" i="1"/>
  <c r="B15" i="1"/>
  <c r="F96" i="5"/>
  <c r="F90" i="5"/>
  <c r="F84" i="5"/>
  <c r="F99" i="5"/>
  <c r="F93" i="5"/>
  <c r="F87" i="5"/>
  <c r="F81" i="5"/>
  <c r="F58" i="5"/>
  <c r="F59" i="5" s="1"/>
  <c r="F41" i="5" s="1"/>
  <c r="F53" i="1" s="1"/>
  <c r="F5" i="5"/>
  <c r="F74" i="5"/>
  <c r="F75" i="5" s="1"/>
  <c r="F66" i="5"/>
  <c r="F67" i="5" s="1"/>
  <c r="F43" i="5" s="1"/>
  <c r="F55" i="1" s="1"/>
  <c r="F70" i="5"/>
  <c r="F71" i="5" s="1"/>
  <c r="F54" i="5"/>
  <c r="F55" i="5" s="1"/>
  <c r="F40" i="5" s="1"/>
  <c r="F52" i="1" s="1"/>
  <c r="G6" i="5"/>
  <c r="F62" i="5"/>
  <c r="F63" i="5" s="1"/>
  <c r="F42" i="5" s="1"/>
  <c r="F54" i="1" s="1"/>
  <c r="F50" i="5"/>
  <c r="F51" i="5" s="1"/>
  <c r="D119" i="2"/>
  <c r="D90" i="2"/>
  <c r="D131" i="2"/>
  <c r="D100" i="2"/>
  <c r="D130" i="2"/>
  <c r="D132" i="2"/>
  <c r="D103" i="2"/>
  <c r="D91" i="2"/>
  <c r="D118" i="2"/>
  <c r="D104" i="2"/>
  <c r="D128" i="2"/>
  <c r="D133" i="2"/>
  <c r="D102" i="2"/>
  <c r="D101" i="2"/>
  <c r="D105" i="2"/>
  <c r="D129" i="2"/>
  <c r="D23" i="29"/>
  <c r="D34" i="29" s="1"/>
  <c r="D37" i="29" s="1"/>
  <c r="D71" i="2"/>
  <c r="M69" i="2"/>
  <c r="F5" i="11"/>
  <c r="G6" i="11"/>
  <c r="G6" i="3"/>
  <c r="F5" i="3"/>
  <c r="G6" i="27"/>
  <c r="F5" i="27"/>
  <c r="G6" i="10"/>
  <c r="G5" i="10" s="1"/>
  <c r="F32" i="10"/>
  <c r="F40" i="10"/>
  <c r="F43" i="10" s="1"/>
  <c r="F47" i="10" s="1"/>
  <c r="E46" i="5"/>
  <c r="E51" i="1"/>
  <c r="G6" i="29"/>
  <c r="G5" i="29" s="1"/>
  <c r="F22" i="29"/>
  <c r="M64" i="2"/>
  <c r="E36" i="28"/>
  <c r="E35" i="28"/>
  <c r="F34" i="10" s="1"/>
  <c r="F38" i="10" s="1"/>
  <c r="F56" i="27" s="1"/>
  <c r="E34" i="28"/>
  <c r="E32" i="28"/>
  <c r="F33" i="28"/>
  <c r="B32" i="1"/>
  <c r="B13" i="1"/>
  <c r="D54" i="1"/>
  <c r="D16" i="1" s="1"/>
  <c r="N49" i="1"/>
  <c r="D11" i="1"/>
  <c r="D12" i="1"/>
  <c r="D18" i="1"/>
  <c r="D19" i="1"/>
  <c r="D80" i="17"/>
  <c r="D57" i="10"/>
  <c r="G5" i="17"/>
  <c r="H6" i="17"/>
  <c r="H5" i="17" s="1"/>
  <c r="D58" i="10" l="1"/>
  <c r="D48" i="1"/>
  <c r="D58" i="1" s="1"/>
  <c r="D55" i="10"/>
  <c r="M71" i="2"/>
  <c r="E23" i="29"/>
  <c r="E34" i="29" s="1"/>
  <c r="E37" i="29" s="1"/>
  <c r="E49" i="29" s="1"/>
  <c r="F41" i="17"/>
  <c r="F14" i="19"/>
  <c r="F35" i="10"/>
  <c r="F8" i="20"/>
  <c r="F57" i="1" s="1"/>
  <c r="F86" i="2"/>
  <c r="F28" i="3"/>
  <c r="F56" i="1" s="1"/>
  <c r="F39" i="29"/>
  <c r="H6" i="3"/>
  <c r="G5" i="3"/>
  <c r="D120" i="2"/>
  <c r="I6" i="15"/>
  <c r="H5" i="15"/>
  <c r="E54" i="10"/>
  <c r="E50" i="10"/>
  <c r="E65" i="1"/>
  <c r="H6" i="19"/>
  <c r="G5" i="19"/>
  <c r="F63" i="27"/>
  <c r="F45" i="10"/>
  <c r="F49" i="10" s="1"/>
  <c r="F46" i="10"/>
  <c r="D92" i="2"/>
  <c r="D106" i="2"/>
  <c r="G99" i="5"/>
  <c r="G93" i="5"/>
  <c r="G87" i="5"/>
  <c r="G81" i="5"/>
  <c r="G74" i="5"/>
  <c r="G75" i="5" s="1"/>
  <c r="G45" i="5" s="1"/>
  <c r="G62" i="5"/>
  <c r="G63" i="5" s="1"/>
  <c r="G42" i="5" s="1"/>
  <c r="G54" i="1" s="1"/>
  <c r="G84" i="5"/>
  <c r="G90" i="5"/>
  <c r="G70" i="5"/>
  <c r="G71" i="5" s="1"/>
  <c r="G44" i="5" s="1"/>
  <c r="G96" i="5"/>
  <c r="G58" i="5"/>
  <c r="G59" i="5" s="1"/>
  <c r="G41" i="5" s="1"/>
  <c r="G53" i="1" s="1"/>
  <c r="G66" i="5"/>
  <c r="G67" i="5" s="1"/>
  <c r="G43" i="5" s="1"/>
  <c r="G55" i="1" s="1"/>
  <c r="H6" i="5"/>
  <c r="G50" i="5"/>
  <c r="G51" i="5" s="1"/>
  <c r="G39" i="5" s="1"/>
  <c r="G54" i="5"/>
  <c r="G55" i="5" s="1"/>
  <c r="G5" i="5"/>
  <c r="F45" i="5"/>
  <c r="G50" i="15"/>
  <c r="F79" i="2"/>
  <c r="F50" i="1" s="1"/>
  <c r="E57" i="10"/>
  <c r="E53" i="10"/>
  <c r="H6" i="4"/>
  <c r="G5" i="4"/>
  <c r="G33" i="28"/>
  <c r="F36" i="28"/>
  <c r="F35" i="28"/>
  <c r="G34" i="10" s="1"/>
  <c r="G38" i="10" s="1"/>
  <c r="G56" i="27" s="1"/>
  <c r="F34" i="28"/>
  <c r="F32" i="28"/>
  <c r="G22" i="29"/>
  <c r="H6" i="29"/>
  <c r="H5" i="29" s="1"/>
  <c r="H6" i="27"/>
  <c r="G5" i="27"/>
  <c r="H6" i="11"/>
  <c r="G5" i="11"/>
  <c r="D41" i="29"/>
  <c r="D79" i="29" s="1"/>
  <c r="D49" i="29"/>
  <c r="D134" i="2"/>
  <c r="H6" i="20"/>
  <c r="G5" i="20"/>
  <c r="G77" i="2"/>
  <c r="G78" i="2"/>
  <c r="H6" i="2"/>
  <c r="G5" i="2"/>
  <c r="E102" i="2"/>
  <c r="E119" i="2"/>
  <c r="E105" i="2"/>
  <c r="E90" i="2"/>
  <c r="E101" i="2"/>
  <c r="E128" i="2"/>
  <c r="E131" i="2"/>
  <c r="E100" i="2"/>
  <c r="E130" i="2"/>
  <c r="E132" i="2"/>
  <c r="E103" i="2"/>
  <c r="E91" i="2"/>
  <c r="E92" i="2" s="1"/>
  <c r="E118" i="2"/>
  <c r="E104" i="2"/>
  <c r="E133" i="2"/>
  <c r="E129" i="2"/>
  <c r="H6" i="10"/>
  <c r="H5" i="10" s="1"/>
  <c r="H32" i="10" s="1"/>
  <c r="G40" i="10"/>
  <c r="G43" i="10" s="1"/>
  <c r="G47" i="10" s="1"/>
  <c r="G32" i="10"/>
  <c r="D81" i="15"/>
  <c r="D82" i="15"/>
  <c r="F39" i="5"/>
  <c r="F44" i="5"/>
  <c r="H6" i="1"/>
  <c r="G5" i="1"/>
  <c r="E50" i="1"/>
  <c r="D59" i="10"/>
  <c r="D10" i="1"/>
  <c r="D20" i="1" s="1"/>
  <c r="I6" i="17"/>
  <c r="E41" i="29" l="1"/>
  <c r="E79" i="29" s="1"/>
  <c r="E55" i="10"/>
  <c r="E120" i="2"/>
  <c r="E125" i="2" s="1"/>
  <c r="G79" i="2"/>
  <c r="G50" i="1" s="1"/>
  <c r="F46" i="5"/>
  <c r="F51" i="1"/>
  <c r="H5" i="1"/>
  <c r="I6" i="1"/>
  <c r="I6" i="10"/>
  <c r="I5" i="10" s="1"/>
  <c r="H40" i="10"/>
  <c r="H43" i="10" s="1"/>
  <c r="H47" i="10" s="1"/>
  <c r="E97" i="2"/>
  <c r="E96" i="2"/>
  <c r="E106" i="2"/>
  <c r="E81" i="15"/>
  <c r="E82" i="15"/>
  <c r="G41" i="17"/>
  <c r="G14" i="19"/>
  <c r="G28" i="3"/>
  <c r="G56" i="1" s="1"/>
  <c r="G86" i="2"/>
  <c r="G35" i="10"/>
  <c r="G8" i="20"/>
  <c r="G57" i="1" s="1"/>
  <c r="G39" i="29"/>
  <c r="H5" i="4"/>
  <c r="I6" i="4"/>
  <c r="D109" i="2"/>
  <c r="D108" i="2"/>
  <c r="F57" i="10"/>
  <c r="F80" i="17"/>
  <c r="E15" i="1"/>
  <c r="E17" i="1"/>
  <c r="E11" i="1"/>
  <c r="E16" i="1"/>
  <c r="E18" i="1"/>
  <c r="E14" i="1"/>
  <c r="E19" i="1"/>
  <c r="J6" i="15"/>
  <c r="I5" i="15"/>
  <c r="F53" i="10"/>
  <c r="E13" i="1"/>
  <c r="E12" i="1"/>
  <c r="I6" i="27"/>
  <c r="H5" i="27"/>
  <c r="G40" i="5"/>
  <c r="G46" i="5" s="1"/>
  <c r="D97" i="2"/>
  <c r="D96" i="2"/>
  <c r="E51" i="10"/>
  <c r="E48" i="1"/>
  <c r="E58" i="10"/>
  <c r="E59" i="10" s="1"/>
  <c r="H5" i="3"/>
  <c r="I6" i="3"/>
  <c r="H5" i="19"/>
  <c r="I6" i="19"/>
  <c r="F103" i="2"/>
  <c r="F128" i="2"/>
  <c r="F133" i="2"/>
  <c r="F102" i="2"/>
  <c r="F129" i="2"/>
  <c r="F119" i="2"/>
  <c r="F101" i="2"/>
  <c r="F118" i="2"/>
  <c r="F105" i="2"/>
  <c r="F90" i="2"/>
  <c r="F100" i="2"/>
  <c r="F130" i="2"/>
  <c r="F132" i="2"/>
  <c r="F131" i="2"/>
  <c r="F91" i="2"/>
  <c r="F104" i="2"/>
  <c r="E134" i="2"/>
  <c r="D136" i="2"/>
  <c r="D137" i="2"/>
  <c r="I6" i="11"/>
  <c r="H5" i="11"/>
  <c r="I6" i="29"/>
  <c r="I5" i="29" s="1"/>
  <c r="H22" i="29"/>
  <c r="G51" i="1"/>
  <c r="F23" i="29"/>
  <c r="F34" i="29" s="1"/>
  <c r="F37" i="29" s="1"/>
  <c r="G45" i="10"/>
  <c r="G49" i="10" s="1"/>
  <c r="G63" i="27"/>
  <c r="G46" i="10"/>
  <c r="H78" i="2"/>
  <c r="I6" i="2"/>
  <c r="H77" i="2"/>
  <c r="H5" i="2"/>
  <c r="H5" i="20"/>
  <c r="I6" i="20"/>
  <c r="H33" i="28"/>
  <c r="G32" i="28"/>
  <c r="G35" i="28"/>
  <c r="H34" i="10" s="1"/>
  <c r="H38" i="10" s="1"/>
  <c r="H56" i="27" s="1"/>
  <c r="G34" i="28"/>
  <c r="G36" i="28"/>
  <c r="H99" i="5"/>
  <c r="H93" i="5"/>
  <c r="H87" i="5"/>
  <c r="H81" i="5"/>
  <c r="H96" i="5"/>
  <c r="H90" i="5"/>
  <c r="H84" i="5"/>
  <c r="H66" i="5"/>
  <c r="H67" i="5" s="1"/>
  <c r="H43" i="5" s="1"/>
  <c r="H55" i="1" s="1"/>
  <c r="H50" i="5"/>
  <c r="H51" i="5" s="1"/>
  <c r="H39" i="5" s="1"/>
  <c r="H70" i="5"/>
  <c r="H71" i="5" s="1"/>
  <c r="H58" i="5"/>
  <c r="H59" i="5" s="1"/>
  <c r="H74" i="5"/>
  <c r="H75" i="5" s="1"/>
  <c r="H62" i="5"/>
  <c r="H63" i="5" s="1"/>
  <c r="H42" i="5" s="1"/>
  <c r="H54" i="5"/>
  <c r="H55" i="5" s="1"/>
  <c r="H40" i="5" s="1"/>
  <c r="H52" i="1" s="1"/>
  <c r="H5" i="5"/>
  <c r="I6" i="5"/>
  <c r="F54" i="10"/>
  <c r="F65" i="1"/>
  <c r="F12" i="1" s="1"/>
  <c r="F50" i="10"/>
  <c r="F48" i="1" s="1"/>
  <c r="H50" i="15"/>
  <c r="D125" i="2"/>
  <c r="D124" i="2"/>
  <c r="J6" i="17"/>
  <c r="I5" i="17"/>
  <c r="E124" i="2" l="1"/>
  <c r="G23" i="29"/>
  <c r="G34" i="29" s="1"/>
  <c r="G37" i="29" s="1"/>
  <c r="D140" i="2"/>
  <c r="D141" i="2"/>
  <c r="F92" i="2"/>
  <c r="F97" i="2" s="1"/>
  <c r="D112" i="2"/>
  <c r="F106" i="2"/>
  <c r="F109" i="2" s="1"/>
  <c r="D113" i="2"/>
  <c r="I33" i="28"/>
  <c r="H32" i="28"/>
  <c r="H35" i="28"/>
  <c r="I34" i="10" s="1"/>
  <c r="I38" i="10" s="1"/>
  <c r="I56" i="27" s="1"/>
  <c r="H36" i="28"/>
  <c r="H34" i="28"/>
  <c r="H79" i="2"/>
  <c r="G80" i="17"/>
  <c r="F81" i="15"/>
  <c r="F82" i="15"/>
  <c r="F120" i="2"/>
  <c r="F134" i="2"/>
  <c r="J6" i="19"/>
  <c r="I5" i="19"/>
  <c r="G52" i="1"/>
  <c r="F51" i="10"/>
  <c r="G133" i="2"/>
  <c r="G102" i="2"/>
  <c r="G129" i="2"/>
  <c r="G91" i="2"/>
  <c r="G90" i="2"/>
  <c r="G100" i="2"/>
  <c r="G104" i="2"/>
  <c r="G105" i="2"/>
  <c r="G101" i="2"/>
  <c r="G128" i="2"/>
  <c r="G130" i="2"/>
  <c r="G132" i="2"/>
  <c r="G131" i="2"/>
  <c r="G119" i="2"/>
  <c r="G118" i="2"/>
  <c r="G103" i="2"/>
  <c r="E109" i="2"/>
  <c r="E113" i="2" s="1"/>
  <c r="E108" i="2"/>
  <c r="E112" i="2" s="1"/>
  <c r="H63" i="27"/>
  <c r="H46" i="10"/>
  <c r="H45" i="10"/>
  <c r="H49" i="10" s="1"/>
  <c r="F17" i="1"/>
  <c r="F15" i="1"/>
  <c r="F11" i="1"/>
  <c r="F14" i="1"/>
  <c r="F16" i="1"/>
  <c r="H44" i="5"/>
  <c r="H54" i="1"/>
  <c r="H51" i="1"/>
  <c r="H8" i="20"/>
  <c r="H57" i="1" s="1"/>
  <c r="H28" i="3"/>
  <c r="H56" i="1" s="1"/>
  <c r="H14" i="19"/>
  <c r="H41" i="17"/>
  <c r="H35" i="10"/>
  <c r="H39" i="29"/>
  <c r="H86" i="2"/>
  <c r="J6" i="20"/>
  <c r="I5" i="20"/>
  <c r="F18" i="1"/>
  <c r="I32" i="10"/>
  <c r="J6" i="10"/>
  <c r="J5" i="10" s="1"/>
  <c r="I40" i="10"/>
  <c r="I43" i="10" s="1"/>
  <c r="I47" i="10" s="1"/>
  <c r="J6" i="1"/>
  <c r="I5" i="1"/>
  <c r="F19" i="1"/>
  <c r="I96" i="5"/>
  <c r="I90" i="5"/>
  <c r="I84" i="5"/>
  <c r="I81" i="5"/>
  <c r="I70" i="5"/>
  <c r="I71" i="5" s="1"/>
  <c r="I44" i="5" s="1"/>
  <c r="I54" i="5"/>
  <c r="I55" i="5" s="1"/>
  <c r="I40" i="5" s="1"/>
  <c r="I52" i="1" s="1"/>
  <c r="J6" i="5"/>
  <c r="L16" i="5" s="1"/>
  <c r="I87" i="5"/>
  <c r="I93" i="5"/>
  <c r="I74" i="5"/>
  <c r="I75" i="5" s="1"/>
  <c r="I45" i="5" s="1"/>
  <c r="I62" i="5"/>
  <c r="I63" i="5" s="1"/>
  <c r="I42" i="5" s="1"/>
  <c r="I54" i="1" s="1"/>
  <c r="I99" i="5"/>
  <c r="I66" i="5"/>
  <c r="I67" i="5" s="1"/>
  <c r="I43" i="5" s="1"/>
  <c r="I55" i="1" s="1"/>
  <c r="I50" i="5"/>
  <c r="I51" i="5" s="1"/>
  <c r="I39" i="5" s="1"/>
  <c r="I58" i="5"/>
  <c r="I59" i="5" s="1"/>
  <c r="I41" i="5" s="1"/>
  <c r="I53" i="1" s="1"/>
  <c r="I5" i="5"/>
  <c r="H45" i="5"/>
  <c r="G65" i="1"/>
  <c r="G13" i="1" s="1"/>
  <c r="G50" i="10"/>
  <c r="G48" i="1" s="1"/>
  <c r="J6" i="11"/>
  <c r="I5" i="11"/>
  <c r="E58" i="1"/>
  <c r="E10" i="1"/>
  <c r="E20" i="1" s="1"/>
  <c r="I5" i="27"/>
  <c r="J6" i="27"/>
  <c r="F58" i="10"/>
  <c r="F59" i="10" s="1"/>
  <c r="I50" i="15"/>
  <c r="F13" i="1"/>
  <c r="F10" i="1"/>
  <c r="F58" i="1"/>
  <c r="H41" i="5"/>
  <c r="I78" i="2"/>
  <c r="I77" i="2"/>
  <c r="I5" i="2"/>
  <c r="J6" i="2"/>
  <c r="L24" i="2" s="1"/>
  <c r="F41" i="29"/>
  <c r="F79" i="29" s="1"/>
  <c r="F49" i="29"/>
  <c r="J6" i="29"/>
  <c r="J5" i="29" s="1"/>
  <c r="I22" i="29"/>
  <c r="E137" i="2"/>
  <c r="E141" i="2" s="1"/>
  <c r="E136" i="2"/>
  <c r="J6" i="3"/>
  <c r="I5" i="3"/>
  <c r="F55" i="10"/>
  <c r="K6" i="15"/>
  <c r="K5" i="15" s="1"/>
  <c r="J5" i="15"/>
  <c r="J6" i="4"/>
  <c r="I5" i="4"/>
  <c r="G54" i="10"/>
  <c r="G53" i="10"/>
  <c r="G57" i="10"/>
  <c r="K6" i="17"/>
  <c r="J5" i="17"/>
  <c r="D147" i="2" l="1"/>
  <c r="E140" i="2"/>
  <c r="F20" i="1"/>
  <c r="G58" i="10"/>
  <c r="G59" i="10" s="1"/>
  <c r="H23" i="29"/>
  <c r="H34" i="29" s="1"/>
  <c r="H37" i="29" s="1"/>
  <c r="H49" i="29" s="1"/>
  <c r="G49" i="29"/>
  <c r="D142" i="2"/>
  <c r="F96" i="2"/>
  <c r="D148" i="2"/>
  <c r="D149" i="2" s="1"/>
  <c r="L56" i="2"/>
  <c r="L59" i="2"/>
  <c r="L30" i="2"/>
  <c r="L70" i="2"/>
  <c r="L55" i="2"/>
  <c r="L65" i="5"/>
  <c r="E142" i="2"/>
  <c r="G92" i="2"/>
  <c r="G97" i="2" s="1"/>
  <c r="F113" i="2"/>
  <c r="L52" i="2"/>
  <c r="L40" i="2"/>
  <c r="L28" i="2"/>
  <c r="L13" i="5"/>
  <c r="F108" i="2"/>
  <c r="L17" i="5"/>
  <c r="L15" i="5"/>
  <c r="D114" i="2"/>
  <c r="L62" i="2"/>
  <c r="L36" i="2"/>
  <c r="L54" i="2"/>
  <c r="L61" i="5"/>
  <c r="L69" i="5"/>
  <c r="L11" i="5"/>
  <c r="G55" i="10"/>
  <c r="J50" i="15"/>
  <c r="K6" i="3"/>
  <c r="K5" i="3" s="1"/>
  <c r="J5" i="3"/>
  <c r="H53" i="1"/>
  <c r="I51" i="1"/>
  <c r="I46" i="5"/>
  <c r="I46" i="10"/>
  <c r="I63" i="27"/>
  <c r="I45" i="10"/>
  <c r="I49" i="10" s="1"/>
  <c r="G18" i="1"/>
  <c r="L64" i="2"/>
  <c r="H53" i="10"/>
  <c r="H57" i="10"/>
  <c r="H80" i="17"/>
  <c r="E148" i="2"/>
  <c r="G81" i="15"/>
  <c r="G82" i="15"/>
  <c r="G14" i="1"/>
  <c r="K6" i="19"/>
  <c r="K5" i="19" s="1"/>
  <c r="J5" i="19"/>
  <c r="H50" i="1"/>
  <c r="L35" i="2"/>
  <c r="I14" i="19"/>
  <c r="I28" i="3"/>
  <c r="I56" i="1" s="1"/>
  <c r="I39" i="29"/>
  <c r="I86" i="2"/>
  <c r="I35" i="10"/>
  <c r="I8" i="20"/>
  <c r="I57" i="1" s="1"/>
  <c r="I41" i="17"/>
  <c r="I32" i="28"/>
  <c r="J33" i="28"/>
  <c r="I35" i="28"/>
  <c r="J34" i="10" s="1"/>
  <c r="J38" i="10" s="1"/>
  <c r="J56" i="27" s="1"/>
  <c r="I36" i="28"/>
  <c r="I34" i="28"/>
  <c r="J40" i="10"/>
  <c r="J43" i="10" s="1"/>
  <c r="J47" i="10" s="1"/>
  <c r="K6" i="10"/>
  <c r="K5" i="10" s="1"/>
  <c r="J32" i="10"/>
  <c r="L71" i="2"/>
  <c r="K6" i="20"/>
  <c r="K5" i="20" s="1"/>
  <c r="J5" i="20"/>
  <c r="H54" i="10"/>
  <c r="H50" i="10"/>
  <c r="H65" i="1"/>
  <c r="H19" i="1" s="1"/>
  <c r="F136" i="2"/>
  <c r="F137" i="2"/>
  <c r="L50" i="2"/>
  <c r="L23" i="2"/>
  <c r="K6" i="29"/>
  <c r="K5" i="29" s="1"/>
  <c r="J22" i="29"/>
  <c r="I79" i="2"/>
  <c r="G58" i="1"/>
  <c r="G10" i="1"/>
  <c r="H101" i="2"/>
  <c r="H130" i="2"/>
  <c r="H132" i="2"/>
  <c r="H131" i="2"/>
  <c r="H100" i="2"/>
  <c r="H118" i="2"/>
  <c r="H104" i="2"/>
  <c r="H103" i="2"/>
  <c r="H91" i="2"/>
  <c r="H102" i="2"/>
  <c r="H129" i="2"/>
  <c r="H128" i="2"/>
  <c r="H105" i="2"/>
  <c r="H90" i="2"/>
  <c r="H119" i="2"/>
  <c r="H133" i="2"/>
  <c r="H46" i="5"/>
  <c r="F125" i="2"/>
  <c r="F124" i="2"/>
  <c r="G51" i="10"/>
  <c r="K82" i="15"/>
  <c r="K50" i="15"/>
  <c r="K5" i="17"/>
  <c r="L47" i="17"/>
  <c r="K6" i="4"/>
  <c r="K5" i="4" s="1"/>
  <c r="J5" i="4"/>
  <c r="J77" i="2"/>
  <c r="J78" i="2"/>
  <c r="K6" i="2"/>
  <c r="J5" i="2"/>
  <c r="L31" i="2"/>
  <c r="L18" i="2"/>
  <c r="L19" i="2"/>
  <c r="L47" i="2"/>
  <c r="L13" i="2"/>
  <c r="L12" i="2"/>
  <c r="L51" i="2"/>
  <c r="L34" i="2"/>
  <c r="L63" i="2"/>
  <c r="L22" i="2"/>
  <c r="L58" i="2"/>
  <c r="L27" i="2"/>
  <c r="K6" i="27"/>
  <c r="J5" i="27"/>
  <c r="J5" i="11"/>
  <c r="K6" i="11"/>
  <c r="K5" i="11" s="1"/>
  <c r="G19" i="1"/>
  <c r="G11" i="1"/>
  <c r="G17" i="1"/>
  <c r="G15" i="1"/>
  <c r="G12" i="1"/>
  <c r="G16" i="1"/>
  <c r="J96" i="5"/>
  <c r="J90" i="5"/>
  <c r="J84" i="5"/>
  <c r="J99" i="5"/>
  <c r="J93" i="5"/>
  <c r="J87" i="5"/>
  <c r="J81" i="5"/>
  <c r="J58" i="5"/>
  <c r="J59" i="5" s="1"/>
  <c r="J5" i="5"/>
  <c r="J74" i="5"/>
  <c r="J75" i="5" s="1"/>
  <c r="J66" i="5"/>
  <c r="J67" i="5" s="1"/>
  <c r="J43" i="5" s="1"/>
  <c r="J70" i="5"/>
  <c r="J71" i="5" s="1"/>
  <c r="J54" i="5"/>
  <c r="J55" i="5" s="1"/>
  <c r="L55" i="5" s="1"/>
  <c r="J50" i="5"/>
  <c r="J51" i="5" s="1"/>
  <c r="J39" i="5" s="1"/>
  <c r="J62" i="5"/>
  <c r="J63" i="5" s="1"/>
  <c r="J42" i="5" s="1"/>
  <c r="K6" i="5"/>
  <c r="L39" i="5"/>
  <c r="L73" i="5"/>
  <c r="L14" i="5"/>
  <c r="L57" i="5"/>
  <c r="K6" i="1"/>
  <c r="J5" i="1"/>
  <c r="E147" i="2"/>
  <c r="E114" i="2"/>
  <c r="L41" i="2"/>
  <c r="L46" i="2"/>
  <c r="L53" i="5"/>
  <c r="G120" i="2"/>
  <c r="G134" i="2"/>
  <c r="G106" i="2"/>
  <c r="L26" i="2"/>
  <c r="L53" i="2"/>
  <c r="H41" i="29" l="1"/>
  <c r="H79" i="29" s="1"/>
  <c r="G20" i="1"/>
  <c r="F112" i="2"/>
  <c r="F114" i="2" s="1"/>
  <c r="G41" i="29"/>
  <c r="G79" i="29" s="1"/>
  <c r="L51" i="5"/>
  <c r="L63" i="5"/>
  <c r="G96" i="2"/>
  <c r="H18" i="1"/>
  <c r="L42" i="2"/>
  <c r="H55" i="10"/>
  <c r="J79" i="2"/>
  <c r="J50" i="1" s="1"/>
  <c r="L67" i="5"/>
  <c r="K99" i="5"/>
  <c r="K93" i="5"/>
  <c r="K87" i="5"/>
  <c r="K81" i="5"/>
  <c r="K84" i="5"/>
  <c r="K74" i="5"/>
  <c r="K75" i="5" s="1"/>
  <c r="K45" i="5" s="1"/>
  <c r="K62" i="5"/>
  <c r="K63" i="5" s="1"/>
  <c r="K90" i="5"/>
  <c r="K96" i="5"/>
  <c r="K70" i="5"/>
  <c r="K71" i="5" s="1"/>
  <c r="K54" i="5"/>
  <c r="K55" i="5" s="1"/>
  <c r="K40" i="5" s="1"/>
  <c r="K52" i="1" s="1"/>
  <c r="K58" i="5"/>
  <c r="K59" i="5" s="1"/>
  <c r="K41" i="5" s="1"/>
  <c r="K53" i="1" s="1"/>
  <c r="K5" i="5"/>
  <c r="K66" i="5"/>
  <c r="K67" i="5" s="1"/>
  <c r="K50" i="5"/>
  <c r="K51" i="5" s="1"/>
  <c r="L49" i="5"/>
  <c r="L75" i="5"/>
  <c r="L12" i="5"/>
  <c r="L18" i="5" s="1"/>
  <c r="J44" i="5"/>
  <c r="L44" i="5" s="1"/>
  <c r="L71" i="5"/>
  <c r="J41" i="5"/>
  <c r="L59" i="5"/>
  <c r="F140" i="2"/>
  <c r="H120" i="2"/>
  <c r="H51" i="10"/>
  <c r="H48" i="1"/>
  <c r="H13" i="1"/>
  <c r="K32" i="10"/>
  <c r="K40" i="10"/>
  <c r="K43" i="10" s="1"/>
  <c r="K47" i="10" s="1"/>
  <c r="J35" i="10"/>
  <c r="J8" i="20"/>
  <c r="J57" i="1" s="1"/>
  <c r="J41" i="17"/>
  <c r="J39" i="29"/>
  <c r="J14" i="19"/>
  <c r="J28" i="3"/>
  <c r="J56" i="1" s="1"/>
  <c r="J86" i="2"/>
  <c r="I101" i="2"/>
  <c r="I119" i="2"/>
  <c r="I105" i="2"/>
  <c r="I132" i="2"/>
  <c r="I131" i="2"/>
  <c r="I100" i="2"/>
  <c r="I130" i="2"/>
  <c r="I128" i="2"/>
  <c r="I118" i="2"/>
  <c r="I102" i="2"/>
  <c r="I104" i="2"/>
  <c r="I103" i="2"/>
  <c r="I91" i="2"/>
  <c r="I90" i="2"/>
  <c r="I133" i="2"/>
  <c r="I129" i="2"/>
  <c r="H16" i="1"/>
  <c r="I65" i="1"/>
  <c r="I13" i="1" s="1"/>
  <c r="I50" i="10"/>
  <c r="I48" i="1" s="1"/>
  <c r="H15" i="1"/>
  <c r="G137" i="2"/>
  <c r="G136" i="2"/>
  <c r="G124" i="2"/>
  <c r="G125" i="2"/>
  <c r="J54" i="1"/>
  <c r="L42" i="5"/>
  <c r="J55" i="1"/>
  <c r="L43" i="5"/>
  <c r="K77" i="2"/>
  <c r="K78" i="2"/>
  <c r="K5" i="2"/>
  <c r="L77" i="2"/>
  <c r="L25" i="2"/>
  <c r="L69" i="2"/>
  <c r="H81" i="15"/>
  <c r="H82" i="15"/>
  <c r="F141" i="2"/>
  <c r="J46" i="10"/>
  <c r="J45" i="10"/>
  <c r="J49" i="10" s="1"/>
  <c r="J63" i="27"/>
  <c r="I23" i="29"/>
  <c r="I34" i="29" s="1"/>
  <c r="I37" i="29" s="1"/>
  <c r="H58" i="10"/>
  <c r="H59" i="10" s="1"/>
  <c r="E149" i="2"/>
  <c r="J51" i="1"/>
  <c r="J45" i="5"/>
  <c r="L45" i="5" s="1"/>
  <c r="K5" i="27"/>
  <c r="H92" i="2"/>
  <c r="H106" i="2"/>
  <c r="I50" i="1"/>
  <c r="H12" i="1"/>
  <c r="I80" i="17"/>
  <c r="G109" i="2"/>
  <c r="G108" i="2"/>
  <c r="K5" i="1"/>
  <c r="M49" i="1"/>
  <c r="J40" i="5"/>
  <c r="L14" i="2"/>
  <c r="H134" i="2"/>
  <c r="K22" i="29"/>
  <c r="H11" i="1"/>
  <c r="H14" i="1"/>
  <c r="H17" i="1"/>
  <c r="J32" i="28"/>
  <c r="J35" i="28"/>
  <c r="K34" i="10" s="1"/>
  <c r="K38" i="10" s="1"/>
  <c r="K56" i="27" s="1"/>
  <c r="J36" i="28"/>
  <c r="J34" i="28"/>
  <c r="I54" i="10"/>
  <c r="I53" i="10"/>
  <c r="I57" i="10"/>
  <c r="I18" i="1" l="1"/>
  <c r="M55" i="5"/>
  <c r="J46" i="5"/>
  <c r="I19" i="1"/>
  <c r="G141" i="2"/>
  <c r="L79" i="2"/>
  <c r="K79" i="2"/>
  <c r="K50" i="1" s="1"/>
  <c r="N50" i="1" s="1"/>
  <c r="I51" i="10"/>
  <c r="I58" i="10"/>
  <c r="I59" i="10" s="1"/>
  <c r="J23" i="29"/>
  <c r="J34" i="29" s="1"/>
  <c r="J37" i="29" s="1"/>
  <c r="J49" i="29" s="1"/>
  <c r="M75" i="5"/>
  <c r="G140" i="2"/>
  <c r="I55" i="10"/>
  <c r="M59" i="5"/>
  <c r="I120" i="2"/>
  <c r="I125" i="2" s="1"/>
  <c r="H96" i="2"/>
  <c r="H97" i="2"/>
  <c r="I49" i="29"/>
  <c r="I41" i="29"/>
  <c r="I79" i="29" s="1"/>
  <c r="I11" i="1"/>
  <c r="I17" i="1"/>
  <c r="I14" i="1"/>
  <c r="I15" i="1"/>
  <c r="I16" i="1"/>
  <c r="M56" i="1"/>
  <c r="M57" i="1"/>
  <c r="F142" i="2"/>
  <c r="F147" i="2"/>
  <c r="K35" i="10"/>
  <c r="K8" i="20"/>
  <c r="K57" i="1" s="1"/>
  <c r="K14" i="19"/>
  <c r="K28" i="3"/>
  <c r="K56" i="1" s="1"/>
  <c r="N56" i="1" s="1"/>
  <c r="K39" i="29"/>
  <c r="K86" i="2"/>
  <c r="K41" i="17"/>
  <c r="G112" i="2"/>
  <c r="I12" i="1"/>
  <c r="M50" i="1"/>
  <c r="H109" i="2"/>
  <c r="H108" i="2"/>
  <c r="H112" i="2" s="1"/>
  <c r="F148" i="2"/>
  <c r="M55" i="1"/>
  <c r="I81" i="15"/>
  <c r="I82" i="15"/>
  <c r="I106" i="2"/>
  <c r="J54" i="10"/>
  <c r="J53" i="10"/>
  <c r="J57" i="10"/>
  <c r="H58" i="1"/>
  <c r="H10" i="1"/>
  <c r="H20" i="1" s="1"/>
  <c r="K39" i="5"/>
  <c r="M51" i="5"/>
  <c r="K42" i="5"/>
  <c r="M63" i="5"/>
  <c r="H136" i="2"/>
  <c r="H137" i="2"/>
  <c r="J52" i="1"/>
  <c r="M40" i="5"/>
  <c r="L40" i="5"/>
  <c r="G113" i="2"/>
  <c r="J80" i="17"/>
  <c r="I92" i="2"/>
  <c r="K46" i="10"/>
  <c r="K45" i="10"/>
  <c r="K49" i="10" s="1"/>
  <c r="K63" i="27"/>
  <c r="H125" i="2"/>
  <c r="H124" i="2"/>
  <c r="K43" i="5"/>
  <c r="M67" i="5"/>
  <c r="K44" i="5"/>
  <c r="M44" i="5" s="1"/>
  <c r="M71" i="5"/>
  <c r="M45" i="5"/>
  <c r="M51" i="1"/>
  <c r="J65" i="1"/>
  <c r="M13" i="1" s="1"/>
  <c r="J50" i="10"/>
  <c r="J48" i="1" s="1"/>
  <c r="M77" i="2"/>
  <c r="M54" i="1"/>
  <c r="I10" i="1"/>
  <c r="I58" i="1"/>
  <c r="I134" i="2"/>
  <c r="J101" i="2"/>
  <c r="L101" i="2" s="1"/>
  <c r="J119" i="2"/>
  <c r="L119" i="2" s="1"/>
  <c r="J105" i="2"/>
  <c r="L105" i="2" s="1"/>
  <c r="J90" i="2"/>
  <c r="J131" i="2"/>
  <c r="L131" i="2" s="1"/>
  <c r="J130" i="2"/>
  <c r="L130" i="2" s="1"/>
  <c r="J104" i="2"/>
  <c r="L104" i="2" s="1"/>
  <c r="J103" i="2"/>
  <c r="L103" i="2" s="1"/>
  <c r="J91" i="2"/>
  <c r="J118" i="2"/>
  <c r="L118" i="2" s="1"/>
  <c r="J129" i="2"/>
  <c r="L129" i="2" s="1"/>
  <c r="J128" i="2"/>
  <c r="J133" i="2"/>
  <c r="L133" i="2" s="1"/>
  <c r="J102" i="2"/>
  <c r="L102" i="2" s="1"/>
  <c r="J132" i="2"/>
  <c r="L132" i="2" s="1"/>
  <c r="J100" i="2"/>
  <c r="J53" i="1"/>
  <c r="M41" i="5"/>
  <c r="L41" i="5"/>
  <c r="I20" i="1" l="1"/>
  <c r="G142" i="2"/>
  <c r="M79" i="2"/>
  <c r="I124" i="2"/>
  <c r="J41" i="29"/>
  <c r="J79" i="29" s="1"/>
  <c r="H113" i="2"/>
  <c r="L120" i="2"/>
  <c r="M16" i="1"/>
  <c r="J16" i="1"/>
  <c r="J106" i="2"/>
  <c r="L100" i="2"/>
  <c r="J10" i="1"/>
  <c r="J58" i="1"/>
  <c r="K65" i="1"/>
  <c r="K50" i="10"/>
  <c r="K48" i="1" s="1"/>
  <c r="N48" i="1" s="1"/>
  <c r="I109" i="2"/>
  <c r="I108" i="2"/>
  <c r="K23" i="29"/>
  <c r="K34" i="29" s="1"/>
  <c r="K37" i="29" s="1"/>
  <c r="J11" i="1"/>
  <c r="J12" i="1"/>
  <c r="J13" i="1"/>
  <c r="L46" i="5"/>
  <c r="H141" i="2"/>
  <c r="K54" i="1"/>
  <c r="M42" i="5"/>
  <c r="K46" i="5"/>
  <c r="K51" i="1"/>
  <c r="M39" i="5"/>
  <c r="M48" i="1"/>
  <c r="J58" i="10"/>
  <c r="G114" i="2"/>
  <c r="G147" i="2"/>
  <c r="M19" i="1"/>
  <c r="J134" i="2"/>
  <c r="L128" i="2"/>
  <c r="I136" i="2"/>
  <c r="I137" i="2"/>
  <c r="I141" i="2" s="1"/>
  <c r="L134" i="2"/>
  <c r="G148" i="2"/>
  <c r="J51" i="10"/>
  <c r="H140" i="2"/>
  <c r="M10" i="1"/>
  <c r="J59" i="10"/>
  <c r="J17" i="1"/>
  <c r="J18" i="1"/>
  <c r="J81" i="15"/>
  <c r="J82" i="15"/>
  <c r="L90" i="2"/>
  <c r="J15" i="1"/>
  <c r="M15" i="1"/>
  <c r="M53" i="1"/>
  <c r="N53" i="1"/>
  <c r="J120" i="2"/>
  <c r="J92" i="2"/>
  <c r="L91" i="2"/>
  <c r="K55" i="1"/>
  <c r="M43" i="5"/>
  <c r="K80" i="17"/>
  <c r="I97" i="2"/>
  <c r="I96" i="2"/>
  <c r="L80" i="17"/>
  <c r="J14" i="1"/>
  <c r="N52" i="1"/>
  <c r="M14" i="1"/>
  <c r="M52" i="1"/>
  <c r="J55" i="10"/>
  <c r="M17" i="1"/>
  <c r="M12" i="1"/>
  <c r="K131" i="2"/>
  <c r="M131" i="2" s="1"/>
  <c r="K100" i="2"/>
  <c r="K130" i="2"/>
  <c r="M130" i="2" s="1"/>
  <c r="K104" i="2"/>
  <c r="M104" i="2" s="1"/>
  <c r="K105" i="2"/>
  <c r="M105" i="2" s="1"/>
  <c r="K103" i="2"/>
  <c r="M103" i="2" s="1"/>
  <c r="K91" i="2"/>
  <c r="M91" i="2" s="1"/>
  <c r="K118" i="2"/>
  <c r="M118" i="2" s="1"/>
  <c r="K132" i="2"/>
  <c r="M132" i="2" s="1"/>
  <c r="K101" i="2"/>
  <c r="M101" i="2" s="1"/>
  <c r="K119" i="2"/>
  <c r="K90" i="2"/>
  <c r="K81" i="15" s="1"/>
  <c r="K129" i="2"/>
  <c r="M129" i="2" s="1"/>
  <c r="K128" i="2"/>
  <c r="K133" i="2"/>
  <c r="M133" i="2" s="1"/>
  <c r="K102" i="2"/>
  <c r="M102" i="2" s="1"/>
  <c r="N57" i="1"/>
  <c r="J19" i="1"/>
  <c r="M18" i="1"/>
  <c r="K57" i="10"/>
  <c r="K54" i="10"/>
  <c r="K53" i="10"/>
  <c r="F149" i="2"/>
  <c r="M11" i="1"/>
  <c r="N11" i="1" l="1"/>
  <c r="I140" i="2"/>
  <c r="M20" i="1"/>
  <c r="J20" i="1"/>
  <c r="N18" i="1"/>
  <c r="N15" i="1"/>
  <c r="K55" i="10"/>
  <c r="H148" i="2"/>
  <c r="K19" i="1"/>
  <c r="M80" i="17"/>
  <c r="H114" i="2"/>
  <c r="I113" i="2"/>
  <c r="I148" i="2" s="1"/>
  <c r="L92" i="2"/>
  <c r="K18" i="1"/>
  <c r="N10" i="1"/>
  <c r="K58" i="10"/>
  <c r="K59" i="10" s="1"/>
  <c r="N19" i="1"/>
  <c r="K51" i="10"/>
  <c r="N12" i="1"/>
  <c r="N14" i="1"/>
  <c r="M46" i="5"/>
  <c r="K16" i="1"/>
  <c r="N54" i="1"/>
  <c r="N16" i="1"/>
  <c r="J108" i="2"/>
  <c r="J109" i="2"/>
  <c r="L109" i="2" s="1"/>
  <c r="L106" i="2"/>
  <c r="J136" i="2"/>
  <c r="L136" i="2" s="1"/>
  <c r="J137" i="2"/>
  <c r="L137" i="2" s="1"/>
  <c r="M128" i="2"/>
  <c r="K134" i="2"/>
  <c r="I112" i="2"/>
  <c r="J124" i="2"/>
  <c r="J125" i="2"/>
  <c r="H142" i="2"/>
  <c r="K13" i="1"/>
  <c r="N13" i="1"/>
  <c r="N51" i="1"/>
  <c r="K41" i="29"/>
  <c r="K79" i="29" s="1"/>
  <c r="K49" i="29"/>
  <c r="K10" i="1"/>
  <c r="K58" i="1"/>
  <c r="M90" i="2"/>
  <c r="M92" i="2" s="1"/>
  <c r="K120" i="2"/>
  <c r="K92" i="2"/>
  <c r="K106" i="2"/>
  <c r="I142" i="2"/>
  <c r="K17" i="1"/>
  <c r="N17" i="1"/>
  <c r="N55" i="1"/>
  <c r="J96" i="2"/>
  <c r="L96" i="2" s="1"/>
  <c r="J97" i="2"/>
  <c r="H147" i="2"/>
  <c r="K11" i="1"/>
  <c r="K14" i="1"/>
  <c r="K15" i="1"/>
  <c r="K12" i="1"/>
  <c r="M100" i="2"/>
  <c r="M119" i="2"/>
  <c r="M120" i="2" s="1"/>
  <c r="G149" i="2"/>
  <c r="M58" i="1"/>
  <c r="N20" i="1" l="1"/>
  <c r="K20" i="1"/>
  <c r="J113" i="2"/>
  <c r="L97" i="2"/>
  <c r="K96" i="2"/>
  <c r="K97" i="2"/>
  <c r="M97" i="2" s="1"/>
  <c r="J141" i="2"/>
  <c r="L141" i="2" s="1"/>
  <c r="L125" i="2"/>
  <c r="H149" i="2"/>
  <c r="K124" i="2"/>
  <c r="M124" i="2" s="1"/>
  <c r="K125" i="2"/>
  <c r="J140" i="2"/>
  <c r="L124" i="2"/>
  <c r="K136" i="2"/>
  <c r="M136" i="2" s="1"/>
  <c r="K137" i="2"/>
  <c r="M137" i="2" s="1"/>
  <c r="M134" i="2"/>
  <c r="N58" i="1"/>
  <c r="I147" i="2"/>
  <c r="I149" i="2" s="1"/>
  <c r="I114" i="2"/>
  <c r="K108" i="2"/>
  <c r="M108" i="2" s="1"/>
  <c r="K109" i="2"/>
  <c r="M109" i="2" s="1"/>
  <c r="M106" i="2"/>
  <c r="J112" i="2"/>
  <c r="L112" i="2" s="1"/>
  <c r="L108" i="2"/>
  <c r="K141" i="2" l="1"/>
  <c r="M141" i="2" s="1"/>
  <c r="K140" i="2"/>
  <c r="K113" i="2"/>
  <c r="K148" i="2" s="1"/>
  <c r="J148" i="2"/>
  <c r="L148" i="2" s="1"/>
  <c r="L113" i="2"/>
  <c r="J142" i="2"/>
  <c r="L142" i="2" s="1"/>
  <c r="L140" i="2"/>
  <c r="M125" i="2"/>
  <c r="K112" i="2"/>
  <c r="M96" i="2"/>
  <c r="J147" i="2"/>
  <c r="J114" i="2"/>
  <c r="L114" i="2" s="1"/>
  <c r="M112" i="2"/>
  <c r="K142" i="2" l="1"/>
  <c r="M140" i="2"/>
  <c r="M148" i="2"/>
  <c r="M113" i="2"/>
  <c r="K147" i="2"/>
  <c r="K149" i="2" s="1"/>
  <c r="K114" i="2"/>
  <c r="M114" i="2" s="1"/>
  <c r="M142" i="2"/>
  <c r="J149" i="2"/>
  <c r="L149" i="2" s="1"/>
  <c r="L147" i="2"/>
  <c r="M147" i="2" l="1"/>
  <c r="M149" i="2"/>
  <c r="F45" i="4" l="1"/>
  <c r="F64" i="4"/>
  <c r="G45" i="4"/>
  <c r="G64" i="4"/>
  <c r="E45" i="4"/>
  <c r="E64" i="4"/>
  <c r="D45" i="4"/>
  <c r="D64" i="4"/>
  <c r="E66" i="4" l="1"/>
  <c r="E68" i="4" s="1"/>
  <c r="F66" i="4"/>
  <c r="F68" i="4" s="1"/>
  <c r="D66" i="4"/>
  <c r="D68" i="4" s="1"/>
  <c r="G66" i="4"/>
  <c r="G68" i="4" s="1"/>
  <c r="F52" i="27" l="1"/>
  <c r="J52" i="27"/>
  <c r="M51" i="17"/>
  <c r="L51" i="17"/>
  <c r="E52" i="27"/>
  <c r="I52" i="27"/>
  <c r="M48" i="17"/>
  <c r="L48" i="17"/>
  <c r="M49" i="17"/>
  <c r="L49" i="17"/>
  <c r="M53" i="17"/>
  <c r="L53" i="17"/>
  <c r="G52" i="27"/>
  <c r="K52" i="27"/>
  <c r="M52" i="17"/>
  <c r="L52" i="17"/>
  <c r="M47" i="17"/>
  <c r="M50" i="17"/>
  <c r="L50" i="17"/>
  <c r="D52" i="27"/>
  <c r="H52" i="27"/>
  <c r="H28" i="17" l="1"/>
  <c r="H30" i="17" s="1"/>
  <c r="J8" i="27"/>
  <c r="I23" i="27"/>
  <c r="E55" i="17"/>
  <c r="E56" i="17" s="1"/>
  <c r="J55" i="17"/>
  <c r="J56" i="17" s="1"/>
  <c r="J28" i="17"/>
  <c r="J30" i="17" s="1"/>
  <c r="G55" i="17"/>
  <c r="G56" i="17" s="1"/>
  <c r="H55" i="17"/>
  <c r="H56" i="17" s="1"/>
  <c r="D28" i="17"/>
  <c r="D30" i="17" s="1"/>
  <c r="E23" i="27"/>
  <c r="F8" i="27"/>
  <c r="K23" i="27"/>
  <c r="I55" i="17"/>
  <c r="I56" i="17" s="1"/>
  <c r="K55" i="17"/>
  <c r="K56" i="17" s="1"/>
  <c r="F55" i="17"/>
  <c r="F56" i="17" s="1"/>
  <c r="E28" i="17" l="1"/>
  <c r="E30" i="17" s="1"/>
  <c r="E42" i="27"/>
  <c r="K28" i="17"/>
  <c r="K30" i="17" s="1"/>
  <c r="I28" i="17"/>
  <c r="I30" i="17" s="1"/>
  <c r="E8" i="27"/>
  <c r="D23" i="27"/>
  <c r="H8" i="27"/>
  <c r="G23" i="27"/>
  <c r="K8" i="27"/>
  <c r="J23" i="27"/>
  <c r="I8" i="27"/>
  <c r="H23" i="27"/>
  <c r="G8" i="27"/>
  <c r="F23" i="27"/>
  <c r="F28" i="17"/>
  <c r="F30" i="17" s="1"/>
  <c r="D55" i="17"/>
  <c r="M46" i="17"/>
  <c r="L46" i="17"/>
  <c r="K42" i="27"/>
  <c r="G28" i="17"/>
  <c r="G30" i="17" s="1"/>
  <c r="I42" i="27"/>
  <c r="K44" i="27" l="1"/>
  <c r="K48" i="27" s="1"/>
  <c r="M55" i="17"/>
  <c r="D56" i="17"/>
  <c r="L55" i="17"/>
  <c r="J42" i="27"/>
  <c r="D42" i="27"/>
  <c r="I44" i="27"/>
  <c r="I48" i="27" s="1"/>
  <c r="J47" i="27" s="1"/>
  <c r="F42" i="27"/>
  <c r="H42" i="27"/>
  <c r="G42" i="27"/>
  <c r="E44" i="27"/>
  <c r="E48" i="27" s="1"/>
  <c r="F47" i="27" s="1"/>
  <c r="J44" i="27" l="1"/>
  <c r="J48" i="27" s="1"/>
  <c r="K47" i="27" s="1"/>
  <c r="K54" i="27" s="1"/>
  <c r="H44" i="27"/>
  <c r="H48" i="27" s="1"/>
  <c r="I47" i="27" s="1"/>
  <c r="I54" i="27" s="1"/>
  <c r="G44" i="27"/>
  <c r="G48" i="27" s="1"/>
  <c r="H47" i="27" s="1"/>
  <c r="F44" i="27"/>
  <c r="F48" i="27" s="1"/>
  <c r="G47" i="27" s="1"/>
  <c r="G54" i="27" s="1"/>
  <c r="D44" i="27"/>
  <c r="D48" i="27" s="1"/>
  <c r="L56" i="17"/>
  <c r="M56" i="17"/>
  <c r="H54" i="27" l="1"/>
  <c r="E47" i="27"/>
  <c r="E54" i="27" s="1"/>
  <c r="D54" i="27"/>
  <c r="F54" i="27"/>
  <c r="H39" i="17"/>
  <c r="H55" i="27"/>
  <c r="H57" i="27"/>
  <c r="G39" i="17"/>
  <c r="G57" i="27"/>
  <c r="G55" i="27"/>
  <c r="K57" i="27"/>
  <c r="K39" i="17"/>
  <c r="K55" i="27"/>
  <c r="I55" i="27"/>
  <c r="I57" i="27"/>
  <c r="I39" i="17"/>
  <c r="J54" i="27"/>
  <c r="J39" i="17" l="1"/>
  <c r="J55" i="27"/>
  <c r="J57" i="27"/>
  <c r="H65" i="17"/>
  <c r="H43" i="17"/>
  <c r="I65" i="17"/>
  <c r="I43" i="17"/>
  <c r="F39" i="17"/>
  <c r="F57" i="27"/>
  <c r="F55" i="27"/>
  <c r="G62" i="27"/>
  <c r="G47" i="29"/>
  <c r="G61" i="27"/>
  <c r="G59" i="27"/>
  <c r="K43" i="17"/>
  <c r="K65" i="17"/>
  <c r="I62" i="27"/>
  <c r="I47" i="29"/>
  <c r="I61" i="27"/>
  <c r="I59" i="27"/>
  <c r="K61" i="27"/>
  <c r="K62" i="27"/>
  <c r="K47" i="29"/>
  <c r="K59" i="27"/>
  <c r="H61" i="27"/>
  <c r="H62" i="27"/>
  <c r="H47" i="29"/>
  <c r="H59" i="27"/>
  <c r="D39" i="17"/>
  <c r="D57" i="27"/>
  <c r="D55" i="27"/>
  <c r="G65" i="17"/>
  <c r="G43" i="17"/>
  <c r="E55" i="27"/>
  <c r="E39" i="17"/>
  <c r="E57" i="27"/>
  <c r="F65" i="17" l="1"/>
  <c r="F43" i="17"/>
  <c r="I64" i="27"/>
  <c r="K86" i="17"/>
  <c r="G66" i="1"/>
  <c r="I86" i="17"/>
  <c r="J61" i="27"/>
  <c r="J62" i="27"/>
  <c r="J47" i="29"/>
  <c r="J59" i="27"/>
  <c r="E47" i="29"/>
  <c r="E61" i="27"/>
  <c r="E62" i="27"/>
  <c r="E59" i="27"/>
  <c r="E65" i="17"/>
  <c r="E43" i="17"/>
  <c r="D62" i="27"/>
  <c r="D47" i="29"/>
  <c r="D61" i="27"/>
  <c r="D59" i="27"/>
  <c r="H66" i="1"/>
  <c r="K66" i="1"/>
  <c r="G86" i="17"/>
  <c r="D65" i="17"/>
  <c r="D43" i="17"/>
  <c r="H64" i="27"/>
  <c r="K64" i="27"/>
  <c r="I66" i="1"/>
  <c r="G64" i="27"/>
  <c r="F62" i="27"/>
  <c r="F61" i="27"/>
  <c r="F47" i="29"/>
  <c r="F59" i="27"/>
  <c r="H86" i="17"/>
  <c r="J65" i="17"/>
  <c r="J43" i="17"/>
  <c r="J86" i="17" l="1"/>
  <c r="G63" i="17"/>
  <c r="G66" i="27"/>
  <c r="K63" i="17"/>
  <c r="K66" i="27"/>
  <c r="K35" i="1"/>
  <c r="K29" i="1"/>
  <c r="K33" i="1"/>
  <c r="K32" i="1"/>
  <c r="K37" i="1"/>
  <c r="K30" i="1"/>
  <c r="K31" i="1"/>
  <c r="K34" i="1"/>
  <c r="K36" i="1"/>
  <c r="K38" i="1"/>
  <c r="D64" i="27"/>
  <c r="J64" i="27"/>
  <c r="G35" i="1"/>
  <c r="G34" i="1"/>
  <c r="G37" i="1"/>
  <c r="G29" i="1"/>
  <c r="G33" i="1"/>
  <c r="G30" i="1"/>
  <c r="G31" i="1"/>
  <c r="G38" i="1"/>
  <c r="G36" i="1"/>
  <c r="G32" i="1"/>
  <c r="F64" i="27"/>
  <c r="I63" i="17"/>
  <c r="I66" i="27"/>
  <c r="F66" i="1"/>
  <c r="I30" i="1"/>
  <c r="I37" i="1"/>
  <c r="I29" i="1"/>
  <c r="I31" i="1"/>
  <c r="I35" i="1"/>
  <c r="I34" i="1"/>
  <c r="I38" i="1"/>
  <c r="I36" i="1"/>
  <c r="I32" i="1"/>
  <c r="I33" i="1"/>
  <c r="H63" i="17"/>
  <c r="H66" i="27"/>
  <c r="M30" i="1"/>
  <c r="H31" i="1"/>
  <c r="H30" i="1"/>
  <c r="H37" i="1"/>
  <c r="H34" i="1"/>
  <c r="H36" i="1"/>
  <c r="H33" i="1"/>
  <c r="H32" i="1"/>
  <c r="H35" i="1"/>
  <c r="H38" i="1"/>
  <c r="H29" i="1"/>
  <c r="D66" i="1"/>
  <c r="E66" i="1"/>
  <c r="F86" i="17"/>
  <c r="D86" i="17"/>
  <c r="L43" i="17"/>
  <c r="E86" i="17"/>
  <c r="E64" i="27"/>
  <c r="J66" i="1"/>
  <c r="M43" i="17"/>
  <c r="M86" i="17" l="1"/>
  <c r="J38" i="1"/>
  <c r="J35" i="1"/>
  <c r="J29" i="1"/>
  <c r="J31" i="1"/>
  <c r="J34" i="1"/>
  <c r="J33" i="1"/>
  <c r="J30" i="1"/>
  <c r="J32" i="1"/>
  <c r="J36" i="1"/>
  <c r="J37" i="1"/>
  <c r="E32" i="1"/>
  <c r="E31" i="1"/>
  <c r="E30" i="1"/>
  <c r="E38" i="1"/>
  <c r="E37" i="1"/>
  <c r="E36" i="1"/>
  <c r="E34" i="1"/>
  <c r="E33" i="1"/>
  <c r="E35" i="1"/>
  <c r="E29" i="1"/>
  <c r="J63" i="17"/>
  <c r="J66" i="27"/>
  <c r="K39" i="1"/>
  <c r="I66" i="17"/>
  <c r="I67" i="17" s="1"/>
  <c r="I69" i="17" s="1"/>
  <c r="I70" i="17"/>
  <c r="G66" i="17"/>
  <c r="G67" i="17" s="1"/>
  <c r="G69" i="17" s="1"/>
  <c r="G70" i="17"/>
  <c r="D30" i="1"/>
  <c r="D36" i="1"/>
  <c r="D33" i="1"/>
  <c r="D32" i="1"/>
  <c r="D34" i="1"/>
  <c r="D38" i="1"/>
  <c r="D37" i="1"/>
  <c r="D31" i="1"/>
  <c r="D29" i="1"/>
  <c r="D35" i="1"/>
  <c r="M38" i="1"/>
  <c r="M35" i="1"/>
  <c r="M37" i="1"/>
  <c r="M31" i="1"/>
  <c r="M32" i="1"/>
  <c r="M36" i="1"/>
  <c r="M33" i="1"/>
  <c r="N34" i="1"/>
  <c r="M34" i="1"/>
  <c r="M29" i="1"/>
  <c r="N37" i="1"/>
  <c r="N36" i="1"/>
  <c r="N29" i="1"/>
  <c r="N38" i="1"/>
  <c r="N30" i="1"/>
  <c r="N31" i="1"/>
  <c r="N33" i="1"/>
  <c r="N35" i="1"/>
  <c r="N32" i="1"/>
  <c r="F63" i="17"/>
  <c r="F66" i="27"/>
  <c r="L86" i="17"/>
  <c r="E63" i="17"/>
  <c r="E66" i="27"/>
  <c r="H39" i="1"/>
  <c r="H66" i="17"/>
  <c r="H67" i="17" s="1"/>
  <c r="H69" i="17" s="1"/>
  <c r="H70" i="17"/>
  <c r="I39" i="1"/>
  <c r="F31" i="1"/>
  <c r="F37" i="1"/>
  <c r="F30" i="1"/>
  <c r="F33" i="1"/>
  <c r="F32" i="1"/>
  <c r="F34" i="1"/>
  <c r="F36" i="1"/>
  <c r="F29" i="1"/>
  <c r="F38" i="1"/>
  <c r="F35" i="1"/>
  <c r="G39" i="1"/>
  <c r="D63" i="17"/>
  <c r="D66" i="27"/>
  <c r="K66" i="17"/>
  <c r="K67" i="17" s="1"/>
  <c r="K69" i="17" s="1"/>
  <c r="K70" i="17"/>
  <c r="D66" i="17" l="1"/>
  <c r="D67" i="17" s="1"/>
  <c r="D69" i="17" s="1"/>
  <c r="D70" i="17"/>
  <c r="J39" i="1"/>
  <c r="J66" i="17"/>
  <c r="J67" i="17" s="1"/>
  <c r="J69" i="17" s="1"/>
  <c r="J70" i="17"/>
  <c r="K88" i="17"/>
  <c r="F39" i="1"/>
  <c r="D39" i="1"/>
  <c r="E39" i="1"/>
  <c r="E66" i="17"/>
  <c r="E67" i="17" s="1"/>
  <c r="E69" i="17" s="1"/>
  <c r="E70" i="17"/>
  <c r="L70" i="17" s="1"/>
  <c r="N39" i="1"/>
  <c r="I88" i="17"/>
  <c r="H88" i="17"/>
  <c r="G88" i="17"/>
  <c r="F66" i="17"/>
  <c r="F67" i="17" s="1"/>
  <c r="F69" i="17" s="1"/>
  <c r="F70" i="17"/>
  <c r="M39" i="1"/>
  <c r="M70" i="17" l="1"/>
  <c r="K90" i="17"/>
  <c r="F88" i="17"/>
  <c r="D88" i="17"/>
  <c r="L69" i="17"/>
  <c r="G90" i="17"/>
  <c r="J88" i="17"/>
  <c r="I90" i="17"/>
  <c r="H90" i="17"/>
  <c r="E88" i="17"/>
  <c r="M69" i="17"/>
  <c r="F90" i="17" l="1"/>
  <c r="L88" i="17"/>
  <c r="M88" i="17"/>
  <c r="D90" i="17"/>
  <c r="E90" i="17"/>
  <c r="J90" i="17"/>
  <c r="L90" i="17" l="1"/>
  <c r="M90" i="17"/>
  <c r="D33" i="17" l="1"/>
  <c r="E33" i="17" l="1"/>
  <c r="G33" i="17"/>
  <c r="F33" i="17"/>
  <c r="K33" i="17"/>
  <c r="I33" i="17"/>
  <c r="J33" i="17"/>
  <c r="H33" i="17"/>
  <c r="D86" i="29" l="1"/>
  <c r="E86" i="29" l="1"/>
  <c r="F86" i="29" l="1"/>
  <c r="D88" i="29"/>
  <c r="D50" i="29"/>
  <c r="D51" i="29" s="1"/>
  <c r="D53" i="29" s="1"/>
  <c r="D59" i="1" l="1"/>
  <c r="D89" i="29"/>
  <c r="D60" i="1" s="1"/>
  <c r="E88" i="29"/>
  <c r="E50" i="29"/>
  <c r="E51" i="29" s="1"/>
  <c r="E53" i="29" s="1"/>
  <c r="D81" i="29"/>
  <c r="G86" i="29" l="1"/>
  <c r="E81" i="29"/>
  <c r="E59" i="1"/>
  <c r="E89" i="29"/>
  <c r="E60" i="1" s="1"/>
  <c r="H86" i="29"/>
  <c r="D61" i="1"/>
  <c r="D83" i="29"/>
  <c r="D40" i="1"/>
  <c r="F88" i="29"/>
  <c r="F50" i="29"/>
  <c r="F51" i="29" s="1"/>
  <c r="F53" i="29" s="1"/>
  <c r="D21" i="1"/>
  <c r="F81" i="29" l="1"/>
  <c r="D62" i="1"/>
  <c r="E61" i="1"/>
  <c r="E83" i="29"/>
  <c r="F59" i="1"/>
  <c r="F89" i="29"/>
  <c r="F60" i="1" s="1"/>
  <c r="D22" i="1"/>
  <c r="D23" i="1" s="1"/>
  <c r="E21" i="1"/>
  <c r="E40" i="1"/>
  <c r="H88" i="29" l="1"/>
  <c r="H50" i="29"/>
  <c r="H51" i="29" s="1"/>
  <c r="H53" i="29" s="1"/>
  <c r="E62" i="1"/>
  <c r="E63" i="1" s="1"/>
  <c r="D63" i="1"/>
  <c r="E22" i="1"/>
  <c r="E41" i="1"/>
  <c r="E23" i="1"/>
  <c r="F61" i="1"/>
  <c r="F83" i="29"/>
  <c r="G88" i="29"/>
  <c r="G50" i="29"/>
  <c r="G51" i="29" s="1"/>
  <c r="G53" i="29" s="1"/>
  <c r="D41" i="1"/>
  <c r="F21" i="1"/>
  <c r="F40" i="1"/>
  <c r="F62" i="1" l="1"/>
  <c r="E42" i="1"/>
  <c r="D42" i="1"/>
  <c r="F22" i="1"/>
  <c r="F41" i="1"/>
  <c r="F42" i="1"/>
  <c r="G81" i="29"/>
  <c r="H81" i="29"/>
  <c r="F23" i="1"/>
  <c r="G59" i="1"/>
  <c r="G89" i="29"/>
  <c r="G60" i="1" s="1"/>
  <c r="M60" i="1" s="1"/>
  <c r="H59" i="1"/>
  <c r="H89" i="29"/>
  <c r="H60" i="1" s="1"/>
  <c r="H40" i="1" l="1"/>
  <c r="H21" i="1"/>
  <c r="H61" i="1"/>
  <c r="H83" i="29"/>
  <c r="G21" i="1"/>
  <c r="G40" i="1"/>
  <c r="M40" i="1"/>
  <c r="M21" i="1"/>
  <c r="M59" i="1"/>
  <c r="G61" i="1"/>
  <c r="G83" i="29"/>
  <c r="F63" i="1"/>
  <c r="G62" i="1" l="1"/>
  <c r="G42" i="1"/>
  <c r="H62" i="1"/>
  <c r="H41" i="1" s="1"/>
  <c r="G22" i="1"/>
  <c r="G23" i="1" s="1"/>
  <c r="G41" i="1"/>
  <c r="M61" i="1"/>
  <c r="M41" i="1"/>
  <c r="M22" i="1"/>
  <c r="M23" i="1" s="1"/>
  <c r="G63" i="1"/>
  <c r="H22" i="1"/>
  <c r="H23" i="1" s="1"/>
  <c r="H63" i="1"/>
  <c r="M42" i="1" l="1"/>
  <c r="M62" i="1"/>
  <c r="M63" i="1" s="1"/>
  <c r="H42" i="1"/>
  <c r="I86" i="29" l="1"/>
  <c r="J86" i="29"/>
  <c r="I88" i="29" l="1"/>
  <c r="I50" i="29"/>
  <c r="I51" i="29" s="1"/>
  <c r="I53" i="29" s="1"/>
  <c r="K86" i="29"/>
  <c r="J88" i="29"/>
  <c r="J50" i="29"/>
  <c r="J51" i="29" s="1"/>
  <c r="J53" i="29" s="1"/>
  <c r="J81" i="29" l="1"/>
  <c r="I81" i="29"/>
  <c r="J59" i="1"/>
  <c r="J89" i="29"/>
  <c r="J60" i="1" s="1"/>
  <c r="I59" i="1"/>
  <c r="I89" i="29"/>
  <c r="I60" i="1" s="1"/>
  <c r="J21" i="1" l="1"/>
  <c r="J61" i="1"/>
  <c r="J83" i="29"/>
  <c r="I21" i="1"/>
  <c r="I40" i="1"/>
  <c r="I61" i="1"/>
  <c r="I83" i="29"/>
  <c r="K88" i="29"/>
  <c r="K50" i="29"/>
  <c r="K51" i="29" s="1"/>
  <c r="K53" i="29" s="1"/>
  <c r="J40" i="1"/>
  <c r="K81" i="29" l="1"/>
  <c r="I22" i="1"/>
  <c r="I23" i="1" s="1"/>
  <c r="J22" i="1"/>
  <c r="K59" i="1"/>
  <c r="K89" i="29"/>
  <c r="K60" i="1" s="1"/>
  <c r="N60" i="1" s="1"/>
  <c r="I62" i="1"/>
  <c r="I41" i="1" s="1"/>
  <c r="J62" i="1"/>
  <c r="J63" i="1" s="1"/>
  <c r="J23" i="1"/>
  <c r="J41" i="1" l="1"/>
  <c r="I42" i="1"/>
  <c r="I63" i="1"/>
  <c r="K21" i="1"/>
  <c r="K40" i="1"/>
  <c r="N40" i="1"/>
  <c r="N59" i="1"/>
  <c r="N21" i="1"/>
  <c r="K61" i="1"/>
  <c r="K83" i="29"/>
  <c r="K62" i="1" l="1"/>
  <c r="N62" i="1" s="1"/>
  <c r="K22" i="1"/>
  <c r="K23" i="1" s="1"/>
  <c r="K41" i="1"/>
  <c r="N61" i="1"/>
  <c r="N63" i="1" s="1"/>
  <c r="N22" i="1"/>
  <c r="N23" i="1" s="1"/>
  <c r="N41" i="1"/>
  <c r="K63" i="1"/>
  <c r="J42" i="1"/>
  <c r="K42" i="1" l="1"/>
  <c r="N42" i="1"/>
</calcChain>
</file>

<file path=xl/sharedStrings.xml><?xml version="1.0" encoding="utf-8"?>
<sst xmlns="http://schemas.openxmlformats.org/spreadsheetml/2006/main" count="1423" uniqueCount="633">
  <si>
    <t>Input cells</t>
  </si>
  <si>
    <t>Totals cells (of formula within worksheet)</t>
  </si>
  <si>
    <t>Referencing to other worksheets</t>
  </si>
  <si>
    <t>Referencing to other workbooks</t>
  </si>
  <si>
    <t>Check cells</t>
  </si>
  <si>
    <t>No Input</t>
  </si>
  <si>
    <t>Descriptions and pack data</t>
  </si>
  <si>
    <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</si>
  <si>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</si>
  <si>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</si>
  <si>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</si>
  <si>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</si>
  <si>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</si>
  <si>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</si>
  <si>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</si>
  <si>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</si>
  <si>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</si>
  <si>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</si>
  <si>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</si>
  <si>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</si>
  <si>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[Insert new rows here as necessary]</t>
  </si>
  <si>
    <t>External Net Interest</t>
  </si>
  <si>
    <t>[Insert adjustment as necessary]</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</si>
  <si>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</si>
  <si>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</si>
  <si>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</si>
  <si>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</si>
  <si>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</si>
  <si>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</si>
  <si>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</si>
  <si>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</si>
  <si>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</si>
  <si>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</si>
  <si>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</si>
  <si>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</si>
  <si>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</si>
  <si>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[Insert detail of fine or penalty]</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</si>
  <si>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</si>
  <si>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</si>
  <si>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</si>
  <si>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</si>
  <si>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</si>
  <si>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</si>
  <si>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</si>
  <si>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</si>
  <si>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</si>
  <si>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</si>
  <si>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</si>
  <si>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</si>
  <si>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</si>
  <si>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</si>
  <si>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</si>
  <si>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</si>
  <si>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</si>
  <si>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</si>
  <si>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</si>
  <si>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</si>
  <si>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</si>
  <si>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</si>
  <si>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</si>
  <si>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</si>
  <si>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</si>
  <si>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</si>
  <si>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</si>
  <si>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</si>
  <si>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</si>
  <si>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</si>
  <si>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</si>
  <si>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</si>
  <si>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</si>
  <si>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</si>
  <si>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</si>
  <si>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</si>
  <si>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</si>
  <si>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</si>
  <si>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</si>
  <si>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</si>
  <si>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</si>
  <si>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</si>
  <si>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</si>
  <si>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</si>
  <si>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</si>
  <si>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</si>
  <si>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</si>
  <si>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</si>
  <si>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</si>
  <si>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</si>
  <si>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</si>
  <si>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</si>
  <si>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</si>
  <si>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</si>
  <si>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</si>
  <si>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</si>
  <si>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</si>
  <si>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</si>
  <si>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</si>
  <si>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</si>
  <si>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</si>
  <si>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</si>
  <si>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</si>
  <si>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</si>
  <si>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</si>
  <si>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</si>
  <si>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</si>
  <si>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</si>
  <si>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</si>
  <si>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</si>
  <si>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</si>
  <si>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</si>
  <si>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</si>
  <si>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</si>
  <si>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</si>
  <si>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</si>
  <si>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</si>
  <si>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</si>
  <si>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</si>
  <si>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</si>
  <si>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</si>
  <si>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</si>
  <si>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</si>
  <si>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</si>
  <si>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Change log</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</si>
  <si>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</si>
  <si>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</si>
  <si>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</si>
  <si>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</si>
  <si>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</si>
  <si>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</si>
  <si>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</si>
  <si>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</si>
  <si>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</si>
  <si>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</si>
  <si>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</si>
  <si>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</si>
  <si>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</si>
  <si>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</si>
  <si>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</si>
  <si>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</si>
  <si>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</si>
  <si>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</si>
  <si>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</si>
  <si>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</si>
  <si>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</si>
  <si>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</si>
  <si>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</si>
  <si>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</si>
  <si>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</si>
  <si>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</si>
  <si>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</si>
  <si>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</si>
  <si>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</si>
  <si>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</si>
  <si>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</si>
  <si>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</si>
  <si>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</si>
  <si>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</si>
  <si>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</si>
  <si>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</si>
  <si>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</si>
  <si>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</si>
  <si>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</si>
  <si>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</si>
  <si>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</si>
  <si>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</si>
  <si>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</si>
  <si>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</si>
  <si>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</si>
  <si>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</si>
  <si>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</si>
  <si>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</si>
  <si>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</si>
  <si>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</si>
  <si>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</si>
  <si>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</si>
  <si>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</si>
  <si>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</si>
  <si>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</si>
  <si>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</si>
  <si>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</si>
  <si>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</si>
  <si>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</si>
  <si>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</si>
  <si>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</si>
  <si>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</si>
  <si>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</si>
  <si>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</si>
  <si>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</si>
  <si>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</si>
  <si>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</si>
  <si>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</si>
  <si>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</si>
  <si>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</si>
  <si>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</si>
  <si>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</si>
  <si>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</si>
  <si>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</si>
  <si>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</si>
  <si>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</si>
  <si>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</si>
  <si>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</si>
  <si>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</si>
  <si>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</si>
  <si>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</si>
  <si>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</si>
  <si>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</si>
  <si>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</si>
  <si>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</si>
  <si>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</si>
  <si>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</si>
  <si>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</si>
  <si>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</si>
  <si>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</si>
  <si>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</si>
  <si>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</si>
  <si>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</si>
  <si>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</si>
  <si>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</si>
  <si>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</si>
  <si>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</si>
  <si>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</si>
  <si>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</si>
  <si>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</si>
  <si>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</si>
  <si>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</si>
  <si>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</si>
  <si>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</si>
  <si>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</si>
  <si>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</si>
  <si>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</si>
  <si>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</si>
  <si>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</si>
  <si>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</si>
  <si>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</si>
  <si>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</si>
  <si>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</si>
  <si>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</si>
  <si>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</si>
  <si>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</si>
  <si>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</si>
  <si>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</si>
  <si>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</si>
  <si>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</si>
  <si>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[Input description]</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</si>
  <si>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</si>
  <si>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</si>
  <si>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</si>
  <si>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</si>
  <si>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</si>
  <si>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</si>
  <si>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</si>
  <si>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</si>
  <si>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</si>
  <si>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</si>
  <si>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</si>
  <si>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</si>
  <si>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</si>
  <si>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</si>
  <si>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</si>
  <si>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</si>
  <si>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</si>
  <si>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</si>
  <si>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</si>
  <si>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</si>
  <si>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</si>
  <si>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</si>
  <si>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</si>
  <si>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</si>
  <si>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</si>
  <si>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</si>
  <si>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</si>
  <si>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</si>
  <si>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</si>
  <si>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</si>
  <si>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</si>
  <si>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</si>
  <si>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</si>
  <si>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</si>
  <si>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</si>
  <si>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</si>
  <si>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</si>
  <si>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R7a - Financing input</t>
  </si>
  <si>
    <t>£m</t>
  </si>
  <si>
    <t>Debt issuance expenses (inc. amortisation to discounts that had previously benefitted from a tax deduction)</t>
  </si>
  <si>
    <t>R8a - Net Debt input</t>
  </si>
  <si>
    <t>Reference rate</t>
  </si>
  <si>
    <t>Special features</t>
  </si>
  <si>
    <t>Inflation-linked</t>
  </si>
  <si>
    <t>RPI 12 month</t>
  </si>
  <si>
    <t>Floating</t>
  </si>
  <si>
    <t>Fixed rate</t>
  </si>
  <si>
    <t>Counterparty</t>
  </si>
  <si>
    <t>EIB</t>
  </si>
  <si>
    <t>Guarantees given on behalf of other group companies (per Notes to the Accounts) (+ve)</t>
  </si>
  <si>
    <t>Currency SWAPS</t>
  </si>
  <si>
    <t>Currency</t>
  </si>
  <si>
    <t>LIBOR 6 month</t>
  </si>
  <si>
    <t>RBS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</si>
  <si>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</si>
  <si>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</si>
  <si>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</si>
  <si>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</si>
  <si>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</si>
  <si>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</si>
  <si>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Net Interest Per Statutory Accounts</t>
  </si>
  <si>
    <t>Net Interest including 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</si>
  <si>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</si>
  <si>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</si>
  <si>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</si>
  <si>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</si>
  <si>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</si>
  <si>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</si>
  <si>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</si>
  <si>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</si>
  <si>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</si>
  <si>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</si>
  <si>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</si>
  <si>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</si>
  <si>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</si>
  <si>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</si>
  <si>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</si>
  <si>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</si>
  <si>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</si>
  <si>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</si>
  <si>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</si>
  <si>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</si>
  <si>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</si>
  <si>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</si>
  <si>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</si>
  <si>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</si>
  <si>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</si>
  <si>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</si>
  <si>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</si>
  <si>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</si>
  <si>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</si>
  <si>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</si>
  <si>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</si>
  <si>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</si>
  <si>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</si>
  <si>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</si>
  <si>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</si>
  <si>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</si>
  <si>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</si>
  <si>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</si>
  <si>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</si>
  <si>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</si>
  <si>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</si>
  <si>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</si>
  <si>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</si>
  <si>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</si>
  <si>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</si>
  <si>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</si>
  <si>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4. Other adjustment (Overwrite)</t>
  </si>
  <si>
    <t>5. Other adjustment (Overwrite)</t>
  </si>
  <si>
    <t>6. Other adjustment (Overwrite)</t>
  </si>
  <si>
    <t>7. Other adjustment (Overwrite)</t>
  </si>
  <si>
    <t>8. Other adjustment (Overwrite)</t>
  </si>
  <si>
    <t>9. Other adjustment (Overwrite)</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</si>
  <si>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</si>
  <si>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</si>
  <si>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</si>
  <si>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</si>
  <si>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</si>
  <si>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</si>
  <si>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</si>
  <si>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</si>
  <si>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</si>
  <si>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</si>
  <si>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</si>
  <si>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</si>
  <si>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</si>
  <si>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</si>
  <si>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</si>
  <si>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</si>
  <si>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</si>
  <si>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</si>
  <si>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</si>
  <si>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</si>
  <si>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</si>
  <si>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</si>
  <si>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</si>
  <si>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</si>
  <si>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</si>
  <si>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</si>
  <si>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</si>
  <si>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</si>
  <si>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</si>
  <si>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</si>
  <si>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</si>
  <si>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</si>
  <si>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</si>
  <si>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</si>
  <si>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</si>
  <si>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</si>
  <si>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</si>
  <si>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</si>
  <si>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</si>
  <si>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</si>
  <si>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</si>
  <si>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</si>
  <si>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</si>
  <si>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</si>
  <si>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</si>
  <si>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</si>
  <si>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</si>
  <si>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</si>
  <si>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</si>
  <si>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</si>
  <si>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</si>
  <si>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</si>
  <si>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</si>
  <si>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</si>
  <si>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</si>
  <si>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</si>
  <si>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</si>
  <si>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</si>
  <si>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</si>
  <si>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</si>
  <si>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</si>
  <si>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</si>
  <si>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</si>
  <si>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</si>
  <si>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</si>
  <si>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</si>
  <si>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</si>
  <si>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</si>
  <si>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</si>
  <si>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</si>
  <si>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</si>
  <si>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</si>
  <si>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</si>
  <si>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</si>
  <si>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</si>
  <si>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</si>
  <si>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</si>
  <si>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</si>
  <si>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</si>
  <si>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</si>
  <si>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</si>
  <si>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</si>
  <si>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</si>
  <si>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</si>
  <si>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</si>
  <si>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</si>
  <si>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Version</t>
  </si>
  <si>
    <t>Table Reference</t>
  </si>
  <si>
    <t>Changes made to RFPR template</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</si>
  <si>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</si>
  <si>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</si>
  <si>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</si>
  <si>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</si>
  <si>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</si>
  <si>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</si>
  <si>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</si>
  <si>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Guaranteed Standard (GS) payments</t>
  </si>
  <si>
    <t>Total GS payments</t>
  </si>
  <si>
    <t>Total Ofgem related fines and penalties</t>
  </si>
  <si>
    <t>Post-tax total fines and penalties</t>
  </si>
  <si>
    <t>Post-tax total GS payments</t>
  </si>
  <si>
    <t>Post-tax total fines and penalties (including GS payments)</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</si>
  <si>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</si>
  <si>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</si>
  <si>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</si>
  <si>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</si>
  <si>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</si>
  <si>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</si>
  <si>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</si>
  <si>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</si>
  <si>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</si>
  <si>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</si>
  <si>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</si>
  <si>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</si>
  <si>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</si>
  <si>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</si>
  <si>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</si>
  <si>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</si>
  <si>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</si>
  <si>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</si>
  <si>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</si>
  <si>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</si>
  <si>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</si>
  <si>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</si>
  <si>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</si>
  <si>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</si>
  <si>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</si>
  <si>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</si>
  <si>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</si>
  <si>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</si>
  <si>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</si>
  <si>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</si>
  <si>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</si>
  <si>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</si>
  <si>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</si>
  <si>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</si>
  <si>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</si>
  <si>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</si>
  <si>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</si>
  <si>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</si>
  <si>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</si>
  <si>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Add back Debt Issuance expenses</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</si>
  <si>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</si>
  <si>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</si>
  <si>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</si>
  <si>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</si>
  <si>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</si>
  <si>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</si>
  <si>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</si>
  <si>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</si>
  <si>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</si>
  <si>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</si>
  <si>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</si>
  <si>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</si>
  <si>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</si>
  <si>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</si>
  <si>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</si>
  <si>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</si>
  <si>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</si>
  <si>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</si>
  <si>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</si>
  <si>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</si>
  <si>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</si>
  <si>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</si>
  <si>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</si>
  <si>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</si>
  <si>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t>Tax liability per latest submitted CT600 (pre-group relief)</t>
  </si>
  <si>
    <t>Memo: Net interest (RIIO-1) Definition that relates to non-cash principal inflation accretion on bonds and loans</t>
  </si>
  <si>
    <t>R8</t>
  </si>
  <si>
    <t>Row 26 added to pick up unamortised issues costs row in table R8a.</t>
  </si>
  <si>
    <t>Row 42 updated to include new row 26 (unamortised issue costs) in the subtotal</t>
  </si>
  <si>
    <t>R1</t>
  </si>
  <si>
    <t>Amended formating to percentages (Column M:N, rows 10-23 and rows 29-42)</t>
  </si>
  <si>
    <t>Forecast new financing/refinancing Net Interest costs</t>
  </si>
  <si>
    <t>R7</t>
  </si>
  <si>
    <t>B29 to add "Net Interest" into the title to make it clear that this should include regulatory definition of net interest associated with new/refinanced debt raised in future years</t>
  </si>
  <si>
    <t>New/refinanced debt issuance expenses</t>
  </si>
  <si>
    <t>Row 47 added to allow input of issuance expenses forecast for new/refinanced debt in future years</t>
  </si>
  <si>
    <t>[Updated data to follow]</t>
  </si>
  <si>
    <t>Additional row added for restricted cash balances in table R8a in row 18, guidance updated.</t>
  </si>
  <si>
    <t>R8a</t>
  </si>
  <si>
    <t>D37 - formula amended to read =('R8 - Net Debt'!D54-AVERAGE('R8 - Net Debt'!D8,('R8 - Net Debt'!E10-'R8a - Net Debt input'!T18)))*(Data!C36-1)</t>
  </si>
  <si>
    <t>E37 - formula amended to read =('R8 - Net Debt'!E54-AVERAGE(('R8 - Net Debt'!E8-'R8a - Net Debt input'!T18),('R8 - Net Debt'!E10-'R8a - Net Debt input'!U18)))*(Data!D36-1)
Formula copied across to F37:K37</t>
  </si>
  <si>
    <t xml:space="preserve">R10 </t>
  </si>
  <si>
    <t>Amended formula in D50 to read =D85-D87, and dragged formula across to E5:K5</t>
  </si>
  <si>
    <t>Amended formula in B3 to correct spelling of system, originally spelt 'syestem'</t>
  </si>
  <si>
    <t>R9</t>
  </si>
  <si>
    <t>Formula in row 32 changed from =IF(D5="Actuals",IF(D31&gt;=0,(D29-SUM($D$31:D31))-D11&lt;'RFPR cover'!$F$14,(D29-SUM($D$31:D31))-D11&lt;'RFPR cover'!$F$14), "NA") to =IF(D5="Actuals",IF(ABS((D29-SUM($D$31:D31))-D11)&lt;'RFPR cover'!$F$14,"TRUE","FALSE"),"NA")</t>
  </si>
  <si>
    <t>Removed content in F12 ("Income statement debits and cash out flows (entered as +ve values, credits as -ve values")</t>
  </si>
  <si>
    <t>Changed "Restricted cash balances (entered as +ve values, credits as -ve values)" in F18 to "Restricted cash balances (-ive)"</t>
  </si>
  <si>
    <t>Data</t>
  </si>
  <si>
    <t>J63:J68 updated to be consistent with Nov 2019 PCFM</t>
  </si>
  <si>
    <t>Constraint management</t>
  </si>
  <si>
    <t>Transportation Support Services</t>
  </si>
  <si>
    <t>Shrinkage incentive</t>
  </si>
  <si>
    <t>Residual balancing</t>
  </si>
  <si>
    <t>Quality of demand forecasting</t>
  </si>
  <si>
    <t>Greenhouse gas incentive</t>
  </si>
  <si>
    <t>Maintenance incentive</t>
  </si>
  <si>
    <t>Electricity Market Reform incentive revenue</t>
  </si>
  <si>
    <t>Balancing Services Incentive Scheme / ESO Incentive Scheme 18/19</t>
  </si>
  <si>
    <t>Renewable wind forecasting incentive</t>
  </si>
  <si>
    <t>Populated the incentives for NGGT SO and NGET SO in the Data tab, based on the incentives in the 2019 RFPR template for both entities.</t>
  </si>
  <si>
    <t>R7a</t>
  </si>
  <si>
    <t>Removed data validation between rows 498:509</t>
  </si>
  <si>
    <t>Added in "Tax arising from MOD values" in "Other adjustments" in R10</t>
  </si>
  <si>
    <t>Changed the formulas in row 6 from =IF(H6&lt;=('RFPR cover'!$C$7),"Actuals","Forecast") to =IF(H6&lt;=('RFPR cover'!$C$7-1),"Actuals","Forecast")</t>
  </si>
  <si>
    <t>Changed the formulas in row 5 from =IF(D6&lt;='RFPR cover'!$C$7,"Actuals","Forecast") to =IF(D6&lt;='RFPR cover'!$C$7-1,"Actuals","Forecast").</t>
  </si>
  <si>
    <t>Tax arising from MOD values</t>
  </si>
  <si>
    <t>Changed the tax rate from G25:G30 to be in line with the 2020 Budget, where Government announced the corporate tax rate would be 19% for the years beginning April 2020 and 2021.</t>
  </si>
  <si>
    <t>Blocked out G36 as this will be actual information, not forecast.</t>
  </si>
  <si>
    <t>Updated the cost of debt figures for 2022 and 2023 to match latest PCFM</t>
  </si>
  <si>
    <t>Changed the format of Column Q to be a RPI number to two decimal places, instead of a percentage</t>
  </si>
  <si>
    <t>May 2020 Publication</t>
  </si>
  <si>
    <t>Clawback Direction  - sums unpaid</t>
  </si>
  <si>
    <t>Connections performance standards payments adjustment</t>
  </si>
  <si>
    <t>DPCR4 residual distribution losses incentive and Growth Term (ENWL, NPg, UKPN and SP licensees)</t>
  </si>
  <si>
    <t>SoLR</t>
  </si>
  <si>
    <t>Sole Use Cust Conts to remove - as per RIGs log not Revenue</t>
  </si>
  <si>
    <t>LCNF / NIA revenue / NIC revenue deferral</t>
  </si>
  <si>
    <t>DRS1 Connections revenue</t>
  </si>
  <si>
    <t>IFRIC 18 / IFRS 15</t>
  </si>
  <si>
    <t>Income from Sale of Assets / Scrap</t>
  </si>
  <si>
    <t>Third party cable damage recoveries (cost recovery on C1) + "Umets"</t>
  </si>
  <si>
    <t>Theft in Conveyance income</t>
  </si>
  <si>
    <t>LA training grant</t>
  </si>
  <si>
    <t>Insurance recoveries paid to DNO (cost recovery on C1) / other misc</t>
  </si>
  <si>
    <t>Dividends + System Studies income + R&amp;D Tax Credit</t>
  </si>
  <si>
    <t>Rounding (Regulatory/Statutory Accounts stated in £m)</t>
  </si>
  <si>
    <t>Customer Contributions/Connections - cash received v WIP basis</t>
  </si>
  <si>
    <t>Unmetered Customer Contributions - included in Revenue in Regulatory Accounts</t>
  </si>
  <si>
    <t>Atypicals - Provision charges in Regulatory Accounts but shown as Utilised in RRP</t>
  </si>
  <si>
    <t>Third party cable damage income</t>
  </si>
  <si>
    <t>Removal of IAS19 pensions and inclusion of cash contributions</t>
  </si>
  <si>
    <t>Related party recharges grossed up in C1</t>
  </si>
  <si>
    <t>Incremental Deficit Pension Contributions</t>
  </si>
  <si>
    <t>Established Deficit Pension Contributions</t>
  </si>
  <si>
    <t>Supplier of Last Resort payments shown net of income received (DUoS)</t>
  </si>
  <si>
    <t>Historical Use of System Bad Debt costs incurred (HBD)</t>
  </si>
  <si>
    <t>ENWS depreciation charge to ENWL not included in C1</t>
  </si>
  <si>
    <t>ENWS non operational capital expenditure</t>
  </si>
  <si>
    <t>Addition of Strategic Stock items in CV7</t>
  </si>
  <si>
    <t>Removal of effects of IFRS16</t>
  </si>
  <si>
    <t>Profit &amp; Loss v Proceeds on Sale of Assets</t>
  </si>
  <si>
    <t>Rounding to £0.1m in Statutory Accounts</t>
  </si>
  <si>
    <t>Income from theft recovery</t>
  </si>
  <si>
    <t>Value added services (DRS 8)</t>
  </si>
  <si>
    <t>Fines and Penalties removed from PCFM input</t>
  </si>
  <si>
    <t>Non-regulated business expenditure</t>
  </si>
  <si>
    <t>Direct pass through costs to other regulated entities</t>
  </si>
  <si>
    <t>NIC/NIA/LCNF not included in Totex input to PCFM</t>
  </si>
  <si>
    <t>Atypicals Non Severe Weather (excluded from Totex)</t>
  </si>
  <si>
    <t>Guaranteed Standard/Ex-gratia Compensation/Bad Debt expense</t>
  </si>
  <si>
    <t>Disallowed related party costs and margin</t>
  </si>
  <si>
    <t>Re-phasing within ED1</t>
  </si>
  <si>
    <t>Appendix 1 - Enduring Value methodology</t>
  </si>
  <si>
    <t>Please see separate commentary</t>
  </si>
  <si>
    <t>Remove principal indexation relating to index-linked debt</t>
  </si>
  <si>
    <t>Remove accretion on index-linked swaps (cash paid)</t>
  </si>
  <si>
    <t>Remove IFRS16 Lease Interest Costs</t>
  </si>
  <si>
    <t>Reverse removal of index-linked debt (inflation needed here as it's removed on row 37 of the R7 tab)</t>
  </si>
  <si>
    <t>Add back Interest capitalised in statutory accounts</t>
  </si>
  <si>
    <t xml:space="preserve">Movements relating to pension fund liabilities reported within net interest </t>
  </si>
  <si>
    <t>Restatment of 2016-2018 on an effective rate rather than coupon rate</t>
  </si>
  <si>
    <t>Less: Fair value adj debt ref B1.2-B1.4</t>
  </si>
  <si>
    <t>Less: Derivative fair value adjustments in Regulatory Accounts</t>
  </si>
  <si>
    <t>Restricted cash balances</t>
  </si>
  <si>
    <t>Reverse "Analysis of other amounts due to/(from) group companies per Balance Sheet"</t>
  </si>
  <si>
    <t>Reverse unamortised issue costs (in line with row 511 on R7a - puts things back at an effective rate)</t>
  </si>
  <si>
    <t>Restatement of FV bond to amortised cost basis, consistent with IFRS9 treatment for FY19 onwards</t>
  </si>
  <si>
    <t>Fines</t>
  </si>
  <si>
    <t>Revenue receivable relating to previous price control (tax allowance previously received)</t>
  </si>
  <si>
    <t>RPI adjustment</t>
  </si>
  <si>
    <t>Tax performance on MTM bond</t>
  </si>
  <si>
    <t>2015/16</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</si>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</sst>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9">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49" formatCode="0.000%"/>
    <numFmt numFmtId="350" formatCode="_(* #,##0.000_);_(* \(#,##0.000\);_(* &quot;-&quot;??_);_(@_)"/>
    <numFmt numFmtId="351" formatCode="0.0000"/>
    <numFmt numFmtId="352" formatCode="[$-F800]dddd\,\ mmmm\ dd\,\ yyyy"/>
  </numFmts>
  <fonts count="262">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8"/>
      <color theme="0"/>
      <name val="CG Omega"/>
      <family val="2"/>
    </font>
    <font>
      <b/>
      <sz val="16"/>
      <color theme="0"/>
      <name val="CG Omega"/>
    </font>
    <font>
      <sz val="16"/>
      <color theme="0"/>
      <name val="CG Omega"/>
    </font>
  </fonts>
  <fills count="132">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s>
  <borders count="135">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s>
  <cellStyleXfs count="51685">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2" fillId="48" borderId="0" applyBorder="0">
      <alignment vertical="center"/>
    </xf>
    <xf numFmtId="164" fontId="2" fillId="0" borderId="0" applyFont="0" applyFill="0" applyBorder="0" applyAlignment="0" applyProtection="0"/>
    <xf numFmtId="168" fontId="33"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8" fillId="0" borderId="0"/>
    <xf numFmtId="182" fontId="4" fillId="0" borderId="0"/>
    <xf numFmtId="182" fontId="4" fillId="0" borderId="0"/>
    <xf numFmtId="182" fontId="4" fillId="0" borderId="0"/>
    <xf numFmtId="182" fontId="4" fillId="0" borderId="0"/>
    <xf numFmtId="182" fontId="4" fillId="0" borderId="0"/>
    <xf numFmtId="180" fontId="39" fillId="0" borderId="0"/>
    <xf numFmtId="181" fontId="38" fillId="0" borderId="0"/>
    <xf numFmtId="182" fontId="4" fillId="0" borderId="0"/>
    <xf numFmtId="182" fontId="4" fillId="0" borderId="0"/>
    <xf numFmtId="182" fontId="4" fillId="0" borderId="0"/>
    <xf numFmtId="182" fontId="4" fillId="0" borderId="0"/>
    <xf numFmtId="182" fontId="4" fillId="0" borderId="0"/>
    <xf numFmtId="183" fontId="40" fillId="0" borderId="0" applyFont="0" applyFill="0" applyBorder="0" applyAlignment="0" applyProtection="0">
      <protection locked="0"/>
    </xf>
    <xf numFmtId="184" fontId="39" fillId="0" borderId="0">
      <alignment horizontal="right"/>
    </xf>
    <xf numFmtId="185" fontId="39" fillId="46" borderId="0"/>
    <xf numFmtId="186" fontId="39" fillId="46" borderId="0"/>
    <xf numFmtId="187" fontId="39" fillId="46" borderId="0"/>
    <xf numFmtId="188" fontId="39"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1" fillId="0" borderId="0" applyNumberFormat="0" applyFont="0" applyFill="0" applyBorder="0" applyAlignment="0" applyProtection="0"/>
    <xf numFmtId="191" fontId="4" fillId="0" borderId="0" applyFont="0" applyFill="0" applyBorder="0" applyAlignment="0" applyProtection="0"/>
    <xf numFmtId="180" fontId="36"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2" fillId="0" borderId="0">
      <alignment horizontal="right" vertical="center"/>
    </xf>
    <xf numFmtId="0" fontId="43" fillId="0" borderId="0"/>
    <xf numFmtId="0" fontId="43" fillId="0" borderId="0"/>
    <xf numFmtId="0" fontId="43" fillId="0" borderId="0"/>
    <xf numFmtId="0" fontId="43" fillId="0" borderId="0"/>
    <xf numFmtId="0" fontId="43" fillId="0" borderId="0"/>
    <xf numFmtId="0" fontId="4" fillId="0" borderId="0"/>
    <xf numFmtId="0" fontId="4" fillId="0" borderId="0"/>
    <xf numFmtId="18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4" fillId="0" borderId="0" applyFont="0" applyFill="0" applyBorder="0" applyAlignment="0" applyProtection="0"/>
    <xf numFmtId="38" fontId="44" fillId="0" borderId="0" applyFont="0" applyFill="0" applyBorder="0" applyAlignment="0" applyProtection="0"/>
    <xf numFmtId="180" fontId="43" fillId="0" borderId="0"/>
    <xf numFmtId="180" fontId="4" fillId="0" borderId="0" applyFont="0" applyFill="0" applyBorder="0" applyAlignment="0" applyProtection="0"/>
    <xf numFmtId="180" fontId="43" fillId="0" borderId="0"/>
    <xf numFmtId="180" fontId="43"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applyFont="0" applyFill="0" applyBorder="0" applyAlignment="0" applyProtection="0"/>
    <xf numFmtId="0" fontId="43"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4" fillId="0" borderId="0" applyFont="0" applyFill="0" applyBorder="0" applyAlignment="0" applyProtection="0"/>
    <xf numFmtId="193" fontId="4" fillId="0" borderId="0" applyFont="0" applyFill="0" applyBorder="0" applyAlignment="0" applyProtection="0"/>
    <xf numFmtId="180" fontId="38"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3" fillId="0" borderId="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8"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8"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3" fillId="0" borderId="0"/>
    <xf numFmtId="180" fontId="36" fillId="0" borderId="0"/>
    <xf numFmtId="180" fontId="36" fillId="0" borderId="0"/>
    <xf numFmtId="38" fontId="44" fillId="0" borderId="0" applyAlignment="0" applyProtection="0"/>
    <xf numFmtId="38" fontId="44" fillId="0" borderId="0" applyFont="0" applyBorder="0" applyAlignment="0" applyProtection="0"/>
    <xf numFmtId="196" fontId="4" fillId="0" borderId="0" applyFont="0" applyFill="0" applyBorder="0" applyProtection="0">
      <alignment vertical="top"/>
    </xf>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3"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3" fillId="0" borderId="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38" fontId="35"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5" fillId="0" borderId="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3" fillId="0" borderId="0"/>
    <xf numFmtId="197" fontId="4" fillId="0" borderId="0" applyFont="0" applyFill="0" applyBorder="0" applyAlignment="0" applyProtection="0"/>
    <xf numFmtId="180" fontId="38"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8"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3" fillId="0" borderId="0"/>
    <xf numFmtId="180" fontId="43" fillId="0" borderId="0"/>
    <xf numFmtId="180" fontId="4" fillId="0" borderId="0"/>
    <xf numFmtId="0" fontId="4" fillId="0" borderId="0" applyFont="0" applyFill="0" applyBorder="0" applyAlignment="0" applyProtection="0"/>
    <xf numFmtId="180" fontId="43" fillId="0" borderId="0"/>
    <xf numFmtId="38" fontId="35" fillId="0" borderId="0" applyAlignment="0" applyProtection="0"/>
    <xf numFmtId="180" fontId="4" fillId="0" borderId="0"/>
    <xf numFmtId="180" fontId="4" fillId="0" borderId="0"/>
    <xf numFmtId="38" fontId="44" fillId="0" borderId="0" applyFont="0" applyFill="0" applyBorder="0" applyAlignment="0" applyProtection="0"/>
    <xf numFmtId="38" fontId="44" fillId="0" borderId="0" applyFont="0" applyFill="0" applyBorder="0" applyAlignment="0" applyProtection="0"/>
    <xf numFmtId="201" fontId="4" fillId="0" borderId="0" applyFont="0" applyFill="0" applyBorder="0" applyAlignment="0" applyProtection="0"/>
    <xf numFmtId="180" fontId="38"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8"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5" fillId="0" borderId="0"/>
    <xf numFmtId="180" fontId="45" fillId="0" borderId="0"/>
    <xf numFmtId="180" fontId="45" fillId="0" borderId="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3" fillId="0" borderId="0"/>
    <xf numFmtId="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80" fontId="46" fillId="0" borderId="0" applyNumberFormat="0" applyFill="0" applyBorder="0" applyProtection="0">
      <alignment horizontal="left"/>
    </xf>
    <xf numFmtId="180" fontId="47"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5" fillId="0" borderId="0"/>
    <xf numFmtId="180" fontId="45" fillId="0" borderId="0"/>
    <xf numFmtId="204" fontId="48" fillId="0" borderId="0"/>
    <xf numFmtId="180" fontId="36" fillId="0" borderId="0"/>
    <xf numFmtId="180" fontId="36" fillId="0" borderId="0"/>
    <xf numFmtId="180" fontId="45" fillId="0" borderId="0"/>
    <xf numFmtId="180" fontId="45" fillId="0" borderId="0"/>
    <xf numFmtId="180" fontId="45" fillId="0" borderId="0"/>
    <xf numFmtId="0" fontId="4" fillId="0" borderId="0" applyFont="0" applyFill="0" applyBorder="0" applyAlignment="0" applyProtection="0"/>
    <xf numFmtId="180" fontId="4" fillId="0" borderId="0"/>
    <xf numFmtId="180" fontId="43" fillId="0" borderId="0"/>
    <xf numFmtId="204" fontId="4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49" fillId="0" borderId="0" applyFont="0" applyFill="0" applyBorder="0" applyAlignment="0" applyProtection="0"/>
    <xf numFmtId="206" fontId="36" fillId="0" borderId="0" applyFont="0" applyFill="0" applyBorder="0" applyAlignment="0" applyProtection="0"/>
    <xf numFmtId="207" fontId="50" fillId="0" borderId="0"/>
    <xf numFmtId="208" fontId="36" fillId="0" borderId="0" applyFont="0" applyFill="0" applyBorder="0" applyAlignment="0" applyProtection="0"/>
    <xf numFmtId="209" fontId="49"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8" fillId="0" borderId="0"/>
    <xf numFmtId="211" fontId="50" fillId="0" borderId="0"/>
    <xf numFmtId="211" fontId="51" fillId="0" borderId="0"/>
    <xf numFmtId="212" fontId="50" fillId="0" borderId="0"/>
    <xf numFmtId="213" fontId="40" fillId="0" borderId="0" applyFont="0" applyFill="0" applyBorder="0" applyAlignment="0" applyProtection="0">
      <protection locked="0"/>
    </xf>
    <xf numFmtId="214" fontId="52" fillId="0" borderId="0"/>
    <xf numFmtId="180" fontId="51" fillId="0" borderId="0"/>
    <xf numFmtId="214" fontId="53"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4"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4"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4"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4"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4" fillId="60" borderId="0" applyNumberFormat="0" applyBorder="0" applyAlignment="0" applyProtection="0"/>
    <xf numFmtId="215" fontId="50" fillId="0" borderId="0"/>
    <xf numFmtId="216" fontId="51" fillId="0" borderId="0"/>
    <xf numFmtId="215" fontId="55" fillId="0" borderId="0"/>
    <xf numFmtId="0" fontId="4" fillId="0" borderId="0"/>
    <xf numFmtId="0" fontId="4" fillId="0" borderId="0"/>
    <xf numFmtId="217" fontId="50"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4"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4"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4" fillId="23"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7" fillId="62"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7" fillId="21"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7" fillId="28"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7" fillId="24" borderId="0" applyNumberFormat="0" applyBorder="0" applyAlignment="0" applyProtection="0"/>
    <xf numFmtId="0" fontId="38"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7"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7"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7"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7" fillId="25" borderId="0" applyNumberFormat="0" applyBorder="0" applyAlignment="0" applyProtection="0"/>
    <xf numFmtId="218" fontId="58" fillId="0" borderId="13">
      <alignment horizontal="centerContinuous"/>
    </xf>
    <xf numFmtId="219" fontId="59" fillId="40" borderId="16">
      <alignment horizontal="center" vertical="center"/>
    </xf>
    <xf numFmtId="210" fontId="40" fillId="0" borderId="0" applyFont="0" applyFill="0" applyBorder="0" applyAlignment="0" applyProtection="0"/>
    <xf numFmtId="180" fontId="40" fillId="0" borderId="0" applyFont="0" applyFill="0" applyBorder="0" applyAlignment="0" applyProtection="0"/>
    <xf numFmtId="204" fontId="60" fillId="0" borderId="0" applyNumberFormat="0" applyFont="0" applyFill="0" applyBorder="0" applyProtection="0">
      <alignment horizontal="center"/>
    </xf>
    <xf numFmtId="220" fontId="61" fillId="0" borderId="0">
      <alignment horizontal="left"/>
    </xf>
    <xf numFmtId="0" fontId="52" fillId="0" borderId="0"/>
    <xf numFmtId="221" fontId="62" fillId="0" borderId="0" applyFont="0" applyFill="0" applyBorder="0" applyAlignment="0" applyProtection="0"/>
    <xf numFmtId="180" fontId="40" fillId="0" borderId="0" applyFont="0" applyFill="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5" fillId="55"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189" fontId="67" fillId="20" borderId="0" applyNumberFormat="0" applyBorder="0" applyAlignment="0" applyProtection="0"/>
    <xf numFmtId="222" fontId="68" fillId="75" borderId="10" applyNumberFormat="0" applyBorder="0" applyAlignment="0">
      <alignment horizontal="centerContinuous" vertical="center"/>
      <protection hidden="1"/>
    </xf>
    <xf numFmtId="1" fontId="69"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0" fillId="77" borderId="0">
      <alignment horizontal="left"/>
    </xf>
    <xf numFmtId="224" fontId="71" fillId="0" borderId="0" applyFill="0" applyBorder="0" applyAlignment="0" applyProtection="0"/>
    <xf numFmtId="2" fontId="72" fillId="50" borderId="15" applyProtection="0">
      <alignment horizontal="left"/>
      <protection locked="0"/>
    </xf>
    <xf numFmtId="180" fontId="59" fillId="40" borderId="0" applyNumberFormat="0" applyFont="0" applyAlignment="0">
      <alignment horizontal="center"/>
    </xf>
    <xf numFmtId="225" fontId="73" fillId="40" borderId="0" applyFont="0" applyFill="0" applyBorder="0" applyAlignment="0" applyProtection="0"/>
    <xf numFmtId="180" fontId="74" fillId="0" borderId="0" applyNumberFormat="0" applyFill="0" applyBorder="0" applyAlignment="0" applyProtection="0"/>
    <xf numFmtId="180" fontId="75" fillId="0" borderId="13" applyNumberFormat="0" applyFill="0" applyAlignment="0" applyProtection="0"/>
    <xf numFmtId="180" fontId="50" fillId="0" borderId="0"/>
    <xf numFmtId="226" fontId="76" fillId="45" borderId="0" applyFont="0" applyFill="0" applyBorder="0" applyAlignment="0" applyProtection="0"/>
    <xf numFmtId="227" fontId="38" fillId="0" borderId="0" applyAlignment="0" applyProtection="0"/>
    <xf numFmtId="49" fontId="48" fillId="0" borderId="0" applyNumberFormat="0" applyAlignment="0" applyProtection="0">
      <alignment horizontal="left"/>
    </xf>
    <xf numFmtId="49" fontId="77" fillId="0" borderId="17" applyNumberFormat="0" applyAlignment="0" applyProtection="0">
      <alignment horizontal="left" wrapText="1"/>
    </xf>
    <xf numFmtId="49" fontId="78" fillId="0" borderId="0" applyAlignment="0" applyProtection="0">
      <alignment horizontal="left"/>
    </xf>
    <xf numFmtId="228" fontId="36" fillId="0" borderId="0" applyFont="0" applyFill="0" applyBorder="0" applyAlignment="0" applyProtection="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80" fillId="0" borderId="0"/>
    <xf numFmtId="229" fontId="38" fillId="0" borderId="0"/>
    <xf numFmtId="230" fontId="38" fillId="0" borderId="0"/>
    <xf numFmtId="231" fontId="38" fillId="0" borderId="0"/>
    <xf numFmtId="229" fontId="38" fillId="0" borderId="12"/>
    <xf numFmtId="230" fontId="38" fillId="0" borderId="12"/>
    <xf numFmtId="230" fontId="38" fillId="0" borderId="12"/>
    <xf numFmtId="231" fontId="38" fillId="0" borderId="12"/>
    <xf numFmtId="231" fontId="38" fillId="0" borderId="12"/>
    <xf numFmtId="229" fontId="38" fillId="0" borderId="12"/>
    <xf numFmtId="229" fontId="38" fillId="0" borderId="12"/>
    <xf numFmtId="229" fontId="38" fillId="0" borderId="0"/>
    <xf numFmtId="232" fontId="38" fillId="0" borderId="0"/>
    <xf numFmtId="180" fontId="40" fillId="0" borderId="0" applyFill="0" applyBorder="0" applyAlignment="0"/>
    <xf numFmtId="233" fontId="38" fillId="0" borderId="0"/>
    <xf numFmtId="234" fontId="38" fillId="0" borderId="0"/>
    <xf numFmtId="232" fontId="38" fillId="0" borderId="12"/>
    <xf numFmtId="233" fontId="38" fillId="0" borderId="12"/>
    <xf numFmtId="233" fontId="38" fillId="0" borderId="12"/>
    <xf numFmtId="234" fontId="38" fillId="0" borderId="12"/>
    <xf numFmtId="234" fontId="38" fillId="0" borderId="12"/>
    <xf numFmtId="232" fontId="38" fillId="0" borderId="12"/>
    <xf numFmtId="232" fontId="38" fillId="0" borderId="12"/>
    <xf numFmtId="232" fontId="38" fillId="0" borderId="0"/>
    <xf numFmtId="235" fontId="38" fillId="0" borderId="0">
      <alignment horizontal="right"/>
      <protection locked="0"/>
    </xf>
    <xf numFmtId="236" fontId="38" fillId="0" borderId="0">
      <alignment horizontal="right"/>
      <protection locked="0"/>
    </xf>
    <xf numFmtId="237" fontId="38" fillId="0" borderId="0"/>
    <xf numFmtId="238" fontId="38" fillId="0" borderId="0"/>
    <xf numFmtId="239" fontId="38" fillId="0" borderId="0"/>
    <xf numFmtId="237" fontId="38" fillId="0" borderId="12"/>
    <xf numFmtId="238" fontId="38" fillId="0" borderId="12"/>
    <xf numFmtId="238" fontId="38" fillId="0" borderId="12"/>
    <xf numFmtId="239" fontId="38" fillId="0" borderId="12"/>
    <xf numFmtId="239" fontId="38" fillId="0" borderId="12"/>
    <xf numFmtId="237" fontId="38" fillId="0" borderId="12"/>
    <xf numFmtId="237" fontId="38" fillId="0" borderId="12"/>
    <xf numFmtId="237" fontId="38" fillId="0" borderId="0"/>
    <xf numFmtId="240" fontId="4" fillId="46" borderId="0"/>
    <xf numFmtId="180" fontId="4" fillId="0" borderId="0">
      <alignment vertical="center"/>
    </xf>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189" fontId="83" fillId="61" borderId="18" applyNumberFormat="0" applyAlignment="0" applyProtection="0"/>
    <xf numFmtId="189" fontId="83" fillId="61" borderId="18" applyNumberFormat="0" applyAlignment="0" applyProtection="0"/>
    <xf numFmtId="38" fontId="84" fillId="0" borderId="0" applyNumberFormat="0" applyFill="0" applyBorder="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189" fontId="86"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59" fillId="0" borderId="13">
      <alignment horizontal="center"/>
    </xf>
    <xf numFmtId="37" fontId="59" fillId="0" borderId="0">
      <alignment horizontal="center" vertical="center" wrapText="1"/>
    </xf>
    <xf numFmtId="1" fontId="87" fillId="0" borderId="20">
      <alignment vertical="top"/>
    </xf>
    <xf numFmtId="173" fontId="88" fillId="0" borderId="0" applyBorder="0">
      <alignment horizontal="right"/>
    </xf>
    <xf numFmtId="173" fontId="88" fillId="0" borderId="21" applyAlignment="0">
      <alignment horizontal="right"/>
    </xf>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38" fontId="4" fillId="0" borderId="0" applyFont="0" applyFill="0" applyBorder="0" applyAlignment="0" applyProtection="0"/>
    <xf numFmtId="204" fontId="40" fillId="0" borderId="0" applyFont="0" applyFill="0" applyBorder="0" applyAlignment="0" applyProtection="0">
      <protection locked="0"/>
    </xf>
    <xf numFmtId="40" fontId="40"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0" fillId="0" borderId="0"/>
    <xf numFmtId="242" fontId="52" fillId="0" borderId="0"/>
    <xf numFmtId="180" fontId="89" fillId="0" borderId="0" applyFont="0" applyFill="0" applyBorder="0" applyAlignment="0" applyProtection="0">
      <alignment horizontal="right"/>
    </xf>
    <xf numFmtId="243" fontId="89" fillId="0" borderId="0" applyFont="0" applyFill="0" applyBorder="0" applyAlignment="0" applyProtection="0"/>
    <xf numFmtId="180" fontId="89"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6" fillId="0" borderId="0" applyFill="0" applyBorder="0" applyProtection="0">
      <alignment horizontal="center"/>
    </xf>
    <xf numFmtId="180" fontId="90" fillId="0" borderId="0">
      <protection locked="0"/>
    </xf>
    <xf numFmtId="249" fontId="4" fillId="0" borderId="0" applyBorder="0"/>
    <xf numFmtId="250" fontId="48" fillId="0" borderId="0" applyBorder="0"/>
    <xf numFmtId="251" fontId="4" fillId="0" borderId="0" applyFill="0" applyBorder="0">
      <alignment horizontal="left"/>
    </xf>
    <xf numFmtId="180" fontId="91" fillId="0" borderId="0" applyNumberFormat="0" applyAlignment="0">
      <alignment horizontal="left"/>
    </xf>
    <xf numFmtId="37" fontId="4" fillId="80" borderId="0" applyFont="0" applyBorder="0" applyAlignment="0" applyProtection="0"/>
    <xf numFmtId="193" fontId="45" fillId="80" borderId="0" applyFont="0" applyBorder="0" applyAlignment="0" applyProtection="0"/>
    <xf numFmtId="39" fontId="45" fillId="80" borderId="0" applyFont="0" applyBorder="0" applyAlignment="0" applyProtection="0"/>
    <xf numFmtId="252" fontId="92" fillId="0" borderId="0"/>
    <xf numFmtId="253" fontId="40" fillId="0" borderId="0" applyFont="0" applyFill="0" applyBorder="0" applyAlignment="0" applyProtection="0">
      <protection locked="0"/>
    </xf>
    <xf numFmtId="254" fontId="40" fillId="0" borderId="0" applyFont="0" applyFill="0" applyBorder="0" applyAlignment="0" applyProtection="0">
      <protection locked="0"/>
    </xf>
    <xf numFmtId="255" fontId="4" fillId="0" borderId="0">
      <alignment horizontal="right"/>
    </xf>
    <xf numFmtId="180" fontId="89"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89"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3" fillId="81" borderId="0" applyAlignment="0" applyProtection="0">
      <alignment vertical="center"/>
    </xf>
    <xf numFmtId="259" fontId="39" fillId="46" borderId="15">
      <alignment horizontal="right"/>
    </xf>
    <xf numFmtId="260" fontId="36" fillId="0" borderId="0" applyFont="0" applyFill="0" applyBorder="0" applyAlignment="0" applyProtection="0"/>
    <xf numFmtId="229" fontId="38" fillId="45" borderId="22">
      <protection locked="0"/>
    </xf>
    <xf numFmtId="230" fontId="38" fillId="45" borderId="22">
      <protection locked="0"/>
    </xf>
    <xf numFmtId="231" fontId="38" fillId="45" borderId="22">
      <protection locked="0"/>
    </xf>
    <xf numFmtId="229" fontId="38" fillId="45" borderId="22">
      <protection locked="0"/>
    </xf>
    <xf numFmtId="232" fontId="38" fillId="45" borderId="22">
      <protection locked="0"/>
    </xf>
    <xf numFmtId="233" fontId="38" fillId="45" borderId="22">
      <protection locked="0"/>
    </xf>
    <xf numFmtId="234" fontId="38" fillId="45" borderId="22">
      <protection locked="0"/>
    </xf>
    <xf numFmtId="232" fontId="38" fillId="45" borderId="22">
      <protection locked="0"/>
    </xf>
    <xf numFmtId="235" fontId="38" fillId="37" borderId="22">
      <alignment horizontal="right"/>
      <protection locked="0"/>
    </xf>
    <xf numFmtId="236" fontId="38" fillId="37" borderId="22">
      <alignment horizontal="right"/>
      <protection locked="0"/>
    </xf>
    <xf numFmtId="0" fontId="38" fillId="82" borderId="22">
      <alignment horizontal="left"/>
      <protection locked="0"/>
    </xf>
    <xf numFmtId="49" fontId="38" fillId="38" borderId="22">
      <alignment horizontal="left" vertical="top" wrapText="1"/>
      <protection locked="0"/>
    </xf>
    <xf numFmtId="237" fontId="38" fillId="45" borderId="22">
      <protection locked="0"/>
    </xf>
    <xf numFmtId="238" fontId="38" fillId="45" borderId="22">
      <protection locked="0"/>
    </xf>
    <xf numFmtId="239" fontId="38" fillId="45" borderId="22">
      <protection locked="0"/>
    </xf>
    <xf numFmtId="237" fontId="38" fillId="45" borderId="22">
      <protection locked="0"/>
    </xf>
    <xf numFmtId="49" fontId="38" fillId="38" borderId="22">
      <alignment horizontal="left"/>
      <protection locked="0"/>
    </xf>
    <xf numFmtId="261" fontId="38"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89" fillId="0" borderId="0" applyFont="0" applyFill="0" applyBorder="0" applyAlignment="0" applyProtection="0"/>
    <xf numFmtId="264" fontId="4" fillId="0" borderId="0" applyFont="0" applyFill="0" applyBorder="0" applyAlignment="0" applyProtection="0"/>
    <xf numFmtId="180" fontId="89" fillId="0" borderId="0" applyFont="0" applyFill="0" applyBorder="0" applyAlignment="0" applyProtection="0"/>
    <xf numFmtId="180" fontId="88"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2" fillId="0" borderId="0">
      <alignment horizontal="right"/>
    </xf>
    <xf numFmtId="207" fontId="52" fillId="0" borderId="0">
      <alignment horizontal="right"/>
      <protection locked="0"/>
    </xf>
    <xf numFmtId="207" fontId="52" fillId="0" borderId="0"/>
    <xf numFmtId="269" fontId="52" fillId="0" borderId="0">
      <alignment horizontal="right"/>
      <protection locked="0"/>
    </xf>
    <xf numFmtId="207" fontId="53" fillId="0" borderId="0"/>
    <xf numFmtId="270" fontId="48"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0" fillId="46" borderId="0" applyNumberFormat="0" applyFont="0" applyBorder="0" applyAlignment="0" applyProtection="0"/>
    <xf numFmtId="254" fontId="36" fillId="0" borderId="0" applyFill="0" applyBorder="0" applyProtection="0">
      <alignment horizontal="center"/>
    </xf>
    <xf numFmtId="253" fontId="36" fillId="0" borderId="0">
      <alignment horizontal="center"/>
    </xf>
    <xf numFmtId="254" fontId="36" fillId="0" borderId="0" applyFill="0" applyBorder="0" applyProtection="0">
      <alignment horizontal="center"/>
    </xf>
    <xf numFmtId="251" fontId="94" fillId="0" borderId="0">
      <alignment horizontal="center"/>
    </xf>
    <xf numFmtId="180" fontId="89" fillId="0" borderId="24" applyNumberFormat="0" applyFont="0" applyFill="0" applyAlignment="0" applyProtection="0"/>
    <xf numFmtId="210" fontId="95" fillId="0" borderId="25"/>
    <xf numFmtId="211" fontId="52" fillId="0" borderId="0"/>
    <xf numFmtId="38" fontId="44" fillId="0" borderId="0" applyFont="0" applyFill="0" applyBorder="0" applyAlignment="0" applyProtection="0"/>
    <xf numFmtId="180" fontId="96" fillId="0" borderId="0" applyFont="0" applyFill="0" applyBorder="0" applyAlignment="0" applyProtection="0"/>
    <xf numFmtId="180" fontId="97" fillId="0" borderId="0" applyNumberFormat="0" applyAlignment="0">
      <alignment horizontal="left"/>
    </xf>
    <xf numFmtId="272" fontId="39" fillId="0" borderId="0"/>
    <xf numFmtId="273" fontId="39" fillId="0" borderId="0"/>
    <xf numFmtId="274" fontId="39" fillId="0" borderId="0"/>
    <xf numFmtId="275" fontId="39" fillId="0" borderId="0"/>
    <xf numFmtId="276" fontId="39" fillId="0" borderId="0"/>
    <xf numFmtId="277" fontId="39" fillId="0" borderId="0"/>
    <xf numFmtId="189" fontId="4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89" fontId="100" fillId="0" borderId="0" applyNumberFormat="0" applyFill="0" applyBorder="0" applyAlignment="0" applyProtection="0"/>
    <xf numFmtId="0" fontId="36" fillId="79" borderId="0" applyNumberFormat="0" applyFont="0" applyBorder="0" applyAlignment="0" applyProtection="0"/>
    <xf numFmtId="0" fontId="36" fillId="79" borderId="0" applyNumberFormat="0" applyFont="0" applyBorder="0" applyAlignment="0" applyProtection="0"/>
    <xf numFmtId="0" fontId="101" fillId="0" borderId="0" applyNumberFormat="0" applyFill="0" applyBorder="0" applyAlignment="0" applyProtection="0"/>
    <xf numFmtId="281" fontId="102" fillId="0" borderId="0" applyFill="0" applyBorder="0"/>
    <xf numFmtId="15" fontId="13" fillId="0" borderId="0" applyFill="0" applyBorder="0" applyProtection="0">
      <alignment horizontal="center"/>
    </xf>
    <xf numFmtId="0" fontId="36" fillId="20" borderId="0" applyNumberFormat="0" applyFont="0" applyBorder="0" applyAlignment="0" applyProtection="0"/>
    <xf numFmtId="0" fontId="36" fillId="20" borderId="0" applyNumberFormat="0" applyFont="0" applyBorder="0" applyAlignment="0" applyProtection="0"/>
    <xf numFmtId="282" fontId="103" fillId="0" borderId="0" applyFill="0" applyBorder="0" applyProtection="0"/>
    <xf numFmtId="283" fontId="14" fillId="61" borderId="4" applyAlignment="0" applyProtection="0"/>
    <xf numFmtId="283" fontId="14" fillId="61" borderId="4" applyAlignment="0" applyProtection="0"/>
    <xf numFmtId="284" fontId="104" fillId="0" borderId="0" applyNumberFormat="0" applyFill="0" applyBorder="0" applyAlignment="0" applyProtection="0"/>
    <xf numFmtId="284" fontId="105" fillId="0" borderId="0" applyNumberFormat="0" applyFill="0" applyBorder="0" applyAlignment="0" applyProtection="0"/>
    <xf numFmtId="15" fontId="101" fillId="45" borderId="22">
      <alignment horizontal="center"/>
      <protection locked="0"/>
    </xf>
    <xf numFmtId="285" fontId="101" fillId="45" borderId="22" applyAlignment="0">
      <protection locked="0"/>
    </xf>
    <xf numFmtId="286" fontId="101"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28" borderId="0" applyNumberFormat="0" applyFont="0" applyBorder="0" applyAlignment="0" applyProtection="0"/>
    <xf numFmtId="0" fontId="36"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6" fillId="84" borderId="28" applyNumberFormat="0" applyBorder="0" applyAlignment="0">
      <alignment horizontal="centerContinuous" vertical="center"/>
      <protection locked="0"/>
    </xf>
    <xf numFmtId="180" fontId="90" fillId="0" borderId="0">
      <protection locked="0"/>
    </xf>
    <xf numFmtId="251" fontId="107" fillId="0" borderId="0"/>
    <xf numFmtId="251" fontId="107" fillId="0" borderId="0"/>
    <xf numFmtId="180" fontId="108" fillId="0" borderId="0"/>
    <xf numFmtId="180" fontId="109" fillId="0" borderId="0" applyFill="0" applyBorder="0" applyProtection="0">
      <alignment horizontal="left"/>
    </xf>
    <xf numFmtId="4" fontId="110" fillId="0" borderId="0">
      <protection locked="0"/>
    </xf>
    <xf numFmtId="0" fontId="93" fillId="19" borderId="0" applyAlignment="0" applyProtection="0">
      <alignment horizontal="right" vertical="center"/>
    </xf>
    <xf numFmtId="252" fontId="111" fillId="0" borderId="0"/>
    <xf numFmtId="273" fontId="39" fillId="0" borderId="29"/>
    <xf numFmtId="291" fontId="39" fillId="46" borderId="15">
      <alignment horizontal="right"/>
    </xf>
    <xf numFmtId="292" fontId="4" fillId="0" borderId="0" applyFont="0" applyFill="0" applyBorder="0" applyAlignment="0" applyProtection="0"/>
    <xf numFmtId="293" fontId="112" fillId="0" borderId="0" applyFont="0" applyFill="0" applyBorder="0" applyAlignment="0" applyProtection="0"/>
    <xf numFmtId="294" fontId="4" fillId="0" borderId="0" applyFont="0" applyFill="0" applyBorder="0" applyAlignment="0" applyProtection="0"/>
    <xf numFmtId="295" fontId="112"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189" fontId="114" fillId="57" borderId="0" applyNumberFormat="0" applyBorder="0" applyAlignment="0" applyProtection="0"/>
    <xf numFmtId="2" fontId="115" fillId="50" borderId="15" applyProtection="0">
      <alignment horizontal="left"/>
      <protection locked="0"/>
    </xf>
    <xf numFmtId="38" fontId="48" fillId="46" borderId="0" applyNumberFormat="0" applyBorder="0" applyAlignment="0" applyProtection="0"/>
    <xf numFmtId="0" fontId="4" fillId="61" borderId="0" applyNumberFormat="0" applyFont="0" applyBorder="0" applyAlignment="0" applyProtection="0"/>
    <xf numFmtId="296" fontId="88" fillId="36" borderId="30" applyNumberFormat="0" applyFont="0" applyAlignment="0"/>
    <xf numFmtId="180" fontId="89" fillId="0" borderId="0" applyFont="0" applyFill="0" applyBorder="0" applyAlignment="0" applyProtection="0">
      <alignment horizontal="right"/>
    </xf>
    <xf numFmtId="180" fontId="116" fillId="0" borderId="0" applyProtection="0">
      <alignment horizontal="right"/>
    </xf>
    <xf numFmtId="180" fontId="73" fillId="0" borderId="31" applyNumberFormat="0" applyAlignment="0" applyProtection="0">
      <alignment horizontal="left" vertical="center"/>
    </xf>
    <xf numFmtId="180" fontId="73" fillId="0" borderId="32">
      <alignment horizontal="left" vertical="center"/>
    </xf>
    <xf numFmtId="2" fontId="69" fillId="76" borderId="0" applyAlignment="0">
      <alignment horizontal="right"/>
      <protection locked="0"/>
    </xf>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189" fontId="119" fillId="0" borderId="34"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189" fontId="122" fillId="0" borderId="35"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189" fontId="125" fillId="0" borderId="36" applyNumberFormat="0" applyFill="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189" fontId="125" fillId="0" borderId="0" applyNumberFormat="0" applyFill="0" applyBorder="0" applyAlignment="0" applyProtection="0"/>
    <xf numFmtId="180" fontId="36" fillId="0" borderId="0">
      <protection locked="0"/>
    </xf>
    <xf numFmtId="180" fontId="36" fillId="0" borderId="0">
      <protection locked="0"/>
    </xf>
    <xf numFmtId="297" fontId="126" fillId="0" borderId="0">
      <alignment horizontal="right"/>
    </xf>
    <xf numFmtId="298" fontId="56" fillId="0" borderId="0" applyAlignment="0">
      <alignment horizontal="right"/>
      <protection hidden="1"/>
    </xf>
    <xf numFmtId="180" fontId="101" fillId="0" borderId="37" applyNumberFormat="0" applyFill="0" applyAlignment="0" applyProtection="0"/>
    <xf numFmtId="204" fontId="127"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89"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189" fontId="135" fillId="0" borderId="0" applyNumberFormat="0" applyFill="0" applyBorder="0" applyAlignment="0" applyProtection="0">
      <alignment vertical="top"/>
      <protection locked="0"/>
    </xf>
    <xf numFmtId="180" fontId="136" fillId="0" borderId="0">
      <alignment wrapText="1"/>
    </xf>
    <xf numFmtId="10" fontId="48" fillId="36" borderId="30" applyNumberFormat="0" applyBorder="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189" fontId="139" fillId="60" borderId="38" applyNumberFormat="0" applyAlignment="0" applyProtection="0"/>
    <xf numFmtId="189" fontId="139" fillId="60" borderId="38" applyNumberFormat="0" applyAlignment="0" applyProtection="0"/>
    <xf numFmtId="0" fontId="48" fillId="0" borderId="0" applyNumberFormat="0" applyFill="0" applyBorder="0" applyAlignment="0">
      <protection locked="0"/>
    </xf>
    <xf numFmtId="0" fontId="140" fillId="34" borderId="0"/>
    <xf numFmtId="240" fontId="59" fillId="86" borderId="0">
      <protection locked="0"/>
    </xf>
    <xf numFmtId="299" fontId="36" fillId="0" borderId="0"/>
    <xf numFmtId="0" fontId="141" fillId="0" borderId="0"/>
    <xf numFmtId="38" fontId="142" fillId="0" borderId="0"/>
    <xf numFmtId="38" fontId="143" fillId="0" borderId="0"/>
    <xf numFmtId="38" fontId="144" fillId="0" borderId="0"/>
    <xf numFmtId="38" fontId="145" fillId="0" borderId="0"/>
    <xf numFmtId="0" fontId="62" fillId="0" borderId="0"/>
    <xf numFmtId="0" fontId="62" fillId="0" borderId="0"/>
    <xf numFmtId="0" fontId="62" fillId="0" borderId="0"/>
    <xf numFmtId="0" fontId="38" fillId="0" borderId="0"/>
    <xf numFmtId="0" fontId="146" fillId="0" borderId="0"/>
    <xf numFmtId="0" fontId="147" fillId="0" borderId="0">
      <alignment horizontal="center"/>
    </xf>
    <xf numFmtId="300" fontId="148" fillId="0" borderId="0" applyFont="0" applyFill="0" applyBorder="0" applyAlignment="0" applyProtection="0"/>
    <xf numFmtId="180" fontId="4" fillId="0" borderId="0" applyNumberFormat="0" applyFont="0" applyFill="0" applyBorder="0" applyProtection="0">
      <alignment horizontal="left" vertical="center"/>
    </xf>
    <xf numFmtId="168" fontId="31" fillId="2" borderId="0"/>
    <xf numFmtId="168" fontId="32" fillId="53" borderId="0"/>
    <xf numFmtId="180" fontId="48" fillId="46" borderId="0"/>
    <xf numFmtId="38" fontId="149" fillId="0" borderId="0" applyNumberFormat="0" applyFill="0" applyBorder="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189" fontId="152" fillId="0" borderId="40" applyNumberFormat="0" applyFill="0" applyAlignment="0" applyProtection="0"/>
    <xf numFmtId="0" fontId="93" fillId="87" borderId="0" applyAlignment="0" applyProtection="0">
      <alignment horizontal="right" vertical="center"/>
    </xf>
    <xf numFmtId="197" fontId="49" fillId="0" borderId="0" applyFont="0" applyFill="0" applyBorder="0" applyAlignment="0" applyProtection="0">
      <alignment horizontal="right"/>
    </xf>
    <xf numFmtId="301"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302"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40" fontId="153" fillId="0" borderId="0">
      <alignment horizontal="right"/>
    </xf>
    <xf numFmtId="37" fontId="154" fillId="0" borderId="0"/>
    <xf numFmtId="180" fontId="155"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39" fillId="0" borderId="0">
      <alignment horizontal="right"/>
    </xf>
    <xf numFmtId="180" fontId="156" fillId="0" borderId="21"/>
    <xf numFmtId="305" fontId="44" fillId="0" borderId="0" applyFont="0" applyFill="0" applyBorder="0" applyAlignment="0" applyProtection="0"/>
    <xf numFmtId="306" fontId="4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8" fillId="36" borderId="0">
      <alignment horizontal="center"/>
    </xf>
    <xf numFmtId="308" fontId="36" fillId="0" borderId="0" applyFill="0" applyBorder="0" applyProtection="0">
      <alignment horizontal="center"/>
    </xf>
    <xf numFmtId="309" fontId="36" fillId="0" borderId="0" applyFont="0" applyFill="0" applyBorder="0" applyAlignment="0" applyProtection="0">
      <alignment horizontal="centerContinuous"/>
      <protection locked="0"/>
    </xf>
    <xf numFmtId="49" fontId="157" fillId="81" borderId="0" applyAlignment="0" applyProtection="0">
      <alignment horizontal="centerContinuous" vertical="center"/>
    </xf>
    <xf numFmtId="310" fontId="48" fillId="0" borderId="0" applyFont="0" applyFill="0" applyBorder="0" applyAlignment="0" applyProtection="0">
      <alignment horizontal="right"/>
    </xf>
    <xf numFmtId="0" fontId="76" fillId="0" borderId="0">
      <alignment horizontal="right"/>
    </xf>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189" fontId="159" fillId="18" borderId="0" applyNumberFormat="0" applyBorder="0" applyAlignment="0" applyProtection="0"/>
    <xf numFmtId="37" fontId="160" fillId="0" borderId="0"/>
    <xf numFmtId="297" fontId="161" fillId="0" borderId="0"/>
    <xf numFmtId="311" fontId="40" fillId="0" borderId="0"/>
    <xf numFmtId="311" fontId="40" fillId="0" borderId="13"/>
    <xf numFmtId="311" fontId="40" fillId="0" borderId="41"/>
    <xf numFmtId="311" fontId="40" fillId="0" borderId="0"/>
    <xf numFmtId="312" fontId="52" fillId="0" borderId="0"/>
    <xf numFmtId="313" fontId="52" fillId="0" borderId="0"/>
    <xf numFmtId="314" fontId="52" fillId="0" borderId="0"/>
    <xf numFmtId="315" fontId="48" fillId="0" borderId="0"/>
    <xf numFmtId="316" fontId="48"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0" fillId="0" borderId="41"/>
    <xf numFmtId="0" fontId="101" fillId="0" borderId="0" applyFill="0" applyBorder="0">
      <protection locked="0"/>
    </xf>
    <xf numFmtId="180" fontId="4" fillId="0" borderId="0"/>
    <xf numFmtId="180" fontId="163" fillId="0" borderId="0"/>
    <xf numFmtId="180" fontId="164" fillId="0" borderId="0"/>
    <xf numFmtId="180" fontId="165" fillId="0" borderId="0"/>
    <xf numFmtId="180" fontId="166" fillId="0" borderId="0"/>
    <xf numFmtId="180" fontId="45" fillId="0" borderId="0"/>
    <xf numFmtId="38" fontId="167"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8"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5" fillId="50" borderId="44" applyNumberFormat="0">
      <alignment vertical="center"/>
    </xf>
    <xf numFmtId="318" fontId="35" fillId="88" borderId="44" applyNumberFormat="0">
      <alignment vertical="center"/>
    </xf>
    <xf numFmtId="318" fontId="35" fillId="40" borderId="44" applyNumberFormat="0">
      <alignment vertical="center"/>
    </xf>
    <xf numFmtId="318" fontId="35" fillId="38" borderId="44" applyNumberFormat="0">
      <alignment vertical="center"/>
    </xf>
    <xf numFmtId="318" fontId="35" fillId="89" borderId="44" applyNumberFormat="0">
      <alignment vertical="center"/>
    </xf>
    <xf numFmtId="318" fontId="35" fillId="46" borderId="44" applyNumberFormat="0">
      <alignment vertical="center"/>
    </xf>
    <xf numFmtId="318" fontId="35" fillId="90" borderId="44" applyNumberFormat="0">
      <alignment vertical="center"/>
    </xf>
    <xf numFmtId="318" fontId="35" fillId="80" borderId="44" applyNumberFormat="0">
      <alignment vertical="center"/>
    </xf>
    <xf numFmtId="318" fontId="35" fillId="91" borderId="44" applyNumberFormat="0">
      <alignment vertical="center"/>
    </xf>
    <xf numFmtId="318" fontId="35" fillId="92" borderId="44" applyNumberFormat="0">
      <alignment vertical="center"/>
    </xf>
    <xf numFmtId="318" fontId="169" fillId="45" borderId="44">
      <protection locked="0"/>
    </xf>
    <xf numFmtId="318" fontId="169" fillId="37" borderId="44">
      <protection locked="0"/>
    </xf>
    <xf numFmtId="318" fontId="170" fillId="37" borderId="45" applyNumberFormat="0" applyFont="0" applyFill="0" applyAlignment="0" applyProtection="0">
      <protection locked="0"/>
    </xf>
    <xf numFmtId="318" fontId="76" fillId="0" borderId="0" applyNumberFormat="0" applyFill="0">
      <alignment horizontal="left" vertical="top"/>
    </xf>
    <xf numFmtId="0" fontId="171" fillId="93" borderId="0" applyNumberFormat="0">
      <alignment horizontal="left" vertical="center" indent="1"/>
    </xf>
    <xf numFmtId="0" fontId="172" fillId="94" borderId="0" applyNumberFormat="0">
      <alignment vertical="center"/>
    </xf>
    <xf numFmtId="0" fontId="73" fillId="46" borderId="0">
      <alignment vertical="center"/>
    </xf>
    <xf numFmtId="0" fontId="173" fillId="0" borderId="46">
      <alignment vertical="center"/>
    </xf>
    <xf numFmtId="0" fontId="34" fillId="95" borderId="30" applyNumberFormat="0" applyFont="0" applyAlignment="0">
      <alignment vertical="center"/>
    </xf>
    <xf numFmtId="0" fontId="34" fillId="45" borderId="30" applyNumberFormat="0" applyFont="0" applyAlignment="0">
      <alignment vertical="center"/>
    </xf>
    <xf numFmtId="0" fontId="34" fillId="37" borderId="30" applyNumberFormat="0" applyFont="0" applyAlignment="0">
      <alignment vertical="center"/>
    </xf>
    <xf numFmtId="0" fontId="34"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4" fillId="0" borderId="0">
      <alignment horizontal="left"/>
    </xf>
    <xf numFmtId="3" fontId="175" fillId="0" borderId="0" applyFill="0" applyBorder="0" applyAlignment="0" applyProtection="0"/>
    <xf numFmtId="180" fontId="176" fillId="12" borderId="47" applyNumberFormat="0" applyBorder="0" applyAlignment="0">
      <alignment horizontal="center"/>
      <protection hidden="1"/>
    </xf>
    <xf numFmtId="180" fontId="177" fillId="0" borderId="47" applyNumberFormat="0" applyBorder="0" applyAlignment="0">
      <alignment horizontal="center"/>
      <protection locked="0"/>
    </xf>
    <xf numFmtId="2" fontId="178" fillId="50" borderId="15">
      <alignment horizontal="left"/>
    </xf>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189" fontId="180" fillId="61" borderId="48" applyNumberFormat="0" applyAlignment="0" applyProtection="0"/>
    <xf numFmtId="189" fontId="180" fillId="61" borderId="48" applyNumberFormat="0" applyAlignment="0" applyProtection="0"/>
    <xf numFmtId="40" fontId="13" fillId="33" borderId="0">
      <alignment horizontal="right"/>
    </xf>
    <xf numFmtId="180" fontId="181" fillId="98" borderId="0">
      <alignment horizontal="center"/>
    </xf>
    <xf numFmtId="180" fontId="182" fillId="99" borderId="0"/>
    <xf numFmtId="180" fontId="183" fillId="33" borderId="0" applyBorder="0">
      <alignment horizontal="centerContinuous"/>
    </xf>
    <xf numFmtId="180" fontId="184"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6" fillId="100" borderId="0" applyNumberFormat="0" applyFont="0" applyBorder="0" applyAlignment="0"/>
    <xf numFmtId="1" fontId="185" fillId="0" borderId="0" applyProtection="0">
      <alignment horizontal="right" vertical="center"/>
    </xf>
    <xf numFmtId="193" fontId="186" fillId="0" borderId="0">
      <alignment horizontal="left"/>
    </xf>
    <xf numFmtId="320" fontId="39" fillId="0" borderId="0"/>
    <xf numFmtId="321" fontId="39" fillId="0" borderId="0"/>
    <xf numFmtId="255" fontId="4" fillId="0" borderId="0" applyFont="0" applyFill="0" applyBorder="0" applyAlignment="0" applyProtection="0"/>
    <xf numFmtId="322" fontId="4" fillId="0" borderId="0" applyFont="0" applyFill="0" applyBorder="0" applyAlignment="0" applyProtection="0"/>
    <xf numFmtId="170" fontId="40" fillId="0" borderId="0" applyFont="0" applyFill="0" applyBorder="0" applyAlignment="0" applyProtection="0">
      <protection locked="0"/>
    </xf>
    <xf numFmtId="10" fontId="40"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2"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59" fillId="80" borderId="0" applyBorder="0" applyAlignment="0">
      <protection locked="0"/>
    </xf>
    <xf numFmtId="9" fontId="52" fillId="0" borderId="0"/>
    <xf numFmtId="170" fontId="52" fillId="0" borderId="0"/>
    <xf numFmtId="10" fontId="52" fillId="0" borderId="0"/>
    <xf numFmtId="325" fontId="4" fillId="0" borderId="0" applyFont="0" applyFill="0" applyBorder="0" applyAlignment="0" applyProtection="0"/>
    <xf numFmtId="326" fontId="50" fillId="0" borderId="0"/>
    <xf numFmtId="327" fontId="50" fillId="0" borderId="0"/>
    <xf numFmtId="327" fontId="52" fillId="0" borderId="0"/>
    <xf numFmtId="328" fontId="4" fillId="0" borderId="0" applyBorder="0">
      <alignment horizontal="right"/>
    </xf>
    <xf numFmtId="329" fontId="48"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39" fillId="0" borderId="0">
      <alignment horizontal="right"/>
    </xf>
    <xf numFmtId="40" fontId="4" fillId="0" borderId="0"/>
    <xf numFmtId="1" fontId="187" fillId="46" borderId="0">
      <alignment horizontal="center"/>
    </xf>
    <xf numFmtId="18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180" fontId="188" fillId="0" borderId="21">
      <alignment horizontal="center"/>
    </xf>
    <xf numFmtId="3" fontId="44" fillId="0" borderId="0" applyFont="0" applyFill="0" applyBorder="0" applyAlignment="0" applyProtection="0"/>
    <xf numFmtId="180" fontId="44" fillId="102" borderId="0" applyNumberFormat="0" applyFont="0" applyBorder="0" applyAlignment="0" applyProtection="0"/>
    <xf numFmtId="333" fontId="39" fillId="46" borderId="0"/>
    <xf numFmtId="334" fontId="15" fillId="46" borderId="0" applyFill="0"/>
    <xf numFmtId="180" fontId="189" fillId="0" borderId="0">
      <alignment horizontal="left" indent="7"/>
    </xf>
    <xf numFmtId="180" fontId="15" fillId="0" borderId="0" applyFill="0">
      <alignment horizontal="left" indent="7"/>
    </xf>
    <xf numFmtId="334" fontId="59" fillId="0" borderId="32">
      <alignment horizontal="right"/>
    </xf>
    <xf numFmtId="180" fontId="59" fillId="0" borderId="30" applyNumberFormat="0" applyFont="0" applyBorder="0">
      <alignment horizontal="right"/>
    </xf>
    <xf numFmtId="180" fontId="190" fillId="0" borderId="0" applyFill="0"/>
    <xf numFmtId="180" fontId="59" fillId="0" borderId="0" applyFill="0"/>
    <xf numFmtId="334" fontId="12" fillId="0" borderId="32" applyFill="0"/>
    <xf numFmtId="180" fontId="4" fillId="0" borderId="0" applyNumberFormat="0" applyFont="0" applyBorder="0" applyAlignment="0"/>
    <xf numFmtId="180" fontId="191" fillId="0" borderId="0" applyFill="0">
      <alignment horizontal="left" indent="1"/>
    </xf>
    <xf numFmtId="180" fontId="12" fillId="0" borderId="0">
      <alignment horizontal="left" indent="1"/>
    </xf>
    <xf numFmtId="334" fontId="59" fillId="0" borderId="32" applyFill="0"/>
    <xf numFmtId="180" fontId="4" fillId="0" borderId="0" applyNumberFormat="0" applyFont="0" applyFill="0" applyBorder="0" applyAlignment="0"/>
    <xf numFmtId="180" fontId="190" fillId="0" borderId="0" applyFill="0">
      <alignment horizontal="left" indent="2"/>
    </xf>
    <xf numFmtId="180" fontId="59" fillId="0" borderId="0" applyFill="0">
      <alignment horizontal="left" indent="2"/>
    </xf>
    <xf numFmtId="334" fontId="12" fillId="0" borderId="32" applyFill="0"/>
    <xf numFmtId="180" fontId="4" fillId="0" borderId="0" applyNumberFormat="0" applyFont="0" applyBorder="0" applyAlignment="0"/>
    <xf numFmtId="180" fontId="191" fillId="0" borderId="0">
      <alignment horizontal="left" indent="3"/>
    </xf>
    <xf numFmtId="180" fontId="12" fillId="0" borderId="0" applyFill="0">
      <alignment horizontal="left" indent="3"/>
    </xf>
    <xf numFmtId="334" fontId="59" fillId="0" borderId="32" applyFill="0"/>
    <xf numFmtId="180" fontId="4" fillId="0" borderId="0" applyNumberFormat="0" applyFont="0" applyBorder="0" applyAlignment="0"/>
    <xf numFmtId="180" fontId="190" fillId="0" borderId="0">
      <alignment horizontal="left" indent="4"/>
    </xf>
    <xf numFmtId="180" fontId="59" fillId="0" borderId="0" applyFill="0">
      <alignment horizontal="left" indent="4"/>
    </xf>
    <xf numFmtId="334" fontId="12" fillId="0" borderId="32" applyFill="0"/>
    <xf numFmtId="180" fontId="4" fillId="0" borderId="0" applyNumberFormat="0" applyFont="0" applyBorder="0" applyAlignment="0"/>
    <xf numFmtId="180" fontId="191" fillId="0" borderId="0">
      <alignment horizontal="left" indent="5"/>
    </xf>
    <xf numFmtId="180" fontId="12" fillId="0" borderId="0" applyFill="0">
      <alignment horizontal="left" indent="5"/>
    </xf>
    <xf numFmtId="334" fontId="59" fillId="0" borderId="32" applyFill="0"/>
    <xf numFmtId="180" fontId="4" fillId="0" borderId="0" applyNumberFormat="0" applyFont="0" applyFill="0" applyBorder="0" applyAlignment="0"/>
    <xf numFmtId="180" fontId="59" fillId="0" borderId="0" applyFill="0">
      <alignment horizontal="left" indent="6"/>
    </xf>
    <xf numFmtId="335" fontId="39" fillId="46" borderId="15">
      <alignment horizontal="right"/>
    </xf>
    <xf numFmtId="0" fontId="192" fillId="0" borderId="0"/>
    <xf numFmtId="14" fontId="193"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4"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6"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97"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4" fontId="198"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8" fillId="103" borderId="0" applyNumberFormat="0" applyProtection="0">
      <alignment horizontal="left" vertical="center" indent="1"/>
    </xf>
    <xf numFmtId="4" fontId="198"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98"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98"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98"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98"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98"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98"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98"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98"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98"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98"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3" fillId="30" borderId="0" applyNumberFormat="0" applyProtection="0">
      <alignment horizontal="left" vertical="center" indent="1"/>
    </xf>
    <xf numFmtId="4" fontId="48" fillId="30" borderId="51" applyNumberFormat="0" applyProtection="0">
      <alignment horizontal="left" vertical="center" indent="1"/>
    </xf>
    <xf numFmtId="4" fontId="13" fillId="19" borderId="0" applyNumberFormat="0" applyProtection="0">
      <alignment horizontal="left" vertical="center" indent="1"/>
    </xf>
    <xf numFmtId="4" fontId="48"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8"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8"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8"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8"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8"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8"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8"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8"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8" fillId="33" borderId="53" applyNumberFormat="0">
      <protection locked="0"/>
    </xf>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98"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98"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180" fontId="48"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0" fillId="107" borderId="6" applyNumberFormat="0" applyProtection="0">
      <alignment horizontal="right" vertical="center"/>
    </xf>
    <xf numFmtId="38" fontId="201" fillId="0" borderId="56">
      <alignment horizontal="center"/>
    </xf>
    <xf numFmtId="180" fontId="202" fillId="110" borderId="0"/>
    <xf numFmtId="180" fontId="73" fillId="0" borderId="0"/>
    <xf numFmtId="38" fontId="44" fillId="0" borderId="0" applyFont="0" applyFill="0" applyBorder="0" applyAlignment="0" applyProtection="0"/>
    <xf numFmtId="40" fontId="141" fillId="0" borderId="0" applyFont="0" applyFill="0" applyBorder="0" applyAlignment="0" applyProtection="0"/>
    <xf numFmtId="317" fontId="50" fillId="111" borderId="0" applyFont="0"/>
    <xf numFmtId="180" fontId="203"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4" fillId="0" borderId="0">
      <alignment textRotation="90"/>
    </xf>
    <xf numFmtId="0" fontId="93" fillId="81" borderId="0" applyAlignment="0" applyProtection="0">
      <alignment horizontal="right" vertical="center"/>
    </xf>
    <xf numFmtId="190" fontId="53"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38" fontId="4" fillId="0" borderId="0" applyFont="0" applyFill="0" applyBorder="0" applyAlignment="0" applyProtection="0"/>
    <xf numFmtId="180" fontId="4" fillId="0" borderId="0">
      <alignment vertical="top"/>
    </xf>
    <xf numFmtId="180" fontId="205" fillId="50" borderId="0" applyNumberFormat="0" applyProtection="0">
      <alignment horizontal="center" vertical="center"/>
    </xf>
    <xf numFmtId="4" fontId="13" fillId="50" borderId="0" applyProtection="0">
      <alignment horizontal="center" vertical="center"/>
    </xf>
    <xf numFmtId="180" fontId="206" fillId="50" borderId="0" applyNumberFormat="0" applyProtection="0">
      <alignment horizontal="center" vertical="center"/>
    </xf>
    <xf numFmtId="4" fontId="15" fillId="50" borderId="0" applyProtection="0">
      <alignment horizontal="center" vertical="center"/>
    </xf>
    <xf numFmtId="180" fontId="207" fillId="113" borderId="0" applyNumberFormat="0" applyProtection="0">
      <alignment horizontal="center" vertical="center"/>
    </xf>
    <xf numFmtId="4" fontId="17" fillId="113" borderId="0" applyProtection="0">
      <alignment horizontal="center" vertical="center"/>
    </xf>
    <xf numFmtId="180" fontId="204" fillId="50" borderId="0" applyNumberFormat="0" applyProtection="0">
      <alignment horizontal="center" vertical="center"/>
    </xf>
    <xf numFmtId="4" fontId="208" fillId="50" borderId="0" applyProtection="0">
      <alignment horizontal="center" vertical="center"/>
    </xf>
    <xf numFmtId="180" fontId="209" fillId="114" borderId="0" applyNumberFormat="0" applyProtection="0">
      <alignment horizontal="center" vertical="center"/>
    </xf>
    <xf numFmtId="4" fontId="56"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6" fillId="113" borderId="0" applyNumberFormat="0" applyProtection="0">
      <alignment horizontal="center" vertical="center" wrapText="1"/>
    </xf>
    <xf numFmtId="180" fontId="210" fillId="50" borderId="0" applyNumberFormat="0" applyProtection="0">
      <alignment horizontal="center" vertical="center" wrapText="1"/>
    </xf>
    <xf numFmtId="180" fontId="11" fillId="50" borderId="0" applyNumberFormat="0" applyProtection="0">
      <alignment horizontal="center" vertical="center" wrapText="1"/>
    </xf>
    <xf numFmtId="4" fontId="211" fillId="50" borderId="0" applyProtection="0">
      <alignment horizontal="center" vertical="top" wrapText="1"/>
    </xf>
    <xf numFmtId="180" fontId="12" fillId="50" borderId="0" applyNumberFormat="0" applyProtection="0">
      <alignment horizontal="center" vertical="center" wrapText="1"/>
    </xf>
    <xf numFmtId="4" fontId="212" fillId="50" borderId="0" applyProtection="0">
      <alignment horizontal="center" vertical="top" wrapText="1"/>
    </xf>
    <xf numFmtId="180" fontId="136" fillId="113" borderId="0" applyNumberFormat="0" applyProtection="0">
      <alignment horizontal="center" vertical="center" wrapText="1"/>
    </xf>
    <xf numFmtId="4" fontId="213" fillId="113" borderId="0" applyProtection="0">
      <alignment horizontal="center" vertical="top" wrapText="1"/>
    </xf>
    <xf numFmtId="180" fontId="210" fillId="50" borderId="0" applyNumberFormat="0" applyProtection="0">
      <alignment horizontal="center" vertical="center" wrapText="1"/>
    </xf>
    <xf numFmtId="4" fontId="214" fillId="50" borderId="0" applyProtection="0">
      <alignment horizontal="center" vertical="top" wrapText="1"/>
    </xf>
    <xf numFmtId="180" fontId="182" fillId="114" borderId="0" applyNumberFormat="0" applyProtection="0">
      <alignment horizontal="center" vertical="center" wrapText="1"/>
    </xf>
    <xf numFmtId="4" fontId="215" fillId="114" borderId="0" applyProtection="0">
      <alignment horizontal="center" vertical="top" wrapText="1"/>
    </xf>
    <xf numFmtId="180" fontId="11" fillId="104" borderId="0" applyNumberFormat="0" applyProtection="0">
      <alignment horizontal="center" vertical="center" wrapText="1"/>
    </xf>
    <xf numFmtId="4" fontId="211" fillId="104" borderId="0" applyProtection="0">
      <alignment horizontal="center" vertical="top" wrapText="1"/>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80" fontId="216" fillId="0" borderId="0"/>
    <xf numFmtId="180" fontId="217" fillId="40" borderId="0"/>
    <xf numFmtId="180" fontId="218" fillId="0" borderId="0">
      <alignment horizontal="left" vertical="center"/>
    </xf>
    <xf numFmtId="252" fontId="73" fillId="0" borderId="0"/>
    <xf numFmtId="180" fontId="102" fillId="0" borderId="0"/>
    <xf numFmtId="180" fontId="73" fillId="0" borderId="0">
      <alignment horizontal="center"/>
    </xf>
    <xf numFmtId="37" fontId="59" fillId="0" borderId="57" applyNumberFormat="0"/>
    <xf numFmtId="40" fontId="4" fillId="0" borderId="0" applyBorder="0">
      <alignment horizontal="right"/>
    </xf>
    <xf numFmtId="37" fontId="59" fillId="0" borderId="57" applyNumberFormat="0"/>
    <xf numFmtId="40" fontId="219" fillId="0" borderId="0" applyBorder="0">
      <alignment horizontal="right"/>
    </xf>
    <xf numFmtId="0" fontId="220"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1" fillId="46" borderId="9">
      <protection locked="0"/>
    </xf>
    <xf numFmtId="0" fontId="211" fillId="46" borderId="9">
      <protection locked="0"/>
    </xf>
    <xf numFmtId="180" fontId="221" fillId="0" borderId="0" applyBorder="0" applyProtection="0">
      <alignment vertical="center"/>
    </xf>
    <xf numFmtId="180" fontId="221" fillId="0" borderId="13" applyBorder="0" applyProtection="0">
      <alignment horizontal="right" vertical="center"/>
    </xf>
    <xf numFmtId="180" fontId="222" fillId="115" borderId="0" applyBorder="0" applyProtection="0">
      <alignment horizontal="centerContinuous" vertical="center"/>
    </xf>
    <xf numFmtId="180" fontId="222" fillId="114" borderId="13" applyBorder="0" applyProtection="0">
      <alignment horizontal="centerContinuous" vertical="center"/>
    </xf>
    <xf numFmtId="180" fontId="223" fillId="0" borderId="0"/>
    <xf numFmtId="180" fontId="164" fillId="0" borderId="0"/>
    <xf numFmtId="180" fontId="224" fillId="0" borderId="0" applyFill="0" applyBorder="0" applyProtection="0">
      <alignment horizontal="left"/>
    </xf>
    <xf numFmtId="180" fontId="109" fillId="0" borderId="14" applyFill="0" applyBorder="0" applyProtection="0">
      <alignment horizontal="left" vertical="top"/>
    </xf>
    <xf numFmtId="180" fontId="225" fillId="0" borderId="0">
      <alignment horizontal="centerContinuous"/>
    </xf>
    <xf numFmtId="49" fontId="226" fillId="0" borderId="0"/>
    <xf numFmtId="49" fontId="36" fillId="0" borderId="0" applyFont="0" applyFill="0" applyBorder="0" applyAlignment="0" applyProtection="0"/>
    <xf numFmtId="180" fontId="227" fillId="0" borderId="0"/>
    <xf numFmtId="49" fontId="36" fillId="0" borderId="0" applyFont="0" applyFill="0" applyBorder="0" applyAlignment="0" applyProtection="0"/>
    <xf numFmtId="180" fontId="228" fillId="0" borderId="0"/>
    <xf numFmtId="0" fontId="88" fillId="83" borderId="0" applyAlignment="0" applyProtection="0"/>
    <xf numFmtId="0" fontId="48" fillId="83" borderId="0" applyAlignment="0" applyProtection="0">
      <alignment horizontal="left"/>
    </xf>
    <xf numFmtId="0" fontId="48" fillId="83" borderId="0" applyAlignment="0" applyProtection="0">
      <alignment horizontal="left" indent="1"/>
    </xf>
    <xf numFmtId="0" fontId="48" fillId="83" borderId="0" applyAlignment="0" applyProtection="0">
      <alignment horizontal="left" vertical="center" indent="2"/>
    </xf>
    <xf numFmtId="340" fontId="73" fillId="0" borderId="0" applyFont="0" applyFill="0" applyBorder="0" applyAlignment="0" applyProtection="0"/>
    <xf numFmtId="0" fontId="229" fillId="0" borderId="0">
      <alignment horizontal="center"/>
    </xf>
    <xf numFmtId="15" fontId="229"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0"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0" fillId="0" borderId="0" applyNumberFormat="0" applyFill="0" applyBorder="0" applyAlignment="0" applyProtection="0"/>
    <xf numFmtId="0" fontId="4" fillId="0" borderId="0" applyNumberFormat="0" applyFont="0" applyFill="0" applyBorder="0" applyAlignment="0" applyProtection="0"/>
    <xf numFmtId="180" fontId="231" fillId="36" borderId="0">
      <alignment horizontal="right"/>
    </xf>
    <xf numFmtId="173" fontId="177" fillId="0" borderId="0"/>
    <xf numFmtId="180" fontId="232" fillId="0" borderId="0"/>
    <xf numFmtId="341" fontId="233" fillId="0" borderId="0"/>
    <xf numFmtId="193" fontId="4" fillId="0" borderId="57" applyNumberFormat="0" applyFont="0" applyFill="0" applyAlignment="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4" fillId="0" borderId="60" applyNumberFormat="0" applyFill="0" applyAlignment="0" applyProtection="0"/>
    <xf numFmtId="189" fontId="234" fillId="0" borderId="60" applyNumberFormat="0" applyFill="0" applyAlignment="0" applyProtection="0"/>
    <xf numFmtId="0" fontId="4" fillId="0" borderId="0" applyNumberFormat="0" applyFont="0" applyFill="0" applyBorder="0" applyAlignment="0" applyProtection="0"/>
    <xf numFmtId="37" fontId="59" fillId="0" borderId="61" applyNumberFormat="0" applyFill="0"/>
    <xf numFmtId="315" fontId="87" fillId="0" borderId="62" applyAlignment="0"/>
    <xf numFmtId="316" fontId="87" fillId="0" borderId="62" applyAlignment="0"/>
    <xf numFmtId="173" fontId="46" fillId="0" borderId="62"/>
    <xf numFmtId="342" fontId="49" fillId="0" borderId="0" applyFont="0" applyFill="0" applyBorder="0" applyAlignment="0" applyProtection="0">
      <alignment horizontal="right"/>
    </xf>
    <xf numFmtId="180" fontId="235" fillId="0" borderId="0">
      <alignment horizontal="fill"/>
    </xf>
    <xf numFmtId="37" fontId="48" fillId="45" borderId="0" applyNumberFormat="0" applyBorder="0" applyAlignment="0" applyProtection="0"/>
    <xf numFmtId="37" fontId="48" fillId="0" borderId="0"/>
    <xf numFmtId="37" fontId="48" fillId="46" borderId="0" applyNumberFormat="0" applyBorder="0" applyAlignment="0" applyProtection="0"/>
    <xf numFmtId="3" fontId="127" fillId="0" borderId="37" applyProtection="0"/>
    <xf numFmtId="4" fontId="46" fillId="0" borderId="0">
      <protection locked="0"/>
    </xf>
    <xf numFmtId="343" fontId="187" fillId="46" borderId="14" applyBorder="0">
      <alignment horizontal="right" vertical="center"/>
      <protection locked="0"/>
    </xf>
    <xf numFmtId="180" fontId="4" fillId="0" borderId="0">
      <alignment vertical="top"/>
    </xf>
    <xf numFmtId="180" fontId="236" fillId="0" borderId="0" applyFont="0" applyFill="0" applyBorder="0" applyAlignment="0" applyProtection="0"/>
    <xf numFmtId="245" fontId="112" fillId="0" borderId="0" applyFont="0" applyFill="0" applyBorder="0" applyAlignment="0" applyProtection="0"/>
    <xf numFmtId="344" fontId="112" fillId="0" borderId="0" applyFont="0" applyFill="0" applyBorder="0" applyAlignment="0" applyProtection="0"/>
    <xf numFmtId="345" fontId="112" fillId="0" borderId="0" applyFont="0" applyFill="0" applyBorder="0" applyAlignment="0" applyProtection="0"/>
    <xf numFmtId="204" fontId="48" fillId="0" borderId="0"/>
    <xf numFmtId="180" fontId="237" fillId="0" borderId="0"/>
    <xf numFmtId="346" fontId="4" fillId="0" borderId="0" applyFont="0" applyFill="0" applyBorder="0" applyAlignment="0" applyProtection="0"/>
    <xf numFmtId="256" fontId="4" fillId="0" borderId="0" applyFont="0" applyFill="0" applyBorder="0" applyAlignment="0" applyProtection="0"/>
    <xf numFmtId="0" fontId="23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8" fillId="0" borderId="0" applyNumberFormat="0" applyFill="0" applyBorder="0" applyAlignment="0" applyProtection="0"/>
    <xf numFmtId="0" fontId="4" fillId="34" borderId="0" applyNumberFormat="0" applyFont="0" applyBorder="0" applyAlignment="0" applyProtection="0"/>
    <xf numFmtId="167" fontId="2" fillId="43" borderId="30">
      <alignment vertical="center"/>
    </xf>
    <xf numFmtId="167" fontId="2" fillId="3" borderId="30">
      <alignment vertical="center"/>
      <protection locked="0"/>
    </xf>
    <xf numFmtId="0" fontId="7" fillId="0" borderId="0"/>
    <xf numFmtId="0" fontId="23" fillId="0" borderId="0"/>
    <xf numFmtId="168" fontId="246" fillId="0" borderId="0" applyFill="0" applyBorder="0">
      <alignment vertical="center"/>
    </xf>
    <xf numFmtId="10" fontId="31" fillId="0" borderId="0" applyFont="0" applyFill="0" applyBorder="0" applyAlignment="0" applyProtection="0">
      <alignment vertical="center"/>
    </xf>
    <xf numFmtId="164" fontId="2" fillId="0" borderId="0" applyFont="0" applyFill="0" applyBorder="0" applyAlignment="0" applyProtection="0"/>
    <xf numFmtId="164" fontId="1" fillId="0" borderId="0" applyFont="0" applyFill="0" applyBorder="0" applyAlignment="0" applyProtection="0"/>
    <xf numFmtId="171" fontId="2" fillId="101" borderId="30">
      <alignment vertical="center"/>
    </xf>
    <xf numFmtId="10" fontId="31" fillId="0" borderId="0" applyFont="0" applyFill="0" applyBorder="0" applyAlignment="0" applyProtection="0">
      <alignment vertical="center"/>
    </xf>
    <xf numFmtId="352" fontId="4" fillId="0" borderId="0"/>
    <xf numFmtId="352" fontId="4" fillId="0" borderId="0"/>
    <xf numFmtId="352" fontId="7" fillId="0" borderId="0"/>
    <xf numFmtId="352" fontId="4"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7" fillId="0" borderId="0"/>
    <xf numFmtId="352" fontId="7" fillId="0" borderId="0"/>
    <xf numFmtId="352" fontId="7" fillId="0" borderId="0"/>
    <xf numFmtId="352" fontId="4" fillId="0" borderId="0"/>
    <xf numFmtId="352" fontId="7" fillId="0" borderId="0"/>
    <xf numFmtId="352" fontId="4" fillId="0" borderId="0"/>
    <xf numFmtId="352" fontId="7"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3"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3" fillId="0" borderId="0"/>
    <xf numFmtId="352" fontId="4" fillId="0" borderId="0" applyFont="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lignment vertical="center"/>
    </xf>
    <xf numFmtId="352" fontId="7" fillId="0" borderId="0"/>
    <xf numFmtId="352" fontId="7" fillId="0" borderId="0"/>
    <xf numFmtId="352" fontId="7" fillId="0" borderId="0"/>
    <xf numFmtId="352" fontId="7" fillId="0" borderId="0"/>
    <xf numFmtId="352" fontId="4" fillId="0" borderId="0">
      <alignment vertical="center"/>
    </xf>
    <xf numFmtId="352" fontId="4" fillId="0" borderId="0">
      <alignment vertical="center"/>
    </xf>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7" fillId="0" borderId="0">
      <alignment vertical="justify"/>
    </xf>
    <xf numFmtId="352" fontId="13" fillId="30" borderId="0" applyNumberFormat="0" applyBorder="0" applyAlignment="0" applyProtection="0"/>
    <xf numFmtId="352" fontId="13" fillId="30" borderId="0" applyNumberFormat="0" applyBorder="0" applyAlignment="0" applyProtection="0"/>
    <xf numFmtId="352" fontId="13" fillId="19" borderId="0" applyNumberFormat="0" applyBorder="0" applyAlignment="0" applyProtection="0"/>
    <xf numFmtId="352" fontId="13" fillId="19" borderId="0" applyNumberFormat="0" applyBorder="0" applyAlignment="0" applyProtection="0"/>
    <xf numFmtId="352" fontId="13" fillId="27" borderId="0" applyNumberFormat="0" applyBorder="0" applyAlignment="0" applyProtection="0"/>
    <xf numFmtId="352" fontId="13" fillId="27" borderId="0" applyNumberFormat="0" applyBorder="0" applyAlignment="0" applyProtection="0"/>
    <xf numFmtId="352" fontId="13" fillId="119" borderId="0" applyNumberFormat="0" applyBorder="0" applyAlignment="0" applyProtection="0"/>
    <xf numFmtId="352" fontId="13" fillId="119" borderId="0" applyNumberFormat="0" applyBorder="0" applyAlignment="0" applyProtection="0"/>
    <xf numFmtId="352" fontId="13" fillId="30" borderId="0" applyNumberFormat="0" applyBorder="0" applyAlignment="0" applyProtection="0"/>
    <xf numFmtId="352" fontId="13" fillId="30" borderId="0" applyNumberFormat="0" applyBorder="0" applyAlignment="0" applyProtection="0"/>
    <xf numFmtId="352" fontId="13" fillId="60" borderId="0" applyNumberFormat="0" applyBorder="0" applyAlignment="0" applyProtection="0"/>
    <xf numFmtId="352" fontId="13" fillId="60" borderId="0" applyNumberFormat="0" applyBorder="0" applyAlignment="0" applyProtection="0"/>
    <xf numFmtId="352" fontId="13" fillId="61" borderId="0" applyNumberFormat="0" applyBorder="0" applyAlignment="0" applyProtection="0"/>
    <xf numFmtId="352" fontId="13" fillId="61" borderId="0" applyNumberFormat="0" applyBorder="0" applyAlignment="0" applyProtection="0"/>
    <xf numFmtId="352" fontId="13" fillId="19" borderId="0" applyNumberFormat="0" applyBorder="0" applyAlignment="0" applyProtection="0"/>
    <xf numFmtId="352" fontId="13" fillId="19" borderId="0" applyNumberFormat="0" applyBorder="0" applyAlignment="0" applyProtection="0"/>
    <xf numFmtId="352" fontId="13" fillId="26" borderId="0" applyNumberFormat="0" applyBorder="0" applyAlignment="0" applyProtection="0"/>
    <xf numFmtId="352" fontId="13" fillId="26" borderId="0" applyNumberFormat="0" applyBorder="0" applyAlignment="0" applyProtection="0"/>
    <xf numFmtId="352" fontId="13" fillId="120" borderId="0" applyNumberFormat="0" applyBorder="0" applyAlignment="0" applyProtection="0"/>
    <xf numFmtId="352" fontId="13" fillId="120" borderId="0" applyNumberFormat="0" applyBorder="0" applyAlignment="0" applyProtection="0"/>
    <xf numFmtId="352" fontId="13" fillId="31" borderId="0" applyNumberFormat="0" applyBorder="0" applyAlignment="0" applyProtection="0"/>
    <xf numFmtId="352" fontId="13" fillId="31" borderId="0" applyNumberFormat="0" applyBorder="0" applyAlignment="0" applyProtection="0"/>
    <xf numFmtId="352" fontId="13" fillId="60" borderId="0" applyNumberFormat="0" applyBorder="0" applyAlignment="0" applyProtection="0"/>
    <xf numFmtId="352" fontId="13" fillId="60" borderId="0" applyNumberFormat="0" applyBorder="0" applyAlignment="0" applyProtection="0"/>
    <xf numFmtId="352" fontId="56" fillId="121" borderId="0" applyNumberFormat="0" applyBorder="0" applyAlignment="0" applyProtection="0"/>
    <xf numFmtId="352" fontId="56" fillId="121" borderId="0" applyNumberFormat="0" applyBorder="0" applyAlignment="0" applyProtection="0"/>
    <xf numFmtId="352" fontId="56" fillId="19" borderId="0" applyNumberFormat="0" applyBorder="0" applyAlignment="0" applyProtection="0"/>
    <xf numFmtId="352" fontId="56" fillId="19" borderId="0" applyNumberFormat="0" applyBorder="0" applyAlignment="0" applyProtection="0"/>
    <xf numFmtId="352" fontId="56" fillId="26" borderId="0" applyNumberFormat="0" applyBorder="0" applyAlignment="0" applyProtection="0"/>
    <xf numFmtId="352" fontId="56" fillId="26" borderId="0" applyNumberFormat="0" applyBorder="0" applyAlignment="0" applyProtection="0"/>
    <xf numFmtId="352" fontId="56" fillId="120" borderId="0" applyNumberFormat="0" applyBorder="0" applyAlignment="0" applyProtection="0"/>
    <xf numFmtId="352" fontId="56" fillId="120" borderId="0" applyNumberFormat="0" applyBorder="0" applyAlignment="0" applyProtection="0"/>
    <xf numFmtId="352" fontId="56" fillId="121" borderId="0" applyNumberFormat="0" applyBorder="0" applyAlignment="0" applyProtection="0"/>
    <xf numFmtId="352" fontId="56" fillId="121" borderId="0" applyNumberFormat="0" applyBorder="0" applyAlignment="0" applyProtection="0"/>
    <xf numFmtId="352" fontId="56" fillId="23" borderId="0" applyNumberFormat="0" applyBorder="0" applyAlignment="0" applyProtection="0"/>
    <xf numFmtId="352" fontId="56" fillId="23" borderId="0" applyNumberFormat="0" applyBorder="0" applyAlignment="0" applyProtection="0"/>
    <xf numFmtId="352" fontId="8" fillId="65" borderId="0" applyNumberFormat="0" applyBorder="0" applyAlignment="0" applyProtection="0"/>
    <xf numFmtId="352" fontId="8" fillId="12" borderId="0" applyNumberFormat="0" applyBorder="0" applyAlignment="0" applyProtection="0"/>
    <xf numFmtId="352" fontId="9" fillId="122" borderId="0" applyNumberFormat="0" applyBorder="0" applyAlignment="0" applyProtection="0"/>
    <xf numFmtId="352" fontId="9" fillId="66" borderId="0" applyNumberFormat="0" applyBorder="0" applyAlignment="0" applyProtection="0"/>
    <xf numFmtId="352" fontId="9" fillId="66" borderId="0" applyNumberFormat="0" applyBorder="0" applyAlignment="0" applyProtection="0"/>
    <xf numFmtId="352" fontId="8" fillId="68" borderId="0" applyNumberFormat="0" applyBorder="0" applyAlignment="0" applyProtection="0"/>
    <xf numFmtId="352" fontId="8" fillId="11" borderId="0" applyNumberFormat="0" applyBorder="0" applyAlignment="0" applyProtection="0"/>
    <xf numFmtId="352" fontId="9" fillId="8" borderId="0" applyNumberFormat="0" applyBorder="0" applyAlignment="0" applyProtection="0"/>
    <xf numFmtId="352" fontId="9" fillId="69" borderId="0" applyNumberFormat="0" applyBorder="0" applyAlignment="0" applyProtection="0"/>
    <xf numFmtId="352" fontId="9" fillId="69" borderId="0" applyNumberFormat="0" applyBorder="0" applyAlignment="0" applyProtection="0"/>
    <xf numFmtId="352" fontId="8" fillId="70" borderId="0" applyNumberFormat="0" applyBorder="0" applyAlignment="0" applyProtection="0"/>
    <xf numFmtId="352" fontId="8" fillId="71" borderId="0" applyNumberFormat="0" applyBorder="0" applyAlignment="0" applyProtection="0"/>
    <xf numFmtId="352" fontId="9" fillId="123" borderId="0" applyNumberFormat="0" applyBorder="0" applyAlignment="0" applyProtection="0"/>
    <xf numFmtId="352" fontId="9" fillId="124" borderId="0" applyNumberFormat="0" applyBorder="0" applyAlignment="0" applyProtection="0"/>
    <xf numFmtId="352" fontId="9" fillId="124" borderId="0" applyNumberFormat="0" applyBorder="0" applyAlignment="0" applyProtection="0"/>
    <xf numFmtId="352" fontId="8" fillId="68" borderId="0" applyNumberFormat="0" applyBorder="0" applyAlignment="0" applyProtection="0"/>
    <xf numFmtId="352" fontId="8" fillId="9" borderId="0" applyNumberFormat="0" applyBorder="0" applyAlignment="0" applyProtection="0"/>
    <xf numFmtId="352" fontId="9" fillId="11" borderId="0" applyNumberFormat="0" applyBorder="0" applyAlignment="0" applyProtection="0"/>
    <xf numFmtId="352" fontId="9" fillId="125" borderId="0" applyNumberFormat="0" applyBorder="0" applyAlignment="0" applyProtection="0"/>
    <xf numFmtId="352" fontId="9" fillId="125" borderId="0" applyNumberFormat="0" applyBorder="0" applyAlignment="0" applyProtection="0"/>
    <xf numFmtId="352" fontId="8" fillId="10" borderId="0" applyNumberFormat="0" applyBorder="0" applyAlignment="0" applyProtection="0"/>
    <xf numFmtId="352" fontId="8" fillId="5" borderId="0" applyNumberFormat="0" applyBorder="0" applyAlignment="0" applyProtection="0"/>
    <xf numFmtId="352" fontId="9" fillId="122" borderId="0" applyNumberFormat="0" applyBorder="0" applyAlignment="0" applyProtection="0"/>
    <xf numFmtId="352" fontId="9" fillId="122" borderId="0" applyNumberFormat="0" applyBorder="0" applyAlignment="0" applyProtection="0"/>
    <xf numFmtId="352" fontId="9" fillId="122" borderId="0" applyNumberFormat="0" applyBorder="0" applyAlignment="0" applyProtection="0"/>
    <xf numFmtId="352" fontId="8" fillId="13" borderId="0" applyNumberFormat="0" applyBorder="0" applyAlignment="0" applyProtection="0"/>
    <xf numFmtId="352" fontId="8" fillId="14" borderId="0" applyNumberFormat="0" applyBorder="0" applyAlignment="0" applyProtection="0"/>
    <xf numFmtId="352" fontId="9" fillId="126" borderId="0" applyNumberFormat="0" applyBorder="0" applyAlignment="0" applyProtection="0"/>
    <xf numFmtId="352" fontId="9" fillId="127" borderId="0" applyNumberFormat="0" applyBorder="0" applyAlignment="0" applyProtection="0"/>
    <xf numFmtId="352" fontId="9" fillId="127" borderId="0" applyNumberFormat="0" applyBorder="0" applyAlignment="0" applyProtection="0"/>
    <xf numFmtId="352" fontId="247" fillId="13" borderId="0" applyNumberFormat="0" applyBorder="0" applyAlignment="0" applyProtection="0"/>
    <xf numFmtId="352" fontId="247" fillId="13" borderId="0" applyNumberFormat="0" applyBorder="0" applyAlignment="0" applyProtection="0"/>
    <xf numFmtId="352" fontId="248" fillId="128" borderId="123" applyNumberFormat="0" applyAlignment="0" applyProtection="0"/>
    <xf numFmtId="352" fontId="248" fillId="128" borderId="123" applyNumberFormat="0" applyAlignment="0" applyProtection="0"/>
    <xf numFmtId="352" fontId="85" fillId="125" borderId="19" applyNumberFormat="0" applyAlignment="0" applyProtection="0"/>
    <xf numFmtId="352" fontId="85" fillId="125" borderId="19" applyNumberFormat="0" applyAlignment="0" applyProtection="0"/>
    <xf numFmtId="37" fontId="59" fillId="0" borderId="94">
      <alignment horizontal="center"/>
    </xf>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2" fontId="10" fillId="129" borderId="0" applyNumberFormat="0" applyBorder="0" applyAlignment="0" applyProtection="0"/>
    <xf numFmtId="352" fontId="10" fillId="130" borderId="0" applyNumberFormat="0" applyBorder="0" applyAlignment="0" applyProtection="0"/>
    <xf numFmtId="352" fontId="10" fillId="17" borderId="0" applyNumberFormat="0" applyBorder="0" applyAlignment="0" applyProtection="0"/>
    <xf numFmtId="352" fontId="44" fillId="0" borderId="0" applyFont="0" applyFill="0" applyBorder="0" applyAlignment="0" applyProtection="0"/>
    <xf numFmtId="352" fontId="249" fillId="0" borderId="0" applyNumberFormat="0" applyFill="0" applyBorder="0" applyAlignment="0" applyProtection="0"/>
    <xf numFmtId="352" fontId="249" fillId="0" borderId="0" applyNumberFormat="0" applyFill="0" applyBorder="0" applyAlignment="0" applyProtection="0"/>
    <xf numFmtId="352" fontId="8" fillId="71" borderId="0" applyNumberFormat="0" applyBorder="0" applyAlignment="0" applyProtection="0"/>
    <xf numFmtId="352" fontId="8" fillId="71" borderId="0" applyNumberForma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117" fillId="0" borderId="33" applyNumberFormat="0" applyFill="0" applyAlignment="0" applyProtection="0"/>
    <xf numFmtId="352" fontId="117" fillId="0" borderId="33" applyNumberFormat="0" applyFill="0" applyAlignment="0" applyProtection="0"/>
    <xf numFmtId="352" fontId="120" fillId="0" borderId="124" applyNumberFormat="0" applyFill="0" applyAlignment="0" applyProtection="0"/>
    <xf numFmtId="352" fontId="120" fillId="0" borderId="124" applyNumberFormat="0" applyFill="0" applyAlignment="0" applyProtection="0"/>
    <xf numFmtId="352" fontId="123" fillId="0" borderId="125" applyNumberFormat="0" applyFill="0" applyAlignment="0" applyProtection="0"/>
    <xf numFmtId="352" fontId="123" fillId="0" borderId="125" applyNumberFormat="0" applyFill="0" applyAlignment="0" applyProtection="0"/>
    <xf numFmtId="352" fontId="123" fillId="0" borderId="0" applyNumberFormat="0" applyFill="0" applyBorder="0" applyAlignment="0" applyProtection="0"/>
    <xf numFmtId="352" fontId="123" fillId="0" borderId="0" applyNumberFormat="0" applyFill="0" applyBorder="0" applyAlignment="0" applyProtection="0"/>
    <xf numFmtId="352" fontId="137" fillId="14" borderId="123" applyNumberFormat="0" applyAlignment="0" applyProtection="0"/>
    <xf numFmtId="352" fontId="137" fillId="14" borderId="123" applyNumberFormat="0" applyAlignment="0" applyProtection="0"/>
    <xf numFmtId="352" fontId="140" fillId="34" borderId="0"/>
    <xf numFmtId="352" fontId="113" fillId="0" borderId="126" applyNumberFormat="0" applyFill="0" applyAlignment="0" applyProtection="0"/>
    <xf numFmtId="352" fontId="113" fillId="0" borderId="126" applyNumberFormat="0" applyFill="0" applyAlignment="0" applyProtection="0"/>
    <xf numFmtId="352" fontId="113" fillId="14" borderId="0" applyNumberFormat="0" applyBorder="0" applyAlignment="0" applyProtection="0"/>
    <xf numFmtId="352" fontId="113" fillId="14" borderId="0" applyNumberFormat="0" applyBorder="0" applyAlignment="0" applyProtection="0"/>
    <xf numFmtId="352" fontId="19" fillId="0" borderId="0"/>
    <xf numFmtId="352" fontId="19" fillId="0" borderId="0"/>
    <xf numFmtId="352" fontId="19" fillId="0" borderId="0"/>
    <xf numFmtId="352" fontId="19" fillId="0" borderId="0"/>
    <xf numFmtId="352" fontId="19" fillId="0" borderId="0"/>
    <xf numFmtId="352" fontId="4" fillId="0" borderId="0"/>
    <xf numFmtId="352" fontId="4" fillId="0" borderId="0"/>
    <xf numFmtId="352" fontId="4" fillId="0" borderId="0"/>
    <xf numFmtId="352" fontId="4" fillId="0" borderId="0"/>
    <xf numFmtId="0" fontId="2" fillId="0" borderId="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8" fillId="0" borderId="0"/>
    <xf numFmtId="352" fontId="8" fillId="0" borderId="0" applyFill="0" applyBorder="0" applyAlignment="0" applyProtection="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2"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23" fillId="0" borderId="0"/>
    <xf numFmtId="352" fontId="1" fillId="0" borderId="0"/>
    <xf numFmtId="352" fontId="4"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1" fillId="0" borderId="0"/>
    <xf numFmtId="352" fontId="1" fillId="0" borderId="0"/>
    <xf numFmtId="352" fontId="1" fillId="0" borderId="0"/>
    <xf numFmtId="352" fontId="1" fillId="0" borderId="0"/>
    <xf numFmtId="352" fontId="1" fillId="0" borderId="0"/>
    <xf numFmtId="352" fontId="1"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1" fillId="0" borderId="0"/>
    <xf numFmtId="352" fontId="1"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8" fillId="0" borderId="0" applyFill="0" applyBorder="0" applyAlignment="0" applyProtection="0"/>
    <xf numFmtId="352" fontId="19"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7" fillId="0" borderId="0">
      <alignment vertical="top"/>
    </xf>
    <xf numFmtId="352" fontId="101" fillId="0" borderId="0" applyFill="0" applyBorder="0">
      <protection locked="0"/>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330" fontId="19" fillId="90" borderId="30">
      <alignment vertical="center"/>
    </xf>
    <xf numFmtId="167" fontId="19" fillId="90" borderId="30">
      <alignment vertical="center"/>
    </xf>
    <xf numFmtId="167" fontId="19" fillId="90" borderId="30">
      <alignment vertical="center"/>
    </xf>
    <xf numFmtId="352" fontId="19" fillId="90" borderId="30">
      <alignment vertical="center"/>
    </xf>
    <xf numFmtId="352" fontId="19" fillId="90" borderId="30">
      <alignment vertical="center"/>
    </xf>
    <xf numFmtId="352" fontId="19" fillId="90" borderId="30">
      <alignment vertical="center"/>
    </xf>
    <xf numFmtId="352" fontId="19" fillId="90" borderId="30">
      <alignment vertical="center"/>
    </xf>
    <xf numFmtId="171" fontId="19" fillId="90" borderId="30">
      <alignment vertical="center"/>
    </xf>
    <xf numFmtId="171" fontId="19" fillId="90" borderId="30">
      <alignment vertical="center"/>
    </xf>
    <xf numFmtId="330" fontId="19" fillId="90" borderId="30">
      <alignment vertical="center"/>
    </xf>
    <xf numFmtId="352" fontId="192" fillId="0" borderId="0"/>
    <xf numFmtId="352" fontId="19" fillId="36" borderId="30">
      <alignment vertical="center"/>
      <protection locked="0"/>
    </xf>
    <xf numFmtId="352" fontId="19" fillId="36" borderId="30">
      <alignment vertical="center"/>
      <protection locked="0"/>
    </xf>
    <xf numFmtId="352" fontId="19" fillId="36" borderId="30">
      <alignment vertical="center"/>
      <protection locked="0"/>
    </xf>
    <xf numFmtId="352" fontId="19" fillId="36" borderId="30">
      <alignment vertical="center"/>
      <protection locked="0"/>
    </xf>
    <xf numFmtId="330" fontId="19" fillId="38" borderId="30">
      <alignment vertical="center"/>
    </xf>
    <xf numFmtId="352" fontId="19" fillId="38" borderId="30">
      <alignment vertical="center"/>
    </xf>
    <xf numFmtId="352" fontId="19" fillId="38" borderId="30">
      <alignment vertical="center"/>
    </xf>
    <xf numFmtId="352" fontId="19" fillId="38" borderId="30">
      <alignment vertical="center"/>
    </xf>
    <xf numFmtId="352" fontId="19" fillId="38" borderId="30">
      <alignment vertical="center"/>
    </xf>
    <xf numFmtId="352" fontId="19" fillId="39" borderId="30">
      <alignment horizontal="right" vertical="center"/>
      <protection locked="0"/>
    </xf>
    <xf numFmtId="352" fontId="19" fillId="39" borderId="30">
      <alignment horizontal="right" vertical="center"/>
      <protection locked="0"/>
    </xf>
    <xf numFmtId="330" fontId="19" fillId="39" borderId="30">
      <alignment horizontal="right" vertical="center"/>
      <protection locked="0"/>
    </xf>
    <xf numFmtId="330" fontId="19" fillId="39" borderId="30">
      <alignment horizontal="right" vertical="center"/>
      <protection locked="0"/>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3" borderId="53" applyNumberFormat="0">
      <protection locked="0"/>
    </xf>
    <xf numFmtId="352" fontId="4" fillId="33" borderId="30"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88" fillId="31" borderId="130" applyBorder="0"/>
    <xf numFmtId="4" fontId="252" fillId="34" borderId="128" applyNumberFormat="0" applyProtection="0">
      <alignment vertical="center"/>
    </xf>
    <xf numFmtId="4" fontId="250" fillId="36" borderId="30"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352" fontId="48" fillId="109" borderId="30"/>
    <xf numFmtId="4" fontId="254" fillId="33" borderId="123" applyNumberFormat="0" applyProtection="0">
      <alignment horizontal="right" vertical="center"/>
    </xf>
    <xf numFmtId="352" fontId="18" fillId="0" borderId="0" applyNumberFormat="0" applyFill="0" applyBorder="0" applyAlignment="0" applyProtection="0"/>
    <xf numFmtId="352" fontId="4" fillId="0" borderId="0" applyFont="0" applyFill="0" applyBorder="0" applyAlignment="0" applyProtection="0"/>
    <xf numFmtId="37" fontId="59" fillId="0" borderId="131" applyNumberFormat="0"/>
    <xf numFmtId="352" fontId="220" fillId="0" borderId="58" applyNumberFormat="0" applyAlignment="0" applyProtection="0"/>
    <xf numFmtId="352" fontId="18" fillId="0" borderId="0" applyNumberFormat="0" applyFill="0" applyBorder="0" applyAlignment="0" applyProtection="0"/>
    <xf numFmtId="352" fontId="18" fillId="0" borderId="0" applyNumberFormat="0" applyFill="0" applyBorder="0" applyAlignment="0" applyProtection="0"/>
    <xf numFmtId="210" fontId="59" fillId="0" borderId="32" applyFill="0"/>
    <xf numFmtId="352" fontId="10" fillId="0" borderId="132" applyNumberFormat="0" applyFill="0" applyAlignment="0" applyProtection="0"/>
    <xf numFmtId="352" fontId="10" fillId="0" borderId="132" applyNumberFormat="0" applyFill="0" applyAlignment="0" applyProtection="0"/>
    <xf numFmtId="352" fontId="255" fillId="0" borderId="0" applyNumberFormat="0" applyFill="0" applyBorder="0" applyAlignment="0" applyProtection="0"/>
    <xf numFmtId="352" fontId="255" fillId="0" borderId="0" applyNumberFormat="0" applyFill="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7" fontId="2" fillId="101" borderId="30">
      <alignment vertical="center"/>
    </xf>
    <xf numFmtId="171" fontId="2" fillId="101" borderId="30">
      <alignment vertical="center"/>
    </xf>
    <xf numFmtId="330" fontId="2" fillId="101" borderId="30">
      <alignment vertical="center"/>
    </xf>
    <xf numFmtId="330" fontId="2" fillId="43" borderId="30">
      <alignment vertical="center"/>
    </xf>
    <xf numFmtId="330" fontId="2" fillId="44" borderId="30">
      <alignment horizontal="right" vertical="center"/>
      <protection locked="0"/>
    </xf>
    <xf numFmtId="0" fontId="7" fillId="0" borderId="0"/>
    <xf numFmtId="0" fontId="7" fillId="0" borderId="0"/>
    <xf numFmtId="0" fontId="7" fillId="0" borderId="0"/>
    <xf numFmtId="0" fontId="7" fillId="0" borderId="0"/>
    <xf numFmtId="0" fontId="7" fillId="0" borderId="0"/>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210" fontId="59" fillId="0" borderId="32" applyFill="0"/>
    <xf numFmtId="0" fontId="7" fillId="0" borderId="0"/>
    <xf numFmtId="0" fontId="7" fillId="0" borderId="0"/>
    <xf numFmtId="164" fontId="2" fillId="0" borderId="0" applyFont="0" applyFill="0" applyBorder="0" applyAlignment="0" applyProtection="0"/>
    <xf numFmtId="0" fontId="7" fillId="0" borderId="0"/>
    <xf numFmtId="352" fontId="48" fillId="30" borderId="128" applyNumberFormat="0" applyProtection="0">
      <alignment horizontal="left" vertical="top"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2"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210" fontId="59" fillId="0" borderId="32" applyFill="0"/>
    <xf numFmtId="352" fontId="23" fillId="0" borderId="0"/>
    <xf numFmtId="352" fontId="48" fillId="30" borderId="128" applyNumberFormat="0" applyProtection="0">
      <alignment horizontal="left" vertical="top"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2"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 fillId="32" borderId="128" applyNumberFormat="0" applyProtection="0">
      <alignment horizontal="left" vertical="top" indent="1"/>
    </xf>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3" fillId="0" borderId="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352" fontId="88" fillId="31" borderId="130" applyBorder="0"/>
    <xf numFmtId="352" fontId="48" fillId="13" borderId="123" applyNumberFormat="0" applyFont="0" applyAlignment="0" applyProtection="0"/>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252" fillId="19" borderId="128" applyNumberFormat="0" applyProtection="0">
      <alignment horizontal="left" vertical="top" indent="1"/>
    </xf>
    <xf numFmtId="352" fontId="48" fillId="30" borderId="123" applyNumberFormat="0" applyProtection="0">
      <alignment horizontal="left" vertical="center" indent="1"/>
    </xf>
    <xf numFmtId="210" fontId="59" fillId="0" borderId="32" applyFill="0"/>
    <xf numFmtId="352" fontId="248" fillId="128" borderId="123" applyNumberFormat="0" applyAlignment="0" applyProtection="0"/>
    <xf numFmtId="352" fontId="248" fillId="128" borderId="123" applyNumberForma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164" fontId="2" fillId="0" borderId="0" applyFont="0" applyFill="0" applyBorder="0" applyAlignment="0" applyProtection="0"/>
    <xf numFmtId="352" fontId="48" fillId="30" borderId="128" applyNumberFormat="0" applyProtection="0">
      <alignment horizontal="left" vertical="top" indent="1"/>
    </xf>
    <xf numFmtId="164" fontId="1" fillId="0" borderId="0" applyFont="0" applyFill="0" applyBorder="0" applyAlignment="0" applyProtection="0"/>
    <xf numFmtId="352" fontId="88" fillId="31" borderId="130" applyBorder="0"/>
    <xf numFmtId="4" fontId="48" fillId="24" borderId="123" applyNumberFormat="0" applyProtection="0">
      <alignment horizontal="right" vertical="center"/>
    </xf>
    <xf numFmtId="352" fontId="48" fillId="13" borderId="123" applyNumberFormat="0" applyFont="0" applyAlignment="0" applyProtection="0"/>
    <xf numFmtId="4" fontId="48" fillId="19" borderId="129" applyNumberFormat="0" applyProtection="0">
      <alignment horizontal="left" vertical="center" indent="1"/>
    </xf>
    <xf numFmtId="4" fontId="48" fillId="25" borderId="123" applyNumberFormat="0" applyProtection="0">
      <alignment horizontal="right" vertical="center"/>
    </xf>
    <xf numFmtId="352" fontId="48" fillId="61" borderId="123" applyNumberFormat="0" applyProtection="0">
      <alignment horizontal="left" vertical="center" indent="1"/>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34" borderId="128" applyNumberFormat="0" applyProtection="0">
      <alignment vertical="center"/>
    </xf>
    <xf numFmtId="352" fontId="88" fillId="31" borderId="130" applyBorder="0"/>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210" fontId="59" fillId="0" borderId="32" applyFill="0"/>
    <xf numFmtId="352" fontId="48" fillId="83" borderId="123" applyNumberFormat="0" applyProtection="0">
      <alignment horizontal="left" vertical="center" indent="1"/>
    </xf>
    <xf numFmtId="4" fontId="48" fillId="23" borderId="123" applyNumberFormat="0" applyProtection="0">
      <alignment horizontal="right" vertical="center"/>
    </xf>
    <xf numFmtId="352" fontId="248" fillId="128" borderId="123" applyNumberForma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252" fillId="19"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164" fontId="8" fillId="0" borderId="0" applyFont="0" applyFill="0" applyBorder="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31" borderId="128" applyNumberFormat="0" applyProtection="0">
      <alignment horizontal="left" vertical="top" indent="1"/>
    </xf>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4" fontId="48" fillId="0" borderId="123" applyNumberFormat="0" applyProtection="0">
      <alignment horizontal="right" vertical="center"/>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4" fontId="48" fillId="26" borderId="123" applyNumberFormat="0" applyProtection="0">
      <alignment horizontal="right" vertical="center"/>
    </xf>
    <xf numFmtId="210" fontId="59" fillId="0" borderId="32" applyFill="0"/>
    <xf numFmtId="352" fontId="48" fillId="83" borderId="123" applyNumberFormat="0" applyProtection="0">
      <alignment horizontal="left" vertical="center" indent="1"/>
    </xf>
    <xf numFmtId="4" fontId="48" fillId="24" borderId="123" applyNumberFormat="0" applyProtection="0">
      <alignment horizontal="right" vertical="center"/>
    </xf>
    <xf numFmtId="4" fontId="48" fillId="23" borderId="123" applyNumberFormat="0" applyProtection="0">
      <alignment horizontal="right" vertical="center"/>
    </xf>
    <xf numFmtId="352" fontId="248" fillId="128" borderId="123" applyNumberFormat="0" applyAlignment="0" applyProtection="0"/>
    <xf numFmtId="352" fontId="248" fillId="128" borderId="123" applyNumberForma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48" fillId="61" borderId="123" applyNumberFormat="0" applyProtection="0">
      <alignment horizontal="left" vertical="center" indent="1"/>
    </xf>
    <xf numFmtId="4" fontId="48" fillId="19" borderId="123" applyNumberFormat="0" applyProtection="0">
      <alignment horizontal="right" vertical="center"/>
    </xf>
    <xf numFmtId="4" fontId="48" fillId="28" borderId="123" applyNumberFormat="0" applyProtection="0">
      <alignment horizontal="right" vertical="center"/>
    </xf>
    <xf numFmtId="4" fontId="48" fillId="27"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4" fontId="252" fillId="61" borderId="128" applyNumberFormat="0" applyProtection="0">
      <alignment horizontal="left" vertical="center" indent="1"/>
    </xf>
    <xf numFmtId="210" fontId="59" fillId="0" borderId="32" applyFill="0"/>
    <xf numFmtId="352" fontId="48" fillId="30" borderId="128" applyNumberFormat="0" applyProtection="0">
      <alignment horizontal="left" vertical="top" indent="1"/>
    </xf>
    <xf numFmtId="352" fontId="252" fillId="19" borderId="128" applyNumberFormat="0" applyProtection="0">
      <alignment horizontal="left" vertical="top"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7" borderId="123" applyNumberFormat="0" applyProtection="0">
      <alignment horizontal="right" vertical="center"/>
    </xf>
    <xf numFmtId="352" fontId="48" fillId="19" borderId="128" applyNumberFormat="0" applyProtection="0">
      <alignment horizontal="left" vertical="top" indent="1"/>
    </xf>
    <xf numFmtId="164" fontId="7" fillId="0" borderId="0" applyFont="0" applyFill="0" applyBorder="0" applyAlignment="0" applyProtection="0"/>
    <xf numFmtId="352" fontId="48" fillId="19"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4" fontId="48" fillId="64" borderId="123" applyNumberFormat="0" applyProtection="0">
      <alignment horizontal="left" vertical="center" indent="1"/>
    </xf>
    <xf numFmtId="352" fontId="48" fillId="32" borderId="128" applyNumberFormat="0" applyProtection="0">
      <alignment horizontal="left" vertical="top" indent="1"/>
    </xf>
    <xf numFmtId="352" fontId="10" fillId="0" borderId="132" applyNumberFormat="0" applyFill="0" applyAlignment="0" applyProtection="0"/>
    <xf numFmtId="352" fontId="10" fillId="0" borderId="132" applyNumberFormat="0" applyFill="0" applyAlignment="0" applyProtection="0"/>
    <xf numFmtId="4" fontId="48" fillId="28" borderId="123" applyNumberFormat="0" applyProtection="0">
      <alignment horizontal="right" vertical="center"/>
    </xf>
    <xf numFmtId="352" fontId="48" fillId="30" borderId="128" applyNumberFormat="0" applyProtection="0">
      <alignment horizontal="left" vertical="top" indent="1"/>
    </xf>
    <xf numFmtId="37" fontId="59" fillId="0" borderId="131" applyNumberFormat="0"/>
    <xf numFmtId="352" fontId="48" fillId="19" borderId="128" applyNumberFormat="0" applyProtection="0">
      <alignment horizontal="left" vertical="top" indent="1"/>
    </xf>
    <xf numFmtId="352" fontId="251" fillId="18" borderId="128" applyNumberFormat="0" applyProtection="0">
      <alignment horizontal="left" vertical="top" indent="1"/>
    </xf>
    <xf numFmtId="352" fontId="48" fillId="13" borderId="123" applyNumberFormat="0" applyFont="0" applyAlignment="0" applyProtection="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4" fontId="48" fillId="25" borderId="123" applyNumberFormat="0" applyProtection="0">
      <alignment horizontal="righ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7" borderId="123" applyNumberFormat="0" applyProtection="0">
      <alignment horizontal="right" vertical="center"/>
    </xf>
    <xf numFmtId="4" fontId="48" fillId="25" borderId="123" applyNumberFormat="0" applyProtection="0">
      <alignment horizontal="right" vertical="center"/>
    </xf>
    <xf numFmtId="352" fontId="179" fillId="128" borderId="127" applyNumberFormat="0" applyAlignment="0" applyProtection="0"/>
    <xf numFmtId="352" fontId="48" fillId="61" borderId="123" applyNumberFormat="0" applyProtection="0">
      <alignment horizontal="left" vertical="center" indent="1"/>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131" borderId="123" applyNumberFormat="0" applyProtection="0">
      <alignment horizontal="right" vertical="center"/>
    </xf>
    <xf numFmtId="352" fontId="48" fillId="13" borderId="123" applyNumberFormat="0" applyFont="0" applyAlignment="0" applyProtection="0"/>
    <xf numFmtId="4" fontId="48" fillId="22" borderId="129"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4" fontId="48" fillId="20" borderId="123" applyNumberFormat="0" applyProtection="0">
      <alignment horizontal="right" vertical="center"/>
    </xf>
    <xf numFmtId="4" fontId="48" fillId="18" borderId="123" applyNumberFormat="0" applyProtection="0">
      <alignment vertical="center"/>
    </xf>
    <xf numFmtId="4" fontId="48" fillId="24" borderId="123" applyNumberFormat="0" applyProtection="0">
      <alignment horizontal="right" vertical="center"/>
    </xf>
    <xf numFmtId="4" fontId="250" fillId="45" borderId="123" applyNumberFormat="0" applyProtection="0">
      <alignment vertical="center"/>
    </xf>
    <xf numFmtId="164" fontId="7" fillId="0" borderId="0" applyFont="0" applyFill="0" applyBorder="0" applyAlignment="0" applyProtection="0"/>
    <xf numFmtId="352" fontId="137" fillId="14" borderId="123" applyNumberFormat="0" applyAlignment="0" applyProtection="0"/>
    <xf numFmtId="352" fontId="48" fillId="61" borderId="123" applyNumberFormat="0" applyProtection="0">
      <alignment horizontal="left" vertical="center" indent="1"/>
    </xf>
    <xf numFmtId="352" fontId="48" fillId="13" borderId="123" applyNumberFormat="0" applyFont="0" applyAlignment="0" applyProtection="0"/>
    <xf numFmtId="352" fontId="137" fillId="14" borderId="123" applyNumberFormat="0" applyAlignment="0" applyProtection="0"/>
    <xf numFmtId="4" fontId="250" fillId="45" borderId="123" applyNumberFormat="0" applyProtection="0">
      <alignment vertical="center"/>
    </xf>
    <xf numFmtId="164" fontId="7" fillId="0" borderId="0" applyFont="0" applyFill="0" applyBorder="0" applyAlignment="0" applyProtection="0"/>
    <xf numFmtId="4" fontId="48" fillId="19" borderId="123" applyNumberFormat="0" applyProtection="0">
      <alignment horizontal="right" vertical="center"/>
    </xf>
    <xf numFmtId="4" fontId="48" fillId="18" borderId="123" applyNumberFormat="0" applyProtection="0">
      <alignment vertical="center"/>
    </xf>
    <xf numFmtId="4" fontId="48" fillId="18" borderId="123" applyNumberFormat="0" applyProtection="0">
      <alignment vertical="center"/>
    </xf>
    <xf numFmtId="4" fontId="48" fillId="19" borderId="123" applyNumberFormat="0" applyProtection="0">
      <alignment horizontal="right" vertical="center"/>
    </xf>
    <xf numFmtId="4" fontId="48" fillId="23"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352" fontId="48" fillId="32" borderId="123" applyNumberFormat="0" applyProtection="0">
      <alignment horizontal="left" vertical="center" indent="1"/>
    </xf>
    <xf numFmtId="352" fontId="48" fillId="13" borderId="123" applyNumberFormat="0" applyFont="0" applyAlignment="0" applyProtection="0"/>
    <xf numFmtId="352" fontId="88" fillId="31" borderId="130" applyBorder="0"/>
    <xf numFmtId="352" fontId="10" fillId="0" borderId="132" applyNumberFormat="0" applyFill="0" applyAlignment="0" applyProtection="0"/>
    <xf numFmtId="164" fontId="7" fillId="0" borderId="0" applyFont="0" applyFill="0" applyBorder="0" applyAlignment="0" applyProtection="0"/>
    <xf numFmtId="352" fontId="248" fillId="128" borderId="123" applyNumberFormat="0" applyAlignment="0" applyProtection="0"/>
    <xf numFmtId="4" fontId="48" fillId="24" borderId="123" applyNumberFormat="0" applyProtection="0">
      <alignment horizontal="right" vertical="center"/>
    </xf>
    <xf numFmtId="352" fontId="48" fillId="13" borderId="123" applyNumberFormat="0" applyFon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252" fillId="19"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4" fontId="250" fillId="45" borderId="123" applyNumberFormat="0" applyProtection="0">
      <alignment vertical="center"/>
    </xf>
    <xf numFmtId="352" fontId="48" fillId="83" borderId="123" applyNumberFormat="0" applyProtection="0">
      <alignment horizontal="left" vertical="center" indent="1"/>
    </xf>
    <xf numFmtId="37" fontId="59" fillId="0" borderId="131" applyNumberFormat="0"/>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8" fillId="61" borderId="123" applyNumberFormat="0" applyProtection="0">
      <alignment horizontal="left" vertical="center" indent="1"/>
    </xf>
    <xf numFmtId="4" fontId="48" fillId="28" borderId="123" applyNumberFormat="0" applyProtection="0">
      <alignment horizontal="right" vertical="center"/>
    </xf>
    <xf numFmtId="4" fontId="48" fillId="131" borderId="123" applyNumberFormat="0" applyProtection="0">
      <alignment horizontal="right" vertical="center"/>
    </xf>
    <xf numFmtId="4" fontId="48" fillId="64" borderId="123" applyNumberFormat="0" applyProtection="0">
      <alignment horizontal="left" vertical="center" indent="1"/>
    </xf>
    <xf numFmtId="4" fontId="250" fillId="45" borderId="123" applyNumberFormat="0" applyProtection="0">
      <alignment vertical="center"/>
    </xf>
    <xf numFmtId="4" fontId="254" fillId="33" borderId="123" applyNumberFormat="0" applyProtection="0">
      <alignment horizontal="righ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164" fontId="7" fillId="0" borderId="0" applyFont="0" applyFill="0" applyBorder="0" applyAlignment="0" applyProtection="0"/>
    <xf numFmtId="4" fontId="48" fillId="64" borderId="123" applyNumberFormat="0" applyProtection="0">
      <alignment horizontal="left" vertical="center" indent="1"/>
    </xf>
    <xf numFmtId="4" fontId="252" fillId="61" borderId="128" applyNumberFormat="0" applyProtection="0">
      <alignment horizontal="left" vertical="center" indent="1"/>
    </xf>
    <xf numFmtId="4" fontId="48" fillId="26" borderId="123" applyNumberFormat="0" applyProtection="0">
      <alignment horizontal="right" vertical="center"/>
    </xf>
    <xf numFmtId="4" fontId="48" fillId="24" borderId="123" applyNumberFormat="0" applyProtection="0">
      <alignment horizontal="right" vertical="center"/>
    </xf>
    <xf numFmtId="352" fontId="248" fillId="128" borderId="123"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352" fontId="48" fillId="30" borderId="128" applyNumberFormat="0" applyProtection="0">
      <alignment horizontal="left" vertical="top" indent="1"/>
    </xf>
    <xf numFmtId="4" fontId="250" fillId="45" borderId="123" applyNumberFormat="0" applyProtection="0">
      <alignment vertical="center"/>
    </xf>
    <xf numFmtId="4" fontId="48" fillId="20" borderId="123" applyNumberFormat="0" applyProtection="0">
      <alignment horizontal="right" vertical="center"/>
    </xf>
    <xf numFmtId="352" fontId="48" fillId="61" borderId="123" applyNumberFormat="0" applyProtection="0">
      <alignment horizontal="left" vertical="center" indent="1"/>
    </xf>
    <xf numFmtId="4" fontId="48" fillId="28"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7" borderId="123" applyNumberFormat="0" applyProtection="0">
      <alignment horizontal="right" vertical="center"/>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3" applyNumberFormat="0" applyProtection="0">
      <alignment horizontal="left" vertical="center"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179" fillId="128" borderId="127" applyNumberFormat="0" applyAlignment="0" applyProtection="0"/>
    <xf numFmtId="4" fontId="48" fillId="19" borderId="123" applyNumberFormat="0" applyProtection="0">
      <alignment horizontal="right" vertical="center"/>
    </xf>
    <xf numFmtId="164" fontId="2" fillId="0" borderId="0" applyFont="0" applyFill="0" applyBorder="0" applyAlignment="0" applyProtection="0"/>
    <xf numFmtId="4" fontId="48" fillId="23" borderId="123" applyNumberFormat="0" applyProtection="0">
      <alignment horizontal="right" vertical="center"/>
    </xf>
    <xf numFmtId="352" fontId="4" fillId="19" borderId="128" applyNumberFormat="0" applyProtection="0">
      <alignment horizontal="left" vertical="top" indent="1"/>
    </xf>
    <xf numFmtId="352" fontId="137" fillId="14" borderId="123" applyNumberFormat="0" applyAlignment="0" applyProtection="0"/>
    <xf numFmtId="352" fontId="10" fillId="0" borderId="132" applyNumberFormat="0" applyFill="0" applyAlignment="0" applyProtection="0"/>
    <xf numFmtId="352" fontId="4" fillId="30" borderId="128" applyNumberFormat="0" applyProtection="0">
      <alignment horizontal="left" vertical="top" indent="1"/>
    </xf>
    <xf numFmtId="4" fontId="250" fillId="50" borderId="123" applyNumberFormat="0" applyProtection="0">
      <alignment horizontal="right" vertical="center"/>
    </xf>
    <xf numFmtId="4" fontId="48" fillId="45" borderId="123" applyNumberFormat="0" applyProtection="0">
      <alignment horizontal="left" vertical="center"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137" fillId="14" borderId="123" applyNumberFormat="0" applyAlignment="0" applyProtection="0"/>
    <xf numFmtId="352" fontId="48" fillId="13" borderId="123" applyNumberFormat="0" applyFont="0" applyAlignment="0" applyProtection="0"/>
    <xf numFmtId="352" fontId="179" fillId="128" borderId="127" applyNumberFormat="0" applyAlignment="0" applyProtection="0"/>
    <xf numFmtId="4" fontId="252" fillId="34" borderId="128" applyNumberFormat="0" applyProtection="0">
      <alignment vertical="center"/>
    </xf>
    <xf numFmtId="352" fontId="48" fillId="32" borderId="128" applyNumberFormat="0" applyProtection="0">
      <alignment horizontal="left" vertical="top" indent="1"/>
    </xf>
    <xf numFmtId="352" fontId="248" fillId="128" borderId="123" applyNumberFormat="0" applyAlignment="0" applyProtection="0"/>
    <xf numFmtId="352" fontId="48" fillId="13" borderId="123" applyNumberFormat="0" applyFont="0" applyAlignment="0" applyProtection="0"/>
    <xf numFmtId="4" fontId="48" fillId="0" borderId="123" applyNumberFormat="0" applyProtection="0">
      <alignment horizontal="right" vertical="center"/>
    </xf>
    <xf numFmtId="352" fontId="48" fillId="31"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137" fillId="14" borderId="123" applyNumberFormat="0" applyAlignment="0" applyProtection="0"/>
    <xf numFmtId="352" fontId="48" fillId="19" borderId="128" applyNumberFormat="0" applyProtection="0">
      <alignment horizontal="left" vertical="top" indent="1"/>
    </xf>
    <xf numFmtId="352" fontId="48" fillId="30" borderId="128" applyNumberFormat="0" applyProtection="0">
      <alignment horizontal="left" vertical="top" indent="1"/>
    </xf>
    <xf numFmtId="352" fontId="48" fillId="30" borderId="123" applyNumberFormat="0" applyProtection="0">
      <alignment horizontal="left" vertical="center" indent="1"/>
    </xf>
    <xf numFmtId="4" fontId="48" fillId="20" borderId="123" applyNumberFormat="0" applyProtection="0">
      <alignment horizontal="right" vertical="center"/>
    </xf>
    <xf numFmtId="4" fontId="48" fillId="0" borderId="123" applyNumberFormat="0" applyProtection="0">
      <alignment horizontal="right" vertical="center"/>
    </xf>
    <xf numFmtId="210" fontId="59" fillId="0" borderId="32" applyFill="0"/>
    <xf numFmtId="352" fontId="48" fillId="13" borderId="123" applyNumberFormat="0" applyFont="0" applyAlignment="0" applyProtection="0"/>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3" borderId="123" applyNumberFormat="0" applyFont="0" applyAlignment="0" applyProtection="0"/>
    <xf numFmtId="4" fontId="48" fillId="24" borderId="123" applyNumberFormat="0" applyProtection="0">
      <alignment horizontal="right" vertical="center"/>
    </xf>
    <xf numFmtId="352" fontId="48" fillId="32" borderId="128" applyNumberFormat="0" applyProtection="0">
      <alignment horizontal="left" vertical="top" indent="1"/>
    </xf>
    <xf numFmtId="4" fontId="48" fillId="64" borderId="123" applyNumberFormat="0" applyProtection="0">
      <alignment horizontal="left" vertical="center" indent="1"/>
    </xf>
    <xf numFmtId="352" fontId="48" fillId="31" borderId="128" applyNumberFormat="0" applyProtection="0">
      <alignment horizontal="left" vertical="top" indent="1"/>
    </xf>
    <xf numFmtId="352" fontId="248" fillId="128" borderId="123" applyNumberFormat="0" applyAlignment="0" applyProtection="0"/>
    <xf numFmtId="4" fontId="252" fillId="61" borderId="128" applyNumberFormat="0" applyProtection="0">
      <alignment horizontal="left" vertical="center" indent="1"/>
    </xf>
    <xf numFmtId="352" fontId="10" fillId="0" borderId="132" applyNumberFormat="0" applyFill="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4" fontId="48" fillId="64" borderId="123" applyNumberFormat="0" applyProtection="0">
      <alignment horizontal="left" vertical="center" indent="1"/>
    </xf>
    <xf numFmtId="352" fontId="248" fillId="128" borderId="123" applyNumberFormat="0" applyAlignment="0" applyProtection="0"/>
    <xf numFmtId="4" fontId="254" fillId="33" borderId="123" applyNumberFormat="0" applyProtection="0">
      <alignment horizontal="right" vertical="center"/>
    </xf>
    <xf numFmtId="352" fontId="88" fillId="31" borderId="130" applyBorder="0"/>
    <xf numFmtId="352" fontId="48" fillId="13" borderId="123" applyNumberFormat="0" applyFont="0" applyAlignment="0" applyProtection="0"/>
    <xf numFmtId="4" fontId="48" fillId="64" borderId="123" applyNumberFormat="0" applyProtection="0">
      <alignment horizontal="left" vertical="center"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3" borderId="123" applyNumberFormat="0" applyFont="0" applyAlignment="0" applyProtection="0"/>
    <xf numFmtId="352" fontId="179" fillId="128" borderId="127" applyNumberFormat="0" applyAlignment="0" applyProtection="0"/>
    <xf numFmtId="4" fontId="48" fillId="20" borderId="123" applyNumberFormat="0" applyProtection="0">
      <alignment horizontal="right" vertical="center"/>
    </xf>
    <xf numFmtId="352" fontId="48" fillId="31" borderId="128" applyNumberFormat="0" applyProtection="0">
      <alignment horizontal="left" vertical="top" indent="1"/>
    </xf>
    <xf numFmtId="352" fontId="88" fillId="31" borderId="130" applyBorder="0"/>
    <xf numFmtId="4" fontId="48" fillId="28" borderId="123" applyNumberFormat="0" applyProtection="0">
      <alignment horizontal="right" vertical="center"/>
    </xf>
    <xf numFmtId="352" fontId="48" fillId="31" borderId="128" applyNumberFormat="0" applyProtection="0">
      <alignment horizontal="left" vertical="top" indent="1"/>
    </xf>
    <xf numFmtId="352" fontId="48" fillId="30" borderId="128" applyNumberFormat="0" applyProtection="0">
      <alignment horizontal="left" vertical="top" indent="1"/>
    </xf>
    <xf numFmtId="4" fontId="48" fillId="26" borderId="123" applyNumberFormat="0" applyProtection="0">
      <alignment horizontal="right" vertical="center"/>
    </xf>
    <xf numFmtId="352" fontId="48" fillId="32" borderId="128" applyNumberFormat="0" applyProtection="0">
      <alignment horizontal="left" vertical="top" indent="1"/>
    </xf>
    <xf numFmtId="352" fontId="4" fillId="32" borderId="128" applyNumberFormat="0" applyProtection="0">
      <alignment horizontal="left" vertical="center" indent="1"/>
    </xf>
    <xf numFmtId="4" fontId="48" fillId="0" borderId="123" applyNumberFormat="0" applyProtection="0">
      <alignment horizontal="right" vertical="center"/>
    </xf>
    <xf numFmtId="352" fontId="48" fillId="19" borderId="128" applyNumberFormat="0" applyProtection="0">
      <alignment horizontal="left" vertical="top" indent="1"/>
    </xf>
    <xf numFmtId="352" fontId="248" fillId="128" borderId="123" applyNumberFormat="0" applyAlignment="0" applyProtection="0"/>
    <xf numFmtId="352" fontId="137" fillId="14" borderId="123" applyNumberFormat="0" applyAlignment="0" applyProtection="0"/>
    <xf numFmtId="4" fontId="48" fillId="45" borderId="123" applyNumberFormat="0" applyProtection="0">
      <alignment horizontal="left" vertical="center" indent="1"/>
    </xf>
    <xf numFmtId="4" fontId="252" fillId="61" borderId="128" applyNumberFormat="0" applyProtection="0">
      <alignment horizontal="left" vertical="center" indent="1"/>
    </xf>
    <xf numFmtId="4" fontId="48" fillId="28" borderId="123" applyNumberFormat="0" applyProtection="0">
      <alignment horizontal="right" vertical="center"/>
    </xf>
    <xf numFmtId="4" fontId="250" fillId="50" borderId="123" applyNumberFormat="0" applyProtection="0">
      <alignment horizontal="right" vertical="center"/>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254" fillId="33" borderId="123" applyNumberFormat="0" applyProtection="0">
      <alignment horizontal="right" vertical="center"/>
    </xf>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0" borderId="123" applyNumberFormat="0" applyProtection="0">
      <alignment horizontal="right" vertical="center"/>
    </xf>
    <xf numFmtId="164" fontId="7" fillId="0" borderId="0" applyFont="0" applyFill="0" applyBorder="0" applyAlignment="0" applyProtection="0"/>
    <xf numFmtId="352" fontId="48" fillId="13" borderId="123" applyNumberFormat="0" applyFont="0" applyAlignment="0" applyProtection="0"/>
    <xf numFmtId="352" fontId="248" fillId="128" borderId="123" applyNumberFormat="0" applyAlignment="0" applyProtection="0"/>
    <xf numFmtId="352" fontId="252" fillId="34" borderId="128" applyNumberFormat="0" applyProtection="0">
      <alignment horizontal="left" vertical="top" indent="1"/>
    </xf>
    <xf numFmtId="352" fontId="4" fillId="30" borderId="128" applyNumberFormat="0" applyProtection="0">
      <alignment horizontal="left" vertical="center" indent="1"/>
    </xf>
    <xf numFmtId="4" fontId="254" fillId="33" borderId="123" applyNumberFormat="0" applyProtection="0">
      <alignment horizontal="right" vertical="center"/>
    </xf>
    <xf numFmtId="352" fontId="48" fillId="30" borderId="123" applyNumberFormat="0" applyProtection="0">
      <alignment horizontal="left" vertical="center" indent="1"/>
    </xf>
    <xf numFmtId="352" fontId="48" fillId="83" borderId="123" applyNumberFormat="0" applyProtection="0">
      <alignment horizontal="left" vertical="center" indent="1"/>
    </xf>
    <xf numFmtId="4" fontId="48" fillId="20" borderId="123" applyNumberFormat="0" applyProtection="0">
      <alignment horizontal="right" vertical="center"/>
    </xf>
    <xf numFmtId="352" fontId="48" fillId="19" borderId="128" applyNumberFormat="0" applyProtection="0">
      <alignment horizontal="left" vertical="top" indent="1"/>
    </xf>
    <xf numFmtId="352" fontId="48" fillId="83" borderId="123" applyNumberFormat="0" applyProtection="0">
      <alignment horizontal="left" vertical="center" indent="1"/>
    </xf>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52" fontId="48" fillId="13" borderId="123" applyNumberFormat="0" applyFont="0" applyAlignment="0" applyProtection="0"/>
    <xf numFmtId="4" fontId="48" fillId="23" borderId="123" applyNumberFormat="0" applyProtection="0">
      <alignment horizontal="right" vertical="center"/>
    </xf>
    <xf numFmtId="352" fontId="48" fillId="32" borderId="123" applyNumberFormat="0" applyProtection="0">
      <alignment horizontal="left" vertical="center" indent="1"/>
    </xf>
    <xf numFmtId="352" fontId="48" fillId="30" borderId="128" applyNumberFormat="0" applyProtection="0">
      <alignment horizontal="left" vertical="top" indent="1"/>
    </xf>
    <xf numFmtId="4" fontId="48" fillId="19" borderId="123" applyNumberFormat="0" applyProtection="0">
      <alignment horizontal="right" vertical="center"/>
    </xf>
    <xf numFmtId="352" fontId="252" fillId="34"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7" fontId="59" fillId="0" borderId="131" applyNumberFormat="0"/>
    <xf numFmtId="352" fontId="48" fillId="19"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248" fillId="128" borderId="123" applyNumberFormat="0" applyAlignment="0" applyProtection="0"/>
    <xf numFmtId="352" fontId="48" fillId="31" borderId="128" applyNumberFormat="0" applyProtection="0">
      <alignment horizontal="left" vertical="top" indent="1"/>
    </xf>
    <xf numFmtId="352" fontId="48" fillId="32" borderId="128" applyNumberFormat="0" applyProtection="0">
      <alignment horizontal="left" vertical="top" indent="1"/>
    </xf>
    <xf numFmtId="4" fontId="252" fillId="34" borderId="128" applyNumberFormat="0" applyProtection="0">
      <alignment vertical="center"/>
    </xf>
    <xf numFmtId="37" fontId="59" fillId="0" borderId="131" applyNumberFormat="0"/>
    <xf numFmtId="352" fontId="48" fillId="13" borderId="123" applyNumberFormat="0" applyFont="0" applyAlignment="0" applyProtection="0"/>
    <xf numFmtId="352" fontId="48" fillId="31" borderId="128" applyNumberFormat="0" applyProtection="0">
      <alignment horizontal="left" vertical="top" indent="1"/>
    </xf>
    <xf numFmtId="4" fontId="48" fillId="20" borderId="123" applyNumberFormat="0" applyProtection="0">
      <alignment horizontal="right" vertical="center"/>
    </xf>
    <xf numFmtId="352" fontId="137" fillId="14" borderId="123" applyNumberFormat="0" applyAlignment="0" applyProtection="0"/>
    <xf numFmtId="4" fontId="250" fillId="50" borderId="123" applyNumberFormat="0" applyProtection="0">
      <alignment horizontal="right" vertical="center"/>
    </xf>
    <xf numFmtId="352" fontId="48" fillId="31" borderId="128" applyNumberFormat="0" applyProtection="0">
      <alignment horizontal="left" vertical="top" indent="1"/>
    </xf>
    <xf numFmtId="4" fontId="253" fillId="35" borderId="129"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4" fontId="48" fillId="30" borderId="129" applyNumberFormat="0" applyProtection="0">
      <alignment horizontal="left" vertical="center" indent="1"/>
    </xf>
    <xf numFmtId="352" fontId="252" fillId="34" borderId="128" applyNumberFormat="0" applyProtection="0">
      <alignment horizontal="left" vertical="top" indent="1"/>
    </xf>
    <xf numFmtId="352" fontId="48" fillId="31" borderId="128" applyNumberFormat="0" applyProtection="0">
      <alignment horizontal="left" vertical="top" indent="1"/>
    </xf>
    <xf numFmtId="4" fontId="48" fillId="18" borderId="123" applyNumberFormat="0" applyProtection="0">
      <alignment vertical="center"/>
    </xf>
    <xf numFmtId="4" fontId="48" fillId="64" borderId="123" applyNumberFormat="0" applyProtection="0">
      <alignment horizontal="left" vertical="center" indent="1"/>
    </xf>
    <xf numFmtId="4" fontId="4" fillId="31" borderId="129" applyNumberFormat="0" applyProtection="0">
      <alignment horizontal="left" vertical="center" indent="1"/>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0" borderId="128" applyNumberFormat="0" applyProtection="0">
      <alignment horizontal="left" vertical="top" indent="1"/>
    </xf>
    <xf numFmtId="4" fontId="252" fillId="61" borderId="128" applyNumberFormat="0" applyProtection="0">
      <alignment horizontal="left" vertical="center" indent="1"/>
    </xf>
    <xf numFmtId="4" fontId="250" fillId="50" borderId="123" applyNumberFormat="0" applyProtection="0">
      <alignment horizontal="right" vertical="center"/>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 fillId="32" borderId="128" applyNumberFormat="0" applyProtection="0">
      <alignment horizontal="left" vertical="top" indent="1"/>
    </xf>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352" fontId="88" fillId="31" borderId="130" applyBorder="0"/>
    <xf numFmtId="352" fontId="48" fillId="13" borderId="123" applyNumberFormat="0" applyFont="0" applyAlignment="0" applyProtection="0"/>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top" indent="1"/>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37" fontId="59" fillId="0" borderId="131" applyNumberFormat="0"/>
    <xf numFmtId="352" fontId="10" fillId="0" borderId="132" applyNumberFormat="0" applyFill="0" applyAlignment="0" applyProtection="0"/>
    <xf numFmtId="352" fontId="48" fillId="32" borderId="128" applyNumberFormat="0" applyProtection="0">
      <alignment horizontal="left" vertical="top" indent="1"/>
    </xf>
    <xf numFmtId="352" fontId="48" fillId="19" borderId="128" applyNumberFormat="0" applyProtection="0">
      <alignment horizontal="left" vertical="top" indent="1"/>
    </xf>
    <xf numFmtId="4" fontId="48" fillId="23" borderId="123" applyNumberFormat="0" applyProtection="0">
      <alignment horizontal="right" vertical="center"/>
    </xf>
    <xf numFmtId="352" fontId="48" fillId="83"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48" fillId="30" borderId="123" applyNumberFormat="0" applyProtection="0">
      <alignment horizontal="left" vertical="center" indent="1"/>
    </xf>
    <xf numFmtId="210" fontId="59" fillId="0" borderId="32" applyFill="0"/>
    <xf numFmtId="4" fontId="252" fillId="34" borderId="128" applyNumberFormat="0" applyProtection="0">
      <alignment vertical="center"/>
    </xf>
    <xf numFmtId="352" fontId="10" fillId="0" borderId="132" applyNumberFormat="0" applyFill="0" applyAlignment="0" applyProtection="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18" borderId="123" applyNumberFormat="0" applyProtection="0">
      <alignmen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 fillId="30" borderId="128" applyNumberFormat="0" applyProtection="0">
      <alignment horizontal="left" vertical="center" indent="1"/>
    </xf>
    <xf numFmtId="352" fontId="248" fillId="128" borderId="123" applyNumberFormat="0" applyAlignment="0" applyProtection="0"/>
    <xf numFmtId="352" fontId="48" fillId="30" borderId="123" applyNumberFormat="0" applyProtection="0">
      <alignment horizontal="left" vertical="center" indent="1"/>
    </xf>
    <xf numFmtId="352" fontId="48" fillId="32" borderId="128" applyNumberFormat="0" applyProtection="0">
      <alignment horizontal="left" vertical="top" indent="1"/>
    </xf>
    <xf numFmtId="37" fontId="59" fillId="0" borderId="131" applyNumberFormat="0"/>
    <xf numFmtId="352" fontId="48" fillId="13" borderId="123" applyNumberFormat="0" applyFont="0" applyAlignment="0" applyProtection="0"/>
    <xf numFmtId="4" fontId="253" fillId="35" borderId="129" applyNumberFormat="0" applyProtection="0">
      <alignment horizontal="left" vertical="center" indent="1"/>
    </xf>
    <xf numFmtId="164" fontId="7" fillId="0" borderId="0" applyFont="0" applyFill="0" applyBorder="0" applyAlignment="0" applyProtection="0"/>
    <xf numFmtId="352" fontId="48" fillId="13" borderId="123" applyNumberFormat="0" applyFont="0" applyAlignment="0" applyProtection="0"/>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4" fontId="252" fillId="34" borderId="128" applyNumberFormat="0" applyProtection="0">
      <alignment vertical="center"/>
    </xf>
    <xf numFmtId="4" fontId="254" fillId="33" borderId="123" applyNumberFormat="0" applyProtection="0">
      <alignment horizontal="right" vertical="center"/>
    </xf>
    <xf numFmtId="352" fontId="10" fillId="0" borderId="132" applyNumberFormat="0" applyFill="0" applyAlignment="0" applyProtection="0"/>
    <xf numFmtId="352" fontId="4" fillId="30" borderId="128" applyNumberFormat="0" applyProtection="0">
      <alignment horizontal="left" vertical="top" indent="1"/>
    </xf>
    <xf numFmtId="4" fontId="48" fillId="26" borderId="123" applyNumberFormat="0" applyProtection="0">
      <alignment horizontal="right" vertical="center"/>
    </xf>
    <xf numFmtId="4" fontId="254" fillId="33" borderId="123" applyNumberFormat="0" applyProtection="0">
      <alignment horizontal="right" vertical="center"/>
    </xf>
    <xf numFmtId="352" fontId="10" fillId="0" borderId="132" applyNumberFormat="0" applyFill="0" applyAlignment="0" applyProtection="0"/>
    <xf numFmtId="352" fontId="4" fillId="30" borderId="128" applyNumberFormat="0" applyProtection="0">
      <alignment horizontal="left" vertical="center" indent="1"/>
    </xf>
    <xf numFmtId="352" fontId="48" fillId="19" borderId="128" applyNumberFormat="0" applyProtection="0">
      <alignment horizontal="left" vertical="top" indent="1"/>
    </xf>
    <xf numFmtId="352" fontId="248" fillId="128" borderId="123" applyNumberFormat="0" applyAlignment="0" applyProtection="0"/>
    <xf numFmtId="4" fontId="48" fillId="24" borderId="123" applyNumberFormat="0" applyProtection="0">
      <alignment horizontal="right" vertical="center"/>
    </xf>
    <xf numFmtId="210" fontId="59" fillId="0" borderId="32" applyFill="0"/>
    <xf numFmtId="352" fontId="48" fillId="13" borderId="123" applyNumberFormat="0" applyFont="0" applyAlignment="0" applyProtection="0"/>
    <xf numFmtId="352" fontId="252" fillId="34" borderId="128" applyNumberFormat="0" applyProtection="0">
      <alignment horizontal="left" vertical="top" indent="1"/>
    </xf>
    <xf numFmtId="4" fontId="252" fillId="34" borderId="128" applyNumberFormat="0" applyProtection="0">
      <alignment vertical="center"/>
    </xf>
    <xf numFmtId="352" fontId="48" fillId="13" borderId="123" applyNumberFormat="0" applyFont="0" applyAlignment="0" applyProtection="0"/>
    <xf numFmtId="352" fontId="48" fillId="13" borderId="123" applyNumberFormat="0" applyFont="0" applyAlignment="0" applyProtection="0"/>
    <xf numFmtId="352" fontId="251" fillId="18" borderId="128" applyNumberFormat="0" applyProtection="0">
      <alignment horizontal="left" vertical="top" indent="1"/>
    </xf>
    <xf numFmtId="4" fontId="48" fillId="25" borderId="123" applyNumberFormat="0" applyProtection="0">
      <alignment horizontal="right" vertical="center"/>
    </xf>
    <xf numFmtId="4" fontId="48" fillId="19" borderId="123" applyNumberFormat="0" applyProtection="0">
      <alignment horizontal="right" vertical="center"/>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137" fillId="14" borderId="123" applyNumberFormat="0" applyAlignment="0" applyProtection="0"/>
    <xf numFmtId="37" fontId="59" fillId="0" borderId="131" applyNumberFormat="0"/>
    <xf numFmtId="352" fontId="48" fillId="30" borderId="123"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4" fontId="48" fillId="29" borderId="129" applyNumberFormat="0" applyProtection="0">
      <alignment horizontal="left" vertical="center" indent="1"/>
    </xf>
    <xf numFmtId="352" fontId="137" fillId="14" borderId="123" applyNumberFormat="0" applyAlignment="0" applyProtection="0"/>
    <xf numFmtId="4" fontId="250" fillId="50" borderId="123" applyNumberFormat="0" applyProtection="0">
      <alignment horizontal="right" vertical="center"/>
    </xf>
    <xf numFmtId="4" fontId="252" fillId="34" borderId="128" applyNumberFormat="0" applyProtection="0">
      <alignment vertical="center"/>
    </xf>
    <xf numFmtId="352" fontId="48" fillId="30" borderId="128" applyNumberFormat="0" applyProtection="0">
      <alignment horizontal="left" vertical="top" indent="1"/>
    </xf>
    <xf numFmtId="4" fontId="252" fillId="61" borderId="128" applyNumberFormat="0" applyProtection="0">
      <alignment horizontal="left" vertical="center" indent="1"/>
    </xf>
    <xf numFmtId="352" fontId="4" fillId="30" borderId="128" applyNumberFormat="0" applyProtection="0">
      <alignment horizontal="left" vertical="center" indent="1"/>
    </xf>
    <xf numFmtId="4" fontId="48" fillId="64" borderId="123" applyNumberFormat="0" applyProtection="0">
      <alignment horizontal="left" vertical="center" indent="1"/>
    </xf>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4" fontId="48" fillId="27" borderId="123" applyNumberFormat="0" applyProtection="0">
      <alignment horizontal="right" vertical="center"/>
    </xf>
    <xf numFmtId="4" fontId="48" fillId="30" borderId="129" applyNumberFormat="0" applyProtection="0">
      <alignment horizontal="left" vertical="center" indent="1"/>
    </xf>
    <xf numFmtId="4" fontId="48" fillId="64" borderId="123" applyNumberFormat="0" applyProtection="0">
      <alignment horizontal="left" vertical="center" indent="1"/>
    </xf>
    <xf numFmtId="4" fontId="48" fillId="27" borderId="123" applyNumberFormat="0" applyProtection="0">
      <alignment horizontal="right" vertical="center"/>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25" borderId="123" applyNumberFormat="0" applyProtection="0">
      <alignment horizontal="right" vertical="center"/>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164" fontId="7" fillId="0" borderId="0" applyFont="0" applyFill="0" applyBorder="0" applyAlignment="0" applyProtection="0"/>
    <xf numFmtId="4" fontId="48" fillId="23" borderId="123" applyNumberFormat="0" applyProtection="0">
      <alignment horizontal="right" vertical="center"/>
    </xf>
    <xf numFmtId="164" fontId="7" fillId="0" borderId="0" applyFont="0" applyFill="0" applyBorder="0" applyAlignment="0" applyProtection="0"/>
    <xf numFmtId="352" fontId="48" fillId="13" borderId="123" applyNumberFormat="0" applyFont="0" applyAlignment="0" applyProtection="0"/>
    <xf numFmtId="4" fontId="48" fillId="18" borderId="123" applyNumberFormat="0" applyProtection="0">
      <alignment vertical="center"/>
    </xf>
    <xf numFmtId="4" fontId="250" fillId="45" borderId="123" applyNumberFormat="0" applyProtection="0">
      <alignment vertical="center"/>
    </xf>
    <xf numFmtId="4" fontId="48" fillId="25" borderId="123" applyNumberFormat="0" applyProtection="0">
      <alignment horizontal="right" vertical="center"/>
    </xf>
    <xf numFmtId="4" fontId="48" fillId="29" borderId="129" applyNumberFormat="0" applyProtection="0">
      <alignment horizontal="left" vertical="center" indent="1"/>
    </xf>
    <xf numFmtId="4" fontId="48" fillId="131"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210" fontId="59" fillId="0" borderId="32" applyFill="0"/>
    <xf numFmtId="352" fontId="48" fillId="32" borderId="128" applyNumberFormat="0" applyProtection="0">
      <alignment horizontal="left" vertical="top" indent="1"/>
    </xf>
    <xf numFmtId="4" fontId="48" fillId="19"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179" fillId="128" borderId="127" applyNumberFormat="0" applyAlignment="0" applyProtection="0"/>
    <xf numFmtId="352" fontId="48" fillId="61" borderId="123"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4" fontId="48" fillId="27" borderId="123" applyNumberFormat="0" applyProtection="0">
      <alignment horizontal="right" vertical="center"/>
    </xf>
    <xf numFmtId="352" fontId="251" fillId="18" borderId="128" applyNumberFormat="0" applyProtection="0">
      <alignment horizontal="left" vertical="top" indent="1"/>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4" fontId="4" fillId="31" borderId="129" applyNumberFormat="0" applyProtection="0">
      <alignment horizontal="left" vertical="center" indent="1"/>
    </xf>
    <xf numFmtId="4" fontId="48" fillId="25" borderId="123" applyNumberFormat="0" applyProtection="0">
      <alignment horizontal="right" vertical="center"/>
    </xf>
    <xf numFmtId="4" fontId="48" fillId="23" borderId="123" applyNumberFormat="0" applyProtection="0">
      <alignment horizontal="right" vertical="center"/>
    </xf>
    <xf numFmtId="352" fontId="48" fillId="31"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4" fontId="48" fillId="0" borderId="123" applyNumberFormat="0" applyProtection="0">
      <alignment horizontal="right" vertical="center"/>
    </xf>
    <xf numFmtId="352" fontId="10" fillId="0" borderId="132" applyNumberFormat="0" applyFill="0" applyAlignment="0" applyProtection="0"/>
    <xf numFmtId="352" fontId="88" fillId="31" borderId="130" applyBorder="0"/>
    <xf numFmtId="352" fontId="48" fillId="30" borderId="128" applyNumberFormat="0" applyProtection="0">
      <alignment horizontal="left" vertical="top" indent="1"/>
    </xf>
    <xf numFmtId="352" fontId="48" fillId="30" borderId="128" applyNumberFormat="0" applyProtection="0">
      <alignment horizontal="left" vertical="top" indent="1"/>
    </xf>
    <xf numFmtId="210" fontId="59" fillId="0" borderId="32" applyFill="0"/>
    <xf numFmtId="352" fontId="48" fillId="30"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137" fillId="14" borderId="123" applyNumberFormat="0" applyAlignment="0" applyProtection="0"/>
    <xf numFmtId="352" fontId="4" fillId="32" borderId="128" applyNumberFormat="0" applyProtection="0">
      <alignment horizontal="left" vertical="top" indent="1"/>
    </xf>
    <xf numFmtId="352" fontId="137" fillId="14" borderId="123" applyNumberFormat="0" applyAlignment="0" applyProtection="0"/>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8" fillId="19" borderId="129" applyNumberFormat="0" applyProtection="0">
      <alignment horizontal="left" vertical="center" indent="1"/>
    </xf>
    <xf numFmtId="4" fontId="48" fillId="27" borderId="123" applyNumberFormat="0" applyProtection="0">
      <alignment horizontal="right" vertical="center"/>
    </xf>
    <xf numFmtId="4" fontId="48" fillId="20"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2" borderId="123" applyNumberFormat="0" applyProtection="0">
      <alignment horizontal="left" vertical="center" indent="1"/>
    </xf>
    <xf numFmtId="4" fontId="48" fillId="131" borderId="123" applyNumberFormat="0" applyProtection="0">
      <alignment horizontal="right" vertical="center"/>
    </xf>
    <xf numFmtId="352" fontId="48" fillId="30" borderId="128" applyNumberFormat="0" applyProtection="0">
      <alignment horizontal="left" vertical="top" indent="1"/>
    </xf>
    <xf numFmtId="4" fontId="48" fillId="30" borderId="129" applyNumberFormat="0" applyProtection="0">
      <alignment horizontal="left" vertical="center"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252" fillId="19" borderId="128" applyNumberFormat="0" applyProtection="0">
      <alignment horizontal="left" vertical="top" indent="1"/>
    </xf>
    <xf numFmtId="4" fontId="48" fillId="0" borderId="123" applyNumberFormat="0" applyProtection="0">
      <alignment horizontal="right" vertical="center"/>
    </xf>
    <xf numFmtId="352" fontId="4" fillId="32" borderId="128" applyNumberFormat="0" applyProtection="0">
      <alignment horizontal="left" vertical="top" indent="1"/>
    </xf>
    <xf numFmtId="37" fontId="59" fillId="0" borderId="131" applyNumberFormat="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19" borderId="129" applyNumberFormat="0" applyProtection="0">
      <alignment horizontal="left" vertical="center" indent="1"/>
    </xf>
    <xf numFmtId="4" fontId="48" fillId="22" borderId="129" applyNumberFormat="0" applyProtection="0">
      <alignment horizontal="right" vertical="center"/>
    </xf>
    <xf numFmtId="352" fontId="248" fillId="128" borderId="123" applyNumberFormat="0" applyAlignment="0" applyProtection="0"/>
    <xf numFmtId="352" fontId="48" fillId="32"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19" borderId="128" applyNumberFormat="0" applyProtection="0">
      <alignment horizontal="left" vertical="top" indent="1"/>
    </xf>
    <xf numFmtId="352" fontId="4" fillId="31" borderId="128" applyNumberFormat="0" applyProtection="0">
      <alignment horizontal="left" vertical="center"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4" fontId="48" fillId="0" borderId="123" applyNumberFormat="0" applyProtection="0">
      <alignment horizontal="right" vertical="center"/>
    </xf>
    <xf numFmtId="352" fontId="48" fillId="13" borderId="123" applyNumberFormat="0" applyFont="0" applyAlignment="0" applyProtection="0"/>
    <xf numFmtId="4" fontId="48" fillId="23" borderId="123" applyNumberFormat="0" applyProtection="0">
      <alignment horizontal="right" vertical="center"/>
    </xf>
    <xf numFmtId="4" fontId="48" fillId="23" borderId="123" applyNumberFormat="0" applyProtection="0">
      <alignment horizontal="right" vertical="center"/>
    </xf>
    <xf numFmtId="4" fontId="48" fillId="28" borderId="123" applyNumberFormat="0" applyProtection="0">
      <alignment horizontal="right" vertical="center"/>
    </xf>
    <xf numFmtId="352" fontId="48" fillId="61"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4" fillId="33" borderId="123" applyNumberFormat="0" applyProtection="0">
      <alignment horizontal="right" vertical="center"/>
    </xf>
    <xf numFmtId="4" fontId="48" fillId="64" borderId="123" applyNumberFormat="0" applyProtection="0">
      <alignment horizontal="left" vertical="center"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19" borderId="123" applyNumberFormat="0" applyProtection="0">
      <alignment horizontal="right" vertical="center"/>
    </xf>
    <xf numFmtId="4" fontId="48" fillId="20" borderId="123" applyNumberFormat="0" applyProtection="0">
      <alignment horizontal="right" vertical="center"/>
    </xf>
    <xf numFmtId="352" fontId="48" fillId="30" borderId="128" applyNumberFormat="0" applyProtection="0">
      <alignment horizontal="left" vertical="top" indent="1"/>
    </xf>
    <xf numFmtId="352" fontId="48" fillId="31"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4" fontId="48" fillId="64" borderId="123" applyNumberFormat="0" applyProtection="0">
      <alignment horizontal="left" vertical="center" indent="1"/>
    </xf>
    <xf numFmtId="352" fontId="48" fillId="30" borderId="128" applyNumberFormat="0" applyProtection="0">
      <alignment horizontal="left" vertical="top" indent="1"/>
    </xf>
    <xf numFmtId="352" fontId="48" fillId="19" borderId="128" applyNumberFormat="0" applyProtection="0">
      <alignment horizontal="left" vertical="top" indent="1"/>
    </xf>
    <xf numFmtId="4" fontId="4" fillId="31" borderId="129" applyNumberFormat="0" applyProtection="0">
      <alignment horizontal="left" vertical="center" indent="1"/>
    </xf>
    <xf numFmtId="352" fontId="179" fillId="128" borderId="127" applyNumberFormat="0" applyAlignment="0" applyProtection="0"/>
    <xf numFmtId="164" fontId="7" fillId="0" borderId="0" applyFont="0" applyFill="0" applyBorder="0" applyAlignment="0" applyProtection="0"/>
    <xf numFmtId="352" fontId="251" fillId="18"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2" fontId="4" fillId="31" borderId="128" applyNumberFormat="0" applyProtection="0">
      <alignment horizontal="left" vertical="top" indent="1"/>
    </xf>
    <xf numFmtId="352" fontId="48" fillId="32" borderId="128" applyNumberFormat="0" applyProtection="0">
      <alignment horizontal="left" vertical="top" indent="1"/>
    </xf>
    <xf numFmtId="352" fontId="48" fillId="32" borderId="123" applyNumberFormat="0" applyProtection="0">
      <alignment horizontal="left" vertical="center"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131" borderId="123" applyNumberFormat="0" applyProtection="0">
      <alignment horizontal="right" vertical="center"/>
    </xf>
    <xf numFmtId="352" fontId="48" fillId="13" borderId="123" applyNumberFormat="0" applyFont="0" applyAlignment="0" applyProtection="0"/>
    <xf numFmtId="352" fontId="248" fillId="128" borderId="123" applyNumberForma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19" borderId="123" applyNumberFormat="0" applyProtection="0">
      <alignment horizontal="right" vertical="center"/>
    </xf>
    <xf numFmtId="4" fontId="48" fillId="131" borderId="123" applyNumberFormat="0" applyProtection="0">
      <alignment horizontal="right" vertical="center"/>
    </xf>
    <xf numFmtId="352" fontId="48" fillId="31" borderId="128" applyNumberFormat="0" applyProtection="0">
      <alignment horizontal="left" vertical="top" indent="1"/>
    </xf>
    <xf numFmtId="4" fontId="48" fillId="29" borderId="129" applyNumberFormat="0" applyProtection="0">
      <alignment horizontal="left" vertical="center" indent="1"/>
    </xf>
    <xf numFmtId="4" fontId="48" fillId="26" borderId="123" applyNumberFormat="0" applyProtection="0">
      <alignment horizontal="right" vertical="center"/>
    </xf>
    <xf numFmtId="352" fontId="48" fillId="31"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4" fontId="252" fillId="34" borderId="128" applyNumberFormat="0" applyProtection="0">
      <alignment vertical="center"/>
    </xf>
    <xf numFmtId="4" fontId="253" fillId="35" borderId="129" applyNumberFormat="0" applyProtection="0">
      <alignment horizontal="left" vertical="center" indent="1"/>
    </xf>
    <xf numFmtId="352" fontId="48" fillId="19" borderId="128" applyNumberFormat="0" applyProtection="0">
      <alignment horizontal="left" vertical="top" indent="1"/>
    </xf>
    <xf numFmtId="4" fontId="48" fillId="64" borderId="123" applyNumberFormat="0" applyProtection="0">
      <alignment horizontal="left" vertical="center" indent="1"/>
    </xf>
    <xf numFmtId="352" fontId="48" fillId="30" borderId="128" applyNumberFormat="0" applyProtection="0">
      <alignment horizontal="left" vertical="top" indent="1"/>
    </xf>
    <xf numFmtId="4" fontId="48" fillId="0" borderId="123" applyNumberFormat="0" applyProtection="0">
      <alignment horizontal="right" vertical="center"/>
    </xf>
    <xf numFmtId="352" fontId="248" fillId="128" borderId="123" applyNumberFormat="0" applyAlignment="0" applyProtection="0"/>
    <xf numFmtId="352" fontId="48" fillId="13" borderId="123" applyNumberFormat="0" applyFont="0" applyAlignment="0" applyProtection="0"/>
    <xf numFmtId="4" fontId="4" fillId="31" borderId="129" applyNumberFormat="0" applyProtection="0">
      <alignment horizontal="left" vertical="center"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23" borderId="123" applyNumberFormat="0" applyProtection="0">
      <alignment horizontal="right" vertical="center"/>
    </xf>
    <xf numFmtId="4" fontId="250" fillId="45" borderId="123" applyNumberFormat="0" applyProtection="0">
      <alignment vertical="center"/>
    </xf>
    <xf numFmtId="352" fontId="48" fillId="13" borderId="123" applyNumberFormat="0" applyFont="0" applyAlignment="0" applyProtection="0"/>
    <xf numFmtId="352" fontId="248" fillId="128" borderId="123" applyNumberFormat="0" applyAlignment="0" applyProtection="0"/>
    <xf numFmtId="4" fontId="48" fillId="131" borderId="123" applyNumberFormat="0" applyProtection="0">
      <alignment horizontal="right" vertical="center"/>
    </xf>
    <xf numFmtId="352" fontId="48" fillId="13" borderId="123" applyNumberFormat="0" applyFont="0" applyAlignment="0" applyProtection="0"/>
    <xf numFmtId="352" fontId="252" fillId="34" borderId="128" applyNumberFormat="0" applyProtection="0">
      <alignment horizontal="left" vertical="top" indent="1"/>
    </xf>
    <xf numFmtId="4" fontId="48" fillId="25" borderId="123" applyNumberFormat="0" applyProtection="0">
      <alignment horizontal="right" vertical="center"/>
    </xf>
    <xf numFmtId="4" fontId="4" fillId="31" borderId="129"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10" fillId="0" borderId="132" applyNumberFormat="0" applyFill="0" applyAlignment="0" applyProtection="0"/>
    <xf numFmtId="352" fontId="48" fillId="32" borderId="128" applyNumberFormat="0" applyProtection="0">
      <alignment horizontal="left" vertical="top" indent="1"/>
    </xf>
    <xf numFmtId="352" fontId="248" fillId="128" borderId="123" applyNumberFormat="0" applyAlignment="0" applyProtection="0"/>
    <xf numFmtId="4" fontId="48" fillId="0" borderId="123" applyNumberFormat="0" applyProtection="0">
      <alignment horizontal="right" vertical="center"/>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83" borderId="123" applyNumberFormat="0" applyProtection="0">
      <alignment horizontal="left" vertical="center" indent="1"/>
    </xf>
    <xf numFmtId="352" fontId="4" fillId="31" borderId="128" applyNumberFormat="0" applyProtection="0">
      <alignment horizontal="left" vertical="top" indent="1"/>
    </xf>
    <xf numFmtId="4" fontId="48" fillId="28" borderId="123" applyNumberFormat="0" applyProtection="0">
      <alignment horizontal="right" vertical="center"/>
    </xf>
    <xf numFmtId="352" fontId="251" fillId="18" borderId="128" applyNumberFormat="0" applyProtection="0">
      <alignment horizontal="left" vertical="top" indent="1"/>
    </xf>
    <xf numFmtId="352" fontId="88" fillId="31" borderId="130" applyBorder="0"/>
    <xf numFmtId="352" fontId="48" fillId="32" borderId="123" applyNumberFormat="0" applyProtection="0">
      <alignment horizontal="left" vertical="center" indent="1"/>
    </xf>
    <xf numFmtId="352" fontId="137" fillId="14" borderId="123" applyNumberFormat="0" applyAlignment="0" applyProtection="0"/>
    <xf numFmtId="4" fontId="252" fillId="61" borderId="128" applyNumberFormat="0" applyProtection="0">
      <alignment horizontal="left" vertical="center" indent="1"/>
    </xf>
    <xf numFmtId="352" fontId="48" fillId="13" borderId="123" applyNumberFormat="0" applyFont="0" applyAlignment="0" applyProtection="0"/>
    <xf numFmtId="352" fontId="248" fillId="128" borderId="123" applyNumberFormat="0" applyAlignment="0" applyProtection="0"/>
    <xf numFmtId="4" fontId="48" fillId="45" borderId="123" applyNumberFormat="0" applyProtection="0">
      <alignment horizontal="left" vertical="center" indent="1"/>
    </xf>
    <xf numFmtId="4" fontId="48" fillId="24" borderId="123" applyNumberFormat="0" applyProtection="0">
      <alignment horizontal="right" vertical="center"/>
    </xf>
    <xf numFmtId="4" fontId="4" fillId="31" borderId="129" applyNumberFormat="0" applyProtection="0">
      <alignment horizontal="left" vertical="center"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10" fillId="0" borderId="132" applyNumberFormat="0" applyFill="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252" fillId="34" borderId="128" applyNumberFormat="0" applyProtection="0">
      <alignment horizontal="left" vertical="top" indent="1"/>
    </xf>
    <xf numFmtId="352" fontId="48" fillId="32" borderId="128" applyNumberFormat="0" applyProtection="0">
      <alignment horizontal="left" vertical="top" indent="1"/>
    </xf>
    <xf numFmtId="352" fontId="252" fillId="19" borderId="128" applyNumberFormat="0" applyProtection="0">
      <alignment horizontal="left" vertical="top" indent="1"/>
    </xf>
    <xf numFmtId="352" fontId="88" fillId="31" borderId="130" applyBorder="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210" fontId="59" fillId="0" borderId="32" applyFill="0"/>
    <xf numFmtId="4" fontId="48" fillId="28" borderId="123" applyNumberFormat="0" applyProtection="0">
      <alignment horizontal="right" vertical="center"/>
    </xf>
    <xf numFmtId="4" fontId="48" fillId="19" borderId="129" applyNumberFormat="0" applyProtection="0">
      <alignment horizontal="left" vertical="center" indent="1"/>
    </xf>
    <xf numFmtId="4" fontId="48" fillId="20" borderId="123" applyNumberFormat="0" applyProtection="0">
      <alignment horizontal="right" vertical="center"/>
    </xf>
    <xf numFmtId="4" fontId="48" fillId="28"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48" fillId="18" borderId="123" applyNumberFormat="0" applyProtection="0">
      <alignment vertical="center"/>
    </xf>
    <xf numFmtId="4" fontId="48" fillId="24" borderId="123" applyNumberFormat="0" applyProtection="0">
      <alignment horizontal="right" vertical="center"/>
    </xf>
    <xf numFmtId="4" fontId="48" fillId="30" borderId="129"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4" borderId="123" applyNumberFormat="0" applyProtection="0">
      <alignment horizontal="right" vertical="center"/>
    </xf>
    <xf numFmtId="4" fontId="48" fillId="18" borderId="123" applyNumberFormat="0" applyProtection="0">
      <alignmen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48" fillId="26" borderId="123" applyNumberFormat="0" applyProtection="0">
      <alignment horizontal="right" vertical="center"/>
    </xf>
    <xf numFmtId="4" fontId="4" fillId="31" borderId="129" applyNumberFormat="0" applyProtection="0">
      <alignment horizontal="left" vertical="center" indent="1"/>
    </xf>
    <xf numFmtId="4" fontId="48" fillId="22" borderId="129" applyNumberFormat="0" applyProtection="0">
      <alignment horizontal="right" vertical="center"/>
    </xf>
    <xf numFmtId="4" fontId="48" fillId="30" borderId="129" applyNumberFormat="0" applyProtection="0">
      <alignment horizontal="left" vertical="center" indent="1"/>
    </xf>
    <xf numFmtId="352" fontId="4" fillId="31" borderId="128" applyNumberFormat="0" applyProtection="0">
      <alignment horizontal="left" vertical="center" indent="1"/>
    </xf>
    <xf numFmtId="352" fontId="48" fillId="32" borderId="128" applyNumberFormat="0" applyProtection="0">
      <alignment horizontal="left" vertical="top" indent="1"/>
    </xf>
    <xf numFmtId="4" fontId="4" fillId="31" borderId="129" applyNumberFormat="0" applyProtection="0">
      <alignment horizontal="left" vertical="center" indent="1"/>
    </xf>
    <xf numFmtId="352" fontId="179" fillId="128" borderId="127" applyNumberFormat="0" applyAlignment="0" applyProtection="0"/>
    <xf numFmtId="352" fontId="48" fillId="13" borderId="123" applyNumberFormat="0" applyFont="0" applyAlignment="0" applyProtection="0"/>
    <xf numFmtId="4" fontId="48" fillId="18" borderId="123" applyNumberFormat="0" applyProtection="0">
      <alignment vertical="center"/>
    </xf>
    <xf numFmtId="352" fontId="4" fillId="31" borderId="128" applyNumberFormat="0" applyProtection="0">
      <alignment horizontal="left" vertical="center" indent="1"/>
    </xf>
    <xf numFmtId="352" fontId="48" fillId="30"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61" borderId="123" applyNumberFormat="0" applyProtection="0">
      <alignment horizontal="left" vertical="center" indent="1"/>
    </xf>
    <xf numFmtId="4" fontId="48" fillId="26" borderId="123" applyNumberFormat="0" applyProtection="0">
      <alignment horizontal="right" vertical="center"/>
    </xf>
    <xf numFmtId="4" fontId="48" fillId="45" borderId="123" applyNumberFormat="0" applyProtection="0">
      <alignment horizontal="left" vertical="center" indent="1"/>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25" borderId="123" applyNumberFormat="0" applyProtection="0">
      <alignment horizontal="right" vertical="center"/>
    </xf>
    <xf numFmtId="352" fontId="251" fillId="18" borderId="128" applyNumberFormat="0" applyProtection="0">
      <alignment horizontal="left" vertical="top" indent="1"/>
    </xf>
    <xf numFmtId="4" fontId="48" fillId="19" borderId="123" applyNumberFormat="0" applyProtection="0">
      <alignment horizontal="right" vertical="center"/>
    </xf>
    <xf numFmtId="4" fontId="48" fillId="26" borderId="123" applyNumberFormat="0" applyProtection="0">
      <alignment horizontal="right" vertical="center"/>
    </xf>
    <xf numFmtId="4" fontId="48" fillId="24" borderId="123" applyNumberFormat="0" applyProtection="0">
      <alignment horizontal="right" vertical="center"/>
    </xf>
    <xf numFmtId="352" fontId="48" fillId="31"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0" fillId="50" borderId="123" applyNumberFormat="0" applyProtection="0">
      <alignment horizontal="right" vertical="center"/>
    </xf>
    <xf numFmtId="352" fontId="10" fillId="0" borderId="132" applyNumberFormat="0" applyFill="0" applyAlignment="0" applyProtection="0"/>
    <xf numFmtId="4" fontId="252" fillId="34" borderId="128" applyNumberFormat="0" applyProtection="0">
      <alignment vertical="center"/>
    </xf>
    <xf numFmtId="352" fontId="48" fillId="30" borderId="128" applyNumberFormat="0" applyProtection="0">
      <alignment horizontal="left" vertical="top" indent="1"/>
    </xf>
    <xf numFmtId="352" fontId="88" fillId="31" borderId="130" applyBorder="0"/>
    <xf numFmtId="4" fontId="48" fillId="0" borderId="123" applyNumberFormat="0" applyProtection="0">
      <alignment horizontal="right" vertical="center"/>
    </xf>
    <xf numFmtId="352" fontId="48" fillId="30" borderId="128" applyNumberFormat="0" applyProtection="0">
      <alignment horizontal="left" vertical="top" indent="1"/>
    </xf>
    <xf numFmtId="4" fontId="48" fillId="28" borderId="123" applyNumberFormat="0" applyProtection="0">
      <alignment horizontal="right" vertical="center"/>
    </xf>
    <xf numFmtId="352" fontId="48" fillId="61"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4" fillId="33" borderId="123" applyNumberFormat="0" applyProtection="0">
      <alignment horizontal="right" vertical="center"/>
    </xf>
    <xf numFmtId="352" fontId="137" fillId="14" borderId="123" applyNumberFormat="0" applyAlignment="0" applyProtection="0"/>
    <xf numFmtId="352" fontId="48" fillId="32" borderId="128" applyNumberFormat="0" applyProtection="0">
      <alignment horizontal="left" vertical="top" indent="1"/>
    </xf>
    <xf numFmtId="352" fontId="137" fillId="14" borderId="123" applyNumberFormat="0" applyAlignment="0" applyProtection="0"/>
    <xf numFmtId="352" fontId="48" fillId="83" borderId="123" applyNumberFormat="0" applyProtection="0">
      <alignment horizontal="left" vertical="center" indent="1"/>
    </xf>
    <xf numFmtId="352" fontId="48" fillId="31" borderId="128" applyNumberFormat="0" applyProtection="0">
      <alignment horizontal="left" vertical="top" indent="1"/>
    </xf>
    <xf numFmtId="4" fontId="48" fillId="30" borderId="129" applyNumberFormat="0" applyProtection="0">
      <alignment horizontal="left" vertical="center" indent="1"/>
    </xf>
    <xf numFmtId="4" fontId="48" fillId="26" borderId="123" applyNumberFormat="0" applyProtection="0">
      <alignment horizontal="right" vertical="center"/>
    </xf>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88" fillId="31" borderId="130" applyBorder="0"/>
    <xf numFmtId="4" fontId="48" fillId="22" borderId="129" applyNumberFormat="0" applyProtection="0">
      <alignment horizontal="right" vertical="center"/>
    </xf>
    <xf numFmtId="352" fontId="48" fillId="30" borderId="128" applyNumberFormat="0" applyProtection="0">
      <alignment horizontal="left" vertical="top" indent="1"/>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4" fontId="250" fillId="50" borderId="123" applyNumberFormat="0" applyProtection="0">
      <alignment horizontal="right" vertical="center"/>
    </xf>
    <xf numFmtId="352" fontId="48" fillId="13" borderId="123" applyNumberFormat="0" applyFont="0" applyAlignment="0" applyProtection="0"/>
    <xf numFmtId="4" fontId="254" fillId="33" borderId="123" applyNumberFormat="0" applyProtection="0">
      <alignment horizontal="right" vertical="center"/>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30" borderId="129" applyNumberFormat="0" applyProtection="0">
      <alignment horizontal="left" vertical="center" indent="1"/>
    </xf>
    <xf numFmtId="4" fontId="48" fillId="131" borderId="123" applyNumberFormat="0" applyProtection="0">
      <alignment horizontal="right" vertical="center"/>
    </xf>
    <xf numFmtId="352" fontId="48" fillId="32"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250" fillId="50" borderId="123" applyNumberFormat="0" applyProtection="0">
      <alignment horizontal="right" vertical="center"/>
    </xf>
    <xf numFmtId="352" fontId="48" fillId="13" borderId="123" applyNumberFormat="0" applyFont="0" applyAlignment="0" applyProtection="0"/>
    <xf numFmtId="4" fontId="48" fillId="22" borderId="129" applyNumberFormat="0" applyProtection="0">
      <alignment horizontal="right" vertical="center"/>
    </xf>
    <xf numFmtId="4" fontId="48" fillId="24" borderId="123" applyNumberFormat="0" applyProtection="0">
      <alignment horizontal="right" vertical="center"/>
    </xf>
    <xf numFmtId="4" fontId="48" fillId="29" borderId="129"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7" fontId="59" fillId="0" borderId="131" applyNumberFormat="0"/>
    <xf numFmtId="4" fontId="254" fillId="33" borderId="123" applyNumberFormat="0" applyProtection="0">
      <alignment horizontal="right" vertical="center"/>
    </xf>
    <xf numFmtId="352" fontId="48" fillId="19" borderId="128" applyNumberFormat="0" applyProtection="0">
      <alignment horizontal="left" vertical="top" indent="1"/>
    </xf>
    <xf numFmtId="352" fontId="252" fillId="19" borderId="128" applyNumberFormat="0" applyProtection="0">
      <alignment horizontal="left" vertical="top" indent="1"/>
    </xf>
    <xf numFmtId="352" fontId="48" fillId="30" borderId="128" applyNumberFormat="0" applyProtection="0">
      <alignment horizontal="left" vertical="top" indent="1"/>
    </xf>
    <xf numFmtId="352" fontId="4" fillId="32" borderId="128" applyNumberFormat="0" applyProtection="0">
      <alignment horizontal="left" vertical="center"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4" fontId="250" fillId="50" borderId="123" applyNumberFormat="0" applyProtection="0">
      <alignment horizontal="right" vertical="center"/>
    </xf>
    <xf numFmtId="352" fontId="4" fillId="30" borderId="128" applyNumberFormat="0" applyProtection="0">
      <alignment horizontal="left" vertical="top" indent="1"/>
    </xf>
    <xf numFmtId="352" fontId="48" fillId="19" borderId="128" applyNumberFormat="0" applyProtection="0">
      <alignment horizontal="left" vertical="top" indent="1"/>
    </xf>
    <xf numFmtId="4" fontId="48" fillId="29" borderId="129" applyNumberFormat="0" applyProtection="0">
      <alignment horizontal="left" vertical="center" indent="1"/>
    </xf>
    <xf numFmtId="4" fontId="48" fillId="22" borderId="129" applyNumberFormat="0" applyProtection="0">
      <alignment horizontal="right" vertical="center"/>
    </xf>
    <xf numFmtId="4" fontId="252" fillId="61" borderId="128" applyNumberFormat="0" applyProtection="0">
      <alignment horizontal="left" vertical="center" indent="1"/>
    </xf>
    <xf numFmtId="352" fontId="10" fillId="0" borderId="132" applyNumberFormat="0" applyFill="0" applyAlignment="0" applyProtection="0"/>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248" fillId="128" borderId="123" applyNumberForma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27" borderId="123" applyNumberFormat="0" applyProtection="0">
      <alignment horizontal="right" vertical="center"/>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252" fillId="34" borderId="128" applyNumberFormat="0" applyProtection="0">
      <alignment horizontal="left" vertical="top" indent="1"/>
    </xf>
    <xf numFmtId="352" fontId="10" fillId="0" borderId="132" applyNumberFormat="0" applyFill="0" applyAlignment="0" applyProtection="0"/>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4" fontId="4" fillId="31" borderId="129" applyNumberFormat="0" applyProtection="0">
      <alignment horizontal="left" vertical="center" indent="1"/>
    </xf>
    <xf numFmtId="4" fontId="48" fillId="26" borderId="123" applyNumberFormat="0" applyProtection="0">
      <alignment horizontal="right" vertical="center"/>
    </xf>
    <xf numFmtId="352" fontId="48" fillId="13" borderId="123" applyNumberFormat="0" applyFont="0" applyAlignment="0" applyProtection="0"/>
    <xf numFmtId="4" fontId="48" fillId="18" borderId="123" applyNumberFormat="0" applyProtection="0">
      <alignment vertical="center"/>
    </xf>
    <xf numFmtId="4" fontId="48" fillId="29" borderId="129" applyNumberFormat="0" applyProtection="0">
      <alignment horizontal="left" vertical="center" indent="1"/>
    </xf>
    <xf numFmtId="352" fontId="4" fillId="31" borderId="128" applyNumberFormat="0" applyProtection="0">
      <alignment horizontal="left" vertical="center" indent="1"/>
    </xf>
    <xf numFmtId="352" fontId="4" fillId="19" borderId="128" applyNumberFormat="0" applyProtection="0">
      <alignment horizontal="left" vertical="top" indent="1"/>
    </xf>
    <xf numFmtId="352" fontId="48" fillId="13" borderId="123" applyNumberFormat="0" applyFont="0" applyAlignment="0" applyProtection="0"/>
    <xf numFmtId="210" fontId="59" fillId="0" borderId="32" applyFill="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4" fontId="48" fillId="19" borderId="123" applyNumberFormat="0" applyProtection="0">
      <alignment horizontal="right" vertical="center"/>
    </xf>
    <xf numFmtId="4" fontId="48" fillId="45" borderId="123" applyNumberFormat="0" applyProtection="0">
      <alignment horizontal="left" vertical="center" indent="1"/>
    </xf>
    <xf numFmtId="4" fontId="250" fillId="50" borderId="123" applyNumberFormat="0" applyProtection="0">
      <alignment horizontal="right" vertical="center"/>
    </xf>
    <xf numFmtId="352" fontId="48" fillId="30" borderId="128" applyNumberFormat="0" applyProtection="0">
      <alignment horizontal="left" vertical="top" indent="1"/>
    </xf>
    <xf numFmtId="352" fontId="252" fillId="19" borderId="128" applyNumberFormat="0" applyProtection="0">
      <alignment horizontal="left" vertical="top" indent="1"/>
    </xf>
    <xf numFmtId="4" fontId="254" fillId="33" borderId="123" applyNumberFormat="0" applyProtection="0">
      <alignment horizontal="right" vertical="center"/>
    </xf>
    <xf numFmtId="4" fontId="252" fillId="61" borderId="128" applyNumberFormat="0" applyProtection="0">
      <alignment horizontal="left" vertical="center"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0" borderId="128" applyNumberFormat="0" applyProtection="0">
      <alignment horizontal="left" vertical="top" indent="1"/>
    </xf>
    <xf numFmtId="4" fontId="4" fillId="31" borderId="129" applyNumberFormat="0" applyProtection="0">
      <alignment horizontal="left" vertical="center" indent="1"/>
    </xf>
    <xf numFmtId="352" fontId="4" fillId="31" borderId="128" applyNumberFormat="0" applyProtection="0">
      <alignment horizontal="left" vertical="top" indent="1"/>
    </xf>
    <xf numFmtId="4" fontId="48" fillId="22" borderId="129" applyNumberFormat="0" applyProtection="0">
      <alignment horizontal="right" vertical="center"/>
    </xf>
    <xf numFmtId="352" fontId="48" fillId="61" borderId="123" applyNumberFormat="0" applyProtection="0">
      <alignment horizontal="left" vertical="center" indent="1"/>
    </xf>
    <xf numFmtId="4" fontId="48" fillId="45"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48" fillId="13" borderId="123" applyNumberFormat="0" applyFont="0" applyAlignment="0" applyProtection="0"/>
    <xf numFmtId="4" fontId="48" fillId="20" borderId="123" applyNumberFormat="0" applyProtection="0">
      <alignment horizontal="right" vertical="center"/>
    </xf>
    <xf numFmtId="4" fontId="48" fillId="29" borderId="129" applyNumberFormat="0" applyProtection="0">
      <alignment horizontal="left" vertical="center" indent="1"/>
    </xf>
    <xf numFmtId="352" fontId="4"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8" borderId="123" applyNumberFormat="0" applyProtection="0">
      <alignment horizontal="right" vertical="center"/>
    </xf>
    <xf numFmtId="4" fontId="48" fillId="27" borderId="123" applyNumberFormat="0" applyProtection="0">
      <alignment horizontal="right" vertical="center"/>
    </xf>
    <xf numFmtId="352" fontId="48" fillId="31" borderId="128" applyNumberFormat="0" applyProtection="0">
      <alignment horizontal="left" vertical="top" indent="1"/>
    </xf>
    <xf numFmtId="352" fontId="48" fillId="32"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4" fontId="48" fillId="0" borderId="123" applyNumberFormat="0" applyProtection="0">
      <alignment horizontal="right" vertical="center"/>
    </xf>
    <xf numFmtId="352" fontId="48" fillId="13" borderId="123" applyNumberFormat="0" applyFont="0" applyAlignment="0" applyProtection="0"/>
    <xf numFmtId="352" fontId="137" fillId="14" borderId="123" applyNumberFormat="0" applyAlignment="0" applyProtection="0"/>
    <xf numFmtId="352" fontId="251" fillId="18" borderId="128" applyNumberFormat="0" applyProtection="0">
      <alignment horizontal="left" vertical="top" indent="1"/>
    </xf>
    <xf numFmtId="352" fontId="48" fillId="13" borderId="123" applyNumberFormat="0" applyFont="0" applyAlignment="0" applyProtection="0"/>
    <xf numFmtId="352" fontId="48" fillId="30" borderId="123" applyNumberFormat="0" applyProtection="0">
      <alignment horizontal="left" vertical="center" indent="1"/>
    </xf>
    <xf numFmtId="164" fontId="7" fillId="0" borderId="0" applyFont="0" applyFill="0" applyBorder="0" applyAlignment="0" applyProtection="0"/>
    <xf numFmtId="164" fontId="7" fillId="0" borderId="0" applyFont="0" applyFill="0" applyBorder="0" applyAlignment="0" applyProtection="0"/>
    <xf numFmtId="352" fontId="248" fillId="128" borderId="123" applyNumberFormat="0" applyAlignment="0" applyProtection="0"/>
    <xf numFmtId="4" fontId="250" fillId="50" borderId="123" applyNumberFormat="0" applyProtection="0">
      <alignment horizontal="right" vertical="center"/>
    </xf>
    <xf numFmtId="352" fontId="137" fillId="14" borderId="123" applyNumberFormat="0" applyAlignment="0" applyProtection="0"/>
    <xf numFmtId="164" fontId="7" fillId="0" borderId="0" applyFont="0" applyFill="0" applyBorder="0" applyAlignment="0" applyProtection="0"/>
    <xf numFmtId="352" fontId="248" fillId="128" borderId="123" applyNumberFormat="0" applyAlignment="0" applyProtection="0"/>
    <xf numFmtId="4" fontId="48" fillId="45" borderId="123" applyNumberFormat="0" applyProtection="0">
      <alignment horizontal="left" vertical="center" indent="1"/>
    </xf>
    <xf numFmtId="352" fontId="137" fillId="14" borderId="123" applyNumberFormat="0" applyAlignment="0" applyProtection="0"/>
    <xf numFmtId="4" fontId="48" fillId="64" borderId="123" applyNumberFormat="0" applyProtection="0">
      <alignment horizontal="left" vertical="center" indent="1"/>
    </xf>
    <xf numFmtId="4" fontId="48" fillId="26" borderId="123" applyNumberFormat="0" applyProtection="0">
      <alignment horizontal="right" vertical="center"/>
    </xf>
    <xf numFmtId="164" fontId="7" fillId="0" borderId="0" applyFont="0" applyFill="0" applyBorder="0" applyAlignment="0" applyProtection="0"/>
    <xf numFmtId="4" fontId="254" fillId="33" borderId="123" applyNumberFormat="0" applyProtection="0">
      <alignment horizontal="right" vertical="center"/>
    </xf>
    <xf numFmtId="4" fontId="48" fillId="23" borderId="123" applyNumberFormat="0" applyProtection="0">
      <alignment horizontal="right" vertical="center"/>
    </xf>
  </cellStyleXfs>
  <cellXfs count="1001">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175" fontId="5" fillId="36" borderId="9" xfId="75" applyNumberFormat="1" applyFont="1" applyFill="1" applyBorder="1" applyProtection="1"/>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73" fontId="0" fillId="0" borderId="0" xfId="0" applyNumberFormat="1" applyFont="1" applyFill="1" applyBorder="1" applyAlignment="1">
      <alignment horizontal="right"/>
    </xf>
    <xf numFmtId="1" fontId="3" fillId="0" borderId="0" xfId="0" applyNumberFormat="1" applyFont="1" applyFill="1" applyBorder="1" applyAlignment="1">
      <alignment horizontal="right"/>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73" fontId="3" fillId="0" borderId="0" xfId="0" applyNumberFormat="1" applyFont="1" applyFill="1" applyBorder="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7" fillId="0" borderId="0" xfId="0" applyFont="1" applyAlignment="1">
      <alignment horizontal="center"/>
    </xf>
    <xf numFmtId="0" fontId="0" fillId="0" borderId="0" xfId="0" quotePrefix="1"/>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0" fontId="5" fillId="36" borderId="9" xfId="75" applyNumberFormat="1" applyFont="1" applyFill="1" applyBorder="1" applyAlignment="1" applyProtection="1">
      <alignment vertical="center"/>
    </xf>
    <xf numFmtId="175" fontId="5" fillId="36" borderId="9" xfId="75" applyNumberFormat="1" applyFont="1" applyFill="1" applyBorder="1" applyAlignment="1" applyProtection="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7" fillId="47" borderId="15" xfId="75" applyFont="1" applyFill="1" applyBorder="1" applyAlignment="1" applyProtection="1"/>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0" fillId="47" borderId="57"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Fill="1" applyAlignment="1" applyProtection="1">
      <alignment horizontal="center" vertical="center"/>
      <protection locked="0"/>
    </xf>
    <xf numFmtId="252" fontId="0" fillId="0" borderId="0" xfId="0" applyNumberFormat="1" applyFill="1" applyAlignment="1">
      <alignment horizontal="left" vertical="top"/>
    </xf>
    <xf numFmtId="172" fontId="5" fillId="39" borderId="91" xfId="1" applyNumberFormat="1" applyFont="1" applyFill="1" applyBorder="1" applyProtection="1"/>
    <xf numFmtId="172" fontId="5" fillId="39" borderId="87" xfId="1" applyNumberFormat="1" applyFont="1" applyFill="1" applyBorder="1" applyProtection="1"/>
    <xf numFmtId="172" fontId="5" fillId="39" borderId="88" xfId="1" applyNumberFormat="1" applyFont="1" applyFill="1" applyBorder="1" applyProtection="1"/>
    <xf numFmtId="172" fontId="6" fillId="38" borderId="91" xfId="1" applyNumberFormat="1" applyFont="1" applyFill="1" applyBorder="1" applyProtection="1"/>
    <xf numFmtId="172" fontId="6" fillId="38" borderId="86" xfId="1" applyNumberFormat="1" applyFont="1" applyFill="1" applyBorder="1" applyProtection="1"/>
    <xf numFmtId="172" fontId="5" fillId="39" borderId="92"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2" fontId="5" fillId="39" borderId="93"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7" fillId="47" borderId="94" xfId="75" applyFont="1" applyFill="1" applyBorder="1" applyAlignment="1" applyProtection="1"/>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6" xfId="75" applyFont="1" applyFill="1" applyBorder="1" applyAlignment="1" applyProtection="1"/>
    <xf numFmtId="0" fontId="25" fillId="47" borderId="94" xfId="90" applyFont="1" applyFill="1" applyBorder="1" applyAlignment="1">
      <alignment horizontal="left"/>
    </xf>
    <xf numFmtId="0" fontId="27" fillId="47" borderId="98" xfId="75" applyFont="1" applyFill="1" applyBorder="1" applyAlignment="1" applyProtection="1"/>
    <xf numFmtId="0" fontId="239" fillId="0" borderId="0" xfId="90" applyFont="1" applyFill="1" applyBorder="1" applyAlignment="1">
      <alignment horizontal="left"/>
    </xf>
    <xf numFmtId="0" fontId="240" fillId="0" borderId="0" xfId="0" applyFont="1" applyFill="1"/>
    <xf numFmtId="0" fontId="241" fillId="0" borderId="94" xfId="75" applyFont="1" applyFill="1" applyBorder="1" applyAlignment="1" applyProtection="1"/>
    <xf numFmtId="0" fontId="241"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6" xfId="0" applyFill="1" applyBorder="1"/>
    <xf numFmtId="0" fontId="25" fillId="47" borderId="94" xfId="90" applyFont="1" applyFill="1" applyBorder="1" applyAlignment="1">
      <alignment horizontal="center" vertical="center"/>
    </xf>
    <xf numFmtId="0" fontId="25" fillId="47" borderId="25" xfId="90" applyFont="1" applyFill="1" applyBorder="1" applyAlignment="1">
      <alignment horizontal="center" vertical="center"/>
    </xf>
    <xf numFmtId="0" fontId="30" fillId="47" borderId="94" xfId="90" applyFont="1" applyFill="1" applyBorder="1" applyAlignment="1">
      <alignment horizontal="left"/>
    </xf>
    <xf numFmtId="0" fontId="30" fillId="47" borderId="94"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0" borderId="96" xfId="0" applyBorder="1"/>
    <xf numFmtId="0" fontId="0" fillId="53" borderId="0" xfId="0" applyFill="1" applyAlignment="1">
      <alignment wrapText="1"/>
    </xf>
    <xf numFmtId="0" fontId="29" fillId="0" borderId="0" xfId="92" applyAlignment="1">
      <alignment horizontal="left" indent="1"/>
    </xf>
    <xf numFmtId="0" fontId="0" fillId="42" borderId="68" xfId="0" applyFill="1" applyBorder="1" applyAlignment="1">
      <alignment horizontal="left" vertical="top" wrapText="1"/>
    </xf>
    <xf numFmtId="0" fontId="0" fillId="42" borderId="71" xfId="0" applyFill="1" applyBorder="1" applyAlignment="1">
      <alignment horizontal="left" vertical="top" wrapTex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7" xfId="0" applyBorder="1"/>
    <xf numFmtId="0" fontId="0" fillId="0" borderId="94" xfId="0" applyBorder="1"/>
    <xf numFmtId="0" fontId="0" fillId="0" borderId="98" xfId="0" applyBorder="1"/>
    <xf numFmtId="348" fontId="242" fillId="0" borderId="0" xfId="0" applyNumberFormat="1" applyFont="1" applyFill="1" applyBorder="1" applyAlignment="1">
      <alignment vertical="center"/>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5"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3" fillId="0" borderId="66" xfId="0" applyFont="1" applyBorder="1" applyAlignment="1">
      <alignment horizontal="center"/>
    </xf>
    <xf numFmtId="0" fontId="243" fillId="0" borderId="69" xfId="0" applyFont="1" applyBorder="1" applyAlignment="1">
      <alignment horizontal="center"/>
    </xf>
    <xf numFmtId="0" fontId="243" fillId="0" borderId="72" xfId="0" applyFont="1" applyBorder="1" applyAlignment="1">
      <alignment horizontal="center"/>
    </xf>
    <xf numFmtId="0" fontId="21" fillId="0" borderId="0" xfId="0" applyFont="1" applyAlignment="1">
      <alignment horizontal="center"/>
    </xf>
    <xf numFmtId="0" fontId="0" fillId="0" borderId="82" xfId="0" applyBorder="1" applyAlignment="1">
      <alignment horizontal="left" vertical="center" indent="1"/>
    </xf>
    <xf numFmtId="0" fontId="0" fillId="42" borderId="67" xfId="0" applyFill="1" applyBorder="1" applyAlignment="1">
      <alignment horizontal="left" vertical="center" wrapText="1" indent="1"/>
    </xf>
    <xf numFmtId="0" fontId="29" fillId="42" borderId="67" xfId="92" applyFill="1" applyBorder="1" applyAlignment="1">
      <alignment horizontal="left" vertical="center" wrapText="1" indent="1"/>
    </xf>
    <xf numFmtId="0" fontId="29" fillId="42" borderId="70" xfId="92" applyFill="1" applyBorder="1" applyAlignment="1">
      <alignment horizontal="left" vertical="center" wrapText="1" indent="1"/>
    </xf>
    <xf numFmtId="0" fontId="244"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6" fillId="0" borderId="0" xfId="85" applyFont="1" applyFill="1" applyBorder="1" applyAlignment="1">
      <alignment horizontal="left" vertical="center" wrapText="1"/>
    </xf>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12" xfId="1" applyNumberFormat="1" applyFont="1" applyFill="1" applyBorder="1" applyProtection="1"/>
    <xf numFmtId="172" fontId="5" fillId="38" borderId="108" xfId="1" applyNumberFormat="1" applyFont="1" applyFill="1" applyBorder="1" applyProtection="1"/>
    <xf numFmtId="172" fontId="5" fillId="38" borderId="110" xfId="1" applyNumberFormat="1" applyFont="1" applyFill="1" applyBorder="1" applyProtection="1"/>
    <xf numFmtId="172" fontId="6" fillId="38" borderId="108"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5" fillId="3" borderId="3" xfId="2" applyNumberFormat="1" applyFont="1" applyFill="1" applyBorder="1" applyAlignment="1">
      <alignment horizontal="center" vertical="center"/>
    </xf>
    <xf numFmtId="0" fontId="27" fillId="47" borderId="115" xfId="75" applyFont="1" applyFill="1" applyBorder="1" applyAlignment="1" applyProtection="1"/>
    <xf numFmtId="0" fontId="0" fillId="0" borderId="25" xfId="0" applyFill="1" applyBorder="1"/>
    <xf numFmtId="0" fontId="0" fillId="0" borderId="0" xfId="0" applyFill="1" applyBorder="1"/>
    <xf numFmtId="0" fontId="26" fillId="47" borderId="115" xfId="75" applyFont="1" applyFill="1" applyBorder="1" applyAlignment="1" applyProtection="1"/>
    <xf numFmtId="0" fontId="243" fillId="117" borderId="0" xfId="0" applyFont="1" applyFill="1" applyAlignment="1">
      <alignment horizontal="left" vertical="top"/>
    </xf>
    <xf numFmtId="0" fontId="243"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3"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4"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4"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4"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3" fillId="0" borderId="0" xfId="0" applyFont="1" applyFill="1" applyAlignment="1">
      <alignment horizontal="left" vertical="top"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82" xfId="0" applyNumberFormat="1" applyFill="1" applyBorder="1"/>
    <xf numFmtId="10" fontId="0" fillId="3" borderId="90" xfId="0" applyNumberFormat="1" applyFill="1" applyBorder="1"/>
    <xf numFmtId="10" fontId="0" fillId="3" borderId="65" xfId="0" applyNumberFormat="1" applyFill="1" applyBorder="1"/>
    <xf numFmtId="10" fontId="0" fillId="3" borderId="66" xfId="0" applyNumberFormat="1" applyFill="1" applyBorder="1"/>
    <xf numFmtId="0" fontId="0" fillId="0" borderId="83" xfId="0" applyBorder="1" applyAlignment="1">
      <alignment horizontal="left" indent="1"/>
    </xf>
    <xf numFmtId="0" fontId="0" fillId="0" borderId="84" xfId="0" applyBorder="1" applyAlignment="1">
      <alignment horizontal="left" indent="1"/>
    </xf>
    <xf numFmtId="0" fontId="0" fillId="0" borderId="85" xfId="0" applyBorder="1" applyAlignment="1">
      <alignment horizontal="left" indent="1"/>
    </xf>
    <xf numFmtId="3" fontId="6" fillId="0" borderId="0" xfId="89" applyNumberFormat="1" applyFont="1" applyFill="1" applyBorder="1" applyAlignment="1">
      <alignment horizontal="left" indent="1"/>
    </xf>
    <xf numFmtId="0" fontId="243"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3"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3"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0" fontId="243" fillId="117" borderId="0" xfId="0" applyFont="1" applyFill="1"/>
    <xf numFmtId="0" fontId="243" fillId="117" borderId="0" xfId="0" applyFont="1" applyFill="1" applyAlignment="1">
      <alignment horizontal="left" indent="1"/>
    </xf>
    <xf numFmtId="0" fontId="243" fillId="117" borderId="0" xfId="0" applyFont="1" applyFill="1" applyAlignment="1">
      <alignment wrapText="1"/>
    </xf>
    <xf numFmtId="10" fontId="0" fillId="0" borderId="0" xfId="0" applyNumberFormat="1" applyFill="1" applyBorder="1"/>
    <xf numFmtId="3" fontId="5" fillId="0" borderId="110" xfId="89" applyNumberFormat="1" applyFont="1" applyFill="1" applyBorder="1" applyAlignment="1">
      <alignment horizontal="left" indent="1"/>
    </xf>
    <xf numFmtId="3" fontId="5" fillId="0" borderId="108"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20" xfId="1" applyNumberFormat="1" applyFont="1" applyFill="1" applyBorder="1" applyAlignment="1">
      <alignment horizontal="right"/>
    </xf>
    <xf numFmtId="9" fontId="0" fillId="51" borderId="99" xfId="1" applyNumberFormat="1" applyFont="1" applyFill="1" applyBorder="1" applyAlignment="1">
      <alignment horizontal="right"/>
    </xf>
    <xf numFmtId="9" fontId="0" fillId="51" borderId="100" xfId="1" applyNumberFormat="1" applyFont="1" applyFill="1" applyBorder="1" applyAlignment="1">
      <alignment horizontal="right"/>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5" fontId="5" fillId="3" borderId="64" xfId="2" applyNumberFormat="1" applyFont="1" applyFill="1" applyBorder="1" applyAlignment="1">
      <alignment vertical="center"/>
    </xf>
    <xf numFmtId="165" fontId="5" fillId="3" borderId="65" xfId="2" applyNumberFormat="1" applyFont="1" applyFill="1" applyBorder="1" applyAlignment="1">
      <alignment vertical="center"/>
    </xf>
    <xf numFmtId="165" fontId="5" fillId="3" borderId="73" xfId="2" applyNumberFormat="1" applyFont="1" applyFill="1" applyBorder="1" applyAlignment="1">
      <alignment vertical="center"/>
    </xf>
    <xf numFmtId="165" fontId="5" fillId="3" borderId="74"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0" fillId="0" borderId="68" xfId="0" applyNumberFormat="1" applyBorder="1" applyAlignment="1">
      <alignment horizontal="center"/>
    </xf>
    <xf numFmtId="178" fontId="0" fillId="0" borderId="69" xfId="0" applyNumberForma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173" fontId="5" fillId="52"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8" fontId="0" fillId="51" borderId="76" xfId="1" applyNumberFormat="1" applyFont="1" applyFill="1" applyBorder="1" applyAlignment="1">
      <alignment horizontal="right"/>
    </xf>
    <xf numFmtId="0" fontId="0" fillId="0" borderId="0" xfId="0" applyFont="1" applyAlignment="1">
      <alignment horizontal="left" vertical="top" indent="1"/>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3" fillId="117" borderId="0" xfId="0" applyFont="1" applyFill="1" applyAlignment="1">
      <alignment vertical="top"/>
    </xf>
    <xf numFmtId="0" fontId="243"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0" fontId="0" fillId="3" borderId="0" xfId="0" applyFont="1" applyFill="1" applyAlignment="1">
      <alignment horizontal="left" vertical="top" indent="1"/>
    </xf>
    <xf numFmtId="0" fontId="0" fillId="3" borderId="0" xfId="0" applyFont="1"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14" fontId="5" fillId="3" borderId="30" xfId="2" applyNumberFormat="1" applyFont="1" applyFill="1" applyBorder="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3"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45" fillId="0" borderId="77" xfId="7" applyFont="1" applyFill="1" applyBorder="1" applyAlignment="1">
      <alignment horizontal="center" vertical="center" wrapText="1"/>
    </xf>
    <xf numFmtId="0" fontId="245" fillId="0" borderId="78" xfId="7" applyFont="1" applyFill="1" applyBorder="1" applyAlignment="1">
      <alignment horizontal="center" vertical="center" wrapText="1"/>
    </xf>
    <xf numFmtId="0" fontId="0" fillId="118" borderId="14" xfId="0" applyFill="1" applyBorder="1"/>
    <xf numFmtId="0" fontId="0" fillId="118" borderId="0" xfId="0" applyFill="1" applyBorder="1"/>
    <xf numFmtId="0" fontId="0" fillId="118" borderId="15" xfId="0" applyFill="1" applyBorder="1"/>
    <xf numFmtId="0" fontId="0" fillId="118" borderId="94" xfId="0" applyFill="1" applyBorder="1"/>
    <xf numFmtId="0" fontId="0" fillId="118" borderId="98" xfId="0" applyFill="1" applyBorder="1"/>
    <xf numFmtId="173" fontId="0" fillId="118" borderId="64" xfId="0" applyNumberFormat="1" applyFill="1" applyBorder="1" applyAlignment="1">
      <alignment horizontal="right" indent="1"/>
    </xf>
    <xf numFmtId="173" fontId="0" fillId="118" borderId="65" xfId="0" applyNumberFormat="1" applyFill="1" applyBorder="1" applyAlignment="1">
      <alignment horizontal="right" indent="1"/>
    </xf>
    <xf numFmtId="173" fontId="0" fillId="118" borderId="67" xfId="0" applyNumberFormat="1" applyFill="1" applyBorder="1" applyAlignment="1">
      <alignment horizontal="right" indent="1"/>
    </xf>
    <xf numFmtId="173" fontId="0" fillId="118" borderId="68" xfId="0" applyNumberFormat="1" applyFill="1" applyBorder="1" applyAlignment="1">
      <alignment horizontal="right" indent="1"/>
    </xf>
    <xf numFmtId="173" fontId="0" fillId="118" borderId="69" xfId="0" applyNumberFormat="1" applyFill="1" applyBorder="1" applyAlignment="1">
      <alignment horizontal="right" indent="1"/>
    </xf>
    <xf numFmtId="173" fontId="0" fillId="118" borderId="71" xfId="0" applyNumberFormat="1" applyFill="1" applyBorder="1" applyAlignment="1">
      <alignment horizontal="right" indent="1"/>
    </xf>
    <xf numFmtId="173" fontId="0" fillId="118" borderId="72" xfId="0" applyNumberFormat="1" applyFill="1" applyBorder="1" applyAlignment="1">
      <alignment horizontal="right" indent="1"/>
    </xf>
    <xf numFmtId="0" fontId="0" fillId="118" borderId="114" xfId="0" applyFill="1" applyBorder="1"/>
    <xf numFmtId="0" fontId="0" fillId="118" borderId="25" xfId="0" applyFill="1" applyBorder="1"/>
    <xf numFmtId="0" fontId="0" fillId="118" borderId="111" xfId="0" applyFill="1" applyBorder="1"/>
    <xf numFmtId="0" fontId="0" fillId="118" borderId="105" xfId="0" applyFill="1" applyBorder="1"/>
    <xf numFmtId="173" fontId="5" fillId="118" borderId="76" xfId="7" applyNumberFormat="1" applyFont="1" applyFill="1" applyBorder="1" applyAlignment="1">
      <alignment horizontal="center"/>
    </xf>
    <xf numFmtId="173" fontId="5" fillId="118" borderId="77" xfId="7" applyNumberFormat="1" applyFont="1" applyFill="1" applyBorder="1" applyAlignment="1">
      <alignment horizontal="center"/>
    </xf>
    <xf numFmtId="0" fontId="0" fillId="54" borderId="116" xfId="0" applyFill="1" applyBorder="1" applyAlignment="1">
      <alignment horizontal="right" vertical="top"/>
    </xf>
    <xf numFmtId="0" fontId="5" fillId="3" borderId="83" xfId="2" applyNumberFormat="1" applyFont="1" applyFill="1" applyBorder="1" applyAlignment="1">
      <alignment horizontal="left" vertical="top"/>
    </xf>
    <xf numFmtId="0" fontId="5" fillId="3" borderId="84" xfId="2" applyNumberFormat="1" applyFont="1" applyFill="1" applyBorder="1" applyAlignment="1">
      <alignment horizontal="left" vertical="top"/>
    </xf>
    <xf numFmtId="0" fontId="5" fillId="3" borderId="85" xfId="2" applyNumberFormat="1" applyFont="1" applyFill="1" applyBorder="1" applyAlignment="1">
      <alignment horizontal="left" vertical="top"/>
    </xf>
    <xf numFmtId="172" fontId="5" fillId="38" borderId="83" xfId="1" applyNumberFormat="1" applyFont="1" applyFill="1" applyBorder="1" applyProtection="1"/>
    <xf numFmtId="172" fontId="5" fillId="38" borderId="85" xfId="1" applyNumberFormat="1" applyFont="1" applyFill="1" applyBorder="1" applyProtection="1"/>
    <xf numFmtId="172" fontId="5" fillId="38" borderId="116" xfId="1" applyNumberFormat="1" applyFont="1" applyFill="1" applyBorder="1" applyProtection="1"/>
    <xf numFmtId="172" fontId="5" fillId="38" borderId="117" xfId="1" applyNumberFormat="1" applyFont="1" applyFill="1" applyBorder="1" applyProtection="1"/>
    <xf numFmtId="172" fontId="5" fillId="38" borderId="97" xfId="1" applyNumberFormat="1" applyFont="1" applyFill="1" applyBorder="1" applyProtection="1"/>
    <xf numFmtId="172" fontId="5" fillId="38" borderId="121" xfId="1" applyNumberFormat="1" applyFont="1" applyFill="1" applyBorder="1" applyProtection="1"/>
    <xf numFmtId="172" fontId="5" fillId="3" borderId="64" xfId="2" applyNumberFormat="1" applyFont="1" applyFill="1" applyBorder="1"/>
    <xf numFmtId="172" fontId="5" fillId="3" borderId="65"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5" fillId="52" borderId="75"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ont="1" applyFill="1" applyBorder="1" applyAlignment="1">
      <alignment horizontal="right"/>
    </xf>
    <xf numFmtId="172" fontId="5" fillId="51" borderId="68" xfId="75" applyNumberFormat="1" applyFont="1" applyFill="1" applyBorder="1" applyAlignment="1" applyProtection="1">
      <alignment horizontal="right"/>
    </xf>
    <xf numFmtId="172" fontId="0" fillId="51" borderId="68" xfId="0" applyNumberFormat="1" applyFont="1" applyFill="1" applyBorder="1" applyAlignment="1">
      <alignment horizontal="right"/>
    </xf>
    <xf numFmtId="172" fontId="0" fillId="51" borderId="69" xfId="0" applyNumberFormat="1" applyFon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64" xfId="0" applyNumberFormat="1" applyFont="1" applyFill="1" applyBorder="1" applyAlignment="1">
      <alignment horizontal="right" vertical="top"/>
    </xf>
    <xf numFmtId="172" fontId="0" fillId="3" borderId="65" xfId="0" applyNumberFormat="1" applyFont="1" applyFill="1" applyBorder="1" applyAlignment="1">
      <alignment horizontal="right" vertical="top"/>
    </xf>
    <xf numFmtId="172" fontId="0" fillId="3" borderId="66" xfId="0" applyNumberFormat="1" applyFont="1" applyFill="1" applyBorder="1" applyAlignment="1">
      <alignment horizontal="right" vertical="top"/>
    </xf>
    <xf numFmtId="172" fontId="0" fillId="3" borderId="67" xfId="0" applyNumberFormat="1" applyFont="1" applyFill="1" applyBorder="1" applyAlignment="1">
      <alignment horizontal="right" vertical="top"/>
    </xf>
    <xf numFmtId="172" fontId="0" fillId="3" borderId="68" xfId="0" applyNumberFormat="1" applyFont="1" applyFill="1" applyBorder="1" applyAlignment="1">
      <alignment horizontal="right" vertical="top"/>
    </xf>
    <xf numFmtId="172" fontId="0" fillId="3" borderId="69" xfId="0" applyNumberFormat="1" applyFont="1" applyFill="1" applyBorder="1" applyAlignment="1">
      <alignment horizontal="right" vertical="top"/>
    </xf>
    <xf numFmtId="172" fontId="0" fillId="3" borderId="70" xfId="0" applyNumberFormat="1" applyFont="1" applyFill="1" applyBorder="1" applyAlignment="1">
      <alignment horizontal="right"/>
    </xf>
    <xf numFmtId="172" fontId="0" fillId="3" borderId="71" xfId="0" applyNumberFormat="1" applyFont="1" applyFill="1" applyBorder="1" applyAlignment="1">
      <alignment horizontal="right"/>
    </xf>
    <xf numFmtId="172" fontId="0" fillId="3" borderId="71" xfId="0" applyNumberFormat="1" applyFont="1" applyFill="1" applyBorder="1" applyAlignment="1">
      <alignment horizontal="right" vertical="top"/>
    </xf>
    <xf numFmtId="172" fontId="0" fillId="3" borderId="72" xfId="0" applyNumberFormat="1" applyFont="1" applyFill="1" applyBorder="1" applyAlignment="1">
      <alignment horizontal="right"/>
    </xf>
    <xf numFmtId="172" fontId="0" fillId="52" borderId="76" xfId="0" applyNumberFormat="1" applyFont="1" applyFill="1" applyBorder="1" applyAlignment="1">
      <alignment horizontal="right"/>
    </xf>
    <xf numFmtId="172" fontId="0" fillId="52" borderId="77" xfId="0" applyNumberFormat="1" applyFont="1" applyFill="1" applyBorder="1" applyAlignment="1">
      <alignment horizontal="right"/>
    </xf>
    <xf numFmtId="172" fontId="0" fillId="52" borderId="78" xfId="0" applyNumberFormat="1" applyFont="1" applyFill="1" applyBorder="1" applyAlignment="1">
      <alignment horizontal="right"/>
    </xf>
    <xf numFmtId="172" fontId="0" fillId="3" borderId="76" xfId="0" applyNumberFormat="1" applyFont="1" applyFill="1" applyBorder="1" applyAlignment="1">
      <alignment horizontal="right"/>
    </xf>
    <xf numFmtId="172" fontId="0" fillId="3" borderId="77" xfId="0" applyNumberFormat="1" applyFont="1" applyFill="1" applyBorder="1" applyAlignment="1">
      <alignment horizontal="right"/>
    </xf>
    <xf numFmtId="172" fontId="0" fillId="3" borderId="78" xfId="0" applyNumberFormat="1" applyFont="1" applyFill="1" applyBorder="1" applyAlignment="1">
      <alignment horizontal="right"/>
    </xf>
    <xf numFmtId="172" fontId="0" fillId="52" borderId="64" xfId="0" applyNumberFormat="1" applyFont="1" applyFill="1" applyBorder="1" applyAlignment="1">
      <alignment horizontal="right"/>
    </xf>
    <xf numFmtId="172" fontId="0" fillId="52" borderId="65" xfId="0" applyNumberFormat="1" applyFont="1" applyFill="1" applyBorder="1" applyAlignment="1">
      <alignment horizontal="right"/>
    </xf>
    <xf numFmtId="172" fontId="0" fillId="52" borderId="66" xfId="0" applyNumberFormat="1" applyFont="1" applyFill="1" applyBorder="1" applyAlignment="1">
      <alignment horizontal="right"/>
    </xf>
    <xf numFmtId="172" fontId="0" fillId="3" borderId="70" xfId="0" applyNumberFormat="1" applyFill="1" applyBorder="1" applyAlignment="1">
      <alignment horizontal="right" vertical="top"/>
    </xf>
    <xf numFmtId="172" fontId="0" fillId="3" borderId="71" xfId="0" applyNumberFormat="1" applyFill="1" applyBorder="1" applyAlignment="1">
      <alignment horizontal="right" vertical="top"/>
    </xf>
    <xf numFmtId="172" fontId="0" fillId="3" borderId="72"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3" fillId="52" borderId="66"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3" borderId="64" xfId="2" applyNumberFormat="1" applyFont="1" applyFill="1" applyBorder="1" applyAlignment="1">
      <alignment vertical="center"/>
    </xf>
    <xf numFmtId="172" fontId="5" fillId="3" borderId="65" xfId="2" applyNumberFormat="1" applyFont="1" applyFill="1" applyBorder="1" applyAlignment="1">
      <alignment vertical="center"/>
    </xf>
    <xf numFmtId="172" fontId="5" fillId="52" borderId="112" xfId="2" applyNumberFormat="1" applyFont="1" applyFill="1" applyBorder="1" applyAlignment="1">
      <alignment vertical="center"/>
    </xf>
    <xf numFmtId="172" fontId="5" fillId="52" borderId="83" xfId="2" applyNumberFormat="1" applyFont="1" applyFill="1" applyBorder="1" applyAlignment="1">
      <alignment vertical="center"/>
    </xf>
    <xf numFmtId="172" fontId="5" fillId="3" borderId="73" xfId="2" applyNumberFormat="1" applyFont="1" applyFill="1" applyBorder="1" applyAlignment="1">
      <alignment vertical="center"/>
    </xf>
    <xf numFmtId="172" fontId="5" fillId="3" borderId="74" xfId="2" applyNumberFormat="1" applyFont="1" applyFill="1" applyBorder="1" applyAlignment="1">
      <alignment vertical="center"/>
    </xf>
    <xf numFmtId="172" fontId="5" fillId="52" borderId="113" xfId="2" applyNumberFormat="1" applyFont="1" applyFill="1" applyBorder="1" applyAlignment="1">
      <alignment vertical="center"/>
    </xf>
    <xf numFmtId="172" fontId="5" fillId="52" borderId="122" xfId="2" applyNumberFormat="1" applyFont="1" applyFill="1" applyBorder="1" applyAlignment="1">
      <alignment vertical="center"/>
    </xf>
    <xf numFmtId="172" fontId="5" fillId="52" borderId="112" xfId="2" applyNumberFormat="1" applyFont="1" applyFill="1" applyBorder="1"/>
    <xf numFmtId="172" fontId="5" fillId="52" borderId="83" xfId="2" applyNumberFormat="1" applyFont="1" applyFill="1" applyBorder="1"/>
    <xf numFmtId="172" fontId="5" fillId="52" borderId="110" xfId="2" applyNumberFormat="1" applyFont="1" applyFill="1" applyBorder="1"/>
    <xf numFmtId="172" fontId="5" fillId="52" borderId="84" xfId="2" applyNumberFormat="1" applyFont="1" applyFill="1" applyBorder="1"/>
    <xf numFmtId="172" fontId="5" fillId="52" borderId="113" xfId="2" applyNumberFormat="1" applyFont="1" applyFill="1" applyBorder="1"/>
    <xf numFmtId="172" fontId="5" fillId="52" borderId="85" xfId="2" applyNumberFormat="1" applyFont="1" applyFill="1" applyBorder="1"/>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4" xfId="0" applyNumberFormat="1" applyFill="1" applyBorder="1" applyAlignment="1">
      <alignment horizontal="right" vertical="top"/>
    </xf>
    <xf numFmtId="172" fontId="0" fillId="0" borderId="65" xfId="0" applyNumberFormat="1" applyFill="1" applyBorder="1" applyAlignment="1">
      <alignment horizontal="right" vertical="top"/>
    </xf>
    <xf numFmtId="172" fontId="0" fillId="0" borderId="66" xfId="0" applyNumberFormat="1" applyFill="1" applyBorder="1" applyAlignment="1">
      <alignment horizontal="right" vertical="top"/>
    </xf>
    <xf numFmtId="172" fontId="0" fillId="52" borderId="64" xfId="0" applyNumberFormat="1" applyFont="1" applyFill="1" applyBorder="1" applyAlignment="1">
      <alignment horizontal="right" vertical="top"/>
    </xf>
    <xf numFmtId="172" fontId="0" fillId="0" borderId="74" xfId="0" applyNumberFormat="1" applyFont="1" applyFill="1" applyBorder="1" applyAlignment="1">
      <alignment horizontal="right"/>
    </xf>
    <xf numFmtId="172" fontId="0" fillId="0" borderId="75" xfId="0" applyNumberFormat="1" applyFont="1" applyFill="1" applyBorder="1" applyAlignment="1">
      <alignment horizontal="right"/>
    </xf>
    <xf numFmtId="172" fontId="5" fillId="3" borderId="69" xfId="2" applyNumberFormat="1" applyFont="1" applyFill="1" applyBorder="1"/>
    <xf numFmtId="172" fontId="5" fillId="3" borderId="75" xfId="2" applyNumberFormat="1" applyFont="1" applyFill="1" applyBorder="1"/>
    <xf numFmtId="172" fontId="5" fillId="3" borderId="66" xfId="2" applyNumberFormat="1" applyFont="1" applyFill="1" applyBorder="1"/>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4" xfId="0" applyNumberFormat="1" applyFill="1" applyBorder="1" applyAlignment="1">
      <alignment horizontal="right" vertical="top"/>
    </xf>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1" borderId="75" xfId="0" applyNumberFormat="1" applyFont="1" applyFill="1" applyBorder="1" applyAlignment="1">
      <alignment horizontal="right"/>
    </xf>
    <xf numFmtId="172" fontId="0" fillId="52" borderId="64" xfId="0" applyNumberFormat="1" applyFont="1" applyFill="1" applyBorder="1"/>
    <xf numFmtId="172" fontId="0" fillId="52" borderId="65" xfId="0" applyNumberFormat="1" applyFont="1" applyFill="1" applyBorder="1"/>
    <xf numFmtId="172" fontId="0" fillId="52" borderId="66" xfId="0" applyNumberFormat="1" applyFont="1" applyFill="1" applyBorder="1"/>
    <xf numFmtId="172" fontId="5" fillId="3" borderId="76" xfId="2" applyNumberFormat="1" applyFont="1" applyFill="1" applyBorder="1"/>
    <xf numFmtId="172" fontId="5" fillId="3" borderId="77" xfId="2" applyNumberFormat="1" applyFont="1" applyFill="1" applyBorder="1"/>
    <xf numFmtId="172" fontId="5" fillId="3" borderId="78"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3" borderId="73" xfId="2" applyNumberFormat="1" applyFont="1" applyFill="1" applyBorder="1"/>
    <xf numFmtId="172" fontId="6" fillId="3" borderId="74" xfId="2" applyNumberFormat="1" applyFont="1" applyFill="1" applyBorder="1"/>
    <xf numFmtId="172" fontId="6" fillId="3" borderId="75" xfId="2" applyNumberFormat="1" applyFont="1" applyFill="1" applyBorder="1"/>
    <xf numFmtId="172" fontId="6" fillId="52" borderId="120" xfId="2" applyNumberFormat="1" applyFont="1" applyFill="1" applyBorder="1"/>
    <xf numFmtId="172" fontId="6" fillId="52" borderId="99" xfId="2" applyNumberFormat="1" applyFont="1" applyFill="1" applyBorder="1"/>
    <xf numFmtId="172" fontId="6" fillId="52" borderId="100"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20" xfId="1" applyNumberFormat="1" applyFont="1" applyFill="1" applyBorder="1" applyProtection="1"/>
    <xf numFmtId="172" fontId="5" fillId="38" borderId="99" xfId="1" applyNumberFormat="1" applyFont="1" applyFill="1" applyBorder="1" applyProtection="1"/>
    <xf numFmtId="172" fontId="5" fillId="38" borderId="100"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3" fillId="0" borderId="0" xfId="0" applyNumberFormat="1" applyFont="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0" borderId="0" xfId="0" applyNumberFormat="1" applyFont="1" applyFill="1" applyBorder="1" applyAlignment="1">
      <alignment horizontal="left" vertical="center" indent="1"/>
    </xf>
    <xf numFmtId="172" fontId="0" fillId="0" borderId="0" xfId="0" applyNumberFormat="1" applyFon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0" fillId="0" borderId="0" xfId="0" applyNumberFormat="1" applyFill="1" applyAlignment="1">
      <alignment horizontal="left" vertical="top"/>
    </xf>
    <xf numFmtId="172" fontId="5" fillId="3" borderId="70" xfId="2" applyNumberFormat="1" applyFont="1" applyFill="1" applyBorder="1"/>
    <xf numFmtId="172" fontId="5" fillId="3" borderId="71" xfId="2" applyNumberFormat="1" applyFont="1" applyFill="1" applyBorder="1"/>
    <xf numFmtId="172" fontId="5" fillId="3" borderId="72" xfId="2" applyNumberFormat="1" applyFont="1" applyFill="1" applyBorder="1"/>
    <xf numFmtId="172" fontId="0" fillId="0" borderId="0" xfId="0" applyNumberFormat="1"/>
    <xf numFmtId="172" fontId="0" fillId="0" borderId="76" xfId="0" applyNumberFormat="1" applyFill="1" applyBorder="1" applyAlignment="1">
      <alignment horizontal="right" vertical="top"/>
    </xf>
    <xf numFmtId="172" fontId="0" fillId="0" borderId="77" xfId="0" applyNumberFormat="1" applyFill="1" applyBorder="1" applyAlignment="1">
      <alignment horizontal="right" vertical="top"/>
    </xf>
    <xf numFmtId="172" fontId="0" fillId="0" borderId="78" xfId="0" applyNumberFormat="1" applyFill="1" applyBorder="1" applyAlignment="1">
      <alignment horizontal="right" vertical="top"/>
    </xf>
    <xf numFmtId="172" fontId="0" fillId="0" borderId="70" xfId="0" applyNumberFormat="1" applyFill="1" applyBorder="1" applyAlignment="1">
      <alignment horizontal="right" vertical="top"/>
    </xf>
    <xf numFmtId="172" fontId="0" fillId="0" borderId="71" xfId="0" applyNumberFormat="1" applyFill="1" applyBorder="1" applyAlignment="1">
      <alignment horizontal="right" vertical="top"/>
    </xf>
    <xf numFmtId="172" fontId="0" fillId="0" borderId="72" xfId="0" applyNumberFormat="1" applyFill="1" applyBorder="1" applyAlignment="1">
      <alignment horizontal="right" vertical="top"/>
    </xf>
    <xf numFmtId="172" fontId="5" fillId="3" borderId="3" xfId="2" applyNumberFormat="1" applyFont="1" applyFill="1" applyBorder="1"/>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18" borderId="70" xfId="7" applyNumberFormat="1" applyFont="1" applyFill="1" applyBorder="1" applyAlignment="1">
      <alignment horizontal="center"/>
    </xf>
    <xf numFmtId="170" fontId="5" fillId="36" borderId="77" xfId="77" applyNumberFormat="1" applyFont="1" applyFill="1" applyBorder="1" applyAlignment="1" applyProtection="1">
      <alignment vertical="center"/>
    </xf>
    <xf numFmtId="170" fontId="5" fillId="36" borderId="78" xfId="77" applyNumberFormat="1" applyFont="1" applyFill="1" applyBorder="1" applyAlignment="1" applyProtection="1">
      <alignment vertical="center"/>
    </xf>
    <xf numFmtId="349" fontId="5" fillId="38" borderId="77" xfId="77" applyNumberFormat="1" applyFont="1" applyFill="1" applyBorder="1" applyProtection="1"/>
    <xf numFmtId="349" fontId="5" fillId="38" borderId="78" xfId="77" applyNumberFormat="1" applyFont="1" applyFill="1" applyBorder="1" applyProtection="1"/>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20" xfId="2" applyNumberFormat="1" applyFont="1" applyFill="1" applyBorder="1" applyAlignment="1">
      <alignment vertical="center"/>
    </xf>
    <xf numFmtId="172" fontId="5" fillId="52" borderId="100"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3" fillId="0" borderId="0" xfId="0" applyFont="1" applyFill="1" applyAlignment="1">
      <alignment horizontal="left" indent="1"/>
    </xf>
    <xf numFmtId="0" fontId="243" fillId="0" borderId="0" xfId="0" applyFont="1" applyFill="1" applyAlignment="1">
      <alignment wrapText="1"/>
    </xf>
    <xf numFmtId="0" fontId="243" fillId="0" borderId="0" xfId="0" applyFont="1" applyFill="1"/>
    <xf numFmtId="0" fontId="0" fillId="0" borderId="30" xfId="0" applyBorder="1" applyAlignment="1">
      <alignment horizontal="center" wrapText="1"/>
    </xf>
    <xf numFmtId="0" fontId="0" fillId="0" borderId="114" xfId="0" applyBorder="1" applyAlignment="1">
      <alignment horizontal="center" wrapText="1"/>
    </xf>
    <xf numFmtId="0" fontId="0" fillId="0" borderId="115" xfId="0" applyBorder="1"/>
    <xf numFmtId="0" fontId="0" fillId="0" borderId="14" xfId="0" applyBorder="1" applyAlignment="1">
      <alignment horizontal="center" wrapText="1"/>
    </xf>
    <xf numFmtId="3" fontId="0" fillId="0" borderId="0" xfId="0" applyNumberFormat="1" applyBorder="1"/>
    <xf numFmtId="0" fontId="0" fillId="0" borderId="97" xfId="0" applyBorder="1" applyAlignment="1">
      <alignment horizontal="center" wrapText="1"/>
    </xf>
    <xf numFmtId="3" fontId="0" fillId="0" borderId="94"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3" xfId="0" applyFont="1" applyFill="1" applyBorder="1" applyAlignment="1">
      <alignment horizontal="left" indent="1"/>
    </xf>
    <xf numFmtId="0" fontId="0" fillId="3" borderId="84" xfId="0" applyFill="1" applyBorder="1" applyAlignment="1">
      <alignment horizontal="left" indent="1"/>
    </xf>
    <xf numFmtId="0" fontId="0" fillId="3" borderId="85" xfId="0" applyFill="1" applyBorder="1" applyAlignment="1">
      <alignment horizontal="left" indent="1"/>
    </xf>
    <xf numFmtId="0" fontId="0" fillId="3" borderId="83" xfId="0" applyFill="1" applyBorder="1" applyAlignment="1">
      <alignment horizontal="left" indent="1"/>
    </xf>
    <xf numFmtId="0" fontId="0" fillId="3" borderId="122" xfId="0" applyFill="1" applyBorder="1" applyAlignment="1">
      <alignment horizontal="left" indent="1"/>
    </xf>
    <xf numFmtId="3" fontId="0" fillId="0" borderId="0" xfId="0" applyNumberFormat="1" applyFill="1" applyBorder="1"/>
    <xf numFmtId="0" fontId="0" fillId="52" borderId="83" xfId="0" applyFill="1" applyBorder="1" applyAlignment="1">
      <alignment horizontal="left" vertical="center" wrapText="1" indent="1"/>
    </xf>
    <xf numFmtId="0" fontId="0" fillId="52" borderId="84" xfId="0" applyFill="1" applyBorder="1" applyAlignment="1">
      <alignment horizontal="left" vertical="center" wrapText="1" indent="1"/>
    </xf>
    <xf numFmtId="0" fontId="0" fillId="52" borderId="85" xfId="0" applyFill="1" applyBorder="1" applyAlignment="1">
      <alignment horizontal="left" vertical="center" wrapText="1" indent="1"/>
    </xf>
    <xf numFmtId="350" fontId="0" fillId="3" borderId="67" xfId="0" applyNumberFormat="1" applyFill="1" applyBorder="1" applyAlignment="1">
      <alignment horizontal="right" vertical="top"/>
    </xf>
    <xf numFmtId="350" fontId="0" fillId="3" borderId="68" xfId="0" applyNumberFormat="1" applyFill="1" applyBorder="1" applyAlignment="1">
      <alignment horizontal="right" vertical="top"/>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2"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8" borderId="118" xfId="1" applyNumberFormat="1" applyFont="1" applyFill="1" applyBorder="1" applyProtection="1"/>
    <xf numFmtId="172" fontId="5" fillId="3" borderId="64" xfId="1" applyNumberFormat="1" applyFont="1" applyFill="1" applyBorder="1" applyProtection="1"/>
    <xf numFmtId="15" fontId="239" fillId="46" borderId="121" xfId="48236" applyNumberFormat="1" applyFont="1" applyFill="1" applyBorder="1" applyAlignment="1">
      <alignment horizontal="center" vertical="top" wrapText="1"/>
    </xf>
    <xf numFmtId="0" fontId="239" fillId="46" borderId="121" xfId="48236" applyFont="1" applyFill="1" applyBorder="1" applyAlignment="1">
      <alignment vertical="top" wrapText="1"/>
    </xf>
    <xf numFmtId="0" fontId="239" fillId="46" borderId="121" xfId="48236" applyFont="1" applyFill="1" applyBorder="1" applyAlignment="1">
      <alignment horizontal="center" vertical="top" wrapText="1"/>
    </xf>
    <xf numFmtId="0" fontId="25" fillId="42" borderId="0" xfId="90" applyFont="1" applyFill="1" applyBorder="1" applyAlignment="1">
      <alignment horizontal="left"/>
    </xf>
    <xf numFmtId="173" fontId="5" fillId="42" borderId="0" xfId="7" applyNumberFormat="1" applyFont="1" applyFill="1" applyBorder="1"/>
    <xf numFmtId="351" fontId="0" fillId="0" borderId="0" xfId="0" applyNumberFormat="1"/>
    <xf numFmtId="350" fontId="0" fillId="0" borderId="0" xfId="1" applyNumberFormat="1" applyFont="1"/>
    <xf numFmtId="168" fontId="5" fillId="42" borderId="0" xfId="0" applyNumberFormat="1" applyFont="1" applyFill="1" applyBorder="1" applyAlignment="1">
      <alignment vertical="center"/>
    </xf>
    <xf numFmtId="0" fontId="0" fillId="3" borderId="0" xfId="0" applyFont="1" applyFill="1" applyAlignment="1">
      <alignment horizontal="left" vertical="top" indent="1"/>
    </xf>
    <xf numFmtId="0" fontId="0" fillId="42" borderId="68" xfId="0" applyFill="1" applyBorder="1" applyAlignment="1">
      <alignment horizontal="left" vertical="top" wrapText="1" indent="1"/>
    </xf>
    <xf numFmtId="0" fontId="0" fillId="42" borderId="71" xfId="0" applyFill="1" applyBorder="1" applyAlignment="1">
      <alignment horizontal="left" vertical="top" wrapText="1" indent="1"/>
    </xf>
    <xf numFmtId="0" fontId="0" fillId="0" borderId="90" xfId="0" applyBorder="1" applyAlignment="1">
      <alignment horizontal="left" vertical="top" wrapText="1" indent="1"/>
    </xf>
    <xf numFmtId="172" fontId="0" fillId="3" borderId="79" xfId="0" applyNumberFormat="1" applyFill="1" applyBorder="1" applyAlignment="1">
      <alignment horizontal="right" vertical="top"/>
    </xf>
    <xf numFmtId="172" fontId="0" fillId="3" borderId="80" xfId="0" applyNumberFormat="1" applyFill="1" applyBorder="1" applyAlignment="1">
      <alignment horizontal="right" vertical="top"/>
    </xf>
    <xf numFmtId="172" fontId="0" fillId="3" borderId="101" xfId="0" applyNumberFormat="1" applyFill="1" applyBorder="1" applyAlignment="1">
      <alignment horizontal="right" vertical="top"/>
    </xf>
    <xf numFmtId="0" fontId="5" fillId="0" borderId="0" xfId="7" applyFont="1" applyFill="1" applyBorder="1" applyAlignment="1">
      <alignment horizontal="left" vertical="center" wrapText="1" indent="1"/>
    </xf>
    <xf numFmtId="0" fontId="22" fillId="0" borderId="0" xfId="0" applyFont="1" applyAlignment="1"/>
    <xf numFmtId="0" fontId="0" fillId="42" borderId="68" xfId="0" applyFill="1" applyBorder="1" applyAlignment="1">
      <alignment horizontal="left" vertical="center" wrapText="1"/>
    </xf>
    <xf numFmtId="0" fontId="0" fillId="0" borderId="90" xfId="0" applyBorder="1" applyAlignment="1">
      <alignment vertical="center" wrapText="1"/>
    </xf>
    <xf numFmtId="172" fontId="0" fillId="51" borderId="64" xfId="0" applyNumberFormat="1" applyFont="1" applyFill="1" applyBorder="1" applyAlignment="1">
      <alignment horizontal="right"/>
    </xf>
    <xf numFmtId="172" fontId="0" fillId="51" borderId="65" xfId="0" applyNumberFormat="1" applyFont="1" applyFill="1" applyBorder="1" applyAlignment="1">
      <alignment horizontal="right"/>
    </xf>
    <xf numFmtId="168" fontId="6" fillId="0" borderId="0" xfId="0" applyNumberFormat="1" applyFont="1" applyFill="1" applyBorder="1" applyAlignment="1">
      <alignment horizontal="left" vertical="center" indent="1"/>
    </xf>
    <xf numFmtId="172" fontId="0" fillId="51" borderId="65" xfId="0" applyNumberFormat="1" applyFill="1" applyBorder="1" applyAlignment="1">
      <alignment horizontal="right" vertical="top"/>
    </xf>
    <xf numFmtId="172" fontId="0" fillId="51" borderId="66" xfId="0" applyNumberFormat="1" applyFill="1" applyBorder="1" applyAlignment="1">
      <alignment horizontal="right" vertical="top"/>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8"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0" fontId="0" fillId="42" borderId="68" xfId="0" quotePrefix="1" applyFill="1" applyBorder="1" applyAlignment="1">
      <alignment horizontal="left" vertical="top" wrapText="1"/>
    </xf>
    <xf numFmtId="178" fontId="0" fillId="51" borderId="30" xfId="0" applyNumberFormat="1" applyFill="1" applyBorder="1" applyAlignment="1">
      <alignment horizontal="right" vertical="top"/>
    </xf>
    <xf numFmtId="178" fontId="0" fillId="42" borderId="0" xfId="0" applyNumberFormat="1" applyFill="1" applyBorder="1" applyAlignment="1">
      <alignment horizontal="right" vertical="top"/>
    </xf>
    <xf numFmtId="0" fontId="0" fillId="42" borderId="68" xfId="0" quotePrefix="1" applyFill="1" applyBorder="1" applyAlignment="1">
      <alignment horizontal="left" vertical="top" wrapText="1" indent="1"/>
    </xf>
    <xf numFmtId="0" fontId="0" fillId="3" borderId="0" xfId="0" applyFont="1" applyFill="1" applyAlignment="1">
      <alignment horizontal="left" vertical="top" indent="1"/>
    </xf>
    <xf numFmtId="172" fontId="0" fillId="51" borderId="76" xfId="0" applyNumberFormat="1" applyFont="1" applyFill="1" applyBorder="1"/>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0" fontId="0" fillId="52" borderId="64" xfId="0" applyNumberFormat="1" applyFill="1" applyBorder="1" applyAlignment="1">
      <alignment horizontal="right" vertical="top"/>
    </xf>
    <xf numFmtId="0" fontId="0" fillId="42" borderId="80" xfId="0" applyFill="1" applyBorder="1" applyAlignment="1">
      <alignment horizontal="left" vertical="top" wrapText="1" indent="1"/>
    </xf>
    <xf numFmtId="0" fontId="0" fillId="42" borderId="80" xfId="0" applyFill="1" applyBorder="1" applyAlignment="1">
      <alignment horizontal="left" vertical="top" wrapText="1"/>
    </xf>
    <xf numFmtId="172" fontId="6" fillId="51" borderId="76" xfId="1" applyNumberFormat="1" applyFont="1" applyFill="1" applyBorder="1" applyProtection="1"/>
    <xf numFmtId="172" fontId="5" fillId="51" borderId="76" xfId="1" applyNumberFormat="1" applyFont="1" applyFill="1" applyBorder="1" applyProtection="1"/>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0" fontId="0" fillId="3" borderId="0" xfId="0" applyFont="1" applyFill="1" applyAlignment="1">
      <alignment horizontal="left" vertical="top" indent="1"/>
    </xf>
    <xf numFmtId="0" fontId="5" fillId="42" borderId="0" xfId="0" applyFont="1" applyFill="1" applyBorder="1" applyAlignment="1" applyProtection="1">
      <alignment horizontal="left" vertical="center" indent="1"/>
    </xf>
    <xf numFmtId="179" fontId="5" fillId="42" borderId="0" xfId="0" applyNumberFormat="1" applyFont="1" applyFill="1" applyAlignment="1" applyProtection="1">
      <alignment horizontal="left" vertical="center" indent="1"/>
      <protection locked="0"/>
    </xf>
    <xf numFmtId="172" fontId="0" fillId="3" borderId="104" xfId="0" applyNumberFormat="1" applyFill="1" applyBorder="1" applyAlignment="1">
      <alignment horizontal="right" vertical="top"/>
    </xf>
    <xf numFmtId="172" fontId="5" fillId="42" borderId="0" xfId="2" applyNumberFormat="1" applyFont="1" applyFill="1" applyBorder="1" applyAlignment="1">
      <alignment horizontal="right" vertical="center"/>
    </xf>
    <xf numFmtId="172" fontId="0" fillId="51" borderId="118" xfId="1" applyNumberFormat="1" applyFont="1" applyFill="1" applyBorder="1" applyAlignment="1"/>
    <xf numFmtId="172" fontId="0" fillId="3" borderId="30" xfId="0" applyNumberFormat="1" applyFill="1" applyBorder="1" applyAlignment="1">
      <alignment horizontal="right" vertical="top"/>
    </xf>
    <xf numFmtId="172" fontId="5" fillId="52" borderId="30" xfId="2" applyNumberFormat="1" applyFont="1" applyFill="1" applyBorder="1" applyAlignment="1">
      <alignment horizontal="right" vertical="center"/>
    </xf>
    <xf numFmtId="0" fontId="0" fillId="101" borderId="0" xfId="0" applyFill="1"/>
    <xf numFmtId="0" fontId="257" fillId="47" borderId="0" xfId="90" applyFont="1" applyFill="1" applyBorder="1" applyAlignment="1">
      <alignment horizontal="left"/>
    </xf>
    <xf numFmtId="0" fontId="256" fillId="47" borderId="0" xfId="0" applyFont="1" applyFill="1"/>
    <xf numFmtId="0" fontId="258" fillId="47" borderId="0" xfId="92" applyFont="1" applyFill="1" applyAlignment="1">
      <alignment wrapText="1"/>
    </xf>
    <xf numFmtId="0" fontId="256" fillId="47" borderId="0" xfId="0" applyFont="1" applyFill="1" applyAlignment="1">
      <alignment wrapText="1"/>
    </xf>
    <xf numFmtId="0" fontId="256" fillId="47" borderId="0" xfId="0" applyFont="1" applyFill="1" applyAlignment="1">
      <alignment horizontal="left" indent="1"/>
    </xf>
    <xf numFmtId="0" fontId="257" fillId="47" borderId="114" xfId="90" applyFont="1" applyFill="1" applyBorder="1" applyAlignment="1">
      <alignment horizontal="left"/>
    </xf>
    <xf numFmtId="0" fontId="256" fillId="47" borderId="57" xfId="0" applyFont="1" applyFill="1" applyBorder="1" applyAlignment="1">
      <alignment wrapText="1"/>
    </xf>
    <xf numFmtId="0" fontId="256" fillId="47" borderId="115" xfId="0" applyFont="1" applyFill="1" applyBorder="1" applyAlignment="1">
      <alignment wrapText="1"/>
    </xf>
    <xf numFmtId="0" fontId="257" fillId="47" borderId="14" xfId="90" applyFont="1" applyFill="1" applyBorder="1" applyAlignment="1">
      <alignment horizontal="left"/>
    </xf>
    <xf numFmtId="0" fontId="256" fillId="47" borderId="0" xfId="0" applyFont="1" applyFill="1" applyBorder="1" applyAlignment="1">
      <alignment wrapText="1"/>
    </xf>
    <xf numFmtId="0" fontId="256" fillId="47" borderId="15" xfId="0" applyFont="1" applyFill="1" applyBorder="1" applyAlignment="1">
      <alignment wrapText="1"/>
    </xf>
    <xf numFmtId="0" fontId="257" fillId="47" borderId="97" xfId="90" applyFont="1" applyFill="1" applyBorder="1" applyAlignment="1">
      <alignment horizontal="left"/>
    </xf>
    <xf numFmtId="0" fontId="256" fillId="47" borderId="94" xfId="0" applyFont="1" applyFill="1" applyBorder="1" applyAlignment="1">
      <alignment wrapText="1"/>
    </xf>
    <xf numFmtId="0" fontId="256" fillId="47" borderId="98" xfId="0" applyFont="1" applyFill="1" applyBorder="1" applyAlignment="1">
      <alignment wrapText="1"/>
    </xf>
    <xf numFmtId="0" fontId="257" fillId="47" borderId="25" xfId="90" applyNumberFormat="1" applyFont="1" applyFill="1" applyBorder="1" applyAlignment="1">
      <alignment horizontal="left" indent="1"/>
    </xf>
    <xf numFmtId="0" fontId="257" fillId="47" borderId="25" xfId="90" applyFont="1" applyFill="1" applyBorder="1" applyAlignment="1">
      <alignment horizontal="left"/>
    </xf>
    <xf numFmtId="0" fontId="257" fillId="47" borderId="0" xfId="90" applyNumberFormat="1" applyFont="1" applyFill="1" applyBorder="1" applyAlignment="1">
      <alignment horizontal="left" indent="1"/>
    </xf>
    <xf numFmtId="0" fontId="259" fillId="47" borderId="94" xfId="90" applyNumberFormat="1" applyFont="1" applyFill="1" applyBorder="1" applyAlignment="1">
      <alignment horizontal="left" indent="1"/>
    </xf>
    <xf numFmtId="0" fontId="257" fillId="47" borderId="94" xfId="90" applyFont="1" applyFill="1" applyBorder="1" applyAlignment="1">
      <alignment horizontal="left"/>
    </xf>
    <xf numFmtId="0" fontId="257" fillId="47" borderId="95" xfId="90" applyFont="1" applyFill="1" applyBorder="1" applyAlignment="1">
      <alignment horizontal="left"/>
    </xf>
    <xf numFmtId="0" fontId="256" fillId="47" borderId="25" xfId="0" applyFont="1" applyFill="1" applyBorder="1" applyAlignment="1">
      <alignment horizontal="left" indent="1"/>
    </xf>
    <xf numFmtId="0" fontId="257" fillId="47" borderId="0" xfId="90" applyFont="1" applyFill="1" applyBorder="1" applyAlignment="1">
      <alignment horizontal="left" indent="1"/>
    </xf>
    <xf numFmtId="0" fontId="257" fillId="47" borderId="94" xfId="90" applyFont="1" applyFill="1" applyBorder="1" applyAlignment="1">
      <alignment horizontal="left" indent="1"/>
    </xf>
    <xf numFmtId="0" fontId="257" fillId="47" borderId="28" xfId="90" applyFont="1" applyFill="1" applyBorder="1" applyAlignment="1">
      <alignment horizontal="left"/>
    </xf>
    <xf numFmtId="0" fontId="256" fillId="47" borderId="57" xfId="0" applyFont="1" applyFill="1" applyBorder="1"/>
    <xf numFmtId="0" fontId="257" fillId="47" borderId="1" xfId="90" applyFont="1" applyFill="1" applyBorder="1" applyAlignment="1">
      <alignment horizontal="left"/>
    </xf>
    <xf numFmtId="0" fontId="257" fillId="47" borderId="13" xfId="90" applyFont="1" applyFill="1" applyBorder="1" applyAlignment="1">
      <alignment horizontal="left"/>
    </xf>
    <xf numFmtId="0" fontId="257" fillId="47" borderId="25" xfId="90" applyFont="1" applyFill="1" applyBorder="1" applyAlignment="1">
      <alignment horizontal="left" indent="1"/>
    </xf>
    <xf numFmtId="0" fontId="260" fillId="47" borderId="28" xfId="90" applyFont="1" applyFill="1" applyBorder="1" applyAlignment="1">
      <alignment horizontal="left"/>
    </xf>
    <xf numFmtId="0" fontId="261" fillId="47" borderId="57" xfId="90" applyFont="1" applyFill="1" applyBorder="1" applyAlignment="1">
      <alignment horizontal="left"/>
    </xf>
    <xf numFmtId="0" fontId="260" fillId="47" borderId="14" xfId="90" applyFont="1" applyFill="1" applyBorder="1" applyAlignment="1">
      <alignment horizontal="left"/>
    </xf>
    <xf numFmtId="0" fontId="261" fillId="47" borderId="0" xfId="90" applyFont="1" applyFill="1" applyBorder="1" applyAlignment="1">
      <alignment horizontal="left"/>
    </xf>
    <xf numFmtId="0" fontId="260" fillId="47" borderId="1" xfId="90" applyFont="1" applyFill="1" applyBorder="1" applyAlignment="1">
      <alignment horizontal="left"/>
    </xf>
    <xf numFmtId="0" fontId="261" fillId="47" borderId="13" xfId="90" applyFont="1" applyFill="1" applyBorder="1" applyAlignment="1">
      <alignment horizontal="left"/>
    </xf>
    <xf numFmtId="0" fontId="257" fillId="47" borderId="57" xfId="90" applyFont="1" applyFill="1" applyBorder="1" applyAlignment="1">
      <alignment horizontal="left"/>
    </xf>
    <xf numFmtId="0" fontId="0" fillId="42" borderId="82" xfId="0" applyFill="1" applyBorder="1" applyAlignment="1">
      <alignment horizontal="left" vertical="center" wrapText="1" indent="1"/>
    </xf>
    <xf numFmtId="0" fontId="0" fillId="42" borderId="90" xfId="0" applyFill="1" applyBorder="1" applyAlignment="1">
      <alignment horizontal="left" vertical="top" wrapText="1" indent="1"/>
    </xf>
    <xf numFmtId="0" fontId="0" fillId="42" borderId="90" xfId="0" applyFill="1" applyBorder="1" applyAlignment="1">
      <alignment horizontal="left" vertical="top" wrapText="1"/>
    </xf>
    <xf numFmtId="0" fontId="0" fillId="42" borderId="133" xfId="0" applyFill="1" applyBorder="1" applyAlignment="1">
      <alignment horizontal="left" vertical="center" wrapText="1" indent="1"/>
    </xf>
    <xf numFmtId="0" fontId="0" fillId="42" borderId="134" xfId="0" applyFill="1" applyBorder="1" applyAlignment="1">
      <alignment horizontal="left" vertical="top" wrapText="1" indent="1"/>
    </xf>
    <xf numFmtId="0" fontId="0" fillId="42" borderId="134" xfId="0" applyFill="1" applyBorder="1" applyAlignment="1">
      <alignment horizontal="left" vertical="top" wrapText="1"/>
    </xf>
    <xf numFmtId="0" fontId="0" fillId="3" borderId="108" xfId="0" applyFill="1" applyBorder="1" applyAlignment="1">
      <alignment horizontal="left" vertical="center" wrapText="1" indent="1"/>
    </xf>
    <xf numFmtId="0" fontId="0" fillId="3" borderId="109" xfId="0" applyFill="1" applyBorder="1" applyAlignment="1">
      <alignment horizontal="left" vertical="center" wrapText="1" indent="1"/>
    </xf>
    <xf numFmtId="0" fontId="0" fillId="3" borderId="103" xfId="0" applyFill="1" applyBorder="1" applyAlignment="1">
      <alignment horizontal="left" vertical="center" wrapText="1" indent="1"/>
    </xf>
    <xf numFmtId="0" fontId="0" fillId="3" borderId="110" xfId="0" applyFill="1" applyBorder="1" applyAlignment="1">
      <alignment horizontal="left" vertical="center" wrapText="1" indent="1"/>
    </xf>
    <xf numFmtId="0" fontId="0" fillId="3" borderId="111" xfId="0" applyFill="1" applyBorder="1" applyAlignment="1">
      <alignment horizontal="left" vertical="center" wrapText="1" indent="1"/>
    </xf>
    <xf numFmtId="0" fontId="0" fillId="3" borderId="105" xfId="0" applyFill="1" applyBorder="1" applyAlignment="1">
      <alignment horizontal="left" vertical="center" wrapText="1" indent="1"/>
    </xf>
    <xf numFmtId="3" fontId="0" fillId="0" borderId="10" xfId="0" applyNumberFormat="1" applyBorder="1" applyAlignment="1">
      <alignment horizontal="center" vertical="center" wrapText="1"/>
    </xf>
    <xf numFmtId="0" fontId="0" fillId="0" borderId="32" xfId="0" applyBorder="1" applyAlignment="1">
      <alignment horizontal="center" vertical="center" wrapText="1"/>
    </xf>
    <xf numFmtId="0" fontId="0" fillId="0" borderId="11" xfId="0" applyBorder="1" applyAlignment="1">
      <alignment horizontal="center" vertical="center" wrapText="1"/>
    </xf>
    <xf numFmtId="0" fontId="0" fillId="3" borderId="112" xfId="0" applyFill="1" applyBorder="1" applyAlignment="1">
      <alignment horizontal="left" vertical="center" wrapText="1" indent="1"/>
    </xf>
    <xf numFmtId="0" fontId="0" fillId="3" borderId="89" xfId="0" applyFill="1" applyBorder="1" applyAlignment="1">
      <alignment horizontal="left" vertical="center" wrapText="1" indent="1"/>
    </xf>
    <xf numFmtId="0" fontId="0" fillId="3" borderId="107" xfId="0" applyFill="1" applyBorder="1" applyAlignment="1">
      <alignment horizontal="left" vertical="center" wrapText="1" indent="1"/>
    </xf>
    <xf numFmtId="0" fontId="0" fillId="0" borderId="10" xfId="0" applyBorder="1" applyAlignment="1">
      <alignment horizontal="center" vertical="center" wrapTex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0" borderId="30" xfId="0" applyBorder="1" applyAlignment="1">
      <alignment horizontal="center"/>
    </xf>
    <xf numFmtId="0" fontId="29" fillId="0" borderId="30" xfId="92" applyBorder="1" applyAlignment="1">
      <alignment horizontal="center"/>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12" xfId="0" applyBorder="1" applyAlignment="1">
      <alignment horizontal="left"/>
    </xf>
    <xf numFmtId="0" fontId="0" fillId="0" borderId="89" xfId="0" applyBorder="1" applyAlignment="1">
      <alignment horizontal="left"/>
    </xf>
    <xf numFmtId="0" fontId="0" fillId="0" borderId="91" xfId="0" applyBorder="1" applyAlignment="1">
      <alignment horizontal="left"/>
    </xf>
    <xf numFmtId="0" fontId="0" fillId="0" borderId="110" xfId="0" applyBorder="1" applyAlignment="1">
      <alignment horizontal="left"/>
    </xf>
    <xf numFmtId="0" fontId="0" fillId="0" borderId="111" xfId="0" applyBorder="1" applyAlignment="1">
      <alignment horizontal="left"/>
    </xf>
    <xf numFmtId="0" fontId="0" fillId="0" borderId="87" xfId="0" applyBorder="1" applyAlignment="1">
      <alignment horizontal="left"/>
    </xf>
    <xf numFmtId="0" fontId="0" fillId="0" borderId="108" xfId="0" applyBorder="1" applyAlignment="1">
      <alignment horizontal="left"/>
    </xf>
    <xf numFmtId="0" fontId="0" fillId="0" borderId="109" xfId="0" applyBorder="1" applyAlignment="1">
      <alignment horizontal="left"/>
    </xf>
    <xf numFmtId="0" fontId="0" fillId="0" borderId="92" xfId="0" applyBorder="1" applyAlignment="1">
      <alignment horizontal="left"/>
    </xf>
    <xf numFmtId="0" fontId="0" fillId="0" borderId="106" xfId="0" applyBorder="1" applyAlignment="1">
      <alignment horizontal="center"/>
    </xf>
    <xf numFmtId="0" fontId="0" fillId="0" borderId="107" xfId="0" applyBorder="1" applyAlignment="1">
      <alignment horizontal="center"/>
    </xf>
    <xf numFmtId="0" fontId="0" fillId="0" borderId="104" xfId="0" applyBorder="1" applyAlignment="1">
      <alignment horizontal="center"/>
    </xf>
    <xf numFmtId="0" fontId="0" fillId="0" borderId="105" xfId="0" applyBorder="1" applyAlignment="1">
      <alignment horizontal="center"/>
    </xf>
    <xf numFmtId="0" fontId="0" fillId="0" borderId="102" xfId="0" applyBorder="1" applyAlignment="1">
      <alignment horizontal="center"/>
    </xf>
    <xf numFmtId="0" fontId="0" fillId="0" borderId="103" xfId="0" applyBorder="1" applyAlignment="1">
      <alignment horizontal="center"/>
    </xf>
    <xf numFmtId="0" fontId="0" fillId="53" borderId="0" xfId="0" applyFill="1" applyAlignment="1">
      <alignment horizontal="left" wrapText="1"/>
    </xf>
    <xf numFmtId="3" fontId="0" fillId="0" borderId="11" xfId="0" applyNumberFormat="1" applyBorder="1" applyAlignment="1">
      <alignment horizontal="center" vertical="center" wrapTex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0" fontId="0" fillId="3" borderId="0" xfId="0" applyFont="1" applyFill="1" applyAlignment="1">
      <alignment horizontal="left" vertical="top" indent="1"/>
    </xf>
    <xf numFmtId="0" fontId="0" fillId="53" borderId="119"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21" xfId="0" applyNumberFormat="1" applyFont="1" applyFill="1" applyBorder="1" applyAlignment="1">
      <alignment horizontal="center" vertical="top" wrapText="1"/>
    </xf>
  </cellXfs>
  <cellStyles count="51685">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5"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4" xr:uid="{00000000-0005-0000-0000-000017010000}"/>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48" xr:uid="{00000000-0005-0000-0000-000034010000}"/>
    <cellStyle name="% 2 2 3" xfId="404" xr:uid="{00000000-0005-0000-0000-000035010000}"/>
    <cellStyle name="% 2 2 3 2" xfId="405" xr:uid="{00000000-0005-0000-0000-000036010000}"/>
    <cellStyle name="% 2 2 4" xfId="48247"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46"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49"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1" xr:uid="{00000000-0005-0000-0000-000040020000}"/>
    <cellStyle name="% 4 3" xfId="668" xr:uid="{00000000-0005-0000-0000-000041020000}"/>
    <cellStyle name="% 4 3 2" xfId="48252" xr:uid="{00000000-0005-0000-0000-000042020000}"/>
    <cellStyle name="% 4 4" xfId="669" xr:uid="{00000000-0005-0000-0000-000043020000}"/>
    <cellStyle name="% 4 4 2" xfId="48253" xr:uid="{00000000-0005-0000-0000-000044020000}"/>
    <cellStyle name="% 4 5" xfId="670" xr:uid="{00000000-0005-0000-0000-000045020000}"/>
    <cellStyle name="% 4 5 2" xfId="48254" xr:uid="{00000000-0005-0000-0000-000046020000}"/>
    <cellStyle name="% 4 6" xfId="671" xr:uid="{00000000-0005-0000-0000-000047020000}"/>
    <cellStyle name="% 4 6 2" xfId="48255" xr:uid="{00000000-0005-0000-0000-000048020000}"/>
    <cellStyle name="% 4 7" xfId="672" xr:uid="{00000000-0005-0000-0000-000049020000}"/>
    <cellStyle name="% 4 7 2" xfId="48256" xr:uid="{00000000-0005-0000-0000-00004A020000}"/>
    <cellStyle name="% 4 8" xfId="673" xr:uid="{00000000-0005-0000-0000-00004B020000}"/>
    <cellStyle name="% 4 8 2" xfId="48257" xr:uid="{00000000-0005-0000-0000-00004C020000}"/>
    <cellStyle name="% 4 9" xfId="48250"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59" xr:uid="{00000000-0005-0000-0000-0000CA020000}"/>
    <cellStyle name="%_3.3 Tax 3" xfId="798" xr:uid="{00000000-0005-0000-0000-0000CB020000}"/>
    <cellStyle name="%_3.3 Tax 4" xfId="48258"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0"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1"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2"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3"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4"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5" xr:uid="{00000000-0005-0000-0000-000043030000}"/>
    <cellStyle name="%_VR NGET Opex tables_1.5 Opex Reconciliation NG" xfId="910" xr:uid="{00000000-0005-0000-0000-000044030000}"/>
    <cellStyle name="%_VR Pensions Opex tables" xfId="911" xr:uid="{00000000-0005-0000-0000-000045030000}"/>
    <cellStyle name="%_VR Pensions Opex tables 2" xfId="48266"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67" xr:uid="{00000000-0005-0000-0000-000056030000}"/>
    <cellStyle name="_0708 GSO Capex RRP (detail)" xfId="927" xr:uid="{00000000-0005-0000-0000-000057030000}"/>
    <cellStyle name="_0708 GSO Capex RRP (detail) 2" xfId="48269" xr:uid="{00000000-0005-0000-0000-000058030000}"/>
    <cellStyle name="_0708 GSO Capex RRP (detail) 2 2" xfId="48270" xr:uid="{00000000-0005-0000-0000-000059030000}"/>
    <cellStyle name="_0708 GSO Capex RRP (detail) 2 3" xfId="48271" xr:uid="{00000000-0005-0000-0000-00005A030000}"/>
    <cellStyle name="_0708 GSO Capex RRP (detail) 2 4" xfId="48272" xr:uid="{00000000-0005-0000-0000-00005B030000}"/>
    <cellStyle name="_0708 GSO Capex RRP (detail) 2 5" xfId="48273" xr:uid="{00000000-0005-0000-0000-00005C030000}"/>
    <cellStyle name="_0708 GSO Capex RRP (detail) 2 6" xfId="48274" xr:uid="{00000000-0005-0000-0000-00005D030000}"/>
    <cellStyle name="_0708 GSO Capex RRP (detail) 2 7" xfId="48275" xr:uid="{00000000-0005-0000-0000-00005E030000}"/>
    <cellStyle name="_0708 GSO Capex RRP (detail) 2 8" xfId="48276" xr:uid="{00000000-0005-0000-0000-00005F030000}"/>
    <cellStyle name="_0708 GSO Capex RRP (detail) 3" xfId="48268" xr:uid="{00000000-0005-0000-0000-000060030000}"/>
    <cellStyle name="_0708 GSO Capex RRP (detail)_Opex Input" xfId="48277"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78"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0" xr:uid="{00000000-0005-0000-0000-00009F030000}"/>
    <cellStyle name="_Book4 2 2" xfId="48281" xr:uid="{00000000-0005-0000-0000-0000A0030000}"/>
    <cellStyle name="_Book4 2 3" xfId="48282" xr:uid="{00000000-0005-0000-0000-0000A1030000}"/>
    <cellStyle name="_Book4 2 4" xfId="48283" xr:uid="{00000000-0005-0000-0000-0000A2030000}"/>
    <cellStyle name="_Book4 2 5" xfId="48284" xr:uid="{00000000-0005-0000-0000-0000A3030000}"/>
    <cellStyle name="_Book4 2 6" xfId="48285" xr:uid="{00000000-0005-0000-0000-0000A4030000}"/>
    <cellStyle name="_Book4 2 7" xfId="48286" xr:uid="{00000000-0005-0000-0000-0000A5030000}"/>
    <cellStyle name="_Book4 2 8" xfId="48287" xr:uid="{00000000-0005-0000-0000-0000A6030000}"/>
    <cellStyle name="_Book4 3" xfId="48279"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88" xr:uid="{00000000-0005-0000-0000-0000B2030000}"/>
    <cellStyle name="_BP10+post TIC 1 Jun" xfId="998" xr:uid="{00000000-0005-0000-0000-0000B3030000}"/>
    <cellStyle name="_BP10+post TIC 1 Jun 2" xfId="48290" xr:uid="{00000000-0005-0000-0000-0000B4030000}"/>
    <cellStyle name="_BP10+post TIC 1 Jun 2 2" xfId="48291" xr:uid="{00000000-0005-0000-0000-0000B5030000}"/>
    <cellStyle name="_BP10+post TIC 1 Jun 2 3" xfId="48292" xr:uid="{00000000-0005-0000-0000-0000B6030000}"/>
    <cellStyle name="_BP10+post TIC 1 Jun 2 4" xfId="48293" xr:uid="{00000000-0005-0000-0000-0000B7030000}"/>
    <cellStyle name="_BP10+post TIC 1 Jun 2 5" xfId="48294" xr:uid="{00000000-0005-0000-0000-0000B8030000}"/>
    <cellStyle name="_BP10+post TIC 1 Jun 2 6" xfId="48295" xr:uid="{00000000-0005-0000-0000-0000B9030000}"/>
    <cellStyle name="_BP10+post TIC 1 Jun 2 7" xfId="48296" xr:uid="{00000000-0005-0000-0000-0000BA030000}"/>
    <cellStyle name="_BP10+post TIC 1 Jun 2 8" xfId="48297" xr:uid="{00000000-0005-0000-0000-0000BB030000}"/>
    <cellStyle name="_BP10+post TIC 1 Jun 3" xfId="48289"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298" xr:uid="{00000000-0005-0000-0000-0000CB030000}"/>
    <cellStyle name="_Capital Plan - IS UK_0910 GSO Capex RRP - Final (Detail) v2 220710" xfId="1013" xr:uid="{00000000-0005-0000-0000-0000CC030000}"/>
    <cellStyle name="_Capital Plan - IS UK_0910 GSO Capex RRP - Final (Detail) v2 220710 2" xfId="48300" xr:uid="{00000000-0005-0000-0000-0000CD030000}"/>
    <cellStyle name="_Capital Plan - IS UK_0910 GSO Capex RRP - Final (Detail) v2 220710 2 2" xfId="48301" xr:uid="{00000000-0005-0000-0000-0000CE030000}"/>
    <cellStyle name="_Capital Plan - IS UK_0910 GSO Capex RRP - Final (Detail) v2 220710 2 3" xfId="48302" xr:uid="{00000000-0005-0000-0000-0000CF030000}"/>
    <cellStyle name="_Capital Plan - IS UK_0910 GSO Capex RRP - Final (Detail) v2 220710 2 4" xfId="48303" xr:uid="{00000000-0005-0000-0000-0000D0030000}"/>
    <cellStyle name="_Capital Plan - IS UK_0910 GSO Capex RRP - Final (Detail) v2 220710 2 5" xfId="48304" xr:uid="{00000000-0005-0000-0000-0000D1030000}"/>
    <cellStyle name="_Capital Plan - IS UK_0910 GSO Capex RRP - Final (Detail) v2 220710 2 6" xfId="48305" xr:uid="{00000000-0005-0000-0000-0000D2030000}"/>
    <cellStyle name="_Capital Plan - IS UK_0910 GSO Capex RRP - Final (Detail) v2 220710 2 7" xfId="48306" xr:uid="{00000000-0005-0000-0000-0000D3030000}"/>
    <cellStyle name="_Capital Plan - IS UK_0910 GSO Capex RRP - Final (Detail) v2 220710 2 8" xfId="48307" xr:uid="{00000000-0005-0000-0000-0000D4030000}"/>
    <cellStyle name="_Capital Plan - IS UK_0910 GSO Capex RRP - Final (Detail) v2 220710 3" xfId="48299" xr:uid="{00000000-0005-0000-0000-0000D5030000}"/>
    <cellStyle name="_Capital Plan - IS UK_0910 GSO Capex RRP - Final (Detail) v2 220710_Opex Input" xfId="48308"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0" xr:uid="{00000000-0005-0000-0000-000010040000}"/>
    <cellStyle name="_Gas TO major Projects Forecast Jun-10 2 2" xfId="48311" xr:uid="{00000000-0005-0000-0000-000011040000}"/>
    <cellStyle name="_Gas TO major Projects Forecast Jun-10 2 3" xfId="48312" xr:uid="{00000000-0005-0000-0000-000012040000}"/>
    <cellStyle name="_Gas TO major Projects Forecast Jun-10 2 4" xfId="48313" xr:uid="{00000000-0005-0000-0000-000013040000}"/>
    <cellStyle name="_Gas TO major Projects Forecast Jun-10 2 5" xfId="48314" xr:uid="{00000000-0005-0000-0000-000014040000}"/>
    <cellStyle name="_Gas TO major Projects Forecast Jun-10 2 6" xfId="48315" xr:uid="{00000000-0005-0000-0000-000015040000}"/>
    <cellStyle name="_Gas TO major Projects Forecast Jun-10 2 7" xfId="48316" xr:uid="{00000000-0005-0000-0000-000016040000}"/>
    <cellStyle name="_Gas TO major Projects Forecast Jun-10 2 8" xfId="48317" xr:uid="{00000000-0005-0000-0000-000017040000}"/>
    <cellStyle name="_Gas TO major Projects Forecast Jun-10 3" xfId="48309" xr:uid="{00000000-0005-0000-0000-000018040000}"/>
    <cellStyle name="_Gas TO major Projects Forecast May-10 BP10+ v5" xfId="1071" xr:uid="{00000000-0005-0000-0000-000019040000}"/>
    <cellStyle name="_Gas TO major Projects Forecast May-10 BP10+ v5 2" xfId="48319" xr:uid="{00000000-0005-0000-0000-00001A040000}"/>
    <cellStyle name="_Gas TO major Projects Forecast May-10 BP10+ v5 2 2" xfId="48320" xr:uid="{00000000-0005-0000-0000-00001B040000}"/>
    <cellStyle name="_Gas TO major Projects Forecast May-10 BP10+ v5 2 3" xfId="48321" xr:uid="{00000000-0005-0000-0000-00001C040000}"/>
    <cellStyle name="_Gas TO major Projects Forecast May-10 BP10+ v5 2 4" xfId="48322" xr:uid="{00000000-0005-0000-0000-00001D040000}"/>
    <cellStyle name="_Gas TO major Projects Forecast May-10 BP10+ v5 2 5" xfId="48323" xr:uid="{00000000-0005-0000-0000-00001E040000}"/>
    <cellStyle name="_Gas TO major Projects Forecast May-10 BP10+ v5 2 6" xfId="48324" xr:uid="{00000000-0005-0000-0000-00001F040000}"/>
    <cellStyle name="_Gas TO major Projects Forecast May-10 BP10+ v5 2 7" xfId="48325" xr:uid="{00000000-0005-0000-0000-000020040000}"/>
    <cellStyle name="_Gas TO major Projects Forecast May-10 BP10+ v5 2 8" xfId="48326" xr:uid="{00000000-0005-0000-0000-000021040000}"/>
    <cellStyle name="_Gas TO major Projects Forecast May-10 BP10+ v5 3" xfId="48318"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27"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28"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29" xr:uid="{00000000-0005-0000-0000-0000C5040000}"/>
    <cellStyle name="=C:\WINNT\SYSTEM32\COMMAND.COM 12" xfId="1232" xr:uid="{00000000-0005-0000-0000-0000C6040000}"/>
    <cellStyle name="=C:\WINNT\SYSTEM32\COMMAND.COM 12 2" xfId="1233" xr:uid="{00000000-0005-0000-0000-0000C7040000}"/>
    <cellStyle name="=C:\WINNT\SYSTEM32\COMMAND.COM 12 3" xfId="48330" xr:uid="{00000000-0005-0000-0000-0000C8040000}"/>
    <cellStyle name="=C:\WINNT\SYSTEM32\COMMAND.COM 13" xfId="1234" xr:uid="{00000000-0005-0000-0000-0000C9040000}"/>
    <cellStyle name="=C:\WINNT\SYSTEM32\COMMAND.COM 13 2" xfId="48331" xr:uid="{00000000-0005-0000-0000-0000CA040000}"/>
    <cellStyle name="=C:\WINNT\SYSTEM32\COMMAND.COM 14" xfId="1235" xr:uid="{00000000-0005-0000-0000-0000CB040000}"/>
    <cellStyle name="=C:\WINNT\SYSTEM32\COMMAND.COM 14 2" xfId="48332" xr:uid="{00000000-0005-0000-0000-0000CC040000}"/>
    <cellStyle name="=C:\WINNT\SYSTEM32\COMMAND.COM 15" xfId="1236" xr:uid="{00000000-0005-0000-0000-0000CD040000}"/>
    <cellStyle name="=C:\WINNT\SYSTEM32\COMMAND.COM 15 2" xfId="48333" xr:uid="{00000000-0005-0000-0000-0000CE040000}"/>
    <cellStyle name="=C:\WINNT\SYSTEM32\COMMAND.COM 16" xfId="1237" xr:uid="{00000000-0005-0000-0000-0000CF040000}"/>
    <cellStyle name="=C:\WINNT\SYSTEM32\COMMAND.COM 16 2" xfId="48334" xr:uid="{00000000-0005-0000-0000-0000D0040000}"/>
    <cellStyle name="=C:\WINNT\SYSTEM32\COMMAND.COM 17" xfId="1238" xr:uid="{00000000-0005-0000-0000-0000D1040000}"/>
    <cellStyle name="=C:\WINNT\SYSTEM32\COMMAND.COM 17 2" xfId="48335" xr:uid="{00000000-0005-0000-0000-0000D2040000}"/>
    <cellStyle name="=C:\WINNT\SYSTEM32\COMMAND.COM 18" xfId="1239" xr:uid="{00000000-0005-0000-0000-0000D3040000}"/>
    <cellStyle name="=C:\WINNT\SYSTEM32\COMMAND.COM 18 2" xfId="48336" xr:uid="{00000000-0005-0000-0000-0000D4040000}"/>
    <cellStyle name="=C:\WINNT\SYSTEM32\COMMAND.COM 19" xfId="1240" xr:uid="{00000000-0005-0000-0000-0000D5040000}"/>
    <cellStyle name="=C:\WINNT\SYSTEM32\COMMAND.COM 19 2" xfId="48337" xr:uid="{00000000-0005-0000-0000-0000D6040000}"/>
    <cellStyle name="=C:\WINNT\SYSTEM32\COMMAND.COM 2" xfId="1241" xr:uid="{00000000-0005-0000-0000-0000D7040000}"/>
    <cellStyle name="=C:\WINNT\SYSTEM32\COMMAND.COM 2 10" xfId="49399"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0" xr:uid="{00000000-0005-0000-0000-0000E6040000}"/>
    <cellStyle name="=C:\WINNT\SYSTEM32\COMMAND.COM 2 2 2 3" xfId="48341" xr:uid="{00000000-0005-0000-0000-0000E7040000}"/>
    <cellStyle name="=C:\WINNT\SYSTEM32\COMMAND.COM 2 2 2 4" xfId="48339"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2"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38"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3" xr:uid="{00000000-0005-0000-0000-000012050000}"/>
    <cellStyle name="=C:\WINNT\SYSTEM32\COMMAND.COM 2 4" xfId="1292" xr:uid="{00000000-0005-0000-0000-000013050000}"/>
    <cellStyle name="=C:\WINNT\SYSTEM32\COMMAND.COM 2 4 2" xfId="49381" xr:uid="{00000000-0005-0000-0000-000014050000}"/>
    <cellStyle name="=C:\WINNT\SYSTEM32\COMMAND.COM 2 5" xfId="1293" xr:uid="{00000000-0005-0000-0000-000015050000}"/>
    <cellStyle name="=C:\WINNT\SYSTEM32\COMMAND.COM 2 5 2" xfId="49396" xr:uid="{00000000-0005-0000-0000-000016050000}"/>
    <cellStyle name="=C:\WINNT\SYSTEM32\COMMAND.COM 2 6" xfId="1294" xr:uid="{00000000-0005-0000-0000-000017050000}"/>
    <cellStyle name="=C:\WINNT\SYSTEM32\COMMAND.COM 2 6 2" xfId="49382" xr:uid="{00000000-0005-0000-0000-000018050000}"/>
    <cellStyle name="=C:\WINNT\SYSTEM32\COMMAND.COM 2 7" xfId="1295" xr:uid="{00000000-0005-0000-0000-000019050000}"/>
    <cellStyle name="=C:\WINNT\SYSTEM32\COMMAND.COM 2 7 2" xfId="49385" xr:uid="{00000000-0005-0000-0000-00001A050000}"/>
    <cellStyle name="=C:\WINNT\SYSTEM32\COMMAND.COM 2 8" xfId="1296" xr:uid="{00000000-0005-0000-0000-00001B050000}"/>
    <cellStyle name="=C:\WINNT\SYSTEM32\COMMAND.COM 2 8 2" xfId="49383" xr:uid="{00000000-0005-0000-0000-00001C050000}"/>
    <cellStyle name="=C:\WINNT\SYSTEM32\COMMAND.COM 2 9" xfId="1297" xr:uid="{00000000-0005-0000-0000-00001D050000}"/>
    <cellStyle name="=C:\WINNT\SYSTEM32\COMMAND.COM 2 9 2" xfId="49384" xr:uid="{00000000-0005-0000-0000-00001E050000}"/>
    <cellStyle name="=C:\WINNT\SYSTEM32\COMMAND.COM 2_Opex Input" xfId="48344" xr:uid="{00000000-0005-0000-0000-00001F050000}"/>
    <cellStyle name="=C:\WINNT\SYSTEM32\COMMAND.COM 20" xfId="1298" xr:uid="{00000000-0005-0000-0000-000020050000}"/>
    <cellStyle name="=C:\WINNT\SYSTEM32\COMMAND.COM 20 2" xfId="48345" xr:uid="{00000000-0005-0000-0000-000021050000}"/>
    <cellStyle name="=C:\WINNT\SYSTEM32\COMMAND.COM 21" xfId="1299" xr:uid="{00000000-0005-0000-0000-000022050000}"/>
    <cellStyle name="=C:\WINNT\SYSTEM32\COMMAND.COM 21 2" xfId="48346" xr:uid="{00000000-0005-0000-0000-000023050000}"/>
    <cellStyle name="=C:\WINNT\SYSTEM32\COMMAND.COM 22" xfId="1300" xr:uid="{00000000-0005-0000-0000-000024050000}"/>
    <cellStyle name="=C:\WINNT\SYSTEM32\COMMAND.COM 22 2" xfId="48347" xr:uid="{00000000-0005-0000-0000-000025050000}"/>
    <cellStyle name="=C:\WINNT\SYSTEM32\COMMAND.COM 23" xfId="1301" xr:uid="{00000000-0005-0000-0000-000026050000}"/>
    <cellStyle name="=C:\WINNT\SYSTEM32\COMMAND.COM 23 2" xfId="48349" xr:uid="{00000000-0005-0000-0000-000027050000}"/>
    <cellStyle name="=C:\WINNT\SYSTEM32\COMMAND.COM 23 3" xfId="48348" xr:uid="{00000000-0005-0000-0000-000028050000}"/>
    <cellStyle name="=C:\WINNT\SYSTEM32\COMMAND.COM 24" xfId="1302" xr:uid="{00000000-0005-0000-0000-000029050000}"/>
    <cellStyle name="=C:\WINNT\SYSTEM32\COMMAND.COM 24 2" xfId="48350" xr:uid="{00000000-0005-0000-0000-00002A050000}"/>
    <cellStyle name="=C:\WINNT\SYSTEM32\COMMAND.COM 25" xfId="1303" xr:uid="{00000000-0005-0000-0000-00002B050000}"/>
    <cellStyle name="=C:\WINNT\SYSTEM32\COMMAND.COM 25 2" xfId="48352" xr:uid="{00000000-0005-0000-0000-00002C050000}"/>
    <cellStyle name="=C:\WINNT\SYSTEM32\COMMAND.COM 25 3" xfId="48353" xr:uid="{00000000-0005-0000-0000-00002D050000}"/>
    <cellStyle name="=C:\WINNT\SYSTEM32\COMMAND.COM 25 4" xfId="48351" xr:uid="{00000000-0005-0000-0000-00002E050000}"/>
    <cellStyle name="=C:\WINNT\SYSTEM32\COMMAND.COM 26" xfId="1304" xr:uid="{00000000-0005-0000-0000-00002F050000}"/>
    <cellStyle name="=C:\WINNT\SYSTEM32\COMMAND.COM 26 2" xfId="48354" xr:uid="{00000000-0005-0000-0000-000030050000}"/>
    <cellStyle name="=C:\WINNT\SYSTEM32\COMMAND.COM 27" xfId="1305" xr:uid="{00000000-0005-0000-0000-000031050000}"/>
    <cellStyle name="=C:\WINNT\SYSTEM32\COMMAND.COM 27 2" xfId="48355" xr:uid="{00000000-0005-0000-0000-000032050000}"/>
    <cellStyle name="=C:\WINNT\SYSTEM32\COMMAND.COM 28" xfId="1306" xr:uid="{00000000-0005-0000-0000-000033050000}"/>
    <cellStyle name="=C:\WINNT\SYSTEM32\COMMAND.COM 28 2" xfId="48356" xr:uid="{00000000-0005-0000-0000-000034050000}"/>
    <cellStyle name="=C:\WINNT\SYSTEM32\COMMAND.COM 29" xfId="1307" xr:uid="{00000000-0005-0000-0000-000035050000}"/>
    <cellStyle name="=C:\WINNT\SYSTEM32\COMMAND.COM 29 2" xfId="48357"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58" xr:uid="{00000000-0005-0000-0000-000040050000}"/>
    <cellStyle name="=C:\WINNT\SYSTEM32\COMMAND.COM 31" xfId="1316" xr:uid="{00000000-0005-0000-0000-000041050000}"/>
    <cellStyle name="=C:\WINNT\SYSTEM32\COMMAND.COM 31 2" xfId="48359" xr:uid="{00000000-0005-0000-0000-000042050000}"/>
    <cellStyle name="=C:\WINNT\SYSTEM32\COMMAND.COM 32" xfId="1317" xr:uid="{00000000-0005-0000-0000-000043050000}"/>
    <cellStyle name="=C:\WINNT\SYSTEM32\COMMAND.COM 32 2" xfId="48360" xr:uid="{00000000-0005-0000-0000-000044050000}"/>
    <cellStyle name="=C:\WINNT\SYSTEM32\COMMAND.COM 33" xfId="1318" xr:uid="{00000000-0005-0000-0000-000045050000}"/>
    <cellStyle name="=C:\WINNT\SYSTEM32\COMMAND.COM 33 2" xfId="48361"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3"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4"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2"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5"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66"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67" xr:uid="{00000000-0005-0000-0000-000052060000}"/>
    <cellStyle name="=C:\WINNT\SYSTEM32\COMMAND.COM 8" xfId="1581" xr:uid="{00000000-0005-0000-0000-000053060000}"/>
    <cellStyle name="=C:\WINNT\SYSTEM32\COMMAND.COM 8 2" xfId="48368" xr:uid="{00000000-0005-0000-0000-000054060000}"/>
    <cellStyle name="=C:\WINNT\SYSTEM32\COMMAND.COM 9" xfId="1582" xr:uid="{00000000-0005-0000-0000-000055060000}"/>
    <cellStyle name="=C:\WINNT\SYSTEM32\COMMAND.COM 9 2" xfId="48369"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0"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1"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2"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3"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4"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5"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76"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77"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78"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79"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0"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1"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2"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3"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4"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5"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86"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87"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88"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89"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0"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1"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2"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3"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4"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5"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396"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397"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398"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399"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0"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1"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2"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3"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4"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5"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06"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07" xr:uid="{00000000-0005-0000-0000-0000E0080000}"/>
    <cellStyle name="Accent1 - 40%" xfId="12" xr:uid="{00000000-0005-0000-0000-0000E1080000}"/>
    <cellStyle name="Accent1 - 40% 2" xfId="2194" xr:uid="{00000000-0005-0000-0000-0000E2080000}"/>
    <cellStyle name="Accent1 - 40% 3" xfId="48408" xr:uid="{00000000-0005-0000-0000-0000E3080000}"/>
    <cellStyle name="Accent1 - 60%" xfId="13" xr:uid="{00000000-0005-0000-0000-0000E4080000}"/>
    <cellStyle name="Accent1 - 60% 2" xfId="48409"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0"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1"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2" xr:uid="{00000000-0005-0000-0000-000008090000}"/>
    <cellStyle name="Accent2 - 40%" xfId="15" xr:uid="{00000000-0005-0000-0000-000009090000}"/>
    <cellStyle name="Accent2 - 40% 2" xfId="2226" xr:uid="{00000000-0005-0000-0000-00000A090000}"/>
    <cellStyle name="Accent2 - 40% 3" xfId="48413" xr:uid="{00000000-0005-0000-0000-00000B090000}"/>
    <cellStyle name="Accent2 - 60%" xfId="16" xr:uid="{00000000-0005-0000-0000-00000C090000}"/>
    <cellStyle name="Accent2 - 60% 2" xfId="48414"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5"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16"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17" xr:uid="{00000000-0005-0000-0000-000030090000}"/>
    <cellStyle name="Accent3 - 40%" xfId="18" xr:uid="{00000000-0005-0000-0000-000031090000}"/>
    <cellStyle name="Accent3 - 40% 2" xfId="2258" xr:uid="{00000000-0005-0000-0000-000032090000}"/>
    <cellStyle name="Accent3 - 40% 3" xfId="48418" xr:uid="{00000000-0005-0000-0000-000033090000}"/>
    <cellStyle name="Accent3 - 60%" xfId="19" xr:uid="{00000000-0005-0000-0000-000034090000}"/>
    <cellStyle name="Accent3 - 60% 2" xfId="48419"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0"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1"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2" xr:uid="{00000000-0005-0000-0000-000058090000}"/>
    <cellStyle name="Accent4 - 40%" xfId="21" xr:uid="{00000000-0005-0000-0000-000059090000}"/>
    <cellStyle name="Accent4 - 40% 2" xfId="2290" xr:uid="{00000000-0005-0000-0000-00005A090000}"/>
    <cellStyle name="Accent4 - 40% 3" xfId="48423" xr:uid="{00000000-0005-0000-0000-00005B090000}"/>
    <cellStyle name="Accent4 - 60%" xfId="22" xr:uid="{00000000-0005-0000-0000-00005C090000}"/>
    <cellStyle name="Accent4 - 60% 2" xfId="48424"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5"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26"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27" xr:uid="{00000000-0005-0000-0000-000080090000}"/>
    <cellStyle name="Accent5 - 40%" xfId="24" xr:uid="{00000000-0005-0000-0000-000081090000}"/>
    <cellStyle name="Accent5 - 40% 2" xfId="2322" xr:uid="{00000000-0005-0000-0000-000082090000}"/>
    <cellStyle name="Accent5 - 40% 3" xfId="48428" xr:uid="{00000000-0005-0000-0000-000083090000}"/>
    <cellStyle name="Accent5 - 60%" xfId="25" xr:uid="{00000000-0005-0000-0000-000084090000}"/>
    <cellStyle name="Accent5 - 60% 2" xfId="48429"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0"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1"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2" xr:uid="{00000000-0005-0000-0000-0000A8090000}"/>
    <cellStyle name="Accent6 - 40%" xfId="27" xr:uid="{00000000-0005-0000-0000-0000A9090000}"/>
    <cellStyle name="Accent6 - 40% 2" xfId="2354" xr:uid="{00000000-0005-0000-0000-0000AA090000}"/>
    <cellStyle name="Accent6 - 40% 3" xfId="48433" xr:uid="{00000000-0005-0000-0000-0000AB090000}"/>
    <cellStyle name="Accent6 - 60%" xfId="28" xr:uid="{00000000-0005-0000-0000-0000AC090000}"/>
    <cellStyle name="Accent6 - 60% 2" xfId="48434"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5"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36"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37"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38"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3" xr:uid="{00000000-0005-0000-0000-00009D0A0000}"/>
    <cellStyle name="Calculation 2 2 2 3" xfId="2590" xr:uid="{00000000-0005-0000-0000-00009E0A0000}"/>
    <cellStyle name="Calculation 2 2 2 3 2" xfId="51420" xr:uid="{00000000-0005-0000-0000-00009F0A0000}"/>
    <cellStyle name="Calculation 2 2 2 4" xfId="49794"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2"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66" xr:uid="{00000000-0005-0000-0000-0000B20A0000}"/>
    <cellStyle name="Calculation 2 2 4" xfId="2607" xr:uid="{00000000-0005-0000-0000-0000B30A0000}"/>
    <cellStyle name="Calculation 2 2 4 2" xfId="51349"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89" xr:uid="{00000000-0005-0000-0000-0000D10A0000}"/>
    <cellStyle name="Calculation 2 3 2 3" xfId="2636" xr:uid="{00000000-0005-0000-0000-0000D20A0000}"/>
    <cellStyle name="Calculation 2 3 2 3 2" xfId="51599" xr:uid="{00000000-0005-0000-0000-0000D30A0000}"/>
    <cellStyle name="Calculation 2 3 2 4" xfId="49921"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46"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3" xr:uid="{00000000-0005-0000-0000-0000E60A0000}"/>
    <cellStyle name="Calculation 2 3 4" xfId="2653" xr:uid="{00000000-0005-0000-0000-0000E70A0000}"/>
    <cellStyle name="Calculation 2 3 4 2" xfId="51499"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39"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0996" xr:uid="{00000000-0005-0000-0000-0000030B0000}"/>
    <cellStyle name="Calculation 2 4 2 3" xfId="2679" xr:uid="{00000000-0005-0000-0000-0000040B0000}"/>
    <cellStyle name="Calculation 2 4 2 3 2" xfId="51132" xr:uid="{00000000-0005-0000-0000-0000050B0000}"/>
    <cellStyle name="Calculation 2 4 2 4" xfId="49951"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57"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3" xr:uid="{00000000-0005-0000-0000-0000180B0000}"/>
    <cellStyle name="Calculation 2 4 4" xfId="2696" xr:uid="{00000000-0005-0000-0000-0000190B0000}"/>
    <cellStyle name="Calculation 2 4 4 2" xfId="50897"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0"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1"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29"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1"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07"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66"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1"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0" xr:uid="{00000000-0005-0000-0000-0000740B0000}"/>
    <cellStyle name="Calculation 2 9" xfId="2779" xr:uid="{00000000-0005-0000-0000-0000750B0000}"/>
    <cellStyle name="Calculation 2 9 2" xfId="2780" xr:uid="{00000000-0005-0000-0000-0000760B0000}"/>
    <cellStyle name="Calculation 2 9 3" xfId="51673" xr:uid="{00000000-0005-0000-0000-0000770B0000}"/>
    <cellStyle name="Calculation 3" xfId="2781" xr:uid="{00000000-0005-0000-0000-0000780B0000}"/>
    <cellStyle name="Calculation 3 10" xfId="48440" xr:uid="{00000000-0005-0000-0000-0000790B0000}"/>
    <cellStyle name="Calculation 3 2" xfId="2782" xr:uid="{00000000-0005-0000-0000-00007A0B0000}"/>
    <cellStyle name="Calculation 3 2 2" xfId="2783" xr:uid="{00000000-0005-0000-0000-00007B0B0000}"/>
    <cellStyle name="Calculation 3 2 2 2" xfId="50202" xr:uid="{00000000-0005-0000-0000-00007C0B0000}"/>
    <cellStyle name="Calculation 3 2 2 3" xfId="51391" xr:uid="{00000000-0005-0000-0000-00007D0B0000}"/>
    <cellStyle name="Calculation 3 2 2 4" xfId="49795" xr:uid="{00000000-0005-0000-0000-00007E0B0000}"/>
    <cellStyle name="Calculation 3 2 3" xfId="50571" xr:uid="{00000000-0005-0000-0000-00007F0B0000}"/>
    <cellStyle name="Calculation 3 2 4" xfId="51648" xr:uid="{00000000-0005-0000-0000-0000800B0000}"/>
    <cellStyle name="Calculation 3 2 5" xfId="49467" xr:uid="{00000000-0005-0000-0000-0000810B0000}"/>
    <cellStyle name="Calculation 3 3" xfId="2784" xr:uid="{00000000-0005-0000-0000-0000820B0000}"/>
    <cellStyle name="Calculation 3 3 2" xfId="2785" xr:uid="{00000000-0005-0000-0000-0000830B0000}"/>
    <cellStyle name="Calculation 3 3 2 2" xfId="50827" xr:uid="{00000000-0005-0000-0000-0000840B0000}"/>
    <cellStyle name="Calculation 3 3 2 3" xfId="51153" xr:uid="{00000000-0005-0000-0000-0000850B0000}"/>
    <cellStyle name="Calculation 3 3 2 4" xfId="49920" xr:uid="{00000000-0005-0000-0000-0000860B0000}"/>
    <cellStyle name="Calculation 3 3 3" xfId="50447" xr:uid="{00000000-0005-0000-0000-0000870B0000}"/>
    <cellStyle name="Calculation 3 3 4" xfId="51242" xr:uid="{00000000-0005-0000-0000-0000880B0000}"/>
    <cellStyle name="Calculation 3 3 5" xfId="49592" xr:uid="{00000000-0005-0000-0000-0000890B0000}"/>
    <cellStyle name="Calculation 3 4" xfId="2786" xr:uid="{00000000-0005-0000-0000-00008A0B0000}"/>
    <cellStyle name="Calculation 3 4 2" xfId="49950" xr:uid="{00000000-0005-0000-0000-00008B0B0000}"/>
    <cellStyle name="Calculation 3 4 2 2" xfId="50995" xr:uid="{00000000-0005-0000-0000-00008C0B0000}"/>
    <cellStyle name="Calculation 3 4 2 3" xfId="50933" xr:uid="{00000000-0005-0000-0000-00008D0B0000}"/>
    <cellStyle name="Calculation 3 4 3" xfId="50058" xr:uid="{00000000-0005-0000-0000-00008E0B0000}"/>
    <cellStyle name="Calculation 3 4 4" xfId="50960" xr:uid="{00000000-0005-0000-0000-00008F0B0000}"/>
    <cellStyle name="Calculation 3 4 5" xfId="49622" xr:uid="{00000000-0005-0000-0000-0000900B0000}"/>
    <cellStyle name="Calculation 3 5" xfId="49630" xr:uid="{00000000-0005-0000-0000-0000910B0000}"/>
    <cellStyle name="Calculation 3 5 2" xfId="50927" xr:uid="{00000000-0005-0000-0000-0000920B0000}"/>
    <cellStyle name="Calculation 3 5 3" xfId="51661" xr:uid="{00000000-0005-0000-0000-0000930B0000}"/>
    <cellStyle name="Calculation 3 6" xfId="50043" xr:uid="{00000000-0005-0000-0000-0000940B0000}"/>
    <cellStyle name="Calculation 3 6 2" xfId="51087" xr:uid="{00000000-0005-0000-0000-0000950B0000}"/>
    <cellStyle name="Calculation 3 6 3" xfId="51297" xr:uid="{00000000-0005-0000-0000-0000960B0000}"/>
    <cellStyle name="Calculation 3 7" xfId="50917" xr:uid="{00000000-0005-0000-0000-0000970B0000}"/>
    <cellStyle name="Calculation 3 8" xfId="50866" xr:uid="{00000000-0005-0000-0000-0000980B0000}"/>
    <cellStyle name="Calculation 3 9" xfId="51677"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1"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2"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3"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5" xr:uid="{00000000-0005-0000-0000-0000DE0B0000}"/>
    <cellStyle name="Comma [1] 2 2" xfId="48446" xr:uid="{00000000-0005-0000-0000-0000DF0B0000}"/>
    <cellStyle name="Comma [1] 2 3" xfId="48447" xr:uid="{00000000-0005-0000-0000-0000E00B0000}"/>
    <cellStyle name="Comma [1] 2 4" xfId="48448" xr:uid="{00000000-0005-0000-0000-0000E10B0000}"/>
    <cellStyle name="Comma [1] 2 5" xfId="48449" xr:uid="{00000000-0005-0000-0000-0000E20B0000}"/>
    <cellStyle name="Comma [1] 2 6" xfId="48450" xr:uid="{00000000-0005-0000-0000-0000E30B0000}"/>
    <cellStyle name="Comma [1] 2 7" xfId="48451" xr:uid="{00000000-0005-0000-0000-0000E40B0000}"/>
    <cellStyle name="Comma [1] 2 8" xfId="48452" xr:uid="{00000000-0005-0000-0000-0000E50B0000}"/>
    <cellStyle name="Comma [1] 3" xfId="48444"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3" xr:uid="{00000000-0005-0000-0000-0000ED0B0000}"/>
    <cellStyle name="Comma 10 3" xfId="48453" xr:uid="{00000000-0005-0000-0000-0000EE0B0000}"/>
    <cellStyle name="Comma 11" xfId="2857" xr:uid="{00000000-0005-0000-0000-0000EF0B0000}"/>
    <cellStyle name="Comma 11 2" xfId="50061" xr:uid="{00000000-0005-0000-0000-0000F00B0000}"/>
    <cellStyle name="Comma 11 3" xfId="48240" xr:uid="{00000000-0005-0000-0000-0000F10B0000}"/>
    <cellStyle name="Comma 12" xfId="2858" xr:uid="{00000000-0005-0000-0000-0000F20B0000}"/>
    <cellStyle name="Comma 12 2" xfId="50284" xr:uid="{00000000-0005-0000-0000-0000F30B0000}"/>
    <cellStyle name="Comma 12 3" xfId="48454" xr:uid="{00000000-0005-0000-0000-0000F40B0000}"/>
    <cellStyle name="Comma 13" xfId="2859" xr:uid="{00000000-0005-0000-0000-0000F50B0000}"/>
    <cellStyle name="Comma 13 2" xfId="50285" xr:uid="{00000000-0005-0000-0000-0000F60B0000}"/>
    <cellStyle name="Comma 13 3" xfId="48455" xr:uid="{00000000-0005-0000-0000-0000F70B0000}"/>
    <cellStyle name="Comma 14" xfId="2860" xr:uid="{00000000-0005-0000-0000-0000F80B0000}"/>
    <cellStyle name="Comma 14 2" xfId="50822" xr:uid="{00000000-0005-0000-0000-0000F90B0000}"/>
    <cellStyle name="Comma 15" xfId="2861" xr:uid="{00000000-0005-0000-0000-0000FA0B0000}"/>
    <cellStyle name="Comma 15 2" xfId="50647" xr:uid="{00000000-0005-0000-0000-0000FB0B0000}"/>
    <cellStyle name="Comma 16" xfId="51138" xr:uid="{00000000-0005-0000-0000-0000FC0B0000}"/>
    <cellStyle name="Comma 17" xfId="2862" xr:uid="{00000000-0005-0000-0000-0000FD0B0000}"/>
    <cellStyle name="Comma 17 2" xfId="50789" xr:uid="{00000000-0005-0000-0000-0000FE0B0000}"/>
    <cellStyle name="Comma 18" xfId="2863" xr:uid="{00000000-0005-0000-0000-0000FF0B0000}"/>
    <cellStyle name="Comma 18 2" xfId="51207" xr:uid="{00000000-0005-0000-0000-0000000C0000}"/>
    <cellStyle name="Comma 19" xfId="51671"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57"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87"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88" xr:uid="{00000000-0005-0000-0000-0000210C0000}"/>
    <cellStyle name="Comma 2 11 3" xfId="48458"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89" xr:uid="{00000000-0005-0000-0000-00002E0C0000}"/>
    <cellStyle name="Comma 2 12 3" xfId="48459"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56" xr:uid="{00000000-0005-0000-0000-0000370C0000}"/>
    <cellStyle name="Comma 2 13" xfId="2910" xr:uid="{00000000-0005-0000-0000-0000380C0000}"/>
    <cellStyle name="Comma 2 13 2" xfId="50290" xr:uid="{00000000-0005-0000-0000-0000390C0000}"/>
    <cellStyle name="Comma 2 13 3" xfId="48460" xr:uid="{00000000-0005-0000-0000-00003A0C0000}"/>
    <cellStyle name="Comma 2 14" xfId="2911" xr:uid="{00000000-0005-0000-0000-00003B0C0000}"/>
    <cellStyle name="Comma 2 14 2" xfId="50291" xr:uid="{00000000-0005-0000-0000-00003C0C0000}"/>
    <cellStyle name="Comma 2 14 3" xfId="48461" xr:uid="{00000000-0005-0000-0000-00003D0C0000}"/>
    <cellStyle name="Comma 2 15" xfId="2912" xr:uid="{00000000-0005-0000-0000-00003E0C0000}"/>
    <cellStyle name="Comma 2 15 2" xfId="50292" xr:uid="{00000000-0005-0000-0000-00003F0C0000}"/>
    <cellStyle name="Comma 2 15 3" xfId="48462" xr:uid="{00000000-0005-0000-0000-0000400C0000}"/>
    <cellStyle name="Comma 2 16" xfId="2913" xr:uid="{00000000-0005-0000-0000-0000410C0000}"/>
    <cellStyle name="Comma 2 16 2" xfId="50293" xr:uid="{00000000-0005-0000-0000-0000420C0000}"/>
    <cellStyle name="Comma 2 16 3" xfId="48463" xr:uid="{00000000-0005-0000-0000-0000430C0000}"/>
    <cellStyle name="Comma 2 17" xfId="2914" xr:uid="{00000000-0005-0000-0000-0000440C0000}"/>
    <cellStyle name="Comma 2 17 2" xfId="50294" xr:uid="{00000000-0005-0000-0000-0000450C0000}"/>
    <cellStyle name="Comma 2 17 3" xfId="48464" xr:uid="{00000000-0005-0000-0000-0000460C0000}"/>
    <cellStyle name="Comma 2 18" xfId="2915" xr:uid="{00000000-0005-0000-0000-0000470C0000}"/>
    <cellStyle name="Comma 2 18 2" xfId="50295" xr:uid="{00000000-0005-0000-0000-0000480C0000}"/>
    <cellStyle name="Comma 2 18 3" xfId="48465" xr:uid="{00000000-0005-0000-0000-0000490C0000}"/>
    <cellStyle name="Comma 2 19" xfId="2916" xr:uid="{00000000-0005-0000-0000-00004A0C0000}"/>
    <cellStyle name="Comma 2 19 2" xfId="50296" xr:uid="{00000000-0005-0000-0000-00004B0C0000}"/>
    <cellStyle name="Comma 2 19 3" xfId="48466" xr:uid="{00000000-0005-0000-0000-00004C0C0000}"/>
    <cellStyle name="Comma 2 2" xfId="6" xr:uid="{00000000-0005-0000-0000-00004D0C0000}"/>
    <cellStyle name="Comma 2 2 10" xfId="2917" xr:uid="{00000000-0005-0000-0000-00004E0C0000}"/>
    <cellStyle name="Comma 2 2 10 2" xfId="50298" xr:uid="{00000000-0005-0000-0000-00004F0C0000}"/>
    <cellStyle name="Comma 2 2 10 3" xfId="48468" xr:uid="{00000000-0005-0000-0000-0000500C0000}"/>
    <cellStyle name="Comma 2 2 11" xfId="2918" xr:uid="{00000000-0005-0000-0000-0000510C0000}"/>
    <cellStyle name="Comma 2 2 11 2" xfId="50299" xr:uid="{00000000-0005-0000-0000-0000520C0000}"/>
    <cellStyle name="Comma 2 2 11 3" xfId="48469" xr:uid="{00000000-0005-0000-0000-0000530C0000}"/>
    <cellStyle name="Comma 2 2 12" xfId="2919" xr:uid="{00000000-0005-0000-0000-0000540C0000}"/>
    <cellStyle name="Comma 2 2 12 2" xfId="50300" xr:uid="{00000000-0005-0000-0000-0000550C0000}"/>
    <cellStyle name="Comma 2 2 12 3" xfId="48470" xr:uid="{00000000-0005-0000-0000-0000560C0000}"/>
    <cellStyle name="Comma 2 2 13" xfId="2920" xr:uid="{00000000-0005-0000-0000-0000570C0000}"/>
    <cellStyle name="Comma 2 2 13 2" xfId="50301" xr:uid="{00000000-0005-0000-0000-0000580C0000}"/>
    <cellStyle name="Comma 2 2 13 3" xfId="48471" xr:uid="{00000000-0005-0000-0000-0000590C0000}"/>
    <cellStyle name="Comma 2 2 14" xfId="2921" xr:uid="{00000000-0005-0000-0000-00005A0C0000}"/>
    <cellStyle name="Comma 2 2 14 2" xfId="50302" xr:uid="{00000000-0005-0000-0000-00005B0C0000}"/>
    <cellStyle name="Comma 2 2 14 3" xfId="48472" xr:uid="{00000000-0005-0000-0000-00005C0C0000}"/>
    <cellStyle name="Comma 2 2 15" xfId="2922" xr:uid="{00000000-0005-0000-0000-00005D0C0000}"/>
    <cellStyle name="Comma 2 2 15 2" xfId="50303" xr:uid="{00000000-0005-0000-0000-00005E0C0000}"/>
    <cellStyle name="Comma 2 2 15 3" xfId="48473" xr:uid="{00000000-0005-0000-0000-00005F0C0000}"/>
    <cellStyle name="Comma 2 2 16" xfId="2923" xr:uid="{00000000-0005-0000-0000-0000600C0000}"/>
    <cellStyle name="Comma 2 2 16 2" xfId="50304" xr:uid="{00000000-0005-0000-0000-0000610C0000}"/>
    <cellStyle name="Comma 2 2 16 3" xfId="48474" xr:uid="{00000000-0005-0000-0000-0000620C0000}"/>
    <cellStyle name="Comma 2 2 17" xfId="2924" xr:uid="{00000000-0005-0000-0000-0000630C0000}"/>
    <cellStyle name="Comma 2 2 17 2" xfId="50305" xr:uid="{00000000-0005-0000-0000-0000640C0000}"/>
    <cellStyle name="Comma 2 2 17 3" xfId="48475" xr:uid="{00000000-0005-0000-0000-0000650C0000}"/>
    <cellStyle name="Comma 2 2 18" xfId="2925" xr:uid="{00000000-0005-0000-0000-0000660C0000}"/>
    <cellStyle name="Comma 2 2 18 2" xfId="50306" xr:uid="{00000000-0005-0000-0000-0000670C0000}"/>
    <cellStyle name="Comma 2 2 18 3" xfId="48476" xr:uid="{00000000-0005-0000-0000-0000680C0000}"/>
    <cellStyle name="Comma 2 2 19" xfId="2926" xr:uid="{00000000-0005-0000-0000-0000690C0000}"/>
    <cellStyle name="Comma 2 2 19 2" xfId="50307" xr:uid="{00000000-0005-0000-0000-00006A0C0000}"/>
    <cellStyle name="Comma 2 2 19 3" xfId="48477" xr:uid="{00000000-0005-0000-0000-00006B0C0000}"/>
    <cellStyle name="Comma 2 2 2" xfId="2927" xr:uid="{00000000-0005-0000-0000-00006C0C0000}"/>
    <cellStyle name="Comma 2 2 2 10" xfId="2928" xr:uid="{00000000-0005-0000-0000-00006D0C0000}"/>
    <cellStyle name="Comma 2 2 2 10 2" xfId="48479" xr:uid="{00000000-0005-0000-0000-00006E0C0000}"/>
    <cellStyle name="Comma 2 2 2 11" xfId="2929" xr:uid="{00000000-0005-0000-0000-00006F0C0000}"/>
    <cellStyle name="Comma 2 2 2 11 2" xfId="48480" xr:uid="{00000000-0005-0000-0000-0000700C0000}"/>
    <cellStyle name="Comma 2 2 2 12" xfId="2930" xr:uid="{00000000-0005-0000-0000-0000710C0000}"/>
    <cellStyle name="Comma 2 2 2 12 2" xfId="48481" xr:uid="{00000000-0005-0000-0000-0000720C0000}"/>
    <cellStyle name="Comma 2 2 2 13" xfId="2931" xr:uid="{00000000-0005-0000-0000-0000730C0000}"/>
    <cellStyle name="Comma 2 2 2 13 2" xfId="48482" xr:uid="{00000000-0005-0000-0000-0000740C0000}"/>
    <cellStyle name="Comma 2 2 2 14" xfId="2932" xr:uid="{00000000-0005-0000-0000-0000750C0000}"/>
    <cellStyle name="Comma 2 2 2 14 2" xfId="48483" xr:uid="{00000000-0005-0000-0000-0000760C0000}"/>
    <cellStyle name="Comma 2 2 2 15" xfId="2933" xr:uid="{00000000-0005-0000-0000-0000770C0000}"/>
    <cellStyle name="Comma 2 2 2 15 2" xfId="48484" xr:uid="{00000000-0005-0000-0000-0000780C0000}"/>
    <cellStyle name="Comma 2 2 2 16" xfId="48485" xr:uid="{00000000-0005-0000-0000-0000790C0000}"/>
    <cellStyle name="Comma 2 2 2 17" xfId="48486" xr:uid="{00000000-0005-0000-0000-00007A0C0000}"/>
    <cellStyle name="Comma 2 2 2 18" xfId="48487" xr:uid="{00000000-0005-0000-0000-00007B0C0000}"/>
    <cellStyle name="Comma 2 2 2 19" xfId="50308"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88"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19"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27" xr:uid="{00000000-0005-0000-0000-0000D60C0000}"/>
    <cellStyle name="Comma 2 2 2 2 4 3" xfId="3021" xr:uid="{00000000-0005-0000-0000-0000D70C0000}"/>
    <cellStyle name="Comma 2 2 2 2 4 4" xfId="48489"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28" xr:uid="{00000000-0005-0000-0000-0000DC0C0000}"/>
    <cellStyle name="Comma 2 2 2 2 5 3" xfId="48490" xr:uid="{00000000-0005-0000-0000-0000DD0C0000}"/>
    <cellStyle name="Comma 2 2 2 2 6" xfId="3025" xr:uid="{00000000-0005-0000-0000-0000DE0C0000}"/>
    <cellStyle name="Comma 2 2 2 2 6 2" xfId="50329" xr:uid="{00000000-0005-0000-0000-0000DF0C0000}"/>
    <cellStyle name="Comma 2 2 2 2 6 3" xfId="48491" xr:uid="{00000000-0005-0000-0000-0000E00C0000}"/>
    <cellStyle name="Comma 2 2 2 2 7" xfId="3026" xr:uid="{00000000-0005-0000-0000-0000E10C0000}"/>
    <cellStyle name="Comma 2 2 2 2 7 2" xfId="3027" xr:uid="{00000000-0005-0000-0000-0000E20C0000}"/>
    <cellStyle name="Comma 2 2 2 2 7 2 2" xfId="50330" xr:uid="{00000000-0005-0000-0000-0000E30C0000}"/>
    <cellStyle name="Comma 2 2 2 2 7 3" xfId="48492" xr:uid="{00000000-0005-0000-0000-0000E40C0000}"/>
    <cellStyle name="Comma 2 2 2 2 8" xfId="48493" xr:uid="{00000000-0005-0000-0000-0000E50C0000}"/>
    <cellStyle name="Comma 2 2 2 2 8 2" xfId="50331" xr:uid="{00000000-0005-0000-0000-0000E60C0000}"/>
    <cellStyle name="Comma 2 2 2 20" xfId="48478"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5" xr:uid="{00000000-0005-0000-0000-0000FC0C0000}"/>
    <cellStyle name="Comma 2 2 2 5 2 3" xfId="48494" xr:uid="{00000000-0005-0000-0000-0000FD0C0000}"/>
    <cellStyle name="Comma 2 2 2 5 3" xfId="48495" xr:uid="{00000000-0005-0000-0000-0000FE0C0000}"/>
    <cellStyle name="Comma 2 2 2 5 3 2" xfId="50336" xr:uid="{00000000-0005-0000-0000-0000FF0C0000}"/>
    <cellStyle name="Comma 2 2 2 5 4" xfId="48496" xr:uid="{00000000-0005-0000-0000-0000000D0000}"/>
    <cellStyle name="Comma 2 2 2 5 4 2" xfId="50337" xr:uid="{00000000-0005-0000-0000-0000010D0000}"/>
    <cellStyle name="Comma 2 2 2 5 5" xfId="48497" xr:uid="{00000000-0005-0000-0000-0000020D0000}"/>
    <cellStyle name="Comma 2 2 2 5 5 2" xfId="50338" xr:uid="{00000000-0005-0000-0000-0000030D0000}"/>
    <cellStyle name="Comma 2 2 2 5 6" xfId="48498" xr:uid="{00000000-0005-0000-0000-0000040D0000}"/>
    <cellStyle name="Comma 2 2 2 5 6 2" xfId="50339" xr:uid="{00000000-0005-0000-0000-0000050D0000}"/>
    <cellStyle name="Comma 2 2 2 5 7" xfId="48499" xr:uid="{00000000-0005-0000-0000-0000060D0000}"/>
    <cellStyle name="Comma 2 2 2 5 7 2" xfId="50340"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0" xr:uid="{00000000-0005-0000-0000-00000F0D0000}"/>
    <cellStyle name="Comma 2 2 20" xfId="3055" xr:uid="{00000000-0005-0000-0000-0000100D0000}"/>
    <cellStyle name="Comma 2 2 20 2" xfId="50297"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1"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2" xr:uid="{00000000-0005-0000-0000-0000340D0000}"/>
    <cellStyle name="Comma 2 2 4 2" xfId="48503" xr:uid="{00000000-0005-0000-0000-0000350D0000}"/>
    <cellStyle name="Comma 2 2 4 2 2" xfId="48504" xr:uid="{00000000-0005-0000-0000-0000360D0000}"/>
    <cellStyle name="Comma 2 2 4 2 2 2" xfId="50348" xr:uid="{00000000-0005-0000-0000-0000370D0000}"/>
    <cellStyle name="Comma 2 2 4 2 3" xfId="48505" xr:uid="{00000000-0005-0000-0000-0000380D0000}"/>
    <cellStyle name="Comma 2 2 4 2 3 2" xfId="50349" xr:uid="{00000000-0005-0000-0000-0000390D0000}"/>
    <cellStyle name="Comma 2 2 4 2 4" xfId="48506" xr:uid="{00000000-0005-0000-0000-00003A0D0000}"/>
    <cellStyle name="Comma 2 2 4 2 4 2" xfId="50350" xr:uid="{00000000-0005-0000-0000-00003B0D0000}"/>
    <cellStyle name="Comma 2 2 4 2 5" xfId="48507" xr:uid="{00000000-0005-0000-0000-00003C0D0000}"/>
    <cellStyle name="Comma 2 2 4 2 5 2" xfId="50351" xr:uid="{00000000-0005-0000-0000-00003D0D0000}"/>
    <cellStyle name="Comma 2 2 4 2 6" xfId="48508" xr:uid="{00000000-0005-0000-0000-00003E0D0000}"/>
    <cellStyle name="Comma 2 2 4 2 6 2" xfId="50352" xr:uid="{00000000-0005-0000-0000-00003F0D0000}"/>
    <cellStyle name="Comma 2 2 4 2 7" xfId="48509" xr:uid="{00000000-0005-0000-0000-0000400D0000}"/>
    <cellStyle name="Comma 2 2 4 2 7 2" xfId="50353" xr:uid="{00000000-0005-0000-0000-0000410D0000}"/>
    <cellStyle name="Comma 2 2 4 2 8" xfId="50347" xr:uid="{00000000-0005-0000-0000-0000420D0000}"/>
    <cellStyle name="Comma 2 2 4 3" xfId="48510" xr:uid="{00000000-0005-0000-0000-0000430D0000}"/>
    <cellStyle name="Comma 2 2 4 3 2" xfId="50354" xr:uid="{00000000-0005-0000-0000-0000440D0000}"/>
    <cellStyle name="Comma 2 2 4 4" xfId="48511" xr:uid="{00000000-0005-0000-0000-0000450D0000}"/>
    <cellStyle name="Comma 2 2 4 4 2" xfId="50355" xr:uid="{00000000-0005-0000-0000-0000460D0000}"/>
    <cellStyle name="Comma 2 2 4 5" xfId="48512" xr:uid="{00000000-0005-0000-0000-0000470D0000}"/>
    <cellStyle name="Comma 2 2 4 5 2" xfId="50356" xr:uid="{00000000-0005-0000-0000-0000480D0000}"/>
    <cellStyle name="Comma 2 2 4 6" xfId="48513" xr:uid="{00000000-0005-0000-0000-0000490D0000}"/>
    <cellStyle name="Comma 2 2 4 6 2" xfId="50357" xr:uid="{00000000-0005-0000-0000-00004A0D0000}"/>
    <cellStyle name="Comma 2 2 4 7" xfId="48514" xr:uid="{00000000-0005-0000-0000-00004B0D0000}"/>
    <cellStyle name="Comma 2 2 4 7 2" xfId="50358" xr:uid="{00000000-0005-0000-0000-00004C0D0000}"/>
    <cellStyle name="Comma 2 2 4 8" xfId="48515" xr:uid="{00000000-0005-0000-0000-00004D0D0000}"/>
    <cellStyle name="Comma 2 2 4 8 2" xfId="50359" xr:uid="{00000000-0005-0000-0000-00004E0D0000}"/>
    <cellStyle name="Comma 2 2 4 9" xfId="50346"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0" xr:uid="{00000000-0005-0000-0000-0000720D0000}"/>
    <cellStyle name="Comma 2 2 5 3" xfId="48516"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67" xr:uid="{00000000-0005-0000-0000-00007A0D0000}"/>
    <cellStyle name="Comma 2 2 6" xfId="3129" xr:uid="{00000000-0005-0000-0000-00007B0D0000}"/>
    <cellStyle name="Comma 2 2 6 2" xfId="48518" xr:uid="{00000000-0005-0000-0000-00007C0D0000}"/>
    <cellStyle name="Comma 2 2 6 2 2" xfId="50362" xr:uid="{00000000-0005-0000-0000-00007D0D0000}"/>
    <cellStyle name="Comma 2 2 6 3" xfId="48519" xr:uid="{00000000-0005-0000-0000-00007E0D0000}"/>
    <cellStyle name="Comma 2 2 6 3 2" xfId="50363" xr:uid="{00000000-0005-0000-0000-00007F0D0000}"/>
    <cellStyle name="Comma 2 2 6 4" xfId="48520" xr:uid="{00000000-0005-0000-0000-0000800D0000}"/>
    <cellStyle name="Comma 2 2 6 4 2" xfId="50364" xr:uid="{00000000-0005-0000-0000-0000810D0000}"/>
    <cellStyle name="Comma 2 2 6 5" xfId="48521" xr:uid="{00000000-0005-0000-0000-0000820D0000}"/>
    <cellStyle name="Comma 2 2 6 5 2" xfId="50365" xr:uid="{00000000-0005-0000-0000-0000830D0000}"/>
    <cellStyle name="Comma 2 2 6 6" xfId="48522" xr:uid="{00000000-0005-0000-0000-0000840D0000}"/>
    <cellStyle name="Comma 2 2 6 6 2" xfId="50366" xr:uid="{00000000-0005-0000-0000-0000850D0000}"/>
    <cellStyle name="Comma 2 2 6 7" xfId="48523" xr:uid="{00000000-0005-0000-0000-0000860D0000}"/>
    <cellStyle name="Comma 2 2 6 7 2" xfId="50367" xr:uid="{00000000-0005-0000-0000-0000870D0000}"/>
    <cellStyle name="Comma 2 2 6 8" xfId="50361" xr:uid="{00000000-0005-0000-0000-0000880D0000}"/>
    <cellStyle name="Comma 2 2 6 9" xfId="48517" xr:uid="{00000000-0005-0000-0000-0000890D0000}"/>
    <cellStyle name="Comma 2 2 7" xfId="3130" xr:uid="{00000000-0005-0000-0000-00008A0D0000}"/>
    <cellStyle name="Comma 2 2 7 2" xfId="50368" xr:uid="{00000000-0005-0000-0000-00008B0D0000}"/>
    <cellStyle name="Comma 2 2 7 3" xfId="48524" xr:uid="{00000000-0005-0000-0000-00008C0D0000}"/>
    <cellStyle name="Comma 2 2 8" xfId="3131" xr:uid="{00000000-0005-0000-0000-00008D0D0000}"/>
    <cellStyle name="Comma 2 2 8 2" xfId="50369" xr:uid="{00000000-0005-0000-0000-00008E0D0000}"/>
    <cellStyle name="Comma 2 2 8 3" xfId="48525" xr:uid="{00000000-0005-0000-0000-00008F0D0000}"/>
    <cellStyle name="Comma 2 2 9" xfId="3132" xr:uid="{00000000-0005-0000-0000-0000900D0000}"/>
    <cellStyle name="Comma 2 2 9 2" xfId="50370" xr:uid="{00000000-0005-0000-0000-0000910D0000}"/>
    <cellStyle name="Comma 2 2 9 3" xfId="48526" xr:uid="{00000000-0005-0000-0000-0000920D0000}"/>
    <cellStyle name="Comma 2 2_3.1.2 DB Pension Detail" xfId="3133" xr:uid="{00000000-0005-0000-0000-0000930D0000}"/>
    <cellStyle name="Comma 2 20" xfId="3134" xr:uid="{00000000-0005-0000-0000-0000940D0000}"/>
    <cellStyle name="Comma 2 20 2" xfId="50372" xr:uid="{00000000-0005-0000-0000-0000950D0000}"/>
    <cellStyle name="Comma 2 20 3" xfId="48527" xr:uid="{00000000-0005-0000-0000-0000960D0000}"/>
    <cellStyle name="Comma 2 21" xfId="3135" xr:uid="{00000000-0005-0000-0000-0000970D0000}"/>
    <cellStyle name="Comma 2 21 2" xfId="50848" xr:uid="{00000000-0005-0000-0000-0000980D0000}"/>
    <cellStyle name="Comma 2 21 3" xfId="49398" xr:uid="{00000000-0005-0000-0000-0000990D0000}"/>
    <cellStyle name="Comma 2 22" xfId="3136" xr:uid="{00000000-0005-0000-0000-00009A0D0000}"/>
    <cellStyle name="Comma 2 22 2" xfId="50286"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0" xr:uid="{00000000-0005-0000-0000-0000B60D0000}"/>
    <cellStyle name="Comma 2 3 2 2 2" xfId="3163" xr:uid="{00000000-0005-0000-0000-0000B70D0000}"/>
    <cellStyle name="Comma 2 3 2 2 2 2" xfId="50375"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4" xr:uid="{00000000-0005-0000-0000-0000C20D0000}"/>
    <cellStyle name="Comma 2 3 2 4" xfId="48529"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1" xr:uid="{00000000-0005-0000-0000-0000D40D0000}"/>
    <cellStyle name="Comma 2 3 3 2" xfId="3189" xr:uid="{00000000-0005-0000-0000-0000D50D0000}"/>
    <cellStyle name="Comma 2 3 3 2 2" xfId="50376"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3"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28"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77"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2"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78" xr:uid="{00000000-0005-0000-0000-00006F0E0000}"/>
    <cellStyle name="Comma 2 5 3" xfId="48533"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79" xr:uid="{00000000-0005-0000-0000-00009E0E0000}"/>
    <cellStyle name="Comma 2 6 3" xfId="48534"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0" xr:uid="{00000000-0005-0000-0000-0000AB0E0000}"/>
    <cellStyle name="Comma 2 7 3" xfId="48535"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1" xr:uid="{00000000-0005-0000-0000-0000B80E0000}"/>
    <cellStyle name="Comma 2 8 3" xfId="48536"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2" xr:uid="{00000000-0005-0000-0000-0000C50E0000}"/>
    <cellStyle name="Comma 2 9 3" xfId="48537"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5" xr:uid="{00000000-0005-0000-0000-0000D30E0000}"/>
    <cellStyle name="Comma 21" xfId="51682" xr:uid="{00000000-0005-0000-0000-0000D40E0000}"/>
    <cellStyle name="Comma 22" xfId="51337" xr:uid="{00000000-0005-0000-0000-0000D50E0000}"/>
    <cellStyle name="Comma 23" xfId="51676" xr:uid="{00000000-0005-0000-0000-0000D60E0000}"/>
    <cellStyle name="Comma 24" xfId="50769" xr:uid="{00000000-0005-0000-0000-0000D70E0000}"/>
    <cellStyle name="Comma 25" xfId="51672" xr:uid="{00000000-0005-0000-0000-0000D80E0000}"/>
    <cellStyle name="Comma 26" xfId="51209" xr:uid="{00000000-0005-0000-0000-0000D90E0000}"/>
    <cellStyle name="Comma 27" xfId="50931" xr:uid="{00000000-0005-0000-0000-0000DA0E0000}"/>
    <cellStyle name="Comma 28" xfId="49373"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38" xr:uid="{00000000-0005-0000-0000-0000FB0E0000}"/>
    <cellStyle name="Comma 3 13" xfId="3458" xr:uid="{00000000-0005-0000-0000-0000FC0E0000}"/>
    <cellStyle name="Comma 3 13 2" xfId="50828" xr:uid="{00000000-0005-0000-0000-0000FD0E0000}"/>
    <cellStyle name="Comma 3 13 3" xfId="49374"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0" xr:uid="{00000000-0005-0000-0000-00000C0F0000}"/>
    <cellStyle name="Comma 3 2 2 2" xfId="3472" xr:uid="{00000000-0005-0000-0000-00000D0F0000}"/>
    <cellStyle name="Comma 3 2 2 2 2" xfId="50385"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86" xr:uid="{00000000-0005-0000-0000-0000180F0000}"/>
    <cellStyle name="Comma 3 2 3 3" xfId="48541" xr:uid="{00000000-0005-0000-0000-0000190F0000}"/>
    <cellStyle name="Comma 3 2 4" xfId="3482" xr:uid="{00000000-0005-0000-0000-00001A0F0000}"/>
    <cellStyle name="Comma 3 2 4 2" xfId="50384" xr:uid="{00000000-0005-0000-0000-00001B0F0000}"/>
    <cellStyle name="Comma 3 2 5" xfId="3483" xr:uid="{00000000-0005-0000-0000-00001C0F0000}"/>
    <cellStyle name="Comma 3 2 6" xfId="48539"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29" xr:uid="{00000000-0005-0000-0000-00002C0F0000}"/>
    <cellStyle name="Comma 3 3 2 3" xfId="49375" xr:uid="{00000000-0005-0000-0000-00002D0F0000}"/>
    <cellStyle name="Comma 3 3 3" xfId="3498" xr:uid="{00000000-0005-0000-0000-00002E0F0000}"/>
    <cellStyle name="Comma 3 3 3 2" xfId="50387" xr:uid="{00000000-0005-0000-0000-00002F0F0000}"/>
    <cellStyle name="Comma 3 3 4" xfId="3499" xr:uid="{00000000-0005-0000-0000-0000300F0000}"/>
    <cellStyle name="Comma 3 3 5" xfId="48542"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3"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88"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3"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89"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4"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3"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1"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5" xr:uid="{00000000-0005-0000-0000-0000AB110000}"/>
    <cellStyle name="Comma 7 2" xfId="4126" xr:uid="{00000000-0005-0000-0000-0000AC110000}"/>
    <cellStyle name="Comma 7 2 2" xfId="50390"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47" xr:uid="{00000000-0005-0000-0000-0000B6110000}"/>
    <cellStyle name="Comma 8 2 2" xfId="50392" xr:uid="{00000000-0005-0000-0000-0000B7110000}"/>
    <cellStyle name="Comma 8 3" xfId="48548" xr:uid="{00000000-0005-0000-0000-0000B8110000}"/>
    <cellStyle name="Comma 8 3 2" xfId="50393" xr:uid="{00000000-0005-0000-0000-0000B9110000}"/>
    <cellStyle name="Comma 8 4" xfId="50391" xr:uid="{00000000-0005-0000-0000-0000BA110000}"/>
    <cellStyle name="Comma 8 5" xfId="48546" xr:uid="{00000000-0005-0000-0000-0000BB110000}"/>
    <cellStyle name="Comma 9" xfId="4135" xr:uid="{00000000-0005-0000-0000-0000BC110000}"/>
    <cellStyle name="Comma 9 2" xfId="50394" xr:uid="{00000000-0005-0000-0000-0000BD110000}"/>
    <cellStyle name="Comma 9 3" xfId="48549"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0" xr:uid="{00000000-0005-0000-0000-000026120000}"/>
    <cellStyle name="Emphasis 2" xfId="30" xr:uid="{00000000-0005-0000-0000-000027120000}"/>
    <cellStyle name="Emphasis 2 2" xfId="48551" xr:uid="{00000000-0005-0000-0000-000028120000}"/>
    <cellStyle name="Emphasis 3" xfId="31" xr:uid="{00000000-0005-0000-0000-000029120000}"/>
    <cellStyle name="Emphasis 3 2" xfId="48552"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3"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4"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5"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56" xr:uid="{00000000-0005-0000-0000-0000A6120000}"/>
    <cellStyle name="Good 3" xfId="4357" xr:uid="{00000000-0005-0000-0000-0000A7120000}"/>
    <cellStyle name="Good 3 2" xfId="4358" xr:uid="{00000000-0005-0000-0000-0000A8120000}"/>
    <cellStyle name="Good 3 3" xfId="4359" xr:uid="{00000000-0005-0000-0000-0000A9120000}"/>
    <cellStyle name="Good 3 4" xfId="48557"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59" xr:uid="{00000000-0005-0000-0000-0000B2120000}"/>
    <cellStyle name="GreyOrWhite 2 2" xfId="48560" xr:uid="{00000000-0005-0000-0000-0000B3120000}"/>
    <cellStyle name="GreyOrWhite 2 3" xfId="48561" xr:uid="{00000000-0005-0000-0000-0000B4120000}"/>
    <cellStyle name="GreyOrWhite 2 4" xfId="48562" xr:uid="{00000000-0005-0000-0000-0000B5120000}"/>
    <cellStyle name="GreyOrWhite 2 5" xfId="48563" xr:uid="{00000000-0005-0000-0000-0000B6120000}"/>
    <cellStyle name="GreyOrWhite 2 6" xfId="48564" xr:uid="{00000000-0005-0000-0000-0000B7120000}"/>
    <cellStyle name="GreyOrWhite 2 7" xfId="48565" xr:uid="{00000000-0005-0000-0000-0000B8120000}"/>
    <cellStyle name="GreyOrWhite 2 8" xfId="48566" xr:uid="{00000000-0005-0000-0000-0000B9120000}"/>
    <cellStyle name="GreyOrWhite 3" xfId="48558"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67"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68"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69"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0"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1"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2"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3"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4"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1" xr:uid="{00000000-0005-0000-0000-0000A2130000}"/>
    <cellStyle name="Input 2 2 2 3" xfId="4589" xr:uid="{00000000-0005-0000-0000-0000A3130000}"/>
    <cellStyle name="Input 2 2 2 3 2" xfId="51667" xr:uid="{00000000-0005-0000-0000-0000A4130000}"/>
    <cellStyle name="Input 2 2 2 4" xfId="49796"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0"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68" xr:uid="{00000000-0005-0000-0000-0000B7130000}"/>
    <cellStyle name="Input 2 2 4" xfId="4606" xr:uid="{00000000-0005-0000-0000-0000B8130000}"/>
    <cellStyle name="Input 2 2 4 2" xfId="50872"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196" xr:uid="{00000000-0005-0000-0000-0000D6130000}"/>
    <cellStyle name="Input 2 3 2 3" xfId="4635" xr:uid="{00000000-0005-0000-0000-0000D7130000}"/>
    <cellStyle name="Input 2 3 2 3 2" xfId="51168" xr:uid="{00000000-0005-0000-0000-0000D8130000}"/>
    <cellStyle name="Input 2 3 2 4" xfId="49801"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5"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3" xr:uid="{00000000-0005-0000-0000-0000EB130000}"/>
    <cellStyle name="Input 2 3 4" xfId="4652" xr:uid="{00000000-0005-0000-0000-0000EC130000}"/>
    <cellStyle name="Input 2 3 4 2" xfId="51350"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5"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199" xr:uid="{00000000-0005-0000-0000-000008140000}"/>
    <cellStyle name="Input 2 4 2 3" xfId="4678" xr:uid="{00000000-0005-0000-0000-000009140000}"/>
    <cellStyle name="Input 2 4 2 3 2" xfId="51523" xr:uid="{00000000-0005-0000-0000-00000A140000}"/>
    <cellStyle name="Input 2 4 2 4" xfId="49798"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68"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0" xr:uid="{00000000-0005-0000-0000-00001D140000}"/>
    <cellStyle name="Input 2 4 4" xfId="4695" xr:uid="{00000000-0005-0000-0000-00001E140000}"/>
    <cellStyle name="Input 2 4 4 2" xfId="51489"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1"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68"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1"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86"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0"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2"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18"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3" xr:uid="{00000000-0005-0000-0000-000079140000}"/>
    <cellStyle name="Input 2 9" xfId="4778" xr:uid="{00000000-0005-0000-0000-00007A140000}"/>
    <cellStyle name="Input 2 9 2" xfId="4779" xr:uid="{00000000-0005-0000-0000-00007B140000}"/>
    <cellStyle name="Input 2 9 3" xfId="51675" xr:uid="{00000000-0005-0000-0000-00007C140000}"/>
    <cellStyle name="Input 3" xfId="4780" xr:uid="{00000000-0005-0000-0000-00007D140000}"/>
    <cellStyle name="Input 3 10" xfId="48576" xr:uid="{00000000-0005-0000-0000-00007E140000}"/>
    <cellStyle name="Input 3 2" xfId="4781" xr:uid="{00000000-0005-0000-0000-00007F140000}"/>
    <cellStyle name="Input 3 2 2" xfId="4782" xr:uid="{00000000-0005-0000-0000-000080140000}"/>
    <cellStyle name="Input 3 2 2 2" xfId="50200" xr:uid="{00000000-0005-0000-0000-000081140000}"/>
    <cellStyle name="Input 3 2 2 3" xfId="51265" xr:uid="{00000000-0005-0000-0000-000082140000}"/>
    <cellStyle name="Input 3 2 2 4" xfId="49797" xr:uid="{00000000-0005-0000-0000-000083140000}"/>
    <cellStyle name="Input 3 2 3" xfId="50569" xr:uid="{00000000-0005-0000-0000-000084140000}"/>
    <cellStyle name="Input 3 2 4" xfId="51232" xr:uid="{00000000-0005-0000-0000-000085140000}"/>
    <cellStyle name="Input 3 2 5" xfId="49469" xr:uid="{00000000-0005-0000-0000-000086140000}"/>
    <cellStyle name="Input 3 3" xfId="4783" xr:uid="{00000000-0005-0000-0000-000087140000}"/>
    <cellStyle name="Input 3 3 2" xfId="4784" xr:uid="{00000000-0005-0000-0000-000088140000}"/>
    <cellStyle name="Input 3 3 2 2" xfId="50197" xr:uid="{00000000-0005-0000-0000-000089140000}"/>
    <cellStyle name="Input 3 3 2 3" xfId="51521" xr:uid="{00000000-0005-0000-0000-00008A140000}"/>
    <cellStyle name="Input 3 3 2 4" xfId="49800" xr:uid="{00000000-0005-0000-0000-00008B140000}"/>
    <cellStyle name="Input 3 3 3" xfId="50566" xr:uid="{00000000-0005-0000-0000-00008C140000}"/>
    <cellStyle name="Input 3 3 4" xfId="51456" xr:uid="{00000000-0005-0000-0000-00008D140000}"/>
    <cellStyle name="Input 3 3 5" xfId="49472" xr:uid="{00000000-0005-0000-0000-00008E140000}"/>
    <cellStyle name="Input 3 4" xfId="4785" xr:uid="{00000000-0005-0000-0000-00008F140000}"/>
    <cellStyle name="Input 3 4 2" xfId="49799" xr:uid="{00000000-0005-0000-0000-000090140000}"/>
    <cellStyle name="Input 3 4 2 2" xfId="50198" xr:uid="{00000000-0005-0000-0000-000091140000}"/>
    <cellStyle name="Input 3 4 2 3" xfId="51263" xr:uid="{00000000-0005-0000-0000-000092140000}"/>
    <cellStyle name="Input 3 4 3" xfId="50567" xr:uid="{00000000-0005-0000-0000-000093140000}"/>
    <cellStyle name="Input 3 4 4" xfId="51198" xr:uid="{00000000-0005-0000-0000-000094140000}"/>
    <cellStyle name="Input 3 4 5" xfId="49471" xr:uid="{00000000-0005-0000-0000-000095140000}"/>
    <cellStyle name="Input 3 5" xfId="49632" xr:uid="{00000000-0005-0000-0000-000096140000}"/>
    <cellStyle name="Input 3 5 2" xfId="50924" xr:uid="{00000000-0005-0000-0000-000097140000}"/>
    <cellStyle name="Input 3 5 3" xfId="51176" xr:uid="{00000000-0005-0000-0000-000098140000}"/>
    <cellStyle name="Input 3 6" xfId="50041" xr:uid="{00000000-0005-0000-0000-000099140000}"/>
    <cellStyle name="Input 3 6 2" xfId="51085" xr:uid="{00000000-0005-0000-0000-00009A140000}"/>
    <cellStyle name="Input 3 6 3" xfId="51417" xr:uid="{00000000-0005-0000-0000-00009B140000}"/>
    <cellStyle name="Input 3 7" xfId="50851" xr:uid="{00000000-0005-0000-0000-00009C140000}"/>
    <cellStyle name="Input 3 8" xfId="50770" xr:uid="{00000000-0005-0000-0000-00009D140000}"/>
    <cellStyle name="Input 3 9" xfId="51679"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77"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38"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78"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79"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0"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1"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3"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2"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5"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4"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86"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87"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88"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89"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0"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2"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3"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4"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5" xr:uid="{00000000-0005-0000-0000-0000BF1D0000}"/>
    <cellStyle name="Normal 2 130" xfId="7097" xr:uid="{00000000-0005-0000-0000-0000C01D0000}"/>
    <cellStyle name="Normal 2 131" xfId="48591" xr:uid="{00000000-0005-0000-0000-0000C11D0000}"/>
    <cellStyle name="Normal 2 14" xfId="7098" xr:uid="{00000000-0005-0000-0000-0000C21D0000}"/>
    <cellStyle name="Normal 2 14 2" xfId="48596" xr:uid="{00000000-0005-0000-0000-0000C31D0000}"/>
    <cellStyle name="Normal 2 15" xfId="7099" xr:uid="{00000000-0005-0000-0000-0000C41D0000}"/>
    <cellStyle name="Normal 2 15 2" xfId="48597" xr:uid="{00000000-0005-0000-0000-0000C51D0000}"/>
    <cellStyle name="Normal 2 16" xfId="7100" xr:uid="{00000000-0005-0000-0000-0000C61D0000}"/>
    <cellStyle name="Normal 2 16 2" xfId="48598" xr:uid="{00000000-0005-0000-0000-0000C71D0000}"/>
    <cellStyle name="Normal 2 17" xfId="7101" xr:uid="{00000000-0005-0000-0000-0000C81D0000}"/>
    <cellStyle name="Normal 2 17 2" xfId="48599" xr:uid="{00000000-0005-0000-0000-0000C91D0000}"/>
    <cellStyle name="Normal 2 18" xfId="7102" xr:uid="{00000000-0005-0000-0000-0000CA1D0000}"/>
    <cellStyle name="Normal 2 18 2" xfId="48600" xr:uid="{00000000-0005-0000-0000-0000CB1D0000}"/>
    <cellStyle name="Normal 2 19" xfId="7103" xr:uid="{00000000-0005-0000-0000-0000CC1D0000}"/>
    <cellStyle name="Normal 2 19 2" xfId="48601"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3"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5" xr:uid="{00000000-0005-0000-0000-0000DD1D0000}"/>
    <cellStyle name="Normal 2 2 11 2 2" xfId="48606" xr:uid="{00000000-0005-0000-0000-0000DE1D0000}"/>
    <cellStyle name="Normal 2 2 11 2 3" xfId="48607" xr:uid="{00000000-0005-0000-0000-0000DF1D0000}"/>
    <cellStyle name="Normal 2 2 11 2 4" xfId="48608" xr:uid="{00000000-0005-0000-0000-0000E01D0000}"/>
    <cellStyle name="Normal 2 2 11 2 5" xfId="48609" xr:uid="{00000000-0005-0000-0000-0000E11D0000}"/>
    <cellStyle name="Normal 2 2 11 2 6" xfId="48610" xr:uid="{00000000-0005-0000-0000-0000E21D0000}"/>
    <cellStyle name="Normal 2 2 11 2 7" xfId="48611" xr:uid="{00000000-0005-0000-0000-0000E31D0000}"/>
    <cellStyle name="Normal 2 2 11 3" xfId="48612" xr:uid="{00000000-0005-0000-0000-0000E41D0000}"/>
    <cellStyle name="Normal 2 2 11 4" xfId="48613" xr:uid="{00000000-0005-0000-0000-0000E51D0000}"/>
    <cellStyle name="Normal 2 2 11 5" xfId="48614" xr:uid="{00000000-0005-0000-0000-0000E61D0000}"/>
    <cellStyle name="Normal 2 2 11 6" xfId="48615" xr:uid="{00000000-0005-0000-0000-0000E71D0000}"/>
    <cellStyle name="Normal 2 2 11 7" xfId="48616" xr:uid="{00000000-0005-0000-0000-0000E81D0000}"/>
    <cellStyle name="Normal 2 2 11 8" xfId="48617" xr:uid="{00000000-0005-0000-0000-0000E91D0000}"/>
    <cellStyle name="Normal 2 2 11 9" xfId="48604"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18"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2" xr:uid="{00000000-0005-0000-0000-0000FB1D0000}"/>
    <cellStyle name="Normal 2 2 13" xfId="7132" xr:uid="{00000000-0005-0000-0000-0000FC1D0000}"/>
    <cellStyle name="Normal 2 2 13 2" xfId="48620" xr:uid="{00000000-0005-0000-0000-0000FD1D0000}"/>
    <cellStyle name="Normal 2 2 13 3" xfId="48621" xr:uid="{00000000-0005-0000-0000-0000FE1D0000}"/>
    <cellStyle name="Normal 2 2 13 4" xfId="48622" xr:uid="{00000000-0005-0000-0000-0000FF1D0000}"/>
    <cellStyle name="Normal 2 2 13 5" xfId="48623" xr:uid="{00000000-0005-0000-0000-0000001E0000}"/>
    <cellStyle name="Normal 2 2 13 6" xfId="48624" xr:uid="{00000000-0005-0000-0000-0000011E0000}"/>
    <cellStyle name="Normal 2 2 13 7" xfId="48625" xr:uid="{00000000-0005-0000-0000-0000021E0000}"/>
    <cellStyle name="Normal 2 2 13 8" xfId="48619" xr:uid="{00000000-0005-0000-0000-0000031E0000}"/>
    <cellStyle name="Normal 2 2 14" xfId="7133" xr:uid="{00000000-0005-0000-0000-0000041E0000}"/>
    <cellStyle name="Normal 2 2 14 2" xfId="48626" xr:uid="{00000000-0005-0000-0000-0000051E0000}"/>
    <cellStyle name="Normal 2 2 15" xfId="7134" xr:uid="{00000000-0005-0000-0000-0000061E0000}"/>
    <cellStyle name="Normal 2 2 15 2" xfId="48627" xr:uid="{00000000-0005-0000-0000-0000071E0000}"/>
    <cellStyle name="Normal 2 2 16" xfId="7135" xr:uid="{00000000-0005-0000-0000-0000081E0000}"/>
    <cellStyle name="Normal 2 2 16 2" xfId="48628" xr:uid="{00000000-0005-0000-0000-0000091E0000}"/>
    <cellStyle name="Normal 2 2 17" xfId="7136" xr:uid="{00000000-0005-0000-0000-00000A1E0000}"/>
    <cellStyle name="Normal 2 2 17 2" xfId="48629" xr:uid="{00000000-0005-0000-0000-00000B1E0000}"/>
    <cellStyle name="Normal 2 2 18" xfId="7137" xr:uid="{00000000-0005-0000-0000-00000C1E0000}"/>
    <cellStyle name="Normal 2 2 18 2" xfId="48630" xr:uid="{00000000-0005-0000-0000-00000D1E0000}"/>
    <cellStyle name="Normal 2 2 19" xfId="7138" xr:uid="{00000000-0005-0000-0000-00000E1E0000}"/>
    <cellStyle name="Normal 2 2 19 2" xfId="48631"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3"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5" xr:uid="{00000000-0005-0000-0000-0000241E0000}"/>
    <cellStyle name="Normal 2 2 2 11 2 2" xfId="48636" xr:uid="{00000000-0005-0000-0000-0000251E0000}"/>
    <cellStyle name="Normal 2 2 2 11 2 3" xfId="48637" xr:uid="{00000000-0005-0000-0000-0000261E0000}"/>
    <cellStyle name="Normal 2 2 2 11 2 4" xfId="48638" xr:uid="{00000000-0005-0000-0000-0000271E0000}"/>
    <cellStyle name="Normal 2 2 2 11 2 5" xfId="48639" xr:uid="{00000000-0005-0000-0000-0000281E0000}"/>
    <cellStyle name="Normal 2 2 2 11 2 6" xfId="48640" xr:uid="{00000000-0005-0000-0000-0000291E0000}"/>
    <cellStyle name="Normal 2 2 2 11 2 7" xfId="48641" xr:uid="{00000000-0005-0000-0000-00002A1E0000}"/>
    <cellStyle name="Normal 2 2 2 11 3" xfId="48642" xr:uid="{00000000-0005-0000-0000-00002B1E0000}"/>
    <cellStyle name="Normal 2 2 2 11 4" xfId="48643" xr:uid="{00000000-0005-0000-0000-00002C1E0000}"/>
    <cellStyle name="Normal 2 2 2 11 5" xfId="48644" xr:uid="{00000000-0005-0000-0000-00002D1E0000}"/>
    <cellStyle name="Normal 2 2 2 11 6" xfId="48645" xr:uid="{00000000-0005-0000-0000-00002E1E0000}"/>
    <cellStyle name="Normal 2 2 2 11 7" xfId="48646" xr:uid="{00000000-0005-0000-0000-00002F1E0000}"/>
    <cellStyle name="Normal 2 2 2 11 8" xfId="48647" xr:uid="{00000000-0005-0000-0000-0000301E0000}"/>
    <cellStyle name="Normal 2 2 2 11 9" xfId="48634" xr:uid="{00000000-0005-0000-0000-0000311E0000}"/>
    <cellStyle name="Normal 2 2 2 12" xfId="7158" xr:uid="{00000000-0005-0000-0000-0000321E0000}"/>
    <cellStyle name="Normal 2 2 2 12 2" xfId="48648" xr:uid="{00000000-0005-0000-0000-0000331E0000}"/>
    <cellStyle name="Normal 2 2 2 13" xfId="7159" xr:uid="{00000000-0005-0000-0000-0000341E0000}"/>
    <cellStyle name="Normal 2 2 2 13 2" xfId="48650" xr:uid="{00000000-0005-0000-0000-0000351E0000}"/>
    <cellStyle name="Normal 2 2 2 13 3" xfId="48651" xr:uid="{00000000-0005-0000-0000-0000361E0000}"/>
    <cellStyle name="Normal 2 2 2 13 4" xfId="48652" xr:uid="{00000000-0005-0000-0000-0000371E0000}"/>
    <cellStyle name="Normal 2 2 2 13 5" xfId="48653" xr:uid="{00000000-0005-0000-0000-0000381E0000}"/>
    <cellStyle name="Normal 2 2 2 13 6" xfId="48654" xr:uid="{00000000-0005-0000-0000-0000391E0000}"/>
    <cellStyle name="Normal 2 2 2 13 7" xfId="48655" xr:uid="{00000000-0005-0000-0000-00003A1E0000}"/>
    <cellStyle name="Normal 2 2 2 13 8" xfId="48649" xr:uid="{00000000-0005-0000-0000-00003B1E0000}"/>
    <cellStyle name="Normal 2 2 2 14" xfId="7160" xr:uid="{00000000-0005-0000-0000-00003C1E0000}"/>
    <cellStyle name="Normal 2 2 2 14 2" xfId="48656" xr:uid="{00000000-0005-0000-0000-00003D1E0000}"/>
    <cellStyle name="Normal 2 2 2 15" xfId="7161" xr:uid="{00000000-0005-0000-0000-00003E1E0000}"/>
    <cellStyle name="Normal 2 2 2 15 2" xfId="48657" xr:uid="{00000000-0005-0000-0000-00003F1E0000}"/>
    <cellStyle name="Normal 2 2 2 16" xfId="7162" xr:uid="{00000000-0005-0000-0000-0000401E0000}"/>
    <cellStyle name="Normal 2 2 2 16 2" xfId="48658" xr:uid="{00000000-0005-0000-0000-0000411E0000}"/>
    <cellStyle name="Normal 2 2 2 17" xfId="7163" xr:uid="{00000000-0005-0000-0000-0000421E0000}"/>
    <cellStyle name="Normal 2 2 2 17 2" xfId="48659" xr:uid="{00000000-0005-0000-0000-0000431E0000}"/>
    <cellStyle name="Normal 2 2 2 18" xfId="7164" xr:uid="{00000000-0005-0000-0000-0000441E0000}"/>
    <cellStyle name="Normal 2 2 2 18 2" xfId="48660" xr:uid="{00000000-0005-0000-0000-0000451E0000}"/>
    <cellStyle name="Normal 2 2 2 19" xfId="7165" xr:uid="{00000000-0005-0000-0000-0000461E0000}"/>
    <cellStyle name="Normal 2 2 2 19 2" xfId="48661" xr:uid="{00000000-0005-0000-0000-0000471E0000}"/>
    <cellStyle name="Normal 2 2 2 2" xfId="7166" xr:uid="{00000000-0005-0000-0000-0000481E0000}"/>
    <cellStyle name="Normal 2 2 2 2 10" xfId="7167" xr:uid="{00000000-0005-0000-0000-0000491E0000}"/>
    <cellStyle name="Normal 2 2 2 2 10 2" xfId="48663" xr:uid="{00000000-0005-0000-0000-00004A1E0000}"/>
    <cellStyle name="Normal 2 2 2 2 11" xfId="7168" xr:uid="{00000000-0005-0000-0000-00004B1E0000}"/>
    <cellStyle name="Normal 2 2 2 2 11 2" xfId="48665" xr:uid="{00000000-0005-0000-0000-00004C1E0000}"/>
    <cellStyle name="Normal 2 2 2 2 11 3" xfId="48666" xr:uid="{00000000-0005-0000-0000-00004D1E0000}"/>
    <cellStyle name="Normal 2 2 2 2 11 4" xfId="48667" xr:uid="{00000000-0005-0000-0000-00004E1E0000}"/>
    <cellStyle name="Normal 2 2 2 2 11 5" xfId="48668" xr:uid="{00000000-0005-0000-0000-00004F1E0000}"/>
    <cellStyle name="Normal 2 2 2 2 11 6" xfId="48669" xr:uid="{00000000-0005-0000-0000-0000501E0000}"/>
    <cellStyle name="Normal 2 2 2 2 11 7" xfId="48670" xr:uid="{00000000-0005-0000-0000-0000511E0000}"/>
    <cellStyle name="Normal 2 2 2 2 11 8" xfId="48664" xr:uid="{00000000-0005-0000-0000-0000521E0000}"/>
    <cellStyle name="Normal 2 2 2 2 12" xfId="7169" xr:uid="{00000000-0005-0000-0000-0000531E0000}"/>
    <cellStyle name="Normal 2 2 2 2 12 2" xfId="48671" xr:uid="{00000000-0005-0000-0000-0000541E0000}"/>
    <cellStyle name="Normal 2 2 2 2 13" xfId="7170" xr:uid="{00000000-0005-0000-0000-0000551E0000}"/>
    <cellStyle name="Normal 2 2 2 2 13 2" xfId="48672" xr:uid="{00000000-0005-0000-0000-0000561E0000}"/>
    <cellStyle name="Normal 2 2 2 2 14" xfId="7171" xr:uid="{00000000-0005-0000-0000-0000571E0000}"/>
    <cellStyle name="Normal 2 2 2 2 14 2" xfId="48673" xr:uid="{00000000-0005-0000-0000-0000581E0000}"/>
    <cellStyle name="Normal 2 2 2 2 15" xfId="7172" xr:uid="{00000000-0005-0000-0000-0000591E0000}"/>
    <cellStyle name="Normal 2 2 2 2 15 2" xfId="48674" xr:uid="{00000000-0005-0000-0000-00005A1E0000}"/>
    <cellStyle name="Normal 2 2 2 2 16" xfId="7173" xr:uid="{00000000-0005-0000-0000-00005B1E0000}"/>
    <cellStyle name="Normal 2 2 2 2 16 2" xfId="48675" xr:uid="{00000000-0005-0000-0000-00005C1E0000}"/>
    <cellStyle name="Normal 2 2 2 2 17" xfId="7174" xr:uid="{00000000-0005-0000-0000-00005D1E0000}"/>
    <cellStyle name="Normal 2 2 2 2 17 2" xfId="48676" xr:uid="{00000000-0005-0000-0000-00005E1E0000}"/>
    <cellStyle name="Normal 2 2 2 2 18" xfId="7175" xr:uid="{00000000-0005-0000-0000-00005F1E0000}"/>
    <cellStyle name="Normal 2 2 2 2 18 2" xfId="48677" xr:uid="{00000000-0005-0000-0000-0000601E0000}"/>
    <cellStyle name="Normal 2 2 2 2 19" xfId="7176" xr:uid="{00000000-0005-0000-0000-0000611E0000}"/>
    <cellStyle name="Normal 2 2 2 2 19 2" xfId="48678" xr:uid="{00000000-0005-0000-0000-0000621E0000}"/>
    <cellStyle name="Normal 2 2 2 2 2" xfId="7177" xr:uid="{00000000-0005-0000-0000-0000631E0000}"/>
    <cellStyle name="Normal 2 2 2 2 2 10" xfId="7178" xr:uid="{00000000-0005-0000-0000-0000641E0000}"/>
    <cellStyle name="Normal 2 2 2 2 2 10 2" xfId="48680" xr:uid="{00000000-0005-0000-0000-0000651E0000}"/>
    <cellStyle name="Normal 2 2 2 2 2 11" xfId="7179" xr:uid="{00000000-0005-0000-0000-0000661E0000}"/>
    <cellStyle name="Normal 2 2 2 2 2 11 2" xfId="48682" xr:uid="{00000000-0005-0000-0000-0000671E0000}"/>
    <cellStyle name="Normal 2 2 2 2 2 11 3" xfId="48683" xr:uid="{00000000-0005-0000-0000-0000681E0000}"/>
    <cellStyle name="Normal 2 2 2 2 2 11 4" xfId="48684" xr:uid="{00000000-0005-0000-0000-0000691E0000}"/>
    <cellStyle name="Normal 2 2 2 2 2 11 5" xfId="48685" xr:uid="{00000000-0005-0000-0000-00006A1E0000}"/>
    <cellStyle name="Normal 2 2 2 2 2 11 6" xfId="48686" xr:uid="{00000000-0005-0000-0000-00006B1E0000}"/>
    <cellStyle name="Normal 2 2 2 2 2 11 7" xfId="48687" xr:uid="{00000000-0005-0000-0000-00006C1E0000}"/>
    <cellStyle name="Normal 2 2 2 2 2 11 8" xfId="48681" xr:uid="{00000000-0005-0000-0000-00006D1E0000}"/>
    <cellStyle name="Normal 2 2 2 2 2 12" xfId="7180" xr:uid="{00000000-0005-0000-0000-00006E1E0000}"/>
    <cellStyle name="Normal 2 2 2 2 2 12 2" xfId="48688" xr:uid="{00000000-0005-0000-0000-00006F1E0000}"/>
    <cellStyle name="Normal 2 2 2 2 2 13" xfId="7181" xr:uid="{00000000-0005-0000-0000-0000701E0000}"/>
    <cellStyle name="Normal 2 2 2 2 2 13 2" xfId="48689" xr:uid="{00000000-0005-0000-0000-0000711E0000}"/>
    <cellStyle name="Normal 2 2 2 2 2 14" xfId="7182" xr:uid="{00000000-0005-0000-0000-0000721E0000}"/>
    <cellStyle name="Normal 2 2 2 2 2 14 2" xfId="48690" xr:uid="{00000000-0005-0000-0000-0000731E0000}"/>
    <cellStyle name="Normal 2 2 2 2 2 15" xfId="7183" xr:uid="{00000000-0005-0000-0000-0000741E0000}"/>
    <cellStyle name="Normal 2 2 2 2 2 15 2" xfId="48691" xr:uid="{00000000-0005-0000-0000-0000751E0000}"/>
    <cellStyle name="Normal 2 2 2 2 2 16" xfId="7184" xr:uid="{00000000-0005-0000-0000-0000761E0000}"/>
    <cellStyle name="Normal 2 2 2 2 2 16 2" xfId="48692" xr:uid="{00000000-0005-0000-0000-0000771E0000}"/>
    <cellStyle name="Normal 2 2 2 2 2 17" xfId="7185" xr:uid="{00000000-0005-0000-0000-0000781E0000}"/>
    <cellStyle name="Normal 2 2 2 2 2 17 2" xfId="48693" xr:uid="{00000000-0005-0000-0000-0000791E0000}"/>
    <cellStyle name="Normal 2 2 2 2 2 18" xfId="7186" xr:uid="{00000000-0005-0000-0000-00007A1E0000}"/>
    <cellStyle name="Normal 2 2 2 2 2 18 2" xfId="48694" xr:uid="{00000000-0005-0000-0000-00007B1E0000}"/>
    <cellStyle name="Normal 2 2 2 2 2 19" xfId="7187" xr:uid="{00000000-0005-0000-0000-00007C1E0000}"/>
    <cellStyle name="Normal 2 2 2 2 2 19 2" xfId="48695" xr:uid="{00000000-0005-0000-0000-00007D1E0000}"/>
    <cellStyle name="Normal 2 2 2 2 2 2" xfId="7188" xr:uid="{00000000-0005-0000-0000-00007E1E0000}"/>
    <cellStyle name="Normal 2 2 2 2 2 2 10" xfId="7189" xr:uid="{00000000-0005-0000-0000-00007F1E0000}"/>
    <cellStyle name="Normal 2 2 2 2 2 2 10 2" xfId="48698" xr:uid="{00000000-0005-0000-0000-0000801E0000}"/>
    <cellStyle name="Normal 2 2 2 2 2 2 10 3" xfId="48699" xr:uid="{00000000-0005-0000-0000-0000811E0000}"/>
    <cellStyle name="Normal 2 2 2 2 2 2 10 4" xfId="48700" xr:uid="{00000000-0005-0000-0000-0000821E0000}"/>
    <cellStyle name="Normal 2 2 2 2 2 2 10 5" xfId="48701" xr:uid="{00000000-0005-0000-0000-0000831E0000}"/>
    <cellStyle name="Normal 2 2 2 2 2 2 10 6" xfId="48702" xr:uid="{00000000-0005-0000-0000-0000841E0000}"/>
    <cellStyle name="Normal 2 2 2 2 2 2 10 7" xfId="48703" xr:uid="{00000000-0005-0000-0000-0000851E0000}"/>
    <cellStyle name="Normal 2 2 2 2 2 2 10 8" xfId="48697" xr:uid="{00000000-0005-0000-0000-0000861E0000}"/>
    <cellStyle name="Normal 2 2 2 2 2 2 11" xfId="7190" xr:uid="{00000000-0005-0000-0000-0000871E0000}"/>
    <cellStyle name="Normal 2 2 2 2 2 2 11 2" xfId="48704" xr:uid="{00000000-0005-0000-0000-0000881E0000}"/>
    <cellStyle name="Normal 2 2 2 2 2 2 12" xfId="7191" xr:uid="{00000000-0005-0000-0000-0000891E0000}"/>
    <cellStyle name="Normal 2 2 2 2 2 2 12 2" xfId="48705" xr:uid="{00000000-0005-0000-0000-00008A1E0000}"/>
    <cellStyle name="Normal 2 2 2 2 2 2 13" xfId="7192" xr:uid="{00000000-0005-0000-0000-00008B1E0000}"/>
    <cellStyle name="Normal 2 2 2 2 2 2 13 2" xfId="48706" xr:uid="{00000000-0005-0000-0000-00008C1E0000}"/>
    <cellStyle name="Normal 2 2 2 2 2 2 14" xfId="7193" xr:uid="{00000000-0005-0000-0000-00008D1E0000}"/>
    <cellStyle name="Normal 2 2 2 2 2 2 14 2" xfId="48707" xr:uid="{00000000-0005-0000-0000-00008E1E0000}"/>
    <cellStyle name="Normal 2 2 2 2 2 2 15" xfId="7194" xr:uid="{00000000-0005-0000-0000-00008F1E0000}"/>
    <cellStyle name="Normal 2 2 2 2 2 2 15 2" xfId="48708" xr:uid="{00000000-0005-0000-0000-0000901E0000}"/>
    <cellStyle name="Normal 2 2 2 2 2 2 16" xfId="7195" xr:uid="{00000000-0005-0000-0000-0000911E0000}"/>
    <cellStyle name="Normal 2 2 2 2 2 2 16 2" xfId="48709" xr:uid="{00000000-0005-0000-0000-0000921E0000}"/>
    <cellStyle name="Normal 2 2 2 2 2 2 17" xfId="7196" xr:uid="{00000000-0005-0000-0000-0000931E0000}"/>
    <cellStyle name="Normal 2 2 2 2 2 2 17 2" xfId="48710" xr:uid="{00000000-0005-0000-0000-0000941E0000}"/>
    <cellStyle name="Normal 2 2 2 2 2 2 18" xfId="7197" xr:uid="{00000000-0005-0000-0000-0000951E0000}"/>
    <cellStyle name="Normal 2 2 2 2 2 2 18 2" xfId="48711" xr:uid="{00000000-0005-0000-0000-0000961E0000}"/>
    <cellStyle name="Normal 2 2 2 2 2 2 19" xfId="7198" xr:uid="{00000000-0005-0000-0000-0000971E0000}"/>
    <cellStyle name="Normal 2 2 2 2 2 2 19 2" xfId="48712" xr:uid="{00000000-0005-0000-0000-0000981E0000}"/>
    <cellStyle name="Normal 2 2 2 2 2 2 2" xfId="7199" xr:uid="{00000000-0005-0000-0000-0000991E0000}"/>
    <cellStyle name="Normal 2 2 2 2 2 2 2 10" xfId="7200" xr:uid="{00000000-0005-0000-0000-00009A1E0000}"/>
    <cellStyle name="Normal 2 2 2 2 2 2 2 10 2" xfId="48715" xr:uid="{00000000-0005-0000-0000-00009B1E0000}"/>
    <cellStyle name="Normal 2 2 2 2 2 2 2 10 3" xfId="48716" xr:uid="{00000000-0005-0000-0000-00009C1E0000}"/>
    <cellStyle name="Normal 2 2 2 2 2 2 2 10 4" xfId="48717" xr:uid="{00000000-0005-0000-0000-00009D1E0000}"/>
    <cellStyle name="Normal 2 2 2 2 2 2 2 10 5" xfId="48718" xr:uid="{00000000-0005-0000-0000-00009E1E0000}"/>
    <cellStyle name="Normal 2 2 2 2 2 2 2 10 6" xfId="48719" xr:uid="{00000000-0005-0000-0000-00009F1E0000}"/>
    <cellStyle name="Normal 2 2 2 2 2 2 2 10 7" xfId="48720" xr:uid="{00000000-0005-0000-0000-0000A01E0000}"/>
    <cellStyle name="Normal 2 2 2 2 2 2 2 10 8" xfId="48714" xr:uid="{00000000-0005-0000-0000-0000A11E0000}"/>
    <cellStyle name="Normal 2 2 2 2 2 2 2 11" xfId="7201" xr:uid="{00000000-0005-0000-0000-0000A21E0000}"/>
    <cellStyle name="Normal 2 2 2 2 2 2 2 11 2" xfId="48721" xr:uid="{00000000-0005-0000-0000-0000A31E0000}"/>
    <cellStyle name="Normal 2 2 2 2 2 2 2 12" xfId="7202" xr:uid="{00000000-0005-0000-0000-0000A41E0000}"/>
    <cellStyle name="Normal 2 2 2 2 2 2 2 12 2" xfId="48722" xr:uid="{00000000-0005-0000-0000-0000A51E0000}"/>
    <cellStyle name="Normal 2 2 2 2 2 2 2 13" xfId="7203" xr:uid="{00000000-0005-0000-0000-0000A61E0000}"/>
    <cellStyle name="Normal 2 2 2 2 2 2 2 13 2" xfId="48723" xr:uid="{00000000-0005-0000-0000-0000A71E0000}"/>
    <cellStyle name="Normal 2 2 2 2 2 2 2 14" xfId="7204" xr:uid="{00000000-0005-0000-0000-0000A81E0000}"/>
    <cellStyle name="Normal 2 2 2 2 2 2 2 14 2" xfId="48724" xr:uid="{00000000-0005-0000-0000-0000A91E0000}"/>
    <cellStyle name="Normal 2 2 2 2 2 2 2 15" xfId="7205" xr:uid="{00000000-0005-0000-0000-0000AA1E0000}"/>
    <cellStyle name="Normal 2 2 2 2 2 2 2 15 2" xfId="48725" xr:uid="{00000000-0005-0000-0000-0000AB1E0000}"/>
    <cellStyle name="Normal 2 2 2 2 2 2 2 16" xfId="7206" xr:uid="{00000000-0005-0000-0000-0000AC1E0000}"/>
    <cellStyle name="Normal 2 2 2 2 2 2 2 16 2" xfId="48726" xr:uid="{00000000-0005-0000-0000-0000AD1E0000}"/>
    <cellStyle name="Normal 2 2 2 2 2 2 2 17" xfId="7207" xr:uid="{00000000-0005-0000-0000-0000AE1E0000}"/>
    <cellStyle name="Normal 2 2 2 2 2 2 2 17 2" xfId="48727" xr:uid="{00000000-0005-0000-0000-0000AF1E0000}"/>
    <cellStyle name="Normal 2 2 2 2 2 2 2 18" xfId="7208" xr:uid="{00000000-0005-0000-0000-0000B01E0000}"/>
    <cellStyle name="Normal 2 2 2 2 2 2 2 18 2" xfId="48728" xr:uid="{00000000-0005-0000-0000-0000B11E0000}"/>
    <cellStyle name="Normal 2 2 2 2 2 2 2 19" xfId="7209" xr:uid="{00000000-0005-0000-0000-0000B21E0000}"/>
    <cellStyle name="Normal 2 2 2 2 2 2 2 19 2" xfId="48729" xr:uid="{00000000-0005-0000-0000-0000B31E0000}"/>
    <cellStyle name="Normal 2 2 2 2 2 2 2 2" xfId="7210" xr:uid="{00000000-0005-0000-0000-0000B41E0000}"/>
    <cellStyle name="Normal 2 2 2 2 2 2 2 2 10" xfId="7211" xr:uid="{00000000-0005-0000-0000-0000B51E0000}"/>
    <cellStyle name="Normal 2 2 2 2 2 2 2 2 10 2" xfId="48731" xr:uid="{00000000-0005-0000-0000-0000B61E0000}"/>
    <cellStyle name="Normal 2 2 2 2 2 2 2 2 11" xfId="7212" xr:uid="{00000000-0005-0000-0000-0000B71E0000}"/>
    <cellStyle name="Normal 2 2 2 2 2 2 2 2 11 2" xfId="48732" xr:uid="{00000000-0005-0000-0000-0000B81E0000}"/>
    <cellStyle name="Normal 2 2 2 2 2 2 2 2 12" xfId="7213" xr:uid="{00000000-0005-0000-0000-0000B91E0000}"/>
    <cellStyle name="Normal 2 2 2 2 2 2 2 2 12 2" xfId="48733" xr:uid="{00000000-0005-0000-0000-0000BA1E0000}"/>
    <cellStyle name="Normal 2 2 2 2 2 2 2 2 13" xfId="7214" xr:uid="{00000000-0005-0000-0000-0000BB1E0000}"/>
    <cellStyle name="Normal 2 2 2 2 2 2 2 2 13 2" xfId="48734" xr:uid="{00000000-0005-0000-0000-0000BC1E0000}"/>
    <cellStyle name="Normal 2 2 2 2 2 2 2 2 14" xfId="7215" xr:uid="{00000000-0005-0000-0000-0000BD1E0000}"/>
    <cellStyle name="Normal 2 2 2 2 2 2 2 2 14 2" xfId="48735" xr:uid="{00000000-0005-0000-0000-0000BE1E0000}"/>
    <cellStyle name="Normal 2 2 2 2 2 2 2 2 15" xfId="7216" xr:uid="{00000000-0005-0000-0000-0000BF1E0000}"/>
    <cellStyle name="Normal 2 2 2 2 2 2 2 2 15 2" xfId="48736" xr:uid="{00000000-0005-0000-0000-0000C01E0000}"/>
    <cellStyle name="Normal 2 2 2 2 2 2 2 2 16" xfId="7217" xr:uid="{00000000-0005-0000-0000-0000C11E0000}"/>
    <cellStyle name="Normal 2 2 2 2 2 2 2 2 16 2" xfId="48737" xr:uid="{00000000-0005-0000-0000-0000C21E0000}"/>
    <cellStyle name="Normal 2 2 2 2 2 2 2 2 17" xfId="7218" xr:uid="{00000000-0005-0000-0000-0000C31E0000}"/>
    <cellStyle name="Normal 2 2 2 2 2 2 2 2 17 2" xfId="48738" xr:uid="{00000000-0005-0000-0000-0000C41E0000}"/>
    <cellStyle name="Normal 2 2 2 2 2 2 2 2 18" xfId="7219" xr:uid="{00000000-0005-0000-0000-0000C51E0000}"/>
    <cellStyle name="Normal 2 2 2 2 2 2 2 2 18 2" xfId="48739" xr:uid="{00000000-0005-0000-0000-0000C61E0000}"/>
    <cellStyle name="Normal 2 2 2 2 2 2 2 2 19" xfId="7220" xr:uid="{00000000-0005-0000-0000-0000C71E0000}"/>
    <cellStyle name="Normal 2 2 2 2 2 2 2 2 19 2" xfId="48740" xr:uid="{00000000-0005-0000-0000-0000C81E0000}"/>
    <cellStyle name="Normal 2 2 2 2 2 2 2 2 2" xfId="7221" xr:uid="{00000000-0005-0000-0000-0000C91E0000}"/>
    <cellStyle name="Normal 2 2 2 2 2 2 2 2 2 10" xfId="7222" xr:uid="{00000000-0005-0000-0000-0000CA1E0000}"/>
    <cellStyle name="Normal 2 2 2 2 2 2 2 2 2 10 2" xfId="48742" xr:uid="{00000000-0005-0000-0000-0000CB1E0000}"/>
    <cellStyle name="Normal 2 2 2 2 2 2 2 2 2 11" xfId="7223" xr:uid="{00000000-0005-0000-0000-0000CC1E0000}"/>
    <cellStyle name="Normal 2 2 2 2 2 2 2 2 2 11 2" xfId="48743" xr:uid="{00000000-0005-0000-0000-0000CD1E0000}"/>
    <cellStyle name="Normal 2 2 2 2 2 2 2 2 2 12" xfId="7224" xr:uid="{00000000-0005-0000-0000-0000CE1E0000}"/>
    <cellStyle name="Normal 2 2 2 2 2 2 2 2 2 12 2" xfId="48744" xr:uid="{00000000-0005-0000-0000-0000CF1E0000}"/>
    <cellStyle name="Normal 2 2 2 2 2 2 2 2 2 13" xfId="7225" xr:uid="{00000000-0005-0000-0000-0000D01E0000}"/>
    <cellStyle name="Normal 2 2 2 2 2 2 2 2 2 13 2" xfId="48745" xr:uid="{00000000-0005-0000-0000-0000D11E0000}"/>
    <cellStyle name="Normal 2 2 2 2 2 2 2 2 2 14" xfId="7226" xr:uid="{00000000-0005-0000-0000-0000D21E0000}"/>
    <cellStyle name="Normal 2 2 2 2 2 2 2 2 2 14 2" xfId="48746" xr:uid="{00000000-0005-0000-0000-0000D31E0000}"/>
    <cellStyle name="Normal 2 2 2 2 2 2 2 2 2 15" xfId="7227" xr:uid="{00000000-0005-0000-0000-0000D41E0000}"/>
    <cellStyle name="Normal 2 2 2 2 2 2 2 2 2 15 2" xfId="48747" xr:uid="{00000000-0005-0000-0000-0000D51E0000}"/>
    <cellStyle name="Normal 2 2 2 2 2 2 2 2 2 16" xfId="7228" xr:uid="{00000000-0005-0000-0000-0000D61E0000}"/>
    <cellStyle name="Normal 2 2 2 2 2 2 2 2 2 16 2" xfId="48748" xr:uid="{00000000-0005-0000-0000-0000D71E0000}"/>
    <cellStyle name="Normal 2 2 2 2 2 2 2 2 2 17" xfId="7229" xr:uid="{00000000-0005-0000-0000-0000D81E0000}"/>
    <cellStyle name="Normal 2 2 2 2 2 2 2 2 2 17 2" xfId="48749" xr:uid="{00000000-0005-0000-0000-0000D91E0000}"/>
    <cellStyle name="Normal 2 2 2 2 2 2 2 2 2 18" xfId="7230" xr:uid="{00000000-0005-0000-0000-0000DA1E0000}"/>
    <cellStyle name="Normal 2 2 2 2 2 2 2 2 2 18 2" xfId="48750" xr:uid="{00000000-0005-0000-0000-0000DB1E0000}"/>
    <cellStyle name="Normal 2 2 2 2 2 2 2 2 2 19" xfId="48751" xr:uid="{00000000-0005-0000-0000-0000DC1E0000}"/>
    <cellStyle name="Normal 2 2 2 2 2 2 2 2 2 2" xfId="7231" xr:uid="{00000000-0005-0000-0000-0000DD1E0000}"/>
    <cellStyle name="Normal 2 2 2 2 2 2 2 2 2 2 10" xfId="48753" xr:uid="{00000000-0005-0000-0000-0000DE1E0000}"/>
    <cellStyle name="Normal 2 2 2 2 2 2 2 2 2 2 11" xfId="48754" xr:uid="{00000000-0005-0000-0000-0000DF1E0000}"/>
    <cellStyle name="Normal 2 2 2 2 2 2 2 2 2 2 12" xfId="48755" xr:uid="{00000000-0005-0000-0000-0000E01E0000}"/>
    <cellStyle name="Normal 2 2 2 2 2 2 2 2 2 2 13" xfId="48756" xr:uid="{00000000-0005-0000-0000-0000E11E0000}"/>
    <cellStyle name="Normal 2 2 2 2 2 2 2 2 2 2 14" xfId="48757" xr:uid="{00000000-0005-0000-0000-0000E21E0000}"/>
    <cellStyle name="Normal 2 2 2 2 2 2 2 2 2 2 15" xfId="48758" xr:uid="{00000000-0005-0000-0000-0000E31E0000}"/>
    <cellStyle name="Normal 2 2 2 2 2 2 2 2 2 2 16" xfId="48759" xr:uid="{00000000-0005-0000-0000-0000E41E0000}"/>
    <cellStyle name="Normal 2 2 2 2 2 2 2 2 2 2 17" xfId="48760" xr:uid="{00000000-0005-0000-0000-0000E51E0000}"/>
    <cellStyle name="Normal 2 2 2 2 2 2 2 2 2 2 18" xfId="48761" xr:uid="{00000000-0005-0000-0000-0000E61E0000}"/>
    <cellStyle name="Normal 2 2 2 2 2 2 2 2 2 2 19" xfId="48752" xr:uid="{00000000-0005-0000-0000-0000E71E0000}"/>
    <cellStyle name="Normal 2 2 2 2 2 2 2 2 2 2 2" xfId="48762" xr:uid="{00000000-0005-0000-0000-0000E81E0000}"/>
    <cellStyle name="Normal 2 2 2 2 2 2 2 2 2 2 2 2" xfId="48763" xr:uid="{00000000-0005-0000-0000-0000E91E0000}"/>
    <cellStyle name="Normal 2 2 2 2 2 2 2 2 2 2 2 2 2" xfId="48764" xr:uid="{00000000-0005-0000-0000-0000EA1E0000}"/>
    <cellStyle name="Normal 2 2 2 2 2 2 2 2 2 2 2 2 3" xfId="48765" xr:uid="{00000000-0005-0000-0000-0000EB1E0000}"/>
    <cellStyle name="Normal 2 2 2 2 2 2 2 2 2 2 2 2 4" xfId="48766" xr:uid="{00000000-0005-0000-0000-0000EC1E0000}"/>
    <cellStyle name="Normal 2 2 2 2 2 2 2 2 2 2 2 2 5" xfId="48767" xr:uid="{00000000-0005-0000-0000-0000ED1E0000}"/>
    <cellStyle name="Normal 2 2 2 2 2 2 2 2 2 2 2 2 6" xfId="48768" xr:uid="{00000000-0005-0000-0000-0000EE1E0000}"/>
    <cellStyle name="Normal 2 2 2 2 2 2 2 2 2 2 2 2 7" xfId="48769" xr:uid="{00000000-0005-0000-0000-0000EF1E0000}"/>
    <cellStyle name="Normal 2 2 2 2 2 2 2 2 2 2 2 3" xfId="48770" xr:uid="{00000000-0005-0000-0000-0000F01E0000}"/>
    <cellStyle name="Normal 2 2 2 2 2 2 2 2 2 2 2 4" xfId="48771" xr:uid="{00000000-0005-0000-0000-0000F11E0000}"/>
    <cellStyle name="Normal 2 2 2 2 2 2 2 2 2 2 2 5" xfId="48772" xr:uid="{00000000-0005-0000-0000-0000F21E0000}"/>
    <cellStyle name="Normal 2 2 2 2 2 2 2 2 2 2 2 6" xfId="48773" xr:uid="{00000000-0005-0000-0000-0000F31E0000}"/>
    <cellStyle name="Normal 2 2 2 2 2 2 2 2 2 2 2 7" xfId="48774" xr:uid="{00000000-0005-0000-0000-0000F41E0000}"/>
    <cellStyle name="Normal 2 2 2 2 2 2 2 2 2 2 2 8" xfId="48775" xr:uid="{00000000-0005-0000-0000-0000F51E0000}"/>
    <cellStyle name="Normal 2 2 2 2 2 2 2 2 2 2 3" xfId="48776" xr:uid="{00000000-0005-0000-0000-0000F61E0000}"/>
    <cellStyle name="Normal 2 2 2 2 2 2 2 2 2 2 4" xfId="48777" xr:uid="{00000000-0005-0000-0000-0000F71E0000}"/>
    <cellStyle name="Normal 2 2 2 2 2 2 2 2 2 2 5" xfId="48778" xr:uid="{00000000-0005-0000-0000-0000F81E0000}"/>
    <cellStyle name="Normal 2 2 2 2 2 2 2 2 2 2 5 2" xfId="48779" xr:uid="{00000000-0005-0000-0000-0000F91E0000}"/>
    <cellStyle name="Normal 2 2 2 2 2 2 2 2 2 2 5 3" xfId="48780" xr:uid="{00000000-0005-0000-0000-0000FA1E0000}"/>
    <cellStyle name="Normal 2 2 2 2 2 2 2 2 2 2 5 4" xfId="48781" xr:uid="{00000000-0005-0000-0000-0000FB1E0000}"/>
    <cellStyle name="Normal 2 2 2 2 2 2 2 2 2 2 5 5" xfId="48782" xr:uid="{00000000-0005-0000-0000-0000FC1E0000}"/>
    <cellStyle name="Normal 2 2 2 2 2 2 2 2 2 2 5 6" xfId="48783" xr:uid="{00000000-0005-0000-0000-0000FD1E0000}"/>
    <cellStyle name="Normal 2 2 2 2 2 2 2 2 2 2 5 7" xfId="48784" xr:uid="{00000000-0005-0000-0000-0000FE1E0000}"/>
    <cellStyle name="Normal 2 2 2 2 2 2 2 2 2 2 6" xfId="48785" xr:uid="{00000000-0005-0000-0000-0000FF1E0000}"/>
    <cellStyle name="Normal 2 2 2 2 2 2 2 2 2 2 7" xfId="48786" xr:uid="{00000000-0005-0000-0000-0000001F0000}"/>
    <cellStyle name="Normal 2 2 2 2 2 2 2 2 2 2 8" xfId="48787" xr:uid="{00000000-0005-0000-0000-0000011F0000}"/>
    <cellStyle name="Normal 2 2 2 2 2 2 2 2 2 2 9" xfId="48788" xr:uid="{00000000-0005-0000-0000-0000021F0000}"/>
    <cellStyle name="Normal 2 2 2 2 2 2 2 2 2 20" xfId="48741" xr:uid="{00000000-0005-0000-0000-0000031F0000}"/>
    <cellStyle name="Normal 2 2 2 2 2 2 2 2 2 3" xfId="7232" xr:uid="{00000000-0005-0000-0000-0000041F0000}"/>
    <cellStyle name="Normal 2 2 2 2 2 2 2 2 2 3 2" xfId="48789" xr:uid="{00000000-0005-0000-0000-0000051F0000}"/>
    <cellStyle name="Normal 2 2 2 2 2 2 2 2 2 4" xfId="7233" xr:uid="{00000000-0005-0000-0000-0000061F0000}"/>
    <cellStyle name="Normal 2 2 2 2 2 2 2 2 2 4 2" xfId="48791" xr:uid="{00000000-0005-0000-0000-0000071F0000}"/>
    <cellStyle name="Normal 2 2 2 2 2 2 2 2 2 4 2 2" xfId="48792" xr:uid="{00000000-0005-0000-0000-0000081F0000}"/>
    <cellStyle name="Normal 2 2 2 2 2 2 2 2 2 4 2 3" xfId="48793" xr:uid="{00000000-0005-0000-0000-0000091F0000}"/>
    <cellStyle name="Normal 2 2 2 2 2 2 2 2 2 4 2 4" xfId="48794" xr:uid="{00000000-0005-0000-0000-00000A1F0000}"/>
    <cellStyle name="Normal 2 2 2 2 2 2 2 2 2 4 2 5" xfId="48795" xr:uid="{00000000-0005-0000-0000-00000B1F0000}"/>
    <cellStyle name="Normal 2 2 2 2 2 2 2 2 2 4 2 6" xfId="48796" xr:uid="{00000000-0005-0000-0000-00000C1F0000}"/>
    <cellStyle name="Normal 2 2 2 2 2 2 2 2 2 4 2 7" xfId="48797" xr:uid="{00000000-0005-0000-0000-00000D1F0000}"/>
    <cellStyle name="Normal 2 2 2 2 2 2 2 2 2 4 3" xfId="48798" xr:uid="{00000000-0005-0000-0000-00000E1F0000}"/>
    <cellStyle name="Normal 2 2 2 2 2 2 2 2 2 4 4" xfId="48799" xr:uid="{00000000-0005-0000-0000-00000F1F0000}"/>
    <cellStyle name="Normal 2 2 2 2 2 2 2 2 2 4 5" xfId="48800" xr:uid="{00000000-0005-0000-0000-0000101F0000}"/>
    <cellStyle name="Normal 2 2 2 2 2 2 2 2 2 4 6" xfId="48801" xr:uid="{00000000-0005-0000-0000-0000111F0000}"/>
    <cellStyle name="Normal 2 2 2 2 2 2 2 2 2 4 7" xfId="48802" xr:uid="{00000000-0005-0000-0000-0000121F0000}"/>
    <cellStyle name="Normal 2 2 2 2 2 2 2 2 2 4 8" xfId="48803" xr:uid="{00000000-0005-0000-0000-0000131F0000}"/>
    <cellStyle name="Normal 2 2 2 2 2 2 2 2 2 4 9" xfId="48790" xr:uid="{00000000-0005-0000-0000-0000141F0000}"/>
    <cellStyle name="Normal 2 2 2 2 2 2 2 2 2 5" xfId="7234" xr:uid="{00000000-0005-0000-0000-0000151F0000}"/>
    <cellStyle name="Normal 2 2 2 2 2 2 2 2 2 5 2" xfId="48804" xr:uid="{00000000-0005-0000-0000-0000161F0000}"/>
    <cellStyle name="Normal 2 2 2 2 2 2 2 2 2 6" xfId="7235" xr:uid="{00000000-0005-0000-0000-0000171F0000}"/>
    <cellStyle name="Normal 2 2 2 2 2 2 2 2 2 6 2" xfId="48806" xr:uid="{00000000-0005-0000-0000-0000181F0000}"/>
    <cellStyle name="Normal 2 2 2 2 2 2 2 2 2 6 3" xfId="48807" xr:uid="{00000000-0005-0000-0000-0000191F0000}"/>
    <cellStyle name="Normal 2 2 2 2 2 2 2 2 2 6 4" xfId="48808" xr:uid="{00000000-0005-0000-0000-00001A1F0000}"/>
    <cellStyle name="Normal 2 2 2 2 2 2 2 2 2 6 5" xfId="48809" xr:uid="{00000000-0005-0000-0000-00001B1F0000}"/>
    <cellStyle name="Normal 2 2 2 2 2 2 2 2 2 6 6" xfId="48810" xr:uid="{00000000-0005-0000-0000-00001C1F0000}"/>
    <cellStyle name="Normal 2 2 2 2 2 2 2 2 2 6 7" xfId="48811" xr:uid="{00000000-0005-0000-0000-00001D1F0000}"/>
    <cellStyle name="Normal 2 2 2 2 2 2 2 2 2 6 8" xfId="48805" xr:uid="{00000000-0005-0000-0000-00001E1F0000}"/>
    <cellStyle name="Normal 2 2 2 2 2 2 2 2 2 7" xfId="7236" xr:uid="{00000000-0005-0000-0000-00001F1F0000}"/>
    <cellStyle name="Normal 2 2 2 2 2 2 2 2 2 7 2" xfId="48812" xr:uid="{00000000-0005-0000-0000-0000201F0000}"/>
    <cellStyle name="Normal 2 2 2 2 2 2 2 2 2 8" xfId="7237" xr:uid="{00000000-0005-0000-0000-0000211F0000}"/>
    <cellStyle name="Normal 2 2 2 2 2 2 2 2 2 8 2" xfId="48813" xr:uid="{00000000-0005-0000-0000-0000221F0000}"/>
    <cellStyle name="Normal 2 2 2 2 2 2 2 2 2 9" xfId="7238" xr:uid="{00000000-0005-0000-0000-0000231F0000}"/>
    <cellStyle name="Normal 2 2 2 2 2 2 2 2 2 9 2" xfId="48814" xr:uid="{00000000-0005-0000-0000-0000241F0000}"/>
    <cellStyle name="Normal 2 2 2 2 2 2 2 2 2_Opex Input" xfId="48815" xr:uid="{00000000-0005-0000-0000-0000251F0000}"/>
    <cellStyle name="Normal 2 2 2 2 2 2 2 2 20" xfId="48816" xr:uid="{00000000-0005-0000-0000-0000261F0000}"/>
    <cellStyle name="Normal 2 2 2 2 2 2 2 2 21" xfId="48730" xr:uid="{00000000-0005-0000-0000-0000271F0000}"/>
    <cellStyle name="Normal 2 2 2 2 2 2 2 2 3" xfId="7239" xr:uid="{00000000-0005-0000-0000-0000281F0000}"/>
    <cellStyle name="Normal 2 2 2 2 2 2 2 2 3 2" xfId="48817" xr:uid="{00000000-0005-0000-0000-0000291F0000}"/>
    <cellStyle name="Normal 2 2 2 2 2 2 2 2 4" xfId="7240" xr:uid="{00000000-0005-0000-0000-00002A1F0000}"/>
    <cellStyle name="Normal 2 2 2 2 2 2 2 2 4 2" xfId="48818" xr:uid="{00000000-0005-0000-0000-00002B1F0000}"/>
    <cellStyle name="Normal 2 2 2 2 2 2 2 2 5" xfId="7241" xr:uid="{00000000-0005-0000-0000-00002C1F0000}"/>
    <cellStyle name="Normal 2 2 2 2 2 2 2 2 5 2" xfId="48820" xr:uid="{00000000-0005-0000-0000-00002D1F0000}"/>
    <cellStyle name="Normal 2 2 2 2 2 2 2 2 5 2 2" xfId="48821" xr:uid="{00000000-0005-0000-0000-00002E1F0000}"/>
    <cellStyle name="Normal 2 2 2 2 2 2 2 2 5 2 3" xfId="48822" xr:uid="{00000000-0005-0000-0000-00002F1F0000}"/>
    <cellStyle name="Normal 2 2 2 2 2 2 2 2 5 2 4" xfId="48823" xr:uid="{00000000-0005-0000-0000-0000301F0000}"/>
    <cellStyle name="Normal 2 2 2 2 2 2 2 2 5 2 5" xfId="48824" xr:uid="{00000000-0005-0000-0000-0000311F0000}"/>
    <cellStyle name="Normal 2 2 2 2 2 2 2 2 5 2 6" xfId="48825" xr:uid="{00000000-0005-0000-0000-0000321F0000}"/>
    <cellStyle name="Normal 2 2 2 2 2 2 2 2 5 2 7" xfId="48826" xr:uid="{00000000-0005-0000-0000-0000331F0000}"/>
    <cellStyle name="Normal 2 2 2 2 2 2 2 2 5 3" xfId="48827" xr:uid="{00000000-0005-0000-0000-0000341F0000}"/>
    <cellStyle name="Normal 2 2 2 2 2 2 2 2 5 4" xfId="48828" xr:uid="{00000000-0005-0000-0000-0000351F0000}"/>
    <cellStyle name="Normal 2 2 2 2 2 2 2 2 5 5" xfId="48829" xr:uid="{00000000-0005-0000-0000-0000361F0000}"/>
    <cellStyle name="Normal 2 2 2 2 2 2 2 2 5 6" xfId="48830" xr:uid="{00000000-0005-0000-0000-0000371F0000}"/>
    <cellStyle name="Normal 2 2 2 2 2 2 2 2 5 7" xfId="48831" xr:uid="{00000000-0005-0000-0000-0000381F0000}"/>
    <cellStyle name="Normal 2 2 2 2 2 2 2 2 5 8" xfId="48832" xr:uid="{00000000-0005-0000-0000-0000391F0000}"/>
    <cellStyle name="Normal 2 2 2 2 2 2 2 2 5 9" xfId="48819" xr:uid="{00000000-0005-0000-0000-00003A1F0000}"/>
    <cellStyle name="Normal 2 2 2 2 2 2 2 2 6" xfId="7242" xr:uid="{00000000-0005-0000-0000-00003B1F0000}"/>
    <cellStyle name="Normal 2 2 2 2 2 2 2 2 6 2" xfId="48833" xr:uid="{00000000-0005-0000-0000-00003C1F0000}"/>
    <cellStyle name="Normal 2 2 2 2 2 2 2 2 7" xfId="7243" xr:uid="{00000000-0005-0000-0000-00003D1F0000}"/>
    <cellStyle name="Normal 2 2 2 2 2 2 2 2 7 2" xfId="48835" xr:uid="{00000000-0005-0000-0000-00003E1F0000}"/>
    <cellStyle name="Normal 2 2 2 2 2 2 2 2 7 3" xfId="48836" xr:uid="{00000000-0005-0000-0000-00003F1F0000}"/>
    <cellStyle name="Normal 2 2 2 2 2 2 2 2 7 4" xfId="48837" xr:uid="{00000000-0005-0000-0000-0000401F0000}"/>
    <cellStyle name="Normal 2 2 2 2 2 2 2 2 7 5" xfId="48838" xr:uid="{00000000-0005-0000-0000-0000411F0000}"/>
    <cellStyle name="Normal 2 2 2 2 2 2 2 2 7 6" xfId="48839" xr:uid="{00000000-0005-0000-0000-0000421F0000}"/>
    <cellStyle name="Normal 2 2 2 2 2 2 2 2 7 7" xfId="48840" xr:uid="{00000000-0005-0000-0000-0000431F0000}"/>
    <cellStyle name="Normal 2 2 2 2 2 2 2 2 7 8" xfId="48834" xr:uid="{00000000-0005-0000-0000-0000441F0000}"/>
    <cellStyle name="Normal 2 2 2 2 2 2 2 2 8" xfId="7244" xr:uid="{00000000-0005-0000-0000-0000451F0000}"/>
    <cellStyle name="Normal 2 2 2 2 2 2 2 2 8 2" xfId="48841" xr:uid="{00000000-0005-0000-0000-0000461F0000}"/>
    <cellStyle name="Normal 2 2 2 2 2 2 2 2 9" xfId="7245" xr:uid="{00000000-0005-0000-0000-0000471F0000}"/>
    <cellStyle name="Normal 2 2 2 2 2 2 2 2 9 2" xfId="48842" xr:uid="{00000000-0005-0000-0000-0000481F0000}"/>
    <cellStyle name="Normal 2 2 2 2 2 2 2 2_ELEC SAP FCST UPLOAD" xfId="7246" xr:uid="{00000000-0005-0000-0000-0000491F0000}"/>
    <cellStyle name="Normal 2 2 2 2 2 2 2 20" xfId="7247" xr:uid="{00000000-0005-0000-0000-00004A1F0000}"/>
    <cellStyle name="Normal 2 2 2 2 2 2 2 20 2" xfId="48843" xr:uid="{00000000-0005-0000-0000-00004B1F0000}"/>
    <cellStyle name="Normal 2 2 2 2 2 2 2 21" xfId="7248" xr:uid="{00000000-0005-0000-0000-00004C1F0000}"/>
    <cellStyle name="Normal 2 2 2 2 2 2 2 21 2" xfId="48844" xr:uid="{00000000-0005-0000-0000-00004D1F0000}"/>
    <cellStyle name="Normal 2 2 2 2 2 2 2 22" xfId="7249" xr:uid="{00000000-0005-0000-0000-00004E1F0000}"/>
    <cellStyle name="Normal 2 2 2 2 2 2 2 22 2" xfId="48845" xr:uid="{00000000-0005-0000-0000-00004F1F0000}"/>
    <cellStyle name="Normal 2 2 2 2 2 2 2 23" xfId="48846" xr:uid="{00000000-0005-0000-0000-0000501F0000}"/>
    <cellStyle name="Normal 2 2 2 2 2 2 2 24" xfId="48713" xr:uid="{00000000-0005-0000-0000-0000511F0000}"/>
    <cellStyle name="Normal 2 2 2 2 2 2 2 3" xfId="7250" xr:uid="{00000000-0005-0000-0000-0000521F0000}"/>
    <cellStyle name="Normal 2 2 2 2 2 2 2 3 2" xfId="48847" xr:uid="{00000000-0005-0000-0000-0000531F0000}"/>
    <cellStyle name="Normal 2 2 2 2 2 2 2 4" xfId="7251" xr:uid="{00000000-0005-0000-0000-0000541F0000}"/>
    <cellStyle name="Normal 2 2 2 2 2 2 2 4 2" xfId="48848" xr:uid="{00000000-0005-0000-0000-0000551F0000}"/>
    <cellStyle name="Normal 2 2 2 2 2 2 2 5" xfId="7252" xr:uid="{00000000-0005-0000-0000-0000561F0000}"/>
    <cellStyle name="Normal 2 2 2 2 2 2 2 5 2" xfId="48849" xr:uid="{00000000-0005-0000-0000-0000571F0000}"/>
    <cellStyle name="Normal 2 2 2 2 2 2 2 6" xfId="7253" xr:uid="{00000000-0005-0000-0000-0000581F0000}"/>
    <cellStyle name="Normal 2 2 2 2 2 2 2 6 2" xfId="48850" xr:uid="{00000000-0005-0000-0000-0000591F0000}"/>
    <cellStyle name="Normal 2 2 2 2 2 2 2 7" xfId="7254" xr:uid="{00000000-0005-0000-0000-00005A1F0000}"/>
    <cellStyle name="Normal 2 2 2 2 2 2 2 7 2" xfId="48851" xr:uid="{00000000-0005-0000-0000-00005B1F0000}"/>
    <cellStyle name="Normal 2 2 2 2 2 2 2 8" xfId="7255" xr:uid="{00000000-0005-0000-0000-00005C1F0000}"/>
    <cellStyle name="Normal 2 2 2 2 2 2 2 8 2" xfId="48853" xr:uid="{00000000-0005-0000-0000-00005D1F0000}"/>
    <cellStyle name="Normal 2 2 2 2 2 2 2 8 2 2" xfId="48854" xr:uid="{00000000-0005-0000-0000-00005E1F0000}"/>
    <cellStyle name="Normal 2 2 2 2 2 2 2 8 2 3" xfId="48855" xr:uid="{00000000-0005-0000-0000-00005F1F0000}"/>
    <cellStyle name="Normal 2 2 2 2 2 2 2 8 2 4" xfId="48856" xr:uid="{00000000-0005-0000-0000-0000601F0000}"/>
    <cellStyle name="Normal 2 2 2 2 2 2 2 8 2 5" xfId="48857" xr:uid="{00000000-0005-0000-0000-0000611F0000}"/>
    <cellStyle name="Normal 2 2 2 2 2 2 2 8 2 6" xfId="48858" xr:uid="{00000000-0005-0000-0000-0000621F0000}"/>
    <cellStyle name="Normal 2 2 2 2 2 2 2 8 2 7" xfId="48859" xr:uid="{00000000-0005-0000-0000-0000631F0000}"/>
    <cellStyle name="Normal 2 2 2 2 2 2 2 8 3" xfId="48860" xr:uid="{00000000-0005-0000-0000-0000641F0000}"/>
    <cellStyle name="Normal 2 2 2 2 2 2 2 8 4" xfId="48861" xr:uid="{00000000-0005-0000-0000-0000651F0000}"/>
    <cellStyle name="Normal 2 2 2 2 2 2 2 8 5" xfId="48862" xr:uid="{00000000-0005-0000-0000-0000661F0000}"/>
    <cellStyle name="Normal 2 2 2 2 2 2 2 8 6" xfId="48863" xr:uid="{00000000-0005-0000-0000-0000671F0000}"/>
    <cellStyle name="Normal 2 2 2 2 2 2 2 8 7" xfId="48864" xr:uid="{00000000-0005-0000-0000-0000681F0000}"/>
    <cellStyle name="Normal 2 2 2 2 2 2 2 8 8" xfId="48865" xr:uid="{00000000-0005-0000-0000-0000691F0000}"/>
    <cellStyle name="Normal 2 2 2 2 2 2 2 8 9" xfId="48852" xr:uid="{00000000-0005-0000-0000-00006A1F0000}"/>
    <cellStyle name="Normal 2 2 2 2 2 2 2 9" xfId="7256" xr:uid="{00000000-0005-0000-0000-00006B1F0000}"/>
    <cellStyle name="Normal 2 2 2 2 2 2 2 9 2" xfId="48866" xr:uid="{00000000-0005-0000-0000-00006C1F0000}"/>
    <cellStyle name="Normal 2 2 2 2 2 2 2_ELEC SAP FCST UPLOAD" xfId="7257" xr:uid="{00000000-0005-0000-0000-00006D1F0000}"/>
    <cellStyle name="Normal 2 2 2 2 2 2 20" xfId="7258" xr:uid="{00000000-0005-0000-0000-00006E1F0000}"/>
    <cellStyle name="Normal 2 2 2 2 2 2 20 2" xfId="48867" xr:uid="{00000000-0005-0000-0000-00006F1F0000}"/>
    <cellStyle name="Normal 2 2 2 2 2 2 21" xfId="7259" xr:uid="{00000000-0005-0000-0000-0000701F0000}"/>
    <cellStyle name="Normal 2 2 2 2 2 2 21 2" xfId="48868" xr:uid="{00000000-0005-0000-0000-0000711F0000}"/>
    <cellStyle name="Normal 2 2 2 2 2 2 22" xfId="7260" xr:uid="{00000000-0005-0000-0000-0000721F0000}"/>
    <cellStyle name="Normal 2 2 2 2 2 2 22 2" xfId="48869" xr:uid="{00000000-0005-0000-0000-0000731F0000}"/>
    <cellStyle name="Normal 2 2 2 2 2 2 23" xfId="48870" xr:uid="{00000000-0005-0000-0000-0000741F0000}"/>
    <cellStyle name="Normal 2 2 2 2 2 2 24" xfId="48696" xr:uid="{00000000-0005-0000-0000-0000751F0000}"/>
    <cellStyle name="Normal 2 2 2 2 2 2 3" xfId="7261" xr:uid="{00000000-0005-0000-0000-0000761F0000}"/>
    <cellStyle name="Normal 2 2 2 2 2 2 3 2" xfId="7262" xr:uid="{00000000-0005-0000-0000-0000771F0000}"/>
    <cellStyle name="Normal 2 2 2 2 2 2 3 2 2" xfId="48872" xr:uid="{00000000-0005-0000-0000-0000781F0000}"/>
    <cellStyle name="Normal 2 2 2 2 2 2 3 3" xfId="7263" xr:uid="{00000000-0005-0000-0000-0000791F0000}"/>
    <cellStyle name="Normal 2 2 2 2 2 2 3 3 2" xfId="48873" xr:uid="{00000000-0005-0000-0000-00007A1F0000}"/>
    <cellStyle name="Normal 2 2 2 2 2 2 3 4" xfId="48871" xr:uid="{00000000-0005-0000-0000-00007B1F0000}"/>
    <cellStyle name="Normal 2 2 2 2 2 2 3_ELEC SAP FCST UPLOAD" xfId="7264" xr:uid="{00000000-0005-0000-0000-00007C1F0000}"/>
    <cellStyle name="Normal 2 2 2 2 2 2 4" xfId="7265" xr:uid="{00000000-0005-0000-0000-00007D1F0000}"/>
    <cellStyle name="Normal 2 2 2 2 2 2 4 2" xfId="48874" xr:uid="{00000000-0005-0000-0000-00007E1F0000}"/>
    <cellStyle name="Normal 2 2 2 2 2 2 5" xfId="7266" xr:uid="{00000000-0005-0000-0000-00007F1F0000}"/>
    <cellStyle name="Normal 2 2 2 2 2 2 5 2" xfId="48875" xr:uid="{00000000-0005-0000-0000-0000801F0000}"/>
    <cellStyle name="Normal 2 2 2 2 2 2 6" xfId="7267" xr:uid="{00000000-0005-0000-0000-0000811F0000}"/>
    <cellStyle name="Normal 2 2 2 2 2 2 6 2" xfId="48876" xr:uid="{00000000-0005-0000-0000-0000821F0000}"/>
    <cellStyle name="Normal 2 2 2 2 2 2 7" xfId="7268" xr:uid="{00000000-0005-0000-0000-0000831F0000}"/>
    <cellStyle name="Normal 2 2 2 2 2 2 7 2" xfId="48877" xr:uid="{00000000-0005-0000-0000-0000841F0000}"/>
    <cellStyle name="Normal 2 2 2 2 2 2 8" xfId="7269" xr:uid="{00000000-0005-0000-0000-0000851F0000}"/>
    <cellStyle name="Normal 2 2 2 2 2 2 8 2" xfId="48879" xr:uid="{00000000-0005-0000-0000-0000861F0000}"/>
    <cellStyle name="Normal 2 2 2 2 2 2 8 2 2" xfId="48880" xr:uid="{00000000-0005-0000-0000-0000871F0000}"/>
    <cellStyle name="Normal 2 2 2 2 2 2 8 2 3" xfId="48881" xr:uid="{00000000-0005-0000-0000-0000881F0000}"/>
    <cellStyle name="Normal 2 2 2 2 2 2 8 2 4" xfId="48882" xr:uid="{00000000-0005-0000-0000-0000891F0000}"/>
    <cellStyle name="Normal 2 2 2 2 2 2 8 2 5" xfId="48883" xr:uid="{00000000-0005-0000-0000-00008A1F0000}"/>
    <cellStyle name="Normal 2 2 2 2 2 2 8 2 6" xfId="48884" xr:uid="{00000000-0005-0000-0000-00008B1F0000}"/>
    <cellStyle name="Normal 2 2 2 2 2 2 8 2 7" xfId="48885" xr:uid="{00000000-0005-0000-0000-00008C1F0000}"/>
    <cellStyle name="Normal 2 2 2 2 2 2 8 3" xfId="48886" xr:uid="{00000000-0005-0000-0000-00008D1F0000}"/>
    <cellStyle name="Normal 2 2 2 2 2 2 8 4" xfId="48887" xr:uid="{00000000-0005-0000-0000-00008E1F0000}"/>
    <cellStyle name="Normal 2 2 2 2 2 2 8 5" xfId="48888" xr:uid="{00000000-0005-0000-0000-00008F1F0000}"/>
    <cellStyle name="Normal 2 2 2 2 2 2 8 6" xfId="48889" xr:uid="{00000000-0005-0000-0000-0000901F0000}"/>
    <cellStyle name="Normal 2 2 2 2 2 2 8 7" xfId="48890" xr:uid="{00000000-0005-0000-0000-0000911F0000}"/>
    <cellStyle name="Normal 2 2 2 2 2 2 8 8" xfId="48891" xr:uid="{00000000-0005-0000-0000-0000921F0000}"/>
    <cellStyle name="Normal 2 2 2 2 2 2 8 9" xfId="48878" xr:uid="{00000000-0005-0000-0000-0000931F0000}"/>
    <cellStyle name="Normal 2 2 2 2 2 2 9" xfId="7270" xr:uid="{00000000-0005-0000-0000-0000941F0000}"/>
    <cellStyle name="Normal 2 2 2 2 2 2 9 2" xfId="48892" xr:uid="{00000000-0005-0000-0000-0000951F0000}"/>
    <cellStyle name="Normal 2 2 2 2 2 2_ELEC SAP FCST UPLOAD" xfId="7271" xr:uid="{00000000-0005-0000-0000-0000961F0000}"/>
    <cellStyle name="Normal 2 2 2 2 2 20" xfId="7272" xr:uid="{00000000-0005-0000-0000-0000971F0000}"/>
    <cellStyle name="Normal 2 2 2 2 2 20 2" xfId="48893" xr:uid="{00000000-0005-0000-0000-0000981F0000}"/>
    <cellStyle name="Normal 2 2 2 2 2 21" xfId="7273" xr:uid="{00000000-0005-0000-0000-0000991F0000}"/>
    <cellStyle name="Normal 2 2 2 2 2 21 2" xfId="48894" xr:uid="{00000000-0005-0000-0000-00009A1F0000}"/>
    <cellStyle name="Normal 2 2 2 2 2 22" xfId="7274" xr:uid="{00000000-0005-0000-0000-00009B1F0000}"/>
    <cellStyle name="Normal 2 2 2 2 2 22 2" xfId="48895" xr:uid="{00000000-0005-0000-0000-00009C1F0000}"/>
    <cellStyle name="Normal 2 2 2 2 2 23" xfId="7275" xr:uid="{00000000-0005-0000-0000-00009D1F0000}"/>
    <cellStyle name="Normal 2 2 2 2 2 23 2" xfId="48896" xr:uid="{00000000-0005-0000-0000-00009E1F0000}"/>
    <cellStyle name="Normal 2 2 2 2 2 24" xfId="48897" xr:uid="{00000000-0005-0000-0000-00009F1F0000}"/>
    <cellStyle name="Normal 2 2 2 2 2 25" xfId="48679" xr:uid="{00000000-0005-0000-0000-0000A01F0000}"/>
    <cellStyle name="Normal 2 2 2 2 2 3" xfId="7276" xr:uid="{00000000-0005-0000-0000-0000A11F0000}"/>
    <cellStyle name="Normal 2 2 2 2 2 3 2" xfId="7277" xr:uid="{00000000-0005-0000-0000-0000A21F0000}"/>
    <cellStyle name="Normal 2 2 2 2 2 3 2 2" xfId="48899" xr:uid="{00000000-0005-0000-0000-0000A31F0000}"/>
    <cellStyle name="Normal 2 2 2 2 2 3 3" xfId="7278" xr:uid="{00000000-0005-0000-0000-0000A41F0000}"/>
    <cellStyle name="Normal 2 2 2 2 2 3 3 2" xfId="48900" xr:uid="{00000000-0005-0000-0000-0000A51F0000}"/>
    <cellStyle name="Normal 2 2 2 2 2 3 4" xfId="48898" xr:uid="{00000000-0005-0000-0000-0000A61F0000}"/>
    <cellStyle name="Normal 2 2 2 2 2 3_ELEC SAP FCST UPLOAD" xfId="7279" xr:uid="{00000000-0005-0000-0000-0000A71F0000}"/>
    <cellStyle name="Normal 2 2 2 2 2 4" xfId="7280" xr:uid="{00000000-0005-0000-0000-0000A81F0000}"/>
    <cellStyle name="Normal 2 2 2 2 2 4 2" xfId="48901" xr:uid="{00000000-0005-0000-0000-0000A91F0000}"/>
    <cellStyle name="Normal 2 2 2 2 2 5" xfId="7281" xr:uid="{00000000-0005-0000-0000-0000AA1F0000}"/>
    <cellStyle name="Normal 2 2 2 2 2 5 2" xfId="48902" xr:uid="{00000000-0005-0000-0000-0000AB1F0000}"/>
    <cellStyle name="Normal 2 2 2 2 2 6" xfId="7282" xr:uid="{00000000-0005-0000-0000-0000AC1F0000}"/>
    <cellStyle name="Normal 2 2 2 2 2 6 2" xfId="48903" xr:uid="{00000000-0005-0000-0000-0000AD1F0000}"/>
    <cellStyle name="Normal 2 2 2 2 2 7" xfId="7283" xr:uid="{00000000-0005-0000-0000-0000AE1F0000}"/>
    <cellStyle name="Normal 2 2 2 2 2 7 2" xfId="48904" xr:uid="{00000000-0005-0000-0000-0000AF1F0000}"/>
    <cellStyle name="Normal 2 2 2 2 2 8" xfId="7284" xr:uid="{00000000-0005-0000-0000-0000B01F0000}"/>
    <cellStyle name="Normal 2 2 2 2 2 8 2" xfId="48905" xr:uid="{00000000-0005-0000-0000-0000B11F0000}"/>
    <cellStyle name="Normal 2 2 2 2 2 9" xfId="7285" xr:uid="{00000000-0005-0000-0000-0000B21F0000}"/>
    <cellStyle name="Normal 2 2 2 2 2 9 2" xfId="48907" xr:uid="{00000000-0005-0000-0000-0000B31F0000}"/>
    <cellStyle name="Normal 2 2 2 2 2 9 2 2" xfId="48908" xr:uid="{00000000-0005-0000-0000-0000B41F0000}"/>
    <cellStyle name="Normal 2 2 2 2 2 9 2 3" xfId="48909" xr:uid="{00000000-0005-0000-0000-0000B51F0000}"/>
    <cellStyle name="Normal 2 2 2 2 2 9 2 4" xfId="48910" xr:uid="{00000000-0005-0000-0000-0000B61F0000}"/>
    <cellStyle name="Normal 2 2 2 2 2 9 2 5" xfId="48911" xr:uid="{00000000-0005-0000-0000-0000B71F0000}"/>
    <cellStyle name="Normal 2 2 2 2 2 9 2 6" xfId="48912" xr:uid="{00000000-0005-0000-0000-0000B81F0000}"/>
    <cellStyle name="Normal 2 2 2 2 2 9 2 7" xfId="48913" xr:uid="{00000000-0005-0000-0000-0000B91F0000}"/>
    <cellStyle name="Normal 2 2 2 2 2 9 3" xfId="48914" xr:uid="{00000000-0005-0000-0000-0000BA1F0000}"/>
    <cellStyle name="Normal 2 2 2 2 2 9 4" xfId="48915" xr:uid="{00000000-0005-0000-0000-0000BB1F0000}"/>
    <cellStyle name="Normal 2 2 2 2 2 9 5" xfId="48916" xr:uid="{00000000-0005-0000-0000-0000BC1F0000}"/>
    <cellStyle name="Normal 2 2 2 2 2 9 6" xfId="48917" xr:uid="{00000000-0005-0000-0000-0000BD1F0000}"/>
    <cellStyle name="Normal 2 2 2 2 2 9 7" xfId="48918" xr:uid="{00000000-0005-0000-0000-0000BE1F0000}"/>
    <cellStyle name="Normal 2 2 2 2 2 9 8" xfId="48919" xr:uid="{00000000-0005-0000-0000-0000BF1F0000}"/>
    <cellStyle name="Normal 2 2 2 2 2 9 9" xfId="48906" xr:uid="{00000000-0005-0000-0000-0000C01F0000}"/>
    <cellStyle name="Normal 2 2 2 2 2_ELEC SAP FCST UPLOAD" xfId="7286" xr:uid="{00000000-0005-0000-0000-0000C11F0000}"/>
    <cellStyle name="Normal 2 2 2 2 20" xfId="7287" xr:uid="{00000000-0005-0000-0000-0000C21F0000}"/>
    <cellStyle name="Normal 2 2 2 2 20 2" xfId="48920" xr:uid="{00000000-0005-0000-0000-0000C31F0000}"/>
    <cellStyle name="Normal 2 2 2 2 21" xfId="7288" xr:uid="{00000000-0005-0000-0000-0000C41F0000}"/>
    <cellStyle name="Normal 2 2 2 2 21 2" xfId="48921" xr:uid="{00000000-0005-0000-0000-0000C51F0000}"/>
    <cellStyle name="Normal 2 2 2 2 22" xfId="7289" xr:uid="{00000000-0005-0000-0000-0000C61F0000}"/>
    <cellStyle name="Normal 2 2 2 2 22 2" xfId="48922" xr:uid="{00000000-0005-0000-0000-0000C71F0000}"/>
    <cellStyle name="Normal 2 2 2 2 23" xfId="7290" xr:uid="{00000000-0005-0000-0000-0000C81F0000}"/>
    <cellStyle name="Normal 2 2 2 2 23 2" xfId="48923" xr:uid="{00000000-0005-0000-0000-0000C91F0000}"/>
    <cellStyle name="Normal 2 2 2 2 24" xfId="7291" xr:uid="{00000000-0005-0000-0000-0000CA1F0000}"/>
    <cellStyle name="Normal 2 2 2 2 24 2" xfId="48924"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27" xr:uid="{00000000-0005-0000-0000-0000D41F0000}"/>
    <cellStyle name="Normal 2 2 2 2 3 2 3" xfId="7300" xr:uid="{00000000-0005-0000-0000-0000D51F0000}"/>
    <cellStyle name="Normal 2 2 2 2 3 2 3 2" xfId="48928" xr:uid="{00000000-0005-0000-0000-0000D61F0000}"/>
    <cellStyle name="Normal 2 2 2 2 3 2 4" xfId="48926" xr:uid="{00000000-0005-0000-0000-0000D71F0000}"/>
    <cellStyle name="Normal 2 2 2 2 3 2_ELEC SAP FCST UPLOAD" xfId="7301" xr:uid="{00000000-0005-0000-0000-0000D81F0000}"/>
    <cellStyle name="Normal 2 2 2 2 3 3" xfId="7302" xr:uid="{00000000-0005-0000-0000-0000D91F0000}"/>
    <cellStyle name="Normal 2 2 2 2 3 3 2" xfId="48929" xr:uid="{00000000-0005-0000-0000-0000DA1F0000}"/>
    <cellStyle name="Normal 2 2 2 2 3 4" xfId="7303" xr:uid="{00000000-0005-0000-0000-0000DB1F0000}"/>
    <cellStyle name="Normal 2 2 2 2 3 4 2" xfId="48930" xr:uid="{00000000-0005-0000-0000-0000DC1F0000}"/>
    <cellStyle name="Normal 2 2 2 2 3 5" xfId="7304" xr:uid="{00000000-0005-0000-0000-0000DD1F0000}"/>
    <cellStyle name="Normal 2 2 2 2 3 5 2" xfId="48931" xr:uid="{00000000-0005-0000-0000-0000DE1F0000}"/>
    <cellStyle name="Normal 2 2 2 2 3 6" xfId="7305" xr:uid="{00000000-0005-0000-0000-0000DF1F0000}"/>
    <cellStyle name="Normal 2 2 2 2 3 6 2" xfId="48932" xr:uid="{00000000-0005-0000-0000-0000E01F0000}"/>
    <cellStyle name="Normal 2 2 2 2 3 7" xfId="48925"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4" xr:uid="{00000000-0005-0000-0000-0000EF1F0000}"/>
    <cellStyle name="Normal 2 2 2 2 4 3" xfId="7319" xr:uid="{00000000-0005-0000-0000-0000F01F0000}"/>
    <cellStyle name="Normal 2 2 2 2 4 3 2" xfId="48935" xr:uid="{00000000-0005-0000-0000-0000F11F0000}"/>
    <cellStyle name="Normal 2 2 2 2 4 4" xfId="48933"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36"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37"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38"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39"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2" xr:uid="{00000000-0005-0000-0000-000039200000}"/>
    <cellStyle name="Normal 2 2 2 2 9" xfId="7386" xr:uid="{00000000-0005-0000-0000-00003A200000}"/>
    <cellStyle name="Normal 2 2 2 2 9 2" xfId="48941" xr:uid="{00000000-0005-0000-0000-00003B200000}"/>
    <cellStyle name="Normal 2 2 2 2 9 2 2" xfId="48942" xr:uid="{00000000-0005-0000-0000-00003C200000}"/>
    <cellStyle name="Normal 2 2 2 2 9 2 3" xfId="48943" xr:uid="{00000000-0005-0000-0000-00003D200000}"/>
    <cellStyle name="Normal 2 2 2 2 9 2 4" xfId="48944" xr:uid="{00000000-0005-0000-0000-00003E200000}"/>
    <cellStyle name="Normal 2 2 2 2 9 2 5" xfId="48945" xr:uid="{00000000-0005-0000-0000-00003F200000}"/>
    <cellStyle name="Normal 2 2 2 2 9 2 6" xfId="48946" xr:uid="{00000000-0005-0000-0000-000040200000}"/>
    <cellStyle name="Normal 2 2 2 2 9 2 7" xfId="48947" xr:uid="{00000000-0005-0000-0000-000041200000}"/>
    <cellStyle name="Normal 2 2 2 2 9 3" xfId="48948" xr:uid="{00000000-0005-0000-0000-000042200000}"/>
    <cellStyle name="Normal 2 2 2 2 9 4" xfId="48949" xr:uid="{00000000-0005-0000-0000-000043200000}"/>
    <cellStyle name="Normal 2 2 2 2 9 5" xfId="48950" xr:uid="{00000000-0005-0000-0000-000044200000}"/>
    <cellStyle name="Normal 2 2 2 2 9 6" xfId="48951" xr:uid="{00000000-0005-0000-0000-000045200000}"/>
    <cellStyle name="Normal 2 2 2 2 9 7" xfId="48952" xr:uid="{00000000-0005-0000-0000-000046200000}"/>
    <cellStyle name="Normal 2 2 2 2 9 8" xfId="48953" xr:uid="{00000000-0005-0000-0000-000047200000}"/>
    <cellStyle name="Normal 2 2 2 2 9 9" xfId="48940" xr:uid="{00000000-0005-0000-0000-000048200000}"/>
    <cellStyle name="Normal 2 2 2 2_ELEC SAP FCST UPLOAD" xfId="7387" xr:uid="{00000000-0005-0000-0000-000049200000}"/>
    <cellStyle name="Normal 2 2 2 20" xfId="7388" xr:uid="{00000000-0005-0000-0000-00004A200000}"/>
    <cellStyle name="Normal 2 2 2 20 2" xfId="48954" xr:uid="{00000000-0005-0000-0000-00004B200000}"/>
    <cellStyle name="Normal 2 2 2 21" xfId="7389" xr:uid="{00000000-0005-0000-0000-00004C200000}"/>
    <cellStyle name="Normal 2 2 2 21 2" xfId="48955" xr:uid="{00000000-0005-0000-0000-00004D200000}"/>
    <cellStyle name="Normal 2 2 2 22" xfId="7390" xr:uid="{00000000-0005-0000-0000-00004E200000}"/>
    <cellStyle name="Normal 2 2 2 22 2" xfId="48956" xr:uid="{00000000-0005-0000-0000-00004F200000}"/>
    <cellStyle name="Normal 2 2 2 23" xfId="7391" xr:uid="{00000000-0005-0000-0000-000050200000}"/>
    <cellStyle name="Normal 2 2 2 23 2" xfId="48957" xr:uid="{00000000-0005-0000-0000-000051200000}"/>
    <cellStyle name="Normal 2 2 2 24" xfId="7392" xr:uid="{00000000-0005-0000-0000-000052200000}"/>
    <cellStyle name="Normal 2 2 2 24 2" xfId="48958" xr:uid="{00000000-0005-0000-0000-000053200000}"/>
    <cellStyle name="Normal 2 2 2 25" xfId="7393" xr:uid="{00000000-0005-0000-0000-000054200000}"/>
    <cellStyle name="Normal 2 2 2 25 2" xfId="48959" xr:uid="{00000000-0005-0000-0000-000055200000}"/>
    <cellStyle name="Normal 2 2 2 26" xfId="7394" xr:uid="{00000000-0005-0000-0000-000056200000}"/>
    <cellStyle name="Normal 2 2 2 26 2" xfId="48960"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1"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5" xr:uid="{00000000-0005-0000-0000-00006B200000}"/>
    <cellStyle name="Normal 2 2 2 4 2 2 3" xfId="7413" xr:uid="{00000000-0005-0000-0000-00006C200000}"/>
    <cellStyle name="Normal 2 2 2 4 2 2 3 2" xfId="48966" xr:uid="{00000000-0005-0000-0000-00006D200000}"/>
    <cellStyle name="Normal 2 2 2 4 2 2 4" xfId="48964" xr:uid="{00000000-0005-0000-0000-00006E200000}"/>
    <cellStyle name="Normal 2 2 2 4 2 2_ELEC SAP FCST UPLOAD" xfId="7414" xr:uid="{00000000-0005-0000-0000-00006F200000}"/>
    <cellStyle name="Normal 2 2 2 4 2 3" xfId="7415" xr:uid="{00000000-0005-0000-0000-000070200000}"/>
    <cellStyle name="Normal 2 2 2 4 2 3 2" xfId="48967" xr:uid="{00000000-0005-0000-0000-000071200000}"/>
    <cellStyle name="Normal 2 2 2 4 2 4" xfId="7416" xr:uid="{00000000-0005-0000-0000-000072200000}"/>
    <cellStyle name="Normal 2 2 2 4 2 4 2" xfId="48968" xr:uid="{00000000-0005-0000-0000-000073200000}"/>
    <cellStyle name="Normal 2 2 2 4 2 5" xfId="7417" xr:uid="{00000000-0005-0000-0000-000074200000}"/>
    <cellStyle name="Normal 2 2 2 4 2 5 2" xfId="48969" xr:uid="{00000000-0005-0000-0000-000075200000}"/>
    <cellStyle name="Normal 2 2 2 4 2 6" xfId="7418" xr:uid="{00000000-0005-0000-0000-000076200000}"/>
    <cellStyle name="Normal 2 2 2 4 2 6 2" xfId="48970" xr:uid="{00000000-0005-0000-0000-000077200000}"/>
    <cellStyle name="Normal 2 2 2 4 2 7" xfId="48963"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2" xr:uid="{00000000-0005-0000-0000-00007C200000}"/>
    <cellStyle name="Normal 2 2 2 4 3 3" xfId="7422" xr:uid="{00000000-0005-0000-0000-00007D200000}"/>
    <cellStyle name="Normal 2 2 2 4 3 3 2" xfId="48973" xr:uid="{00000000-0005-0000-0000-00007E200000}"/>
    <cellStyle name="Normal 2 2 2 4 3 4" xfId="48971" xr:uid="{00000000-0005-0000-0000-00007F200000}"/>
    <cellStyle name="Normal 2 2 2 4 3_ELEC SAP FCST UPLOAD" xfId="7423" xr:uid="{00000000-0005-0000-0000-000080200000}"/>
    <cellStyle name="Normal 2 2 2 4 4" xfId="7424" xr:uid="{00000000-0005-0000-0000-000081200000}"/>
    <cellStyle name="Normal 2 2 2 4 4 2" xfId="48974" xr:uid="{00000000-0005-0000-0000-000082200000}"/>
    <cellStyle name="Normal 2 2 2 4 5" xfId="7425" xr:uid="{00000000-0005-0000-0000-000083200000}"/>
    <cellStyle name="Normal 2 2 2 4 5 2" xfId="48975" xr:uid="{00000000-0005-0000-0000-000084200000}"/>
    <cellStyle name="Normal 2 2 2 4 6" xfId="7426" xr:uid="{00000000-0005-0000-0000-000085200000}"/>
    <cellStyle name="Normal 2 2 2 4 6 2" xfId="48976" xr:uid="{00000000-0005-0000-0000-000086200000}"/>
    <cellStyle name="Normal 2 2 2 4 7" xfId="48962"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78" xr:uid="{00000000-0005-0000-0000-000095200000}"/>
    <cellStyle name="Normal 2 2 2 5 3" xfId="7440" xr:uid="{00000000-0005-0000-0000-000096200000}"/>
    <cellStyle name="Normal 2 2 2 5 3 2" xfId="48979" xr:uid="{00000000-0005-0000-0000-000097200000}"/>
    <cellStyle name="Normal 2 2 2 5 4" xfId="48977"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0"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1"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2"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2" xr:uid="{00000000-0005-0000-0000-0000C5200000}"/>
    <cellStyle name="Normal 2 2 2 9" xfId="7482" xr:uid="{00000000-0005-0000-0000-0000C6200000}"/>
    <cellStyle name="Normal 2 2 2 9 2" xfId="48983" xr:uid="{00000000-0005-0000-0000-0000C7200000}"/>
    <cellStyle name="Normal 2 2 2_3.1.2 DB Pension Detail" xfId="7483" xr:uid="{00000000-0005-0000-0000-0000C8200000}"/>
    <cellStyle name="Normal 2 2 20" xfId="7484" xr:uid="{00000000-0005-0000-0000-0000C9200000}"/>
    <cellStyle name="Normal 2 2 20 2" xfId="48984" xr:uid="{00000000-0005-0000-0000-0000CA200000}"/>
    <cellStyle name="Normal 2 2 21" xfId="7485" xr:uid="{00000000-0005-0000-0000-0000CB200000}"/>
    <cellStyle name="Normal 2 2 21 2" xfId="48985" xr:uid="{00000000-0005-0000-0000-0000CC200000}"/>
    <cellStyle name="Normal 2 2 22" xfId="7486" xr:uid="{00000000-0005-0000-0000-0000CD200000}"/>
    <cellStyle name="Normal 2 2 22 2" xfId="48986" xr:uid="{00000000-0005-0000-0000-0000CE200000}"/>
    <cellStyle name="Normal 2 2 23" xfId="7487" xr:uid="{00000000-0005-0000-0000-0000CF200000}"/>
    <cellStyle name="Normal 2 2 23 2" xfId="48987" xr:uid="{00000000-0005-0000-0000-0000D0200000}"/>
    <cellStyle name="Normal 2 2 24" xfId="7488" xr:uid="{00000000-0005-0000-0000-0000D1200000}"/>
    <cellStyle name="Normal 2 2 24 2" xfId="48988" xr:uid="{00000000-0005-0000-0000-0000D2200000}"/>
    <cellStyle name="Normal 2 2 25" xfId="7489" xr:uid="{00000000-0005-0000-0000-0000D3200000}"/>
    <cellStyle name="Normal 2 2 25 2" xfId="48989" xr:uid="{00000000-0005-0000-0000-0000D4200000}"/>
    <cellStyle name="Normal 2 2 26" xfId="7490" xr:uid="{00000000-0005-0000-0000-0000D5200000}"/>
    <cellStyle name="Normal 2 2 26 2" xfId="48990"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8996"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5" xr:uid="{00000000-0005-0000-0000-000024210000}"/>
    <cellStyle name="Normal 2 2 3 2 2 2 2 3" xfId="7567" xr:uid="{00000000-0005-0000-0000-000025210000}"/>
    <cellStyle name="Normal 2 2 3 2 2 2 2 3 2" xfId="48997"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4" xr:uid="{00000000-0005-0000-0000-000031210000}"/>
    <cellStyle name="Normal 2 2 3 2 2 2 3" xfId="7578" xr:uid="{00000000-0005-0000-0000-000032210000}"/>
    <cellStyle name="Normal 2 2 3 2 2 2 3 2" xfId="48998" xr:uid="{00000000-0005-0000-0000-000033210000}"/>
    <cellStyle name="Normal 2 2 3 2 2 2 4" xfId="7579" xr:uid="{00000000-0005-0000-0000-000034210000}"/>
    <cellStyle name="Normal 2 2 3 2 2 2 4 2" xfId="48999" xr:uid="{00000000-0005-0000-0000-000035210000}"/>
    <cellStyle name="Normal 2 2 3 2 2 2 5" xfId="7580" xr:uid="{00000000-0005-0000-0000-000036210000}"/>
    <cellStyle name="Normal 2 2 3 2 2 2 5 2" xfId="49000" xr:uid="{00000000-0005-0000-0000-000037210000}"/>
    <cellStyle name="Normal 2 2 3 2 2 2 6" xfId="7581" xr:uid="{00000000-0005-0000-0000-000038210000}"/>
    <cellStyle name="Normal 2 2 3 2 2 2 6 2" xfId="49001"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3" xr:uid="{00000000-0005-0000-0000-000041210000}"/>
    <cellStyle name="Normal 2 2 3 2 2 3" xfId="7589" xr:uid="{00000000-0005-0000-0000-000042210000}"/>
    <cellStyle name="Normal 2 2 3 2 2 3 2" xfId="7590" xr:uid="{00000000-0005-0000-0000-000043210000}"/>
    <cellStyle name="Normal 2 2 3 2 2 3 2 2" xfId="49003" xr:uid="{00000000-0005-0000-0000-000044210000}"/>
    <cellStyle name="Normal 2 2 3 2 2 3 3" xfId="7591" xr:uid="{00000000-0005-0000-0000-000045210000}"/>
    <cellStyle name="Normal 2 2 3 2 2 3 3 2" xfId="49004" xr:uid="{00000000-0005-0000-0000-000046210000}"/>
    <cellStyle name="Normal 2 2 3 2 2 3 4" xfId="49002" xr:uid="{00000000-0005-0000-0000-000047210000}"/>
    <cellStyle name="Normal 2 2 3 2 2 3_ELEC SAP FCST UPLOAD" xfId="7592" xr:uid="{00000000-0005-0000-0000-000048210000}"/>
    <cellStyle name="Normal 2 2 3 2 2 4" xfId="7593" xr:uid="{00000000-0005-0000-0000-000049210000}"/>
    <cellStyle name="Normal 2 2 3 2 2 4 2" xfId="49005" xr:uid="{00000000-0005-0000-0000-00004A210000}"/>
    <cellStyle name="Normal 2 2 3 2 2 5" xfId="7594" xr:uid="{00000000-0005-0000-0000-00004B210000}"/>
    <cellStyle name="Normal 2 2 3 2 2 5 2" xfId="49006" xr:uid="{00000000-0005-0000-0000-00004C210000}"/>
    <cellStyle name="Normal 2 2 3 2 2 6" xfId="7595" xr:uid="{00000000-0005-0000-0000-00004D210000}"/>
    <cellStyle name="Normal 2 2 3 2 2 6 2" xfId="49007"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2" xr:uid="{00000000-0005-0000-0000-000057210000}"/>
    <cellStyle name="Normal 2 2 3 2 3" xfId="7604" xr:uid="{00000000-0005-0000-0000-000058210000}"/>
    <cellStyle name="Normal 2 2 3 2 3 2" xfId="7605" xr:uid="{00000000-0005-0000-0000-000059210000}"/>
    <cellStyle name="Normal 2 2 3 2 3 2 2" xfId="49009" xr:uid="{00000000-0005-0000-0000-00005A210000}"/>
    <cellStyle name="Normal 2 2 3 2 3 3" xfId="7606" xr:uid="{00000000-0005-0000-0000-00005B210000}"/>
    <cellStyle name="Normal 2 2 3 2 3 3 2" xfId="49010" xr:uid="{00000000-0005-0000-0000-00005C210000}"/>
    <cellStyle name="Normal 2 2 3 2 3 4" xfId="49008" xr:uid="{00000000-0005-0000-0000-00005D210000}"/>
    <cellStyle name="Normal 2 2 3 2 3_ELEC SAP FCST UPLOAD" xfId="7607" xr:uid="{00000000-0005-0000-0000-00005E210000}"/>
    <cellStyle name="Normal 2 2 3 2 4" xfId="7608" xr:uid="{00000000-0005-0000-0000-00005F210000}"/>
    <cellStyle name="Normal 2 2 3 2 4 2" xfId="49011" xr:uid="{00000000-0005-0000-0000-000060210000}"/>
    <cellStyle name="Normal 2 2 3 2 5" xfId="7609" xr:uid="{00000000-0005-0000-0000-000061210000}"/>
    <cellStyle name="Normal 2 2 3 2 5 2" xfId="49012" xr:uid="{00000000-0005-0000-0000-000062210000}"/>
    <cellStyle name="Normal 2 2 3 2 6" xfId="7610" xr:uid="{00000000-0005-0000-0000-000063210000}"/>
    <cellStyle name="Normal 2 2 3 2 6 2" xfId="49013" xr:uid="{00000000-0005-0000-0000-000064210000}"/>
    <cellStyle name="Normal 2 2 3 2 7" xfId="7611" xr:uid="{00000000-0005-0000-0000-000065210000}"/>
    <cellStyle name="Normal 2 2 3 2 7 2" xfId="49014"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17" xr:uid="{00000000-0005-0000-0000-000077210000}"/>
    <cellStyle name="Normal 2 2 3 3 2 3" xfId="7628" xr:uid="{00000000-0005-0000-0000-000078210000}"/>
    <cellStyle name="Normal 2 2 3 3 2 3 2" xfId="49018" xr:uid="{00000000-0005-0000-0000-000079210000}"/>
    <cellStyle name="Normal 2 2 3 3 2 4" xfId="49016" xr:uid="{00000000-0005-0000-0000-00007A210000}"/>
    <cellStyle name="Normal 2 2 3 3 2_ELEC SAP FCST UPLOAD" xfId="7629" xr:uid="{00000000-0005-0000-0000-00007B210000}"/>
    <cellStyle name="Normal 2 2 3 3 3" xfId="7630" xr:uid="{00000000-0005-0000-0000-00007C210000}"/>
    <cellStyle name="Normal 2 2 3 3 3 2" xfId="49019" xr:uid="{00000000-0005-0000-0000-00007D210000}"/>
    <cellStyle name="Normal 2 2 3 3 4" xfId="7631" xr:uid="{00000000-0005-0000-0000-00007E210000}"/>
    <cellStyle name="Normal 2 2 3 3 4 2" xfId="49020" xr:uid="{00000000-0005-0000-0000-00007F210000}"/>
    <cellStyle name="Normal 2 2 3 3 5" xfId="7632" xr:uid="{00000000-0005-0000-0000-000080210000}"/>
    <cellStyle name="Normal 2 2 3 3 5 2" xfId="49021" xr:uid="{00000000-0005-0000-0000-000081210000}"/>
    <cellStyle name="Normal 2 2 3 3 6" xfId="7633" xr:uid="{00000000-0005-0000-0000-000082210000}"/>
    <cellStyle name="Normal 2 2 3 3 6 2" xfId="49022" xr:uid="{00000000-0005-0000-0000-000083210000}"/>
    <cellStyle name="Normal 2 2 3 3 7" xfId="49015"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4" xr:uid="{00000000-0005-0000-0000-000092210000}"/>
    <cellStyle name="Normal 2 2 3 4 3" xfId="7647" xr:uid="{00000000-0005-0000-0000-000093210000}"/>
    <cellStyle name="Normal 2 2 3 4 3 2" xfId="49025" xr:uid="{00000000-0005-0000-0000-000094210000}"/>
    <cellStyle name="Normal 2 2 3 4 4" xfId="49023"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26"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27"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28"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1"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2"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1" xr:uid="{00000000-0005-0000-0000-00001C220000}"/>
    <cellStyle name="Normal 2 2 4 2 2 3" xfId="7777" xr:uid="{00000000-0005-0000-0000-00001D220000}"/>
    <cellStyle name="Normal 2 2 4 2 2 3 2" xfId="49033"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0" xr:uid="{00000000-0005-0000-0000-000029220000}"/>
    <cellStyle name="Normal 2 2 4 2 3" xfId="7788" xr:uid="{00000000-0005-0000-0000-00002A220000}"/>
    <cellStyle name="Normal 2 2 4 2 3 2" xfId="49034" xr:uid="{00000000-0005-0000-0000-00002B220000}"/>
    <cellStyle name="Normal 2 2 4 2 4" xfId="7789" xr:uid="{00000000-0005-0000-0000-00002C220000}"/>
    <cellStyle name="Normal 2 2 4 2 4 2" xfId="49035" xr:uid="{00000000-0005-0000-0000-00002D220000}"/>
    <cellStyle name="Normal 2 2 4 2 5" xfId="7790" xr:uid="{00000000-0005-0000-0000-00002E220000}"/>
    <cellStyle name="Normal 2 2 4 2 5 2" xfId="49036" xr:uid="{00000000-0005-0000-0000-00002F220000}"/>
    <cellStyle name="Normal 2 2 4 2 6" xfId="7791" xr:uid="{00000000-0005-0000-0000-000030220000}"/>
    <cellStyle name="Normal 2 2 4 2 6 2" xfId="49037"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39" xr:uid="{00000000-0005-0000-0000-000042220000}"/>
    <cellStyle name="Normal 2 2 4 3 3" xfId="7808" xr:uid="{00000000-0005-0000-0000-000043220000}"/>
    <cellStyle name="Normal 2 2 4 3 3 2" xfId="49040" xr:uid="{00000000-0005-0000-0000-000044220000}"/>
    <cellStyle name="Normal 2 2 4 3 4" xfId="49038"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1"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2"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3"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29"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5"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46"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4"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47"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48"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49"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0"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1" xr:uid="{00000000-0005-0000-0000-000027250000}"/>
    <cellStyle name="Normal 2 21" xfId="8535" xr:uid="{00000000-0005-0000-0000-000028250000}"/>
    <cellStyle name="Normal 2 21 2" xfId="49052" xr:uid="{00000000-0005-0000-0000-000029250000}"/>
    <cellStyle name="Normal 2 22" xfId="8536" xr:uid="{00000000-0005-0000-0000-00002A250000}"/>
    <cellStyle name="Normal 2 22 2" xfId="49053" xr:uid="{00000000-0005-0000-0000-00002B250000}"/>
    <cellStyle name="Normal 2 23" xfId="8537" xr:uid="{00000000-0005-0000-0000-00002C250000}"/>
    <cellStyle name="Normal 2 23 2" xfId="49054" xr:uid="{00000000-0005-0000-0000-00002D250000}"/>
    <cellStyle name="Normal 2 24" xfId="8538" xr:uid="{00000000-0005-0000-0000-00002E250000}"/>
    <cellStyle name="Normal 2 24 2" xfId="49055" xr:uid="{00000000-0005-0000-0000-00002F250000}"/>
    <cellStyle name="Normal 2 25" xfId="8539" xr:uid="{00000000-0005-0000-0000-000030250000}"/>
    <cellStyle name="Normal 2 25 2" xfId="49056" xr:uid="{00000000-0005-0000-0000-000031250000}"/>
    <cellStyle name="Normal 2 26" xfId="8540" xr:uid="{00000000-0005-0000-0000-000032250000}"/>
    <cellStyle name="Normal 2 26 2" xfId="49057" xr:uid="{00000000-0005-0000-0000-000033250000}"/>
    <cellStyle name="Normal 2 27" xfId="8541" xr:uid="{00000000-0005-0000-0000-000034250000}"/>
    <cellStyle name="Normal 2 27 2" xfId="49058"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4"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3" xr:uid="{00000000-0005-0000-0000-000082250000}"/>
    <cellStyle name="Normal 2 3 2 2 2 2 3" xfId="8617" xr:uid="{00000000-0005-0000-0000-000083250000}"/>
    <cellStyle name="Normal 2 3 2 2 2 2 3 2" xfId="49065"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2" xr:uid="{00000000-0005-0000-0000-00008F250000}"/>
    <cellStyle name="Normal 2 3 2 2 2 3" xfId="8628" xr:uid="{00000000-0005-0000-0000-000090250000}"/>
    <cellStyle name="Normal 2 3 2 2 2 3 2" xfId="49066" xr:uid="{00000000-0005-0000-0000-000091250000}"/>
    <cellStyle name="Normal 2 3 2 2 2 4" xfId="8629" xr:uid="{00000000-0005-0000-0000-000092250000}"/>
    <cellStyle name="Normal 2 3 2 2 2 4 2" xfId="49067" xr:uid="{00000000-0005-0000-0000-000093250000}"/>
    <cellStyle name="Normal 2 3 2 2 2 5" xfId="8630" xr:uid="{00000000-0005-0000-0000-000094250000}"/>
    <cellStyle name="Normal 2 3 2 2 2 5 2" xfId="49068" xr:uid="{00000000-0005-0000-0000-000095250000}"/>
    <cellStyle name="Normal 2 3 2 2 2 6" xfId="8631" xr:uid="{00000000-0005-0000-0000-000096250000}"/>
    <cellStyle name="Normal 2 3 2 2 2 6 2" xfId="49069"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1" xr:uid="{00000000-0005-0000-0000-0000A8250000}"/>
    <cellStyle name="Normal 2 3 2 2 3 3" xfId="8648" xr:uid="{00000000-0005-0000-0000-0000A9250000}"/>
    <cellStyle name="Normal 2 3 2 2 3 3 2" xfId="49072" xr:uid="{00000000-0005-0000-0000-0000AA250000}"/>
    <cellStyle name="Normal 2 3 2 2 3 4" xfId="49070"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3"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4"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5"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1"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77"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76" xr:uid="{00000000-0005-0000-0000-000026260000}"/>
    <cellStyle name="Normal 2 3 2 3 3" xfId="8766" xr:uid="{00000000-0005-0000-0000-000027260000}"/>
    <cellStyle name="Normal 2 3 2 3 3 2" xfId="49078"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79"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0"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1"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2"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0"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5"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4" xr:uid="{00000000-0005-0000-0000-0000B6260000}"/>
    <cellStyle name="Normal 2 3 3 2 3" xfId="8902" xr:uid="{00000000-0005-0000-0000-0000B7260000}"/>
    <cellStyle name="Normal 2 3 3 2 3 2" xfId="49086"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87"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88"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89"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0"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3"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2"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3"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1"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4"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5"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096"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59"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097"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1"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2"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0"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3"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4"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5"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06"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099"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08"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09"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07"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0"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1"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2"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098"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3"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4"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5"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16"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17"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18"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19"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2"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4"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0"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3"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27"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0"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397"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2"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3"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2" xr:uid="{00000000-0005-0000-0000-0000D4330000}"/>
    <cellStyle name="Normal 3 10 3" xfId="12212" xr:uid="{00000000-0005-0000-0000-0000D5330000}"/>
    <cellStyle name="Normal 3 10 3 2" xfId="49124" xr:uid="{00000000-0005-0000-0000-0000D6330000}"/>
    <cellStyle name="Normal 3 10 4" xfId="12213" xr:uid="{00000000-0005-0000-0000-0000D7330000}"/>
    <cellStyle name="Normal 3 10 4 2" xfId="49125" xr:uid="{00000000-0005-0000-0000-0000D8330000}"/>
    <cellStyle name="Normal 3 10 5" xfId="12214" xr:uid="{00000000-0005-0000-0000-0000D9330000}"/>
    <cellStyle name="Normal 3 10 5 2" xfId="49126" xr:uid="{00000000-0005-0000-0000-0000DA330000}"/>
    <cellStyle name="Normal 3 10 6" xfId="12215" xr:uid="{00000000-0005-0000-0000-0000DB330000}"/>
    <cellStyle name="Normal 3 10 6 2" xfId="49127" xr:uid="{00000000-0005-0000-0000-0000DC330000}"/>
    <cellStyle name="Normal 3 10 7" xfId="12216" xr:uid="{00000000-0005-0000-0000-0000DD330000}"/>
    <cellStyle name="Normal 3 10 7 2" xfId="49128"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29"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0"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1" xr:uid="{00000000-0005-0000-0000-000006340000}"/>
    <cellStyle name="Normal 3 14" xfId="12253" xr:uid="{00000000-0005-0000-0000-000007340000}"/>
    <cellStyle name="Normal 3 14 2" xfId="49132" xr:uid="{00000000-0005-0000-0000-000008340000}"/>
    <cellStyle name="Normal 3 15" xfId="12254" xr:uid="{00000000-0005-0000-0000-000009340000}"/>
    <cellStyle name="Normal 3 15 2" xfId="49133" xr:uid="{00000000-0005-0000-0000-00000A340000}"/>
    <cellStyle name="Normal 3 16" xfId="12255" xr:uid="{00000000-0005-0000-0000-00000B340000}"/>
    <cellStyle name="Normal 3 16 2" xfId="49134" xr:uid="{00000000-0005-0000-0000-00000C340000}"/>
    <cellStyle name="Normal 3 17" xfId="12256" xr:uid="{00000000-0005-0000-0000-00000D340000}"/>
    <cellStyle name="Normal 3 17 2" xfId="49135" xr:uid="{00000000-0005-0000-0000-00000E340000}"/>
    <cellStyle name="Normal 3 18" xfId="12257" xr:uid="{00000000-0005-0000-0000-00000F340000}"/>
    <cellStyle name="Normal 3 18 2" xfId="49136" xr:uid="{00000000-0005-0000-0000-000010340000}"/>
    <cellStyle name="Normal 3 19" xfId="12258" xr:uid="{00000000-0005-0000-0000-000011340000}"/>
    <cellStyle name="Normal 3 19 2" xfId="49137" xr:uid="{00000000-0005-0000-0000-000012340000}"/>
    <cellStyle name="Normal 3 2" xfId="89" xr:uid="{00000000-0005-0000-0000-000013340000}"/>
    <cellStyle name="Normal 3 2 10" xfId="12259" xr:uid="{00000000-0005-0000-0000-000014340000}"/>
    <cellStyle name="Normal 3 2 10 2" xfId="49139" xr:uid="{00000000-0005-0000-0000-000015340000}"/>
    <cellStyle name="Normal 3 2 11" xfId="12260" xr:uid="{00000000-0005-0000-0000-000016340000}"/>
    <cellStyle name="Normal 3 2 11 2" xfId="49140" xr:uid="{00000000-0005-0000-0000-000017340000}"/>
    <cellStyle name="Normal 3 2 12" xfId="12261" xr:uid="{00000000-0005-0000-0000-000018340000}"/>
    <cellStyle name="Normal 3 2 12 2" xfId="49141" xr:uid="{00000000-0005-0000-0000-000019340000}"/>
    <cellStyle name="Normal 3 2 13" xfId="12262" xr:uid="{00000000-0005-0000-0000-00001A340000}"/>
    <cellStyle name="Normal 3 2 13 2" xfId="49142" xr:uid="{00000000-0005-0000-0000-00001B340000}"/>
    <cellStyle name="Normal 3 2 14" xfId="12263" xr:uid="{00000000-0005-0000-0000-00001C340000}"/>
    <cellStyle name="Normal 3 2 14 2" xfId="49143" xr:uid="{00000000-0005-0000-0000-00001D340000}"/>
    <cellStyle name="Normal 3 2 15" xfId="12264" xr:uid="{00000000-0005-0000-0000-00001E340000}"/>
    <cellStyle name="Normal 3 2 15 2" xfId="49144" xr:uid="{00000000-0005-0000-0000-00001F340000}"/>
    <cellStyle name="Normal 3 2 16" xfId="12265" xr:uid="{00000000-0005-0000-0000-000020340000}"/>
    <cellStyle name="Normal 3 2 16 2" xfId="49145"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47" xr:uid="{00000000-0005-0000-0000-000031340000}"/>
    <cellStyle name="Normal 3 2 2 3" xfId="49148" xr:uid="{00000000-0005-0000-0000-000032340000}"/>
    <cellStyle name="Normal 3 2 2 4" xfId="49149" xr:uid="{00000000-0005-0000-0000-000033340000}"/>
    <cellStyle name="Normal 3 2 2 5" xfId="49150" xr:uid="{00000000-0005-0000-0000-000034340000}"/>
    <cellStyle name="Normal 3 2 2 6" xfId="49151" xr:uid="{00000000-0005-0000-0000-000035340000}"/>
    <cellStyle name="Normal 3 2 2 7" xfId="49152" xr:uid="{00000000-0005-0000-0000-000036340000}"/>
    <cellStyle name="Normal 3 2 2 8" xfId="49146"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3"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4"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5"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56"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57"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38" xr:uid="{00000000-0005-0000-0000-00009D340000}"/>
    <cellStyle name="Normal 3 2 8" xfId="12377" xr:uid="{00000000-0005-0000-0000-00009E340000}"/>
    <cellStyle name="Normal 3 2 8 2" xfId="49158" xr:uid="{00000000-0005-0000-0000-00009F340000}"/>
    <cellStyle name="Normal 3 2 9" xfId="12378" xr:uid="{00000000-0005-0000-0000-0000A0340000}"/>
    <cellStyle name="Normal 3 2 9 2" xfId="49159" xr:uid="{00000000-0005-0000-0000-0000A1340000}"/>
    <cellStyle name="Normal 3 2_3.1.2 DB Pension Detail" xfId="12379" xr:uid="{00000000-0005-0000-0000-0000A2340000}"/>
    <cellStyle name="Normal 3 20" xfId="12380" xr:uid="{00000000-0005-0000-0000-0000A3340000}"/>
    <cellStyle name="Normal 3 20 2" xfId="49160"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2"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1"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3"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4"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5"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66"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67"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68"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1"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4"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3" xr:uid="{00000000-0005-0000-0000-0000193E0000}"/>
    <cellStyle name="Normal 4 2 2 2 2 3" xfId="14789" xr:uid="{00000000-0005-0000-0000-00001A3E0000}"/>
    <cellStyle name="Normal 4 2 2 2 2 3 2" xfId="49175"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2" xr:uid="{00000000-0005-0000-0000-0000263E0000}"/>
    <cellStyle name="Normal 4 2 2 2 3" xfId="14800" xr:uid="{00000000-0005-0000-0000-0000273E0000}"/>
    <cellStyle name="Normal 4 2 2 2 3 2" xfId="49176" xr:uid="{00000000-0005-0000-0000-0000283E0000}"/>
    <cellStyle name="Normal 4 2 2 2 4" xfId="14801" xr:uid="{00000000-0005-0000-0000-0000293E0000}"/>
    <cellStyle name="Normal 4 2 2 2 4 2" xfId="49177" xr:uid="{00000000-0005-0000-0000-00002A3E0000}"/>
    <cellStyle name="Normal 4 2 2 2 5" xfId="14802" xr:uid="{00000000-0005-0000-0000-00002B3E0000}"/>
    <cellStyle name="Normal 4 2 2 2 5 2" xfId="49178" xr:uid="{00000000-0005-0000-0000-00002C3E0000}"/>
    <cellStyle name="Normal 4 2 2 2 6" xfId="14803" xr:uid="{00000000-0005-0000-0000-00002D3E0000}"/>
    <cellStyle name="Normal 4 2 2 2 6 2" xfId="49179"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1" xr:uid="{00000000-0005-0000-0000-0000363E0000}"/>
    <cellStyle name="Normal 4 2 2 3" xfId="14811" xr:uid="{00000000-0005-0000-0000-0000373E0000}"/>
    <cellStyle name="Normal 4 2 2 3 2" xfId="14812" xr:uid="{00000000-0005-0000-0000-0000383E0000}"/>
    <cellStyle name="Normal 4 2 2 3 2 2" xfId="49181" xr:uid="{00000000-0005-0000-0000-0000393E0000}"/>
    <cellStyle name="Normal 4 2 2 3 3" xfId="14813" xr:uid="{00000000-0005-0000-0000-00003A3E0000}"/>
    <cellStyle name="Normal 4 2 2 3 3 2" xfId="49182" xr:uid="{00000000-0005-0000-0000-00003B3E0000}"/>
    <cellStyle name="Normal 4 2 2 3 4" xfId="49180" xr:uid="{00000000-0005-0000-0000-00003C3E0000}"/>
    <cellStyle name="Normal 4 2 2 3_ELEC SAP FCST UPLOAD" xfId="14814" xr:uid="{00000000-0005-0000-0000-00003D3E0000}"/>
    <cellStyle name="Normal 4 2 2 4" xfId="14815" xr:uid="{00000000-0005-0000-0000-00003E3E0000}"/>
    <cellStyle name="Normal 4 2 2 4 2" xfId="49183" xr:uid="{00000000-0005-0000-0000-00003F3E0000}"/>
    <cellStyle name="Normal 4 2 2 5" xfId="14816" xr:uid="{00000000-0005-0000-0000-0000403E0000}"/>
    <cellStyle name="Normal 4 2 2 5 2" xfId="49184" xr:uid="{00000000-0005-0000-0000-0000413E0000}"/>
    <cellStyle name="Normal 4 2 2 6" xfId="14817" xr:uid="{00000000-0005-0000-0000-0000423E0000}"/>
    <cellStyle name="Normal 4 2 2 6 2" xfId="49185"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0" xr:uid="{00000000-0005-0000-0000-00004C3E0000}"/>
    <cellStyle name="Normal 4 2 3" xfId="99" xr:uid="{00000000-0005-0000-0000-00004D3E0000}"/>
    <cellStyle name="Normal 4 2 3 2" xfId="14826" xr:uid="{00000000-0005-0000-0000-00004E3E0000}"/>
    <cellStyle name="Normal 4 2 3 2 2" xfId="49187" xr:uid="{00000000-0005-0000-0000-00004F3E0000}"/>
    <cellStyle name="Normal 4 2 3 3" xfId="14827" xr:uid="{00000000-0005-0000-0000-0000503E0000}"/>
    <cellStyle name="Normal 4 2 3 3 2" xfId="49188" xr:uid="{00000000-0005-0000-0000-0000513E0000}"/>
    <cellStyle name="Normal 4 2 3 4" xfId="49186" xr:uid="{00000000-0005-0000-0000-0000523E0000}"/>
    <cellStyle name="Normal 4 2 3_ELEC SAP FCST UPLOAD" xfId="14828" xr:uid="{00000000-0005-0000-0000-0000533E0000}"/>
    <cellStyle name="Normal 4 2 4" xfId="14829" xr:uid="{00000000-0005-0000-0000-0000543E0000}"/>
    <cellStyle name="Normal 4 2 4 2" xfId="49189" xr:uid="{00000000-0005-0000-0000-0000553E0000}"/>
    <cellStyle name="Normal 4 2 5" xfId="14830" xr:uid="{00000000-0005-0000-0000-0000563E0000}"/>
    <cellStyle name="Normal 4 2 5 2" xfId="49190" xr:uid="{00000000-0005-0000-0000-0000573E0000}"/>
    <cellStyle name="Normal 4 2 6" xfId="14831" xr:uid="{00000000-0005-0000-0000-0000583E0000}"/>
    <cellStyle name="Normal 4 2 6 2" xfId="49191" xr:uid="{00000000-0005-0000-0000-0000593E0000}"/>
    <cellStyle name="Normal 4 2 7" xfId="14832" xr:uid="{00000000-0005-0000-0000-00005A3E0000}"/>
    <cellStyle name="Normal 4 2 7 2" xfId="49192"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5" xr:uid="{00000000-0005-0000-0000-00006C3E0000}"/>
    <cellStyle name="Normal 4 3 2 3" xfId="14849" xr:uid="{00000000-0005-0000-0000-00006D3E0000}"/>
    <cellStyle name="Normal 4 3 2 3 2" xfId="49196" xr:uid="{00000000-0005-0000-0000-00006E3E0000}"/>
    <cellStyle name="Normal 4 3 2 4" xfId="49194" xr:uid="{00000000-0005-0000-0000-00006F3E0000}"/>
    <cellStyle name="Normal 4 3 2_ELEC SAP FCST UPLOAD" xfId="14850" xr:uid="{00000000-0005-0000-0000-0000703E0000}"/>
    <cellStyle name="Normal 4 3 3" xfId="14851" xr:uid="{00000000-0005-0000-0000-0000713E0000}"/>
    <cellStyle name="Normal 4 3 3 2" xfId="49197" xr:uid="{00000000-0005-0000-0000-0000723E0000}"/>
    <cellStyle name="Normal 4 3 4" xfId="14852" xr:uid="{00000000-0005-0000-0000-0000733E0000}"/>
    <cellStyle name="Normal 4 3 4 2" xfId="49198" xr:uid="{00000000-0005-0000-0000-0000743E0000}"/>
    <cellStyle name="Normal 4 3 5" xfId="14853" xr:uid="{00000000-0005-0000-0000-0000753E0000}"/>
    <cellStyle name="Normal 4 3 5 2" xfId="49199" xr:uid="{00000000-0005-0000-0000-0000763E0000}"/>
    <cellStyle name="Normal 4 3 6" xfId="14854" xr:uid="{00000000-0005-0000-0000-0000773E0000}"/>
    <cellStyle name="Normal 4 3 6 2" xfId="49200" xr:uid="{00000000-0005-0000-0000-0000783E0000}"/>
    <cellStyle name="Normal 4 3 7" xfId="49193"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1"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2"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3"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69"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07"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06" xr:uid="{00000000-0005-0000-0000-00006D430000}"/>
    <cellStyle name="Normal 5 2 2 3" xfId="16117" xr:uid="{00000000-0005-0000-0000-00006E430000}"/>
    <cellStyle name="Normal 5 2 2 3 2" xfId="49208"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5" xr:uid="{00000000-0005-0000-0000-00007A430000}"/>
    <cellStyle name="Normal 5 2 3" xfId="16128" xr:uid="{00000000-0005-0000-0000-00007B430000}"/>
    <cellStyle name="Normal 5 2 3 2" xfId="49209" xr:uid="{00000000-0005-0000-0000-00007C430000}"/>
    <cellStyle name="Normal 5 2 4" xfId="16129" xr:uid="{00000000-0005-0000-0000-00007D430000}"/>
    <cellStyle name="Normal 5 2 4 2" xfId="49210" xr:uid="{00000000-0005-0000-0000-00007E430000}"/>
    <cellStyle name="Normal 5 2 5" xfId="16130" xr:uid="{00000000-0005-0000-0000-00007F430000}"/>
    <cellStyle name="Normal 5 2 5 2" xfId="49211" xr:uid="{00000000-0005-0000-0000-000080430000}"/>
    <cellStyle name="Normal 5 2 6" xfId="16131" xr:uid="{00000000-0005-0000-0000-000081430000}"/>
    <cellStyle name="Normal 5 2 6 2" xfId="49212"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3"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4"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5"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4"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16" xr:uid="{00000000-0005-0000-0000-00003C460000}"/>
    <cellStyle name="Normal 6 9" xfId="16825" xr:uid="{00000000-0005-0000-0000-00003D460000}"/>
    <cellStyle name="Normal 60" xfId="16826" xr:uid="{00000000-0005-0000-0000-00003E460000}"/>
    <cellStyle name="Normal 61" xfId="90" xr:uid="{00000000-0005-0000-0000-00003F460000}"/>
    <cellStyle name="Normal 61 2" xfId="16827" xr:uid="{00000000-0005-0000-0000-000040460000}"/>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37"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17"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36" xr:uid="{00000000-0005-0000-0000-000006470000}"/>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18"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19"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0"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1" xr:uid="{00000000-0005-0000-0000-0000574B0000}"/>
    <cellStyle name="Normál_Cost_Baseline v1.1" xfId="18122" xr:uid="{00000000-0005-0000-0000-0000594B0000}"/>
    <cellStyle name="Normal_Opex Tables 2 2 2" xfId="85" xr:uid="{00000000-0005-0000-0000-00005B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86" xr:uid="{00000000-0005-0000-0000-0000754B0000}"/>
    <cellStyle name="Note 2 2 2 3" xfId="18147" xr:uid="{00000000-0005-0000-0000-0000764B0000}"/>
    <cellStyle name="Note 2 2 2 3 2" xfId="18148" xr:uid="{00000000-0005-0000-0000-0000774B0000}"/>
    <cellStyle name="Note 2 2 2 3 3" xfId="51393"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2"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5" xr:uid="{00000000-0005-0000-0000-0000834B0000}"/>
    <cellStyle name="Note 2 2 4" xfId="18158" xr:uid="{00000000-0005-0000-0000-0000844B0000}"/>
    <cellStyle name="Note 2 2 4 2" xfId="18159" xr:uid="{00000000-0005-0000-0000-0000854B0000}"/>
    <cellStyle name="Note 2 2 4 3" xfId="51491"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4"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4" xr:uid="{00000000-0005-0000-0000-00009B4B0000}"/>
    <cellStyle name="Note 2 3 2 3" xfId="51160" xr:uid="{00000000-0005-0000-0000-00009C4B0000}"/>
    <cellStyle name="Note 2 3 2 4" xfId="49793" xr:uid="{00000000-0005-0000-0000-00009D4B0000}"/>
    <cellStyle name="Note 2 3 3" xfId="18179" xr:uid="{00000000-0005-0000-0000-00009E4B0000}"/>
    <cellStyle name="Note 2 3 3 2" xfId="50573" xr:uid="{00000000-0005-0000-0000-00009F4B0000}"/>
    <cellStyle name="Note 2 3 4" xfId="51478" xr:uid="{00000000-0005-0000-0000-0000A04B0000}"/>
    <cellStyle name="Note 2 3 5" xfId="49465"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5" xr:uid="{00000000-0005-0000-0000-0000AF4B0000}"/>
    <cellStyle name="Note 2 4 2 3" xfId="51382" xr:uid="{00000000-0005-0000-0000-0000B04B0000}"/>
    <cellStyle name="Note 2 4 2 4" xfId="49803" xr:uid="{00000000-0005-0000-0000-0000B14B0000}"/>
    <cellStyle name="Note 2 4 3" xfId="18193" xr:uid="{00000000-0005-0000-0000-0000B24B0000}"/>
    <cellStyle name="Note 2 4 3 2" xfId="50564" xr:uid="{00000000-0005-0000-0000-0000B34B0000}"/>
    <cellStyle name="Note 2 4 4" xfId="50945" xr:uid="{00000000-0005-0000-0000-0000B44B0000}"/>
    <cellStyle name="Note 2 4 5" xfId="49475"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4" xr:uid="{00000000-0005-0000-0000-0000C34B0000}"/>
    <cellStyle name="Note 2 5 3" xfId="18207" xr:uid="{00000000-0005-0000-0000-0000C44B0000}"/>
    <cellStyle name="Note 2 5 3 2" xfId="50653" xr:uid="{00000000-0005-0000-0000-0000C54B0000}"/>
    <cellStyle name="Note 2 5 4" xfId="49634"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4" xr:uid="{00000000-0005-0000-0000-0000D34B0000}"/>
    <cellStyle name="Note 2 6 3" xfId="51331" xr:uid="{00000000-0005-0000-0000-0000D44B0000}"/>
    <cellStyle name="Note 2 6 4" xfId="50039"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58"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1"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3"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2" xr:uid="{00000000-0005-0000-0000-0000024C0000}"/>
    <cellStyle name="Note 3" xfId="18261" xr:uid="{00000000-0005-0000-0000-0000034C0000}"/>
    <cellStyle name="Note 3 10" xfId="49464" xr:uid="{00000000-0005-0000-0000-0000044C0000}"/>
    <cellStyle name="Note 3 10 2" xfId="49792" xr:uid="{00000000-0005-0000-0000-0000054C0000}"/>
    <cellStyle name="Note 3 10 2 2" xfId="50205" xr:uid="{00000000-0005-0000-0000-0000064C0000}"/>
    <cellStyle name="Note 3 10 2 3" xfId="51530" xr:uid="{00000000-0005-0000-0000-0000074C0000}"/>
    <cellStyle name="Note 3 10 3" xfId="50574" xr:uid="{00000000-0005-0000-0000-0000084C0000}"/>
    <cellStyle name="Note 3 10 4" xfId="51222" xr:uid="{00000000-0005-0000-0000-0000094C0000}"/>
    <cellStyle name="Note 3 11" xfId="49476" xr:uid="{00000000-0005-0000-0000-00000A4C0000}"/>
    <cellStyle name="Note 3 11 2" xfId="49804" xr:uid="{00000000-0005-0000-0000-00000B4C0000}"/>
    <cellStyle name="Note 3 11 2 2" xfId="50194" xr:uid="{00000000-0005-0000-0000-00000C4C0000}"/>
    <cellStyle name="Note 3 11 2 3" xfId="51621" xr:uid="{00000000-0005-0000-0000-00000D4C0000}"/>
    <cellStyle name="Note 3 11 3" xfId="50563" xr:uid="{00000000-0005-0000-0000-00000E4C0000}"/>
    <cellStyle name="Note 3 11 4" xfId="51233" xr:uid="{00000000-0005-0000-0000-00000F4C0000}"/>
    <cellStyle name="Note 3 12" xfId="49635" xr:uid="{00000000-0005-0000-0000-0000104C0000}"/>
    <cellStyle name="Note 3 12 2" xfId="50987" xr:uid="{00000000-0005-0000-0000-0000114C0000}"/>
    <cellStyle name="Note 3 12 3" xfId="50649" xr:uid="{00000000-0005-0000-0000-0000124C0000}"/>
    <cellStyle name="Note 3 13" xfId="50038" xr:uid="{00000000-0005-0000-0000-0000134C0000}"/>
    <cellStyle name="Note 3 13 2" xfId="51083" xr:uid="{00000000-0005-0000-0000-0000144C0000}"/>
    <cellStyle name="Note 3 13 3" xfId="51563" xr:uid="{00000000-0005-0000-0000-0000154C0000}"/>
    <cellStyle name="Note 3 14" xfId="50757" xr:uid="{00000000-0005-0000-0000-0000164C0000}"/>
    <cellStyle name="Note 3 15" xfId="50952" xr:uid="{00000000-0005-0000-0000-0000174C0000}"/>
    <cellStyle name="Note 3 16" xfId="51139" xr:uid="{00000000-0005-0000-0000-0000184C0000}"/>
    <cellStyle name="Note 3 17" xfId="49223" xr:uid="{00000000-0005-0000-0000-0000194C0000}"/>
    <cellStyle name="Note 3 2" xfId="18262" xr:uid="{00000000-0005-0000-0000-00001A4C0000}"/>
    <cellStyle name="Note 3 2 10" xfId="49224" xr:uid="{00000000-0005-0000-0000-00001B4C0000}"/>
    <cellStyle name="Note 3 2 2" xfId="18263" xr:uid="{00000000-0005-0000-0000-00001C4C0000}"/>
    <cellStyle name="Note 3 2 2 2" xfId="49814" xr:uid="{00000000-0005-0000-0000-00001D4C0000}"/>
    <cellStyle name="Note 3 2 2 2 2" xfId="50185" xr:uid="{00000000-0005-0000-0000-00001E4C0000}"/>
    <cellStyle name="Note 3 2 2 2 3" xfId="51273" xr:uid="{00000000-0005-0000-0000-00001F4C0000}"/>
    <cellStyle name="Note 3 2 2 3" xfId="50553" xr:uid="{00000000-0005-0000-0000-0000204C0000}"/>
    <cellStyle name="Note 3 2 2 4" xfId="51454" xr:uid="{00000000-0005-0000-0000-0000214C0000}"/>
    <cellStyle name="Note 3 2 2 5" xfId="49486" xr:uid="{00000000-0005-0000-0000-0000224C0000}"/>
    <cellStyle name="Note 3 2 3" xfId="49463" xr:uid="{00000000-0005-0000-0000-0000234C0000}"/>
    <cellStyle name="Note 3 2 3 2" xfId="49791" xr:uid="{00000000-0005-0000-0000-0000244C0000}"/>
    <cellStyle name="Note 3 2 3 2 2" xfId="50206" xr:uid="{00000000-0005-0000-0000-0000254C0000}"/>
    <cellStyle name="Note 3 2 3 2 3" xfId="51272" xr:uid="{00000000-0005-0000-0000-0000264C0000}"/>
    <cellStyle name="Note 3 2 3 3" xfId="50575" xr:uid="{00000000-0005-0000-0000-0000274C0000}"/>
    <cellStyle name="Note 3 2 3 4" xfId="51457" xr:uid="{00000000-0005-0000-0000-0000284C0000}"/>
    <cellStyle name="Note 3 2 4" xfId="49477" xr:uid="{00000000-0005-0000-0000-0000294C0000}"/>
    <cellStyle name="Note 3 2 4 2" xfId="49805" xr:uid="{00000000-0005-0000-0000-00002A4C0000}"/>
    <cellStyle name="Note 3 2 4 2 2" xfId="50193" xr:uid="{00000000-0005-0000-0000-00002B4C0000}"/>
    <cellStyle name="Note 3 2 4 2 3" xfId="51136" xr:uid="{00000000-0005-0000-0000-00002C4C0000}"/>
    <cellStyle name="Note 3 2 4 3" xfId="50562" xr:uid="{00000000-0005-0000-0000-00002D4C0000}"/>
    <cellStyle name="Note 3 2 4 4" xfId="51490" xr:uid="{00000000-0005-0000-0000-00002E4C0000}"/>
    <cellStyle name="Note 3 2 5" xfId="49636" xr:uid="{00000000-0005-0000-0000-00002F4C0000}"/>
    <cellStyle name="Note 3 2 5 2" xfId="50900" xr:uid="{00000000-0005-0000-0000-0000304C0000}"/>
    <cellStyle name="Note 3 2 5 3" xfId="50650" xr:uid="{00000000-0005-0000-0000-0000314C0000}"/>
    <cellStyle name="Note 3 2 6" xfId="50037" xr:uid="{00000000-0005-0000-0000-0000324C0000}"/>
    <cellStyle name="Note 3 2 6 2" xfId="51082" xr:uid="{00000000-0005-0000-0000-0000334C0000}"/>
    <cellStyle name="Note 3 2 6 3" xfId="51306" xr:uid="{00000000-0005-0000-0000-0000344C0000}"/>
    <cellStyle name="Note 3 2 7" xfId="50756" xr:uid="{00000000-0005-0000-0000-0000354C0000}"/>
    <cellStyle name="Note 3 2 8" xfId="50904" xr:uid="{00000000-0005-0000-0000-0000364C0000}"/>
    <cellStyle name="Note 3 2 9" xfId="50772" xr:uid="{00000000-0005-0000-0000-0000374C0000}"/>
    <cellStyle name="Note 3 3" xfId="18264" xr:uid="{00000000-0005-0000-0000-0000384C0000}"/>
    <cellStyle name="Note 3 3 10" xfId="49225" xr:uid="{00000000-0005-0000-0000-0000394C0000}"/>
    <cellStyle name="Note 3 3 2" xfId="18265" xr:uid="{00000000-0005-0000-0000-00003A4C0000}"/>
    <cellStyle name="Note 3 3 2 2" xfId="49815" xr:uid="{00000000-0005-0000-0000-00003B4C0000}"/>
    <cellStyle name="Note 3 3 2 2 2" xfId="50184" xr:uid="{00000000-0005-0000-0000-00003C4C0000}"/>
    <cellStyle name="Note 3 3 2 2 3" xfId="51531" xr:uid="{00000000-0005-0000-0000-00003D4C0000}"/>
    <cellStyle name="Note 3 3 2 3" xfId="50552" xr:uid="{00000000-0005-0000-0000-00003E4C0000}"/>
    <cellStyle name="Note 3 3 2 4" xfId="51352" xr:uid="{00000000-0005-0000-0000-00003F4C0000}"/>
    <cellStyle name="Note 3 3 2 5" xfId="49487" xr:uid="{00000000-0005-0000-0000-0000404C0000}"/>
    <cellStyle name="Note 3 3 3" xfId="49462" xr:uid="{00000000-0005-0000-0000-0000414C0000}"/>
    <cellStyle name="Note 3 3 3 2" xfId="49790" xr:uid="{00000000-0005-0000-0000-0000424C0000}"/>
    <cellStyle name="Note 3 3 3 2 2" xfId="50207" xr:uid="{00000000-0005-0000-0000-0000434C0000}"/>
    <cellStyle name="Note 3 3 3 2 3" xfId="50879" xr:uid="{00000000-0005-0000-0000-0000444C0000}"/>
    <cellStyle name="Note 3 3 3 3" xfId="50576" xr:uid="{00000000-0005-0000-0000-0000454C0000}"/>
    <cellStyle name="Note 3 3 3 4" xfId="51199" xr:uid="{00000000-0005-0000-0000-0000464C0000}"/>
    <cellStyle name="Note 3 3 4" xfId="49478" xr:uid="{00000000-0005-0000-0000-0000474C0000}"/>
    <cellStyle name="Note 3 3 4 2" xfId="49806" xr:uid="{00000000-0005-0000-0000-0000484C0000}"/>
    <cellStyle name="Note 3 3 4 2 2" xfId="50192" xr:uid="{00000000-0005-0000-0000-0000494C0000}"/>
    <cellStyle name="Note 3 3 4 2 3" xfId="50894" xr:uid="{00000000-0005-0000-0000-00004A4C0000}"/>
    <cellStyle name="Note 3 3 4 3" xfId="50561" xr:uid="{00000000-0005-0000-0000-00004B4C0000}"/>
    <cellStyle name="Note 3 3 4 4" xfId="51197" xr:uid="{00000000-0005-0000-0000-00004C4C0000}"/>
    <cellStyle name="Note 3 3 5" xfId="49637" xr:uid="{00000000-0005-0000-0000-00004D4C0000}"/>
    <cellStyle name="Note 3 3 5 2" xfId="50925" xr:uid="{00000000-0005-0000-0000-00004E4C0000}"/>
    <cellStyle name="Note 3 3 5 3" xfId="50651" xr:uid="{00000000-0005-0000-0000-00004F4C0000}"/>
    <cellStyle name="Note 3 3 6" xfId="50036" xr:uid="{00000000-0005-0000-0000-0000504C0000}"/>
    <cellStyle name="Note 3 3 6 2" xfId="51081" xr:uid="{00000000-0005-0000-0000-0000514C0000}"/>
    <cellStyle name="Note 3 3 6 3" xfId="51156" xr:uid="{00000000-0005-0000-0000-0000524C0000}"/>
    <cellStyle name="Note 3 3 7" xfId="50755" xr:uid="{00000000-0005-0000-0000-0000534C0000}"/>
    <cellStyle name="Note 3 3 8" xfId="50981" xr:uid="{00000000-0005-0000-0000-0000544C0000}"/>
    <cellStyle name="Note 3 3 9" xfId="50786" xr:uid="{00000000-0005-0000-0000-0000554C0000}"/>
    <cellStyle name="Note 3 4" xfId="18266" xr:uid="{00000000-0005-0000-0000-0000564C0000}"/>
    <cellStyle name="Note 3 4 10" xfId="49226" xr:uid="{00000000-0005-0000-0000-0000574C0000}"/>
    <cellStyle name="Note 3 4 2" xfId="49488" xr:uid="{00000000-0005-0000-0000-0000584C0000}"/>
    <cellStyle name="Note 3 4 2 2" xfId="49816" xr:uid="{00000000-0005-0000-0000-0000594C0000}"/>
    <cellStyle name="Note 3 4 2 2 2" xfId="50183" xr:uid="{00000000-0005-0000-0000-00005A4C0000}"/>
    <cellStyle name="Note 3 4 2 2 3" xfId="51159" xr:uid="{00000000-0005-0000-0000-00005B4C0000}"/>
    <cellStyle name="Note 3 4 2 3" xfId="50551" xr:uid="{00000000-0005-0000-0000-00005C4C0000}"/>
    <cellStyle name="Note 3 4 2 4" xfId="51646" xr:uid="{00000000-0005-0000-0000-00005D4C0000}"/>
    <cellStyle name="Note 3 4 3" xfId="49461" xr:uid="{00000000-0005-0000-0000-00005E4C0000}"/>
    <cellStyle name="Note 3 4 3 2" xfId="49789" xr:uid="{00000000-0005-0000-0000-00005F4C0000}"/>
    <cellStyle name="Note 3 4 3 2 2" xfId="50208" xr:uid="{00000000-0005-0000-0000-0000604C0000}"/>
    <cellStyle name="Note 3 4 3 2 3" xfId="51616" xr:uid="{00000000-0005-0000-0000-0000614C0000}"/>
    <cellStyle name="Note 3 4 3 3" xfId="50577" xr:uid="{00000000-0005-0000-0000-0000624C0000}"/>
    <cellStyle name="Note 3 4 3 4" xfId="51488" xr:uid="{00000000-0005-0000-0000-0000634C0000}"/>
    <cellStyle name="Note 3 4 4" xfId="49479" xr:uid="{00000000-0005-0000-0000-0000644C0000}"/>
    <cellStyle name="Note 3 4 4 2" xfId="49807" xr:uid="{00000000-0005-0000-0000-0000654C0000}"/>
    <cellStyle name="Note 3 4 4 2 2" xfId="50191" xr:uid="{00000000-0005-0000-0000-0000664C0000}"/>
    <cellStyle name="Note 3 4 4 2 3" xfId="50965" xr:uid="{00000000-0005-0000-0000-0000674C0000}"/>
    <cellStyle name="Note 3 4 4 3" xfId="50560" xr:uid="{00000000-0005-0000-0000-0000684C0000}"/>
    <cellStyle name="Note 3 4 4 4" xfId="51455" xr:uid="{00000000-0005-0000-0000-0000694C0000}"/>
    <cellStyle name="Note 3 4 5" xfId="49638" xr:uid="{00000000-0005-0000-0000-00006A4C0000}"/>
    <cellStyle name="Note 3 4 5 2" xfId="50859" xr:uid="{00000000-0005-0000-0000-00006B4C0000}"/>
    <cellStyle name="Note 3 4 5 3" xfId="51372" xr:uid="{00000000-0005-0000-0000-00006C4C0000}"/>
    <cellStyle name="Note 3 4 6" xfId="50035" xr:uid="{00000000-0005-0000-0000-00006D4C0000}"/>
    <cellStyle name="Note 3 4 6 2" xfId="51080" xr:uid="{00000000-0005-0000-0000-00006E4C0000}"/>
    <cellStyle name="Note 3 4 6 3" xfId="51129" xr:uid="{00000000-0005-0000-0000-00006F4C0000}"/>
    <cellStyle name="Note 3 4 7" xfId="50754" xr:uid="{00000000-0005-0000-0000-0000704C0000}"/>
    <cellStyle name="Note 3 4 8" xfId="50792" xr:uid="{00000000-0005-0000-0000-0000714C0000}"/>
    <cellStyle name="Note 3 4 9" xfId="50759" xr:uid="{00000000-0005-0000-0000-0000724C0000}"/>
    <cellStyle name="Note 3 5" xfId="49227" xr:uid="{00000000-0005-0000-0000-0000734C0000}"/>
    <cellStyle name="Note 3 5 2" xfId="49489" xr:uid="{00000000-0005-0000-0000-0000744C0000}"/>
    <cellStyle name="Note 3 5 2 2" xfId="49817" xr:uid="{00000000-0005-0000-0000-0000754C0000}"/>
    <cellStyle name="Note 3 5 2 2 2" xfId="50182" xr:uid="{00000000-0005-0000-0000-0000764C0000}"/>
    <cellStyle name="Note 3 5 2 2 3" xfId="51419" xr:uid="{00000000-0005-0000-0000-0000774C0000}"/>
    <cellStyle name="Note 3 5 2 3" xfId="50550" xr:uid="{00000000-0005-0000-0000-0000784C0000}"/>
    <cellStyle name="Note 3 5 2 4" xfId="50958" xr:uid="{00000000-0005-0000-0000-0000794C0000}"/>
    <cellStyle name="Note 3 5 3" xfId="49460" xr:uid="{00000000-0005-0000-0000-00007A4C0000}"/>
    <cellStyle name="Note 3 5 3 2" xfId="49788" xr:uid="{00000000-0005-0000-0000-00007B4C0000}"/>
    <cellStyle name="Note 3 5 3 2 2" xfId="50209" xr:uid="{00000000-0005-0000-0000-00007C4C0000}"/>
    <cellStyle name="Note 3 5 3 2 3" xfId="51390" xr:uid="{00000000-0005-0000-0000-00007D4C0000}"/>
    <cellStyle name="Note 3 5 3 3" xfId="50578" xr:uid="{00000000-0005-0000-0000-00007E4C0000}"/>
    <cellStyle name="Note 3 5 3 4" xfId="51231" xr:uid="{00000000-0005-0000-0000-00007F4C0000}"/>
    <cellStyle name="Note 3 5 4" xfId="49480" xr:uid="{00000000-0005-0000-0000-0000804C0000}"/>
    <cellStyle name="Note 3 5 4 2" xfId="49808" xr:uid="{00000000-0005-0000-0000-0000814C0000}"/>
    <cellStyle name="Note 3 5 4 2 2" xfId="50190" xr:uid="{00000000-0005-0000-0000-0000824C0000}"/>
    <cellStyle name="Note 3 5 4 2 3" xfId="51274" xr:uid="{00000000-0005-0000-0000-0000834C0000}"/>
    <cellStyle name="Note 3 5 4 3" xfId="50559" xr:uid="{00000000-0005-0000-0000-0000844C0000}"/>
    <cellStyle name="Note 3 5 4 4" xfId="51351" xr:uid="{00000000-0005-0000-0000-0000854C0000}"/>
    <cellStyle name="Note 3 5 5" xfId="49639" xr:uid="{00000000-0005-0000-0000-0000864C0000}"/>
    <cellStyle name="Note 3 5 5 2" xfId="50928" xr:uid="{00000000-0005-0000-0000-0000874C0000}"/>
    <cellStyle name="Note 3 5 5 3" xfId="50664" xr:uid="{00000000-0005-0000-0000-0000884C0000}"/>
    <cellStyle name="Note 3 5 6" xfId="50034" xr:uid="{00000000-0005-0000-0000-0000894C0000}"/>
    <cellStyle name="Note 3 5 6 2" xfId="51079" xr:uid="{00000000-0005-0000-0000-00008A4C0000}"/>
    <cellStyle name="Note 3 5 6 3" xfId="50932" xr:uid="{00000000-0005-0000-0000-00008B4C0000}"/>
    <cellStyle name="Note 3 5 7" xfId="50753" xr:uid="{00000000-0005-0000-0000-00008C4C0000}"/>
    <cellStyle name="Note 3 5 8" xfId="50867" xr:uid="{00000000-0005-0000-0000-00008D4C0000}"/>
    <cellStyle name="Note 3 5 9" xfId="50982" xr:uid="{00000000-0005-0000-0000-00008E4C0000}"/>
    <cellStyle name="Note 3 6" xfId="49228" xr:uid="{00000000-0005-0000-0000-00008F4C0000}"/>
    <cellStyle name="Note 3 6 2" xfId="49490" xr:uid="{00000000-0005-0000-0000-0000904C0000}"/>
    <cellStyle name="Note 3 6 2 2" xfId="49818" xr:uid="{00000000-0005-0000-0000-0000914C0000}"/>
    <cellStyle name="Note 3 6 2 2 2" xfId="50181" xr:uid="{00000000-0005-0000-0000-0000924C0000}"/>
    <cellStyle name="Note 3 6 2 2 3" xfId="51330" xr:uid="{00000000-0005-0000-0000-0000934C0000}"/>
    <cellStyle name="Note 3 6 2 3" xfId="50549" xr:uid="{00000000-0005-0000-0000-0000944C0000}"/>
    <cellStyle name="Note 3 6 2 4" xfId="51235" xr:uid="{00000000-0005-0000-0000-0000954C0000}"/>
    <cellStyle name="Note 3 6 3" xfId="49459" xr:uid="{00000000-0005-0000-0000-0000964C0000}"/>
    <cellStyle name="Note 3 6 3 2" xfId="49787" xr:uid="{00000000-0005-0000-0000-0000974C0000}"/>
    <cellStyle name="Note 3 6 3 2 2" xfId="50210" xr:uid="{00000000-0005-0000-0000-0000984C0000}"/>
    <cellStyle name="Note 3 6 3 2 3" xfId="51557" xr:uid="{00000000-0005-0000-0000-0000994C0000}"/>
    <cellStyle name="Note 3 6 3 3" xfId="50579" xr:uid="{00000000-0005-0000-0000-00009A4C0000}"/>
    <cellStyle name="Note 3 6 3 4" xfId="50805" xr:uid="{00000000-0005-0000-0000-00009B4C0000}"/>
    <cellStyle name="Note 3 6 4" xfId="49481" xr:uid="{00000000-0005-0000-0000-00009C4C0000}"/>
    <cellStyle name="Note 3 6 4 2" xfId="49809" xr:uid="{00000000-0005-0000-0000-00009D4C0000}"/>
    <cellStyle name="Note 3 6 4 2 2" xfId="50189" xr:uid="{00000000-0005-0000-0000-00009E4C0000}"/>
    <cellStyle name="Note 3 6 4 2 3" xfId="51532" xr:uid="{00000000-0005-0000-0000-00009F4C0000}"/>
    <cellStyle name="Note 3 6 4 3" xfId="50558" xr:uid="{00000000-0005-0000-0000-0000A04C0000}"/>
    <cellStyle name="Note 3 6 4 4" xfId="51647" xr:uid="{00000000-0005-0000-0000-0000A14C0000}"/>
    <cellStyle name="Note 3 6 5" xfId="49640" xr:uid="{00000000-0005-0000-0000-0000A24C0000}"/>
    <cellStyle name="Note 3 6 5 2" xfId="50862" xr:uid="{00000000-0005-0000-0000-0000A34C0000}"/>
    <cellStyle name="Note 3 6 5 3" xfId="51210" xr:uid="{00000000-0005-0000-0000-0000A44C0000}"/>
    <cellStyle name="Note 3 6 6" xfId="49963" xr:uid="{00000000-0005-0000-0000-0000A54C0000}"/>
    <cellStyle name="Note 3 6 6 2" xfId="51008" xr:uid="{00000000-0005-0000-0000-0000A64C0000}"/>
    <cellStyle name="Note 3 6 6 3" xfId="51547" xr:uid="{00000000-0005-0000-0000-0000A74C0000}"/>
    <cellStyle name="Note 3 6 7" xfId="50752" xr:uid="{00000000-0005-0000-0000-0000A84C0000}"/>
    <cellStyle name="Note 3 6 8" xfId="50942" xr:uid="{00000000-0005-0000-0000-0000A94C0000}"/>
    <cellStyle name="Note 3 6 9" xfId="50929" xr:uid="{00000000-0005-0000-0000-0000AA4C0000}"/>
    <cellStyle name="Note 3 7" xfId="49229" xr:uid="{00000000-0005-0000-0000-0000AB4C0000}"/>
    <cellStyle name="Note 3 7 2" xfId="49491" xr:uid="{00000000-0005-0000-0000-0000AC4C0000}"/>
    <cellStyle name="Note 3 7 2 2" xfId="49819" xr:uid="{00000000-0005-0000-0000-0000AD4C0000}"/>
    <cellStyle name="Note 3 7 2 2 2" xfId="50180" xr:uid="{00000000-0005-0000-0000-0000AE4C0000}"/>
    <cellStyle name="Note 3 7 2 2 3" xfId="51586" xr:uid="{00000000-0005-0000-0000-0000AF4C0000}"/>
    <cellStyle name="Note 3 7 2 3" xfId="50548" xr:uid="{00000000-0005-0000-0000-0000B04C0000}"/>
    <cellStyle name="Note 3 7 2 4" xfId="51492" xr:uid="{00000000-0005-0000-0000-0000B14C0000}"/>
    <cellStyle name="Note 3 7 3" xfId="49458" xr:uid="{00000000-0005-0000-0000-0000B24C0000}"/>
    <cellStyle name="Note 3 7 3 2" xfId="49786" xr:uid="{00000000-0005-0000-0000-0000B34C0000}"/>
    <cellStyle name="Note 3 7 3 2 2" xfId="50211" xr:uid="{00000000-0005-0000-0000-0000B44C0000}"/>
    <cellStyle name="Note 3 7 3 2 3" xfId="51300" xr:uid="{00000000-0005-0000-0000-0000B54C0000}"/>
    <cellStyle name="Note 3 7 3 3" xfId="50580" xr:uid="{00000000-0005-0000-0000-0000B64C0000}"/>
    <cellStyle name="Note 3 7 3 4" xfId="51649" xr:uid="{00000000-0005-0000-0000-0000B74C0000}"/>
    <cellStyle name="Note 3 7 4" xfId="49482" xr:uid="{00000000-0005-0000-0000-0000B84C0000}"/>
    <cellStyle name="Note 3 7 4 2" xfId="49810" xr:uid="{00000000-0005-0000-0000-0000B94C0000}"/>
    <cellStyle name="Note 3 7 4 2 2" xfId="50188" xr:uid="{00000000-0005-0000-0000-0000BA4C0000}"/>
    <cellStyle name="Note 3 7 4 2 3" xfId="51299" xr:uid="{00000000-0005-0000-0000-0000BB4C0000}"/>
    <cellStyle name="Note 3 7 4 3" xfId="50557" xr:uid="{00000000-0005-0000-0000-0000BC4C0000}"/>
    <cellStyle name="Note 3 7 4 4" xfId="50886" xr:uid="{00000000-0005-0000-0000-0000BD4C0000}"/>
    <cellStyle name="Note 3 7 5" xfId="49641" xr:uid="{00000000-0005-0000-0000-0000BE4C0000}"/>
    <cellStyle name="Note 3 7 5 2" xfId="50923" xr:uid="{00000000-0005-0000-0000-0000BF4C0000}"/>
    <cellStyle name="Note 3 7 5 3" xfId="50764" xr:uid="{00000000-0005-0000-0000-0000C04C0000}"/>
    <cellStyle name="Note 3 7 6" xfId="50049" xr:uid="{00000000-0005-0000-0000-0000C14C0000}"/>
    <cellStyle name="Note 3 7 6 2" xfId="51093" xr:uid="{00000000-0005-0000-0000-0000C24C0000}"/>
    <cellStyle name="Note 3 7 6 3" xfId="51600" xr:uid="{00000000-0005-0000-0000-0000C34C0000}"/>
    <cellStyle name="Note 3 7 7" xfId="50751" xr:uid="{00000000-0005-0000-0000-0000C44C0000}"/>
    <cellStyle name="Note 3 7 8" xfId="50882" xr:uid="{00000000-0005-0000-0000-0000C54C0000}"/>
    <cellStyle name="Note 3 7 9" xfId="50652" xr:uid="{00000000-0005-0000-0000-0000C64C0000}"/>
    <cellStyle name="Note 3 8" xfId="49230" xr:uid="{00000000-0005-0000-0000-0000C74C0000}"/>
    <cellStyle name="Note 3 8 2" xfId="49492" xr:uid="{00000000-0005-0000-0000-0000C84C0000}"/>
    <cellStyle name="Note 3 8 2 2" xfId="49820" xr:uid="{00000000-0005-0000-0000-0000C94C0000}"/>
    <cellStyle name="Note 3 8 2 2 2" xfId="50179" xr:uid="{00000000-0005-0000-0000-0000CA4C0000}"/>
    <cellStyle name="Note 3 8 2 2 3" xfId="51669" xr:uid="{00000000-0005-0000-0000-0000CB4C0000}"/>
    <cellStyle name="Note 3 8 2 3" xfId="50547" xr:uid="{00000000-0005-0000-0000-0000CC4C0000}"/>
    <cellStyle name="Note 3 8 2 4" xfId="51195" xr:uid="{00000000-0005-0000-0000-0000CD4C0000}"/>
    <cellStyle name="Note 3 8 3" xfId="49457" xr:uid="{00000000-0005-0000-0000-0000CE4C0000}"/>
    <cellStyle name="Note 3 8 3 2" xfId="49785" xr:uid="{00000000-0005-0000-0000-0000CF4C0000}"/>
    <cellStyle name="Note 3 8 3 2 2" xfId="50212" xr:uid="{00000000-0005-0000-0000-0000D04C0000}"/>
    <cellStyle name="Note 3 8 3 2 3" xfId="51529" xr:uid="{00000000-0005-0000-0000-0000D14C0000}"/>
    <cellStyle name="Note 3 8 3 3" xfId="50581" xr:uid="{00000000-0005-0000-0000-0000D24C0000}"/>
    <cellStyle name="Note 3 8 3 4" xfId="51348" xr:uid="{00000000-0005-0000-0000-0000D34C0000}"/>
    <cellStyle name="Note 3 8 4" xfId="49483" xr:uid="{00000000-0005-0000-0000-0000D44C0000}"/>
    <cellStyle name="Note 3 8 4 2" xfId="49811" xr:uid="{00000000-0005-0000-0000-0000D54C0000}"/>
    <cellStyle name="Note 3 8 4 2 2" xfId="50187" xr:uid="{00000000-0005-0000-0000-0000D64C0000}"/>
    <cellStyle name="Note 3 8 4 2 3" xfId="51556" xr:uid="{00000000-0005-0000-0000-0000D74C0000}"/>
    <cellStyle name="Note 3 8 4 3" xfId="50556" xr:uid="{00000000-0005-0000-0000-0000D84C0000}"/>
    <cellStyle name="Note 3 8 4 4" xfId="51234" xr:uid="{00000000-0005-0000-0000-0000D94C0000}"/>
    <cellStyle name="Note 3 8 5" xfId="49642" xr:uid="{00000000-0005-0000-0000-0000DA4C0000}"/>
    <cellStyle name="Note 3 8 5 2" xfId="50858" xr:uid="{00000000-0005-0000-0000-0000DB4C0000}"/>
    <cellStyle name="Note 3 8 5 3" xfId="50782" xr:uid="{00000000-0005-0000-0000-0000DC4C0000}"/>
    <cellStyle name="Note 3 8 6" xfId="50033" xr:uid="{00000000-0005-0000-0000-0000DD4C0000}"/>
    <cellStyle name="Note 3 8 6 2" xfId="51078" xr:uid="{00000000-0005-0000-0000-0000DE4C0000}"/>
    <cellStyle name="Note 3 8 6 3" xfId="51128" xr:uid="{00000000-0005-0000-0000-0000DF4C0000}"/>
    <cellStyle name="Note 3 8 7" xfId="50750" xr:uid="{00000000-0005-0000-0000-0000E04C0000}"/>
    <cellStyle name="Note 3 8 8" xfId="50953" xr:uid="{00000000-0005-0000-0000-0000E14C0000}"/>
    <cellStyle name="Note 3 8 9" xfId="50761" xr:uid="{00000000-0005-0000-0000-0000E24C0000}"/>
    <cellStyle name="Note 3 9" xfId="49485" xr:uid="{00000000-0005-0000-0000-0000E34C0000}"/>
    <cellStyle name="Note 3 9 2" xfId="49813" xr:uid="{00000000-0005-0000-0000-0000E44C0000}"/>
    <cellStyle name="Note 3 9 2 2" xfId="50066" xr:uid="{00000000-0005-0000-0000-0000E54C0000}"/>
    <cellStyle name="Note 3 9 2 3" xfId="51666" xr:uid="{00000000-0005-0000-0000-0000E64C0000}"/>
    <cellStyle name="Note 3 9 3" xfId="50554" xr:uid="{00000000-0005-0000-0000-0000E74C0000}"/>
    <cellStyle name="Note 3 9 4" xfId="51196"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78" xr:uid="{00000000-0005-0000-0000-0000254D0000}"/>
    <cellStyle name="Output 2 2 2 3" xfId="18327" xr:uid="{00000000-0005-0000-0000-0000264D0000}"/>
    <cellStyle name="Output 2 2 2 3 2" xfId="18328" xr:uid="{00000000-0005-0000-0000-0000274D0000}"/>
    <cellStyle name="Output 2 2 2 3 3" xfId="51336"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1"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46" xr:uid="{00000000-0005-0000-0000-0000334D0000}"/>
    <cellStyle name="Output 2 2 4" xfId="18338" xr:uid="{00000000-0005-0000-0000-0000344D0000}"/>
    <cellStyle name="Output 2 2 4 2" xfId="18339" xr:uid="{00000000-0005-0000-0000-0000354D0000}"/>
    <cellStyle name="Output 2 2 4 3" xfId="51453"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3"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3" xr:uid="{00000000-0005-0000-0000-00004B4D0000}"/>
    <cellStyle name="Output 2 3 2 3" xfId="51271" xr:uid="{00000000-0005-0000-0000-00004C4D0000}"/>
    <cellStyle name="Output 2 3 2 4" xfId="49784" xr:uid="{00000000-0005-0000-0000-00004D4D0000}"/>
    <cellStyle name="Output 2 3 3" xfId="18359" xr:uid="{00000000-0005-0000-0000-00004E4D0000}"/>
    <cellStyle name="Output 2 3 3 2" xfId="50582" xr:uid="{00000000-0005-0000-0000-00004F4D0000}"/>
    <cellStyle name="Output 2 3 4" xfId="51477" xr:uid="{00000000-0005-0000-0000-0000504D0000}"/>
    <cellStyle name="Output 2 3 5" xfId="49456"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3" xr:uid="{00000000-0005-0000-0000-0000624D0000}"/>
    <cellStyle name="Output 2 4 3" xfId="18376" xr:uid="{00000000-0005-0000-0000-0000634D0000}"/>
    <cellStyle name="Output 2 4 3 2" xfId="50763" xr:uid="{00000000-0005-0000-0000-0000644D0000}"/>
    <cellStyle name="Output 2 4 4" xfId="49643"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1"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77" xr:uid="{00000000-0005-0000-0000-0000754D0000}"/>
    <cellStyle name="Output 2 5 3" xfId="18391" xr:uid="{00000000-0005-0000-0000-0000764D0000}"/>
    <cellStyle name="Output 2 5 3 2" xfId="51127" xr:uid="{00000000-0005-0000-0000-0000774D0000}"/>
    <cellStyle name="Output 2 5 4" xfId="50032" xr:uid="{00000000-0005-0000-0000-0000784D0000}"/>
    <cellStyle name="Output 2 6" xfId="18392" xr:uid="{00000000-0005-0000-0000-0000794D0000}"/>
    <cellStyle name="Output 2 6 2" xfId="18393" xr:uid="{00000000-0005-0000-0000-00007A4D0000}"/>
    <cellStyle name="Output 2 6 3" xfId="50749" xr:uid="{00000000-0005-0000-0000-00007B4D0000}"/>
    <cellStyle name="Output 2 7" xfId="18394" xr:uid="{00000000-0005-0000-0000-00007C4D0000}"/>
    <cellStyle name="Output 2 7 2" xfId="18395" xr:uid="{00000000-0005-0000-0000-00007D4D0000}"/>
    <cellStyle name="Output 2 7 3" xfId="50905"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77" xr:uid="{00000000-0005-0000-0000-0000844D0000}"/>
    <cellStyle name="Output 3 2 2 3" xfId="50746" xr:uid="{00000000-0005-0000-0000-0000854D0000}"/>
    <cellStyle name="Output 3 2 2 4" xfId="49822" xr:uid="{00000000-0005-0000-0000-0000864D0000}"/>
    <cellStyle name="Output 3 2 3" xfId="50545" xr:uid="{00000000-0005-0000-0000-0000874D0000}"/>
    <cellStyle name="Output 3 2 4" xfId="51223" xr:uid="{00000000-0005-0000-0000-0000884D0000}"/>
    <cellStyle name="Output 3 2 5" xfId="49494" xr:uid="{00000000-0005-0000-0000-0000894D0000}"/>
    <cellStyle name="Output 3 3" xfId="18401" xr:uid="{00000000-0005-0000-0000-00008A4D0000}"/>
    <cellStyle name="Output 3 3 2" xfId="18402" xr:uid="{00000000-0005-0000-0000-00008B4D0000}"/>
    <cellStyle name="Output 3 3 2 2" xfId="50214" xr:uid="{00000000-0005-0000-0000-00008C4D0000}"/>
    <cellStyle name="Output 3 3 2 3" xfId="50846" xr:uid="{00000000-0005-0000-0000-00008D4D0000}"/>
    <cellStyle name="Output 3 3 2 4" xfId="49783" xr:uid="{00000000-0005-0000-0000-00008E4D0000}"/>
    <cellStyle name="Output 3 3 3" xfId="50583" xr:uid="{00000000-0005-0000-0000-00008F4D0000}"/>
    <cellStyle name="Output 3 3 4" xfId="51221" xr:uid="{00000000-0005-0000-0000-0000904D0000}"/>
    <cellStyle name="Output 3 3 5" xfId="49455" xr:uid="{00000000-0005-0000-0000-0000914D0000}"/>
    <cellStyle name="Output 3 4" xfId="18403" xr:uid="{00000000-0005-0000-0000-0000924D0000}"/>
    <cellStyle name="Output 3 4 2" xfId="50422" xr:uid="{00000000-0005-0000-0000-0000934D0000}"/>
    <cellStyle name="Output 3 4 3" xfId="50781" xr:uid="{00000000-0005-0000-0000-0000944D0000}"/>
    <cellStyle name="Output 3 4 4" xfId="49644" xr:uid="{00000000-0005-0000-0000-0000954D0000}"/>
    <cellStyle name="Output 3 5" xfId="50031" xr:uid="{00000000-0005-0000-0000-0000964D0000}"/>
    <cellStyle name="Output 3 5 2" xfId="51076" xr:uid="{00000000-0005-0000-0000-0000974D0000}"/>
    <cellStyle name="Output 3 5 3" xfId="50863" xr:uid="{00000000-0005-0000-0000-0000984D0000}"/>
    <cellStyle name="Output 3 6" xfId="50748" xr:uid="{00000000-0005-0000-0000-0000994D0000}"/>
    <cellStyle name="Output 3 7" xfId="50980" xr:uid="{00000000-0005-0000-0000-00009A4D0000}"/>
    <cellStyle name="Output 3 8" xfId="49232"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3"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4"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5" xr:uid="{00000000-0005-0000-0000-0000BF4F0000}"/>
    <cellStyle name="Percent 14" xfId="49236" xr:uid="{00000000-0005-0000-0000-0000C04F0000}"/>
    <cellStyle name="Percent 15" xfId="48239" xr:uid="{00000000-0005-0000-0000-0000C14F0000}"/>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3"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37"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2" xfId="21414" xr:uid="{00000000-0005-0000-0000-000069590000}"/>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0"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39"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2"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1"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4"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3"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38"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76"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46"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5"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77"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2"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78"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47"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48"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0"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49"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2"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1"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5" xr:uid="{00000000-0005-0000-0000-000057890000}"/>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79"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3"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5"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4"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57"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56"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4" xr:uid="{00000000-0005-0000-0000-000026A30000}"/>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59"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58"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0"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1"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0"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1" xr:uid="{00000000-0005-0000-0000-0000B0B70000}"/>
    <cellStyle name="SAPBEXaggData 2 2 3" xfId="50778" xr:uid="{00000000-0005-0000-0000-0000B1B70000}"/>
    <cellStyle name="SAPBEXaggData 2 2 4" xfId="49834" xr:uid="{00000000-0005-0000-0000-0000B2B70000}"/>
    <cellStyle name="SAPBEXaggData 2 3" xfId="45513" xr:uid="{00000000-0005-0000-0000-0000B3B70000}"/>
    <cellStyle name="SAPBEXaggData 2 3 2" xfId="50533" xr:uid="{00000000-0005-0000-0000-0000B4B70000}"/>
    <cellStyle name="SAPBEXaggData 2 4" xfId="50977" xr:uid="{00000000-0005-0000-0000-0000B5B70000}"/>
    <cellStyle name="SAPBEXaggData 2 5" xfId="49506"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2" xr:uid="{00000000-0005-0000-0000-0000C2B70000}"/>
    <cellStyle name="SAPBEXaggData 3 2 2" xfId="50215" xr:uid="{00000000-0005-0000-0000-0000C3B70000}"/>
    <cellStyle name="SAPBEXaggData 3 2 3" xfId="51617" xr:uid="{00000000-0005-0000-0000-0000C4B70000}"/>
    <cellStyle name="SAPBEXaggData 3 3" xfId="50584" xr:uid="{00000000-0005-0000-0000-0000C5B70000}"/>
    <cellStyle name="SAPBEXaggData 3 4" xfId="51458" xr:uid="{00000000-0005-0000-0000-0000C6B70000}"/>
    <cellStyle name="SAPBEXaggData 3 5" xfId="49454"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2" xr:uid="{00000000-0005-0000-0000-0000CBB70000}"/>
    <cellStyle name="SAPBEXaggData 4" xfId="45528" xr:uid="{00000000-0005-0000-0000-0000CCB70000}"/>
    <cellStyle name="SAPBEXaggData 4 2" xfId="49823" xr:uid="{00000000-0005-0000-0000-0000CDB70000}"/>
    <cellStyle name="SAPBEXaggData 4 2 2" xfId="50176" xr:uid="{00000000-0005-0000-0000-0000CEB70000}"/>
    <cellStyle name="SAPBEXaggData 4 2 3" xfId="50777" xr:uid="{00000000-0005-0000-0000-0000CFB70000}"/>
    <cellStyle name="SAPBEXaggData 4 3" xfId="50544" xr:uid="{00000000-0005-0000-0000-0000D0B70000}"/>
    <cellStyle name="SAPBEXaggData 4 4" xfId="51479" xr:uid="{00000000-0005-0000-0000-0000D1B70000}"/>
    <cellStyle name="SAPBEXaggData 4 5" xfId="49495" xr:uid="{00000000-0005-0000-0000-0000D2B70000}"/>
    <cellStyle name="SAPBEXaggData 5" xfId="45529" xr:uid="{00000000-0005-0000-0000-0000D3B70000}"/>
    <cellStyle name="SAPBEXaggData 5 2" xfId="50421" xr:uid="{00000000-0005-0000-0000-0000D4B70000}"/>
    <cellStyle name="SAPBEXaggData 5 3" xfId="50766" xr:uid="{00000000-0005-0000-0000-0000D5B70000}"/>
    <cellStyle name="SAPBEXaggData 5 4" xfId="49645" xr:uid="{00000000-0005-0000-0000-0000D6B70000}"/>
    <cellStyle name="SAPBEXaggData 6" xfId="45530" xr:uid="{00000000-0005-0000-0000-0000D7B70000}"/>
    <cellStyle name="SAPBEXaggData 6 2" xfId="51075" xr:uid="{00000000-0005-0000-0000-0000D8B70000}"/>
    <cellStyle name="SAPBEXaggData 6 3" xfId="51126" xr:uid="{00000000-0005-0000-0000-0000D9B70000}"/>
    <cellStyle name="SAPBEXaggData 6 4" xfId="50030" xr:uid="{00000000-0005-0000-0000-0000DAB70000}"/>
    <cellStyle name="SAPBEXaggData 7" xfId="45531" xr:uid="{00000000-0005-0000-0000-0000DBB70000}"/>
    <cellStyle name="SAPBEXaggData 7 2" xfId="50743" xr:uid="{00000000-0005-0000-0000-0000DCB70000}"/>
    <cellStyle name="SAPBEXaggData 8" xfId="45532" xr:uid="{00000000-0005-0000-0000-0000DDB70000}"/>
    <cellStyle name="SAPBEXaggData 8 2" xfId="51467" xr:uid="{00000000-0005-0000-0000-0000DEB70000}"/>
    <cellStyle name="SAPBEXaggData 9" xfId="45533" xr:uid="{00000000-0005-0000-0000-0000DFB70000}"/>
    <cellStyle name="SAPBEXaggData 9 2" xfId="51211"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0" xr:uid="{00000000-0005-0000-0000-0000EFB70000}"/>
    <cellStyle name="SAPBEXaggDataEmph 2 2 3" xfId="50768" xr:uid="{00000000-0005-0000-0000-0000F0B70000}"/>
    <cellStyle name="SAPBEXaggDataEmph 2 2 4" xfId="49835" xr:uid="{00000000-0005-0000-0000-0000F1B70000}"/>
    <cellStyle name="SAPBEXaggDataEmph 2 3" xfId="45547" xr:uid="{00000000-0005-0000-0000-0000F2B70000}"/>
    <cellStyle name="SAPBEXaggDataEmph 2 3 2" xfId="50532" xr:uid="{00000000-0005-0000-0000-0000F3B70000}"/>
    <cellStyle name="SAPBEXaggDataEmph 2 4" xfId="50806" xr:uid="{00000000-0005-0000-0000-0000F4B70000}"/>
    <cellStyle name="SAPBEXaggDataEmph 2 5" xfId="49507"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1" xr:uid="{00000000-0005-0000-0000-000001B80000}"/>
    <cellStyle name="SAPBEXaggDataEmph 3 2 2" xfId="50216" xr:uid="{00000000-0005-0000-0000-000002B80000}"/>
    <cellStyle name="SAPBEXaggDataEmph 3 2 3" xfId="51389" xr:uid="{00000000-0005-0000-0000-000003B80000}"/>
    <cellStyle name="SAPBEXaggDataEmph 3 3" xfId="50585" xr:uid="{00000000-0005-0000-0000-000004B80000}"/>
    <cellStyle name="SAPBEXaggDataEmph 3 4" xfId="51200" xr:uid="{00000000-0005-0000-0000-000005B80000}"/>
    <cellStyle name="SAPBEXaggDataEmph 3 5" xfId="49453"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3" xr:uid="{00000000-0005-0000-0000-00000AB80000}"/>
    <cellStyle name="SAPBEXaggDataEmph 4" xfId="45562" xr:uid="{00000000-0005-0000-0000-00000BB80000}"/>
    <cellStyle name="SAPBEXaggDataEmph 4 2" xfId="49824" xr:uid="{00000000-0005-0000-0000-00000CB80000}"/>
    <cellStyle name="SAPBEXaggDataEmph 4 2 2" xfId="50175" xr:uid="{00000000-0005-0000-0000-00000DB80000}"/>
    <cellStyle name="SAPBEXaggDataEmph 4 2 3" xfId="50818" xr:uid="{00000000-0005-0000-0000-00000EB80000}"/>
    <cellStyle name="SAPBEXaggDataEmph 4 3" xfId="50543" xr:uid="{00000000-0005-0000-0000-00000FB80000}"/>
    <cellStyle name="SAPBEXaggDataEmph 4 4" xfId="51353" xr:uid="{00000000-0005-0000-0000-000010B80000}"/>
    <cellStyle name="SAPBEXaggDataEmph 4 5" xfId="49496" xr:uid="{00000000-0005-0000-0000-000011B80000}"/>
    <cellStyle name="SAPBEXaggDataEmph 5" xfId="45563" xr:uid="{00000000-0005-0000-0000-000012B80000}"/>
    <cellStyle name="SAPBEXaggDataEmph 5 2" xfId="50420" xr:uid="{00000000-0005-0000-0000-000013B80000}"/>
    <cellStyle name="SAPBEXaggDataEmph 5 3" xfId="50831" xr:uid="{00000000-0005-0000-0000-000014B80000}"/>
    <cellStyle name="SAPBEXaggDataEmph 5 4" xfId="49646" xr:uid="{00000000-0005-0000-0000-000015B80000}"/>
    <cellStyle name="SAPBEXaggDataEmph 6" xfId="45564" xr:uid="{00000000-0005-0000-0000-000016B80000}"/>
    <cellStyle name="SAPBEXaggDataEmph 6 2" xfId="51074" xr:uid="{00000000-0005-0000-0000-000017B80000}"/>
    <cellStyle name="SAPBEXaggDataEmph 6 3" xfId="51601" xr:uid="{00000000-0005-0000-0000-000018B80000}"/>
    <cellStyle name="SAPBEXaggDataEmph 6 4" xfId="50029" xr:uid="{00000000-0005-0000-0000-000019B80000}"/>
    <cellStyle name="SAPBEXaggDataEmph 7" xfId="45565" xr:uid="{00000000-0005-0000-0000-00001AB80000}"/>
    <cellStyle name="SAPBEXaggDataEmph 7 2" xfId="50742" xr:uid="{00000000-0005-0000-0000-00001BB80000}"/>
    <cellStyle name="SAPBEXaggDataEmph 8" xfId="45566" xr:uid="{00000000-0005-0000-0000-00001CB80000}"/>
    <cellStyle name="SAPBEXaggDataEmph 8 2" xfId="51212" xr:uid="{00000000-0005-0000-0000-00001DB80000}"/>
    <cellStyle name="SAPBEXaggDataEmph 9" xfId="45567" xr:uid="{00000000-0005-0000-0000-00001EB80000}"/>
    <cellStyle name="SAPBEXaggDataEmph 9 2" xfId="50774"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69" xr:uid="{00000000-0005-0000-0000-00002EB80000}"/>
    <cellStyle name="SAPBEXaggItem 2 2 3" xfId="50784" xr:uid="{00000000-0005-0000-0000-00002FB80000}"/>
    <cellStyle name="SAPBEXaggItem 2 2 4" xfId="49836" xr:uid="{00000000-0005-0000-0000-000030B80000}"/>
    <cellStyle name="SAPBEXaggItem 2 3" xfId="45581" xr:uid="{00000000-0005-0000-0000-000031B80000}"/>
    <cellStyle name="SAPBEXaggItem 2 3 2" xfId="50531" xr:uid="{00000000-0005-0000-0000-000032B80000}"/>
    <cellStyle name="SAPBEXaggItem 2 4" xfId="51237" xr:uid="{00000000-0005-0000-0000-000033B80000}"/>
    <cellStyle name="SAPBEXaggItem 2 5" xfId="49508"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0" xr:uid="{00000000-0005-0000-0000-000040B80000}"/>
    <cellStyle name="SAPBEXaggItem 3 2 2" xfId="50217" xr:uid="{00000000-0005-0000-0000-000041B80000}"/>
    <cellStyle name="SAPBEXaggItem 3 2 3" xfId="51421" xr:uid="{00000000-0005-0000-0000-000042B80000}"/>
    <cellStyle name="SAPBEXaggItem 3 3" xfId="50586" xr:uid="{00000000-0005-0000-0000-000043B80000}"/>
    <cellStyle name="SAPBEXaggItem 3 4" xfId="51487" xr:uid="{00000000-0005-0000-0000-000044B80000}"/>
    <cellStyle name="SAPBEXaggItem 3 5" xfId="49452"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4" xr:uid="{00000000-0005-0000-0000-000049B80000}"/>
    <cellStyle name="SAPBEXaggItem 4" xfId="45596" xr:uid="{00000000-0005-0000-0000-00004AB80000}"/>
    <cellStyle name="SAPBEXaggItem 4 2" xfId="49825" xr:uid="{00000000-0005-0000-0000-00004BB80000}"/>
    <cellStyle name="SAPBEXaggItem 4 2 2" xfId="50174" xr:uid="{00000000-0005-0000-0000-00004CB80000}"/>
    <cellStyle name="SAPBEXaggItem 4 2 3" xfId="50855" xr:uid="{00000000-0005-0000-0000-00004DB80000}"/>
    <cellStyle name="SAPBEXaggItem 4 3" xfId="50542" xr:uid="{00000000-0005-0000-0000-00004EB80000}"/>
    <cellStyle name="SAPBEXaggItem 4 4" xfId="51645" xr:uid="{00000000-0005-0000-0000-00004FB80000}"/>
    <cellStyle name="SAPBEXaggItem 4 5" xfId="49497" xr:uid="{00000000-0005-0000-0000-000050B80000}"/>
    <cellStyle name="SAPBEXaggItem 5" xfId="45597" xr:uid="{00000000-0005-0000-0000-000051B80000}"/>
    <cellStyle name="SAPBEXaggItem 5 2" xfId="50419" xr:uid="{00000000-0005-0000-0000-000052B80000}"/>
    <cellStyle name="SAPBEXaggItem 5 3" xfId="51629" xr:uid="{00000000-0005-0000-0000-000053B80000}"/>
    <cellStyle name="SAPBEXaggItem 5 4" xfId="49647" xr:uid="{00000000-0005-0000-0000-000054B80000}"/>
    <cellStyle name="SAPBEXaggItem 6" xfId="45598" xr:uid="{00000000-0005-0000-0000-000055B80000}"/>
    <cellStyle name="SAPBEXaggItem 6 2" xfId="51073" xr:uid="{00000000-0005-0000-0000-000056B80000}"/>
    <cellStyle name="SAPBEXaggItem 6 3" xfId="50919" xr:uid="{00000000-0005-0000-0000-000057B80000}"/>
    <cellStyle name="SAPBEXaggItem 6 4" xfId="50028" xr:uid="{00000000-0005-0000-0000-000058B80000}"/>
    <cellStyle name="SAPBEXaggItem 7" xfId="45599" xr:uid="{00000000-0005-0000-0000-000059B80000}"/>
    <cellStyle name="SAPBEXaggItem 7 2" xfId="50741" xr:uid="{00000000-0005-0000-0000-00005AB80000}"/>
    <cellStyle name="SAPBEXaggItem 8" xfId="45600" xr:uid="{00000000-0005-0000-0000-00005BB80000}"/>
    <cellStyle name="SAPBEXaggItem 8 2" xfId="51469" xr:uid="{00000000-0005-0000-0000-00005CB80000}"/>
    <cellStyle name="SAPBEXaggItem 9" xfId="45601" xr:uid="{00000000-0005-0000-0000-00005DB80000}"/>
    <cellStyle name="SAPBEXaggItem 9 2" xfId="51678"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68" xr:uid="{00000000-0005-0000-0000-00006DB80000}"/>
    <cellStyle name="SAPBEXaggItemX 2 2 3" xfId="51668" xr:uid="{00000000-0005-0000-0000-00006EB80000}"/>
    <cellStyle name="SAPBEXaggItemX 2 2 4" xfId="49837" xr:uid="{00000000-0005-0000-0000-00006FB80000}"/>
    <cellStyle name="SAPBEXaggItemX 2 3" xfId="45615" xr:uid="{00000000-0005-0000-0000-000070B80000}"/>
    <cellStyle name="SAPBEXaggItemX 2 3 2" xfId="50530" xr:uid="{00000000-0005-0000-0000-000071B80000}"/>
    <cellStyle name="SAPBEXaggItemX 2 4" xfId="51494" xr:uid="{00000000-0005-0000-0000-000072B80000}"/>
    <cellStyle name="SAPBEXaggItemX 2 5" xfId="49509"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79" xr:uid="{00000000-0005-0000-0000-00007FB80000}"/>
    <cellStyle name="SAPBEXaggItemX 3 2 2" xfId="50218" xr:uid="{00000000-0005-0000-0000-000080B80000}"/>
    <cellStyle name="SAPBEXaggItemX 3 2 3" xfId="51161" xr:uid="{00000000-0005-0000-0000-000081B80000}"/>
    <cellStyle name="SAPBEXaggItemX 3 3" xfId="50587" xr:uid="{00000000-0005-0000-0000-000082B80000}"/>
    <cellStyle name="SAPBEXaggItemX 3 4" xfId="51230" xr:uid="{00000000-0005-0000-0000-000083B80000}"/>
    <cellStyle name="SAPBEXaggItemX 3 5" xfId="49451"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5" xr:uid="{00000000-0005-0000-0000-000088B80000}"/>
    <cellStyle name="SAPBEXaggItemX 4" xfId="45630" xr:uid="{00000000-0005-0000-0000-000089B80000}"/>
    <cellStyle name="SAPBEXaggItemX 4 2" xfId="50418" xr:uid="{00000000-0005-0000-0000-00008AB80000}"/>
    <cellStyle name="SAPBEXaggItemX 4 3" xfId="50663" xr:uid="{00000000-0005-0000-0000-00008BB80000}"/>
    <cellStyle name="SAPBEXaggItemX 4 4" xfId="49648" xr:uid="{00000000-0005-0000-0000-00008CB80000}"/>
    <cellStyle name="SAPBEXaggItemX 5" xfId="45631" xr:uid="{00000000-0005-0000-0000-00008DB80000}"/>
    <cellStyle name="SAPBEXaggItemX 5 2" xfId="51072" xr:uid="{00000000-0005-0000-0000-00008EB80000}"/>
    <cellStyle name="SAPBEXaggItemX 5 3" xfId="51414" xr:uid="{00000000-0005-0000-0000-00008FB80000}"/>
    <cellStyle name="SAPBEXaggItemX 5 4" xfId="50027" xr:uid="{00000000-0005-0000-0000-000090B80000}"/>
    <cellStyle name="SAPBEXaggItemX 6" xfId="45632" xr:uid="{00000000-0005-0000-0000-000091B80000}"/>
    <cellStyle name="SAPBEXaggItemX 6 2" xfId="50740" xr:uid="{00000000-0005-0000-0000-000092B80000}"/>
    <cellStyle name="SAPBEXaggItemX 7" xfId="45633" xr:uid="{00000000-0005-0000-0000-000093B80000}"/>
    <cellStyle name="SAPBEXaggItemX 7 2" xfId="51338"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66" xr:uid="{00000000-0005-0000-0000-000098B80000}"/>
    <cellStyle name="SAPBEXchaText 2" xfId="45636" xr:uid="{00000000-0005-0000-0000-000099B80000}"/>
    <cellStyle name="SAPBEXchaText 2 2" xfId="49838" xr:uid="{00000000-0005-0000-0000-00009AB80000}"/>
    <cellStyle name="SAPBEXchaText 2 2 2" xfId="50167" xr:uid="{00000000-0005-0000-0000-00009BB80000}"/>
    <cellStyle name="SAPBEXchaText 2 2 3" xfId="50817" xr:uid="{00000000-0005-0000-0000-00009CB80000}"/>
    <cellStyle name="SAPBEXchaText 2 3" xfId="50529" xr:uid="{00000000-0005-0000-0000-00009DB80000}"/>
    <cellStyle name="SAPBEXchaText 2 4" xfId="51193" xr:uid="{00000000-0005-0000-0000-00009EB80000}"/>
    <cellStyle name="SAPBEXchaText 2 5" xfId="49510" xr:uid="{00000000-0005-0000-0000-00009FB80000}"/>
    <cellStyle name="SAPBEXchaText 3" xfId="49450" xr:uid="{00000000-0005-0000-0000-0000A0B80000}"/>
    <cellStyle name="SAPBEXchaText 3 2" xfId="49778" xr:uid="{00000000-0005-0000-0000-0000A1B80000}"/>
    <cellStyle name="SAPBEXchaText 3 2 2" xfId="50219" xr:uid="{00000000-0005-0000-0000-0000A2B80000}"/>
    <cellStyle name="SAPBEXchaText 3 2 3" xfId="51528" xr:uid="{00000000-0005-0000-0000-0000A3B80000}"/>
    <cellStyle name="SAPBEXchaText 3 3" xfId="50588" xr:uid="{00000000-0005-0000-0000-0000A4B80000}"/>
    <cellStyle name="SAPBEXchaText 3 4" xfId="50978" xr:uid="{00000000-0005-0000-0000-0000A5B80000}"/>
    <cellStyle name="SAPBEXchaText 4" xfId="49498" xr:uid="{00000000-0005-0000-0000-0000A6B80000}"/>
    <cellStyle name="SAPBEXchaText 4 2" xfId="49826" xr:uid="{00000000-0005-0000-0000-0000A7B80000}"/>
    <cellStyle name="SAPBEXchaText 4 2 2" xfId="50173" xr:uid="{00000000-0005-0000-0000-0000A8B80000}"/>
    <cellStyle name="SAPBEXchaText 4 2 3" xfId="50655" xr:uid="{00000000-0005-0000-0000-0000A9B80000}"/>
    <cellStyle name="SAPBEXchaText 4 3" xfId="50541" xr:uid="{00000000-0005-0000-0000-0000AAB80000}"/>
    <cellStyle name="SAPBEXchaText 4 4" xfId="50896" xr:uid="{00000000-0005-0000-0000-0000ABB80000}"/>
    <cellStyle name="SAPBEXchaText 5" xfId="49649" xr:uid="{00000000-0005-0000-0000-0000ACB80000}"/>
    <cellStyle name="SAPBEXchaText 5 2" xfId="50417" xr:uid="{00000000-0005-0000-0000-0000ADB80000}"/>
    <cellStyle name="SAPBEXchaText 5 3" xfId="51468" xr:uid="{00000000-0005-0000-0000-0000AEB80000}"/>
    <cellStyle name="SAPBEXchaText 6" xfId="50026" xr:uid="{00000000-0005-0000-0000-0000AFB80000}"/>
    <cellStyle name="SAPBEXchaText 6 2" xfId="51071" xr:uid="{00000000-0005-0000-0000-0000B0B80000}"/>
    <cellStyle name="SAPBEXchaText 6 3" xfId="51584" xr:uid="{00000000-0005-0000-0000-0000B1B80000}"/>
    <cellStyle name="SAPBEXchaText 7" xfId="50739" xr:uid="{00000000-0005-0000-0000-0000B2B80000}"/>
    <cellStyle name="SAPBEXchaText 8" xfId="51664" xr:uid="{00000000-0005-0000-0000-0000B3B80000}"/>
    <cellStyle name="SAPBEXchaText 9" xfId="51680"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66" xr:uid="{00000000-0005-0000-0000-0000C3B80000}"/>
    <cellStyle name="SAPBEXexcBad7 2 2 3" xfId="50876" xr:uid="{00000000-0005-0000-0000-0000C4B80000}"/>
    <cellStyle name="SAPBEXexcBad7 2 2 4" xfId="49839" xr:uid="{00000000-0005-0000-0000-0000C5B80000}"/>
    <cellStyle name="SAPBEXexcBad7 2 3" xfId="45650" xr:uid="{00000000-0005-0000-0000-0000C6B80000}"/>
    <cellStyle name="SAPBEXexcBad7 2 3 2" xfId="50528" xr:uid="{00000000-0005-0000-0000-0000C7B80000}"/>
    <cellStyle name="SAPBEXexcBad7 2 4" xfId="51451" xr:uid="{00000000-0005-0000-0000-0000C8B80000}"/>
    <cellStyle name="SAPBEXexcBad7 2 5" xfId="49511"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77" xr:uid="{00000000-0005-0000-0000-0000D5B80000}"/>
    <cellStyle name="SAPBEXexcBad7 3 2 2" xfId="50220" xr:uid="{00000000-0005-0000-0000-0000D6B80000}"/>
    <cellStyle name="SAPBEXexcBad7 3 2 3" xfId="51270" xr:uid="{00000000-0005-0000-0000-0000D7B80000}"/>
    <cellStyle name="SAPBEXexcBad7 3 3" xfId="50589" xr:uid="{00000000-0005-0000-0000-0000D8B80000}"/>
    <cellStyle name="SAPBEXexcBad7 3 4" xfId="51650" xr:uid="{00000000-0005-0000-0000-0000D9B80000}"/>
    <cellStyle name="SAPBEXexcBad7 3 5" xfId="49449"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67" xr:uid="{00000000-0005-0000-0000-0000DEB80000}"/>
    <cellStyle name="SAPBEXexcBad7 4" xfId="45665" xr:uid="{00000000-0005-0000-0000-0000DFB80000}"/>
    <cellStyle name="SAPBEXexcBad7 4 2" xfId="49827" xr:uid="{00000000-0005-0000-0000-0000E0B80000}"/>
    <cellStyle name="SAPBEXexcBad7 4 2 2" xfId="50172" xr:uid="{00000000-0005-0000-0000-0000E1B80000}"/>
    <cellStyle name="SAPBEXexcBad7 4 2 3" xfId="50832" xr:uid="{00000000-0005-0000-0000-0000E2B80000}"/>
    <cellStyle name="SAPBEXexcBad7 4 3" xfId="50540" xr:uid="{00000000-0005-0000-0000-0000E3B80000}"/>
    <cellStyle name="SAPBEXexcBad7 4 4" xfId="50967" xr:uid="{00000000-0005-0000-0000-0000E4B80000}"/>
    <cellStyle name="SAPBEXexcBad7 4 5" xfId="49499" xr:uid="{00000000-0005-0000-0000-0000E5B80000}"/>
    <cellStyle name="SAPBEXexcBad7 5" xfId="45666" xr:uid="{00000000-0005-0000-0000-0000E6B80000}"/>
    <cellStyle name="SAPBEXexcBad7 5 2" xfId="50416" xr:uid="{00000000-0005-0000-0000-0000E7B80000}"/>
    <cellStyle name="SAPBEXexcBad7 5 3" xfId="50765" xr:uid="{00000000-0005-0000-0000-0000E8B80000}"/>
    <cellStyle name="SAPBEXexcBad7 5 4" xfId="49650" xr:uid="{00000000-0005-0000-0000-0000E9B80000}"/>
    <cellStyle name="SAPBEXexcBad7 6" xfId="45667" xr:uid="{00000000-0005-0000-0000-0000EAB80000}"/>
    <cellStyle name="SAPBEXexcBad7 6 2" xfId="51070" xr:uid="{00000000-0005-0000-0000-0000EBB80000}"/>
    <cellStyle name="SAPBEXexcBad7 6 3" xfId="51327" xr:uid="{00000000-0005-0000-0000-0000ECB80000}"/>
    <cellStyle name="SAPBEXexcBad7 6 4" xfId="50025" xr:uid="{00000000-0005-0000-0000-0000EDB80000}"/>
    <cellStyle name="SAPBEXexcBad7 7" xfId="45668" xr:uid="{00000000-0005-0000-0000-0000EEB80000}"/>
    <cellStyle name="SAPBEXexcBad7 7 2" xfId="50738" xr:uid="{00000000-0005-0000-0000-0000EFB80000}"/>
    <cellStyle name="SAPBEXexcBad7 8" xfId="45669" xr:uid="{00000000-0005-0000-0000-0000F0B80000}"/>
    <cellStyle name="SAPBEXexcBad7 8 2" xfId="50906" xr:uid="{00000000-0005-0000-0000-0000F1B80000}"/>
    <cellStyle name="SAPBEXexcBad7 9" xfId="45670" xr:uid="{00000000-0005-0000-0000-0000F2B80000}"/>
    <cellStyle name="SAPBEXexcBad7 9 2" xfId="50939"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5" xr:uid="{00000000-0005-0000-0000-000002B90000}"/>
    <cellStyle name="SAPBEXexcBad8 2 2 3" xfId="51276" xr:uid="{00000000-0005-0000-0000-000003B90000}"/>
    <cellStyle name="SAPBEXexcBad8 2 2 4" xfId="49840" xr:uid="{00000000-0005-0000-0000-000004B90000}"/>
    <cellStyle name="SAPBEXexcBad8 2 3" xfId="45684" xr:uid="{00000000-0005-0000-0000-000005B90000}"/>
    <cellStyle name="SAPBEXexcBad8 2 3 2" xfId="50527" xr:uid="{00000000-0005-0000-0000-000006B90000}"/>
    <cellStyle name="SAPBEXexcBad8 2 4" xfId="51355" xr:uid="{00000000-0005-0000-0000-000007B90000}"/>
    <cellStyle name="SAPBEXexcBad8 2 5" xfId="49512"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76" xr:uid="{00000000-0005-0000-0000-000014B90000}"/>
    <cellStyle name="SAPBEXexcBad8 3 2 2" xfId="50221" xr:uid="{00000000-0005-0000-0000-000015B90000}"/>
    <cellStyle name="SAPBEXexcBad8 3 2 3" xfId="50816" xr:uid="{00000000-0005-0000-0000-000016B90000}"/>
    <cellStyle name="SAPBEXexcBad8 3 3" xfId="50590" xr:uid="{00000000-0005-0000-0000-000017B90000}"/>
    <cellStyle name="SAPBEXexcBad8 3 4" xfId="51347" xr:uid="{00000000-0005-0000-0000-000018B90000}"/>
    <cellStyle name="SAPBEXexcBad8 3 5" xfId="49448"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68" xr:uid="{00000000-0005-0000-0000-00001DB90000}"/>
    <cellStyle name="SAPBEXexcBad8 4" xfId="45699" xr:uid="{00000000-0005-0000-0000-00001EB90000}"/>
    <cellStyle name="SAPBEXexcBad8 4 2" xfId="49828" xr:uid="{00000000-0005-0000-0000-00001FB90000}"/>
    <cellStyle name="SAPBEXexcBad8 4 2 2" xfId="50836" xr:uid="{00000000-0005-0000-0000-000020B90000}"/>
    <cellStyle name="SAPBEXexcBad8 4 2 3" xfId="51392" xr:uid="{00000000-0005-0000-0000-000021B90000}"/>
    <cellStyle name="SAPBEXexcBad8 4 3" xfId="50539" xr:uid="{00000000-0005-0000-0000-000022B90000}"/>
    <cellStyle name="SAPBEXexcBad8 4 4" xfId="51236" xr:uid="{00000000-0005-0000-0000-000023B90000}"/>
    <cellStyle name="SAPBEXexcBad8 4 5" xfId="49500" xr:uid="{00000000-0005-0000-0000-000024B90000}"/>
    <cellStyle name="SAPBEXexcBad8 5" xfId="45700" xr:uid="{00000000-0005-0000-0000-000025B90000}"/>
    <cellStyle name="SAPBEXexcBad8 5 2" xfId="50415" xr:uid="{00000000-0005-0000-0000-000026B90000}"/>
    <cellStyle name="SAPBEXexcBad8 5 3" xfId="50783" xr:uid="{00000000-0005-0000-0000-000027B90000}"/>
    <cellStyle name="SAPBEXexcBad8 5 4" xfId="49651" xr:uid="{00000000-0005-0000-0000-000028B90000}"/>
    <cellStyle name="SAPBEXexcBad8 6" xfId="45701" xr:uid="{00000000-0005-0000-0000-000029B90000}"/>
    <cellStyle name="SAPBEXexcBad8 6 2" xfId="51069" xr:uid="{00000000-0005-0000-0000-00002AB90000}"/>
    <cellStyle name="SAPBEXexcBad8 6 3" xfId="51554" xr:uid="{00000000-0005-0000-0000-00002BB90000}"/>
    <cellStyle name="SAPBEXexcBad8 6 4" xfId="50024" xr:uid="{00000000-0005-0000-0000-00002CB90000}"/>
    <cellStyle name="SAPBEXexcBad8 7" xfId="45702" xr:uid="{00000000-0005-0000-0000-00002DB90000}"/>
    <cellStyle name="SAPBEXexcBad8 7 2" xfId="50737" xr:uid="{00000000-0005-0000-0000-00002EB90000}"/>
    <cellStyle name="SAPBEXexcBad8 8" xfId="45703" xr:uid="{00000000-0005-0000-0000-00002FB90000}"/>
    <cellStyle name="SAPBEXexcBad8 8 2" xfId="51215" xr:uid="{00000000-0005-0000-0000-000030B90000}"/>
    <cellStyle name="SAPBEXexcBad8 9" xfId="45704" xr:uid="{00000000-0005-0000-0000-000031B90000}"/>
    <cellStyle name="SAPBEXexcBad8 9 2" xfId="50760"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4" xr:uid="{00000000-0005-0000-0000-000041B90000}"/>
    <cellStyle name="SAPBEXexcBad9 2 2 3" xfId="51534" xr:uid="{00000000-0005-0000-0000-000042B90000}"/>
    <cellStyle name="SAPBEXexcBad9 2 2 4" xfId="49841" xr:uid="{00000000-0005-0000-0000-000043B90000}"/>
    <cellStyle name="SAPBEXexcBad9 2 3" xfId="45718" xr:uid="{00000000-0005-0000-0000-000044B90000}"/>
    <cellStyle name="SAPBEXexcBad9 2 3 2" xfId="50526" xr:uid="{00000000-0005-0000-0000-000045B90000}"/>
    <cellStyle name="SAPBEXexcBad9 2 4" xfId="51643" xr:uid="{00000000-0005-0000-0000-000046B90000}"/>
    <cellStyle name="SAPBEXexcBad9 2 5" xfId="49513"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5" xr:uid="{00000000-0005-0000-0000-000053B90000}"/>
    <cellStyle name="SAPBEXexcBad9 3 2 2" xfId="50222" xr:uid="{00000000-0005-0000-0000-000054B90000}"/>
    <cellStyle name="SAPBEXexcBad9 3 2 3" xfId="51591" xr:uid="{00000000-0005-0000-0000-000055B90000}"/>
    <cellStyle name="SAPBEXexcBad9 3 3" xfId="50591" xr:uid="{00000000-0005-0000-0000-000056B90000}"/>
    <cellStyle name="SAPBEXexcBad9 3 4" xfId="51564" xr:uid="{00000000-0005-0000-0000-000057B90000}"/>
    <cellStyle name="SAPBEXexcBad9 3 5" xfId="49447"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69" xr:uid="{00000000-0005-0000-0000-00005CB90000}"/>
    <cellStyle name="SAPBEXexcBad9 4" xfId="45733" xr:uid="{00000000-0005-0000-0000-00005DB90000}"/>
    <cellStyle name="SAPBEXexcBad9 4 2" xfId="50414" xr:uid="{00000000-0005-0000-0000-00005EB90000}"/>
    <cellStyle name="SAPBEXexcBad9 4 3" xfId="50762" xr:uid="{00000000-0005-0000-0000-00005FB90000}"/>
    <cellStyle name="SAPBEXexcBad9 4 4" xfId="49652" xr:uid="{00000000-0005-0000-0000-000060B90000}"/>
    <cellStyle name="SAPBEXexcBad9 5" xfId="45734" xr:uid="{00000000-0005-0000-0000-000061B90000}"/>
    <cellStyle name="SAPBEXexcBad9 5 2" xfId="51068" xr:uid="{00000000-0005-0000-0000-000062B90000}"/>
    <cellStyle name="SAPBEXexcBad9 5 3" xfId="51296" xr:uid="{00000000-0005-0000-0000-000063B90000}"/>
    <cellStyle name="SAPBEXexcBad9 5 4" xfId="50023" xr:uid="{00000000-0005-0000-0000-000064B90000}"/>
    <cellStyle name="SAPBEXexcBad9 6" xfId="45735" xr:uid="{00000000-0005-0000-0000-000065B90000}"/>
    <cellStyle name="SAPBEXexcBad9 6 2" xfId="50736" xr:uid="{00000000-0005-0000-0000-000066B90000}"/>
    <cellStyle name="SAPBEXexcBad9 7" xfId="45736" xr:uid="{00000000-0005-0000-0000-000067B90000}"/>
    <cellStyle name="SAPBEXexcBad9 7 2" xfId="51472"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49" xr:uid="{00000000-0005-0000-0000-000079B90000}"/>
    <cellStyle name="SAPBEXexcCritical4 2 2 3" xfId="51308" xr:uid="{00000000-0005-0000-0000-00007AB90000}"/>
    <cellStyle name="SAPBEXexcCritical4 2 2 4" xfId="49842" xr:uid="{00000000-0005-0000-0000-00007BB90000}"/>
    <cellStyle name="SAPBEXexcCritical4 2 3" xfId="45752" xr:uid="{00000000-0005-0000-0000-00007CB90000}"/>
    <cellStyle name="SAPBEXexcCritical4 2 3 2" xfId="50525" xr:uid="{00000000-0005-0000-0000-00007DB90000}"/>
    <cellStyle name="SAPBEXexcCritical4 2 4" xfId="50946" xr:uid="{00000000-0005-0000-0000-00007EB90000}"/>
    <cellStyle name="SAPBEXexcCritical4 2 5" xfId="49514"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4" xr:uid="{00000000-0005-0000-0000-00008BB90000}"/>
    <cellStyle name="SAPBEXexcCritical4 3 2 2" xfId="50223" xr:uid="{00000000-0005-0000-0000-00008CB90000}"/>
    <cellStyle name="SAPBEXexcCritical4 3 2 3" xfId="51388" xr:uid="{00000000-0005-0000-0000-00008DB90000}"/>
    <cellStyle name="SAPBEXexcCritical4 3 3" xfId="50592" xr:uid="{00000000-0005-0000-0000-00008EB90000}"/>
    <cellStyle name="SAPBEXexcCritical4 3 4" xfId="51307" xr:uid="{00000000-0005-0000-0000-00008FB90000}"/>
    <cellStyle name="SAPBEXexcCritical4 3 5" xfId="49446"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0" xr:uid="{00000000-0005-0000-0000-000094B90000}"/>
    <cellStyle name="SAPBEXexcCritical4 4" xfId="45767" xr:uid="{00000000-0005-0000-0000-000095B90000}"/>
    <cellStyle name="SAPBEXexcCritical4 4 2" xfId="49922" xr:uid="{00000000-0005-0000-0000-000096B90000}"/>
    <cellStyle name="SAPBEXexcCritical4 4 2 2" xfId="50088" xr:uid="{00000000-0005-0000-0000-000097B90000}"/>
    <cellStyle name="SAPBEXexcCritical4 4 2 3" xfId="51107" xr:uid="{00000000-0005-0000-0000-000098B90000}"/>
    <cellStyle name="SAPBEXexcCritical4 4 3" xfId="50445" xr:uid="{00000000-0005-0000-0000-000099B90000}"/>
    <cellStyle name="SAPBEXexcCritical4 4 4" xfId="51240" xr:uid="{00000000-0005-0000-0000-00009AB90000}"/>
    <cellStyle name="SAPBEXexcCritical4 4 5" xfId="49594" xr:uid="{00000000-0005-0000-0000-00009BB90000}"/>
    <cellStyle name="SAPBEXexcCritical4 5" xfId="45768" xr:uid="{00000000-0005-0000-0000-00009CB90000}"/>
    <cellStyle name="SAPBEXexcCritical4 5 2" xfId="50413" xr:uid="{00000000-0005-0000-0000-00009DB90000}"/>
    <cellStyle name="SAPBEXexcCritical4 5 3" xfId="50780" xr:uid="{00000000-0005-0000-0000-00009EB90000}"/>
    <cellStyle name="SAPBEXexcCritical4 5 4" xfId="49653" xr:uid="{00000000-0005-0000-0000-00009FB90000}"/>
    <cellStyle name="SAPBEXexcCritical4 6" xfId="45769" xr:uid="{00000000-0005-0000-0000-0000A0B90000}"/>
    <cellStyle name="SAPBEXexcCritical4 6 2" xfId="51067" xr:uid="{00000000-0005-0000-0000-0000A1B90000}"/>
    <cellStyle name="SAPBEXexcCritical4 6 3" xfId="51125" xr:uid="{00000000-0005-0000-0000-0000A2B90000}"/>
    <cellStyle name="SAPBEXexcCritical4 6 4" xfId="50022" xr:uid="{00000000-0005-0000-0000-0000A3B90000}"/>
    <cellStyle name="SAPBEXexcCritical4 7" xfId="45770" xr:uid="{00000000-0005-0000-0000-0000A4B90000}"/>
    <cellStyle name="SAPBEXexcCritical4 7 2" xfId="50735" xr:uid="{00000000-0005-0000-0000-0000A5B90000}"/>
    <cellStyle name="SAPBEXexcCritical4 8" xfId="45771" xr:uid="{00000000-0005-0000-0000-0000A6B90000}"/>
    <cellStyle name="SAPBEXexcCritical4 8 2" xfId="51208" xr:uid="{00000000-0005-0000-0000-0000A7B90000}"/>
    <cellStyle name="SAPBEXexcCritical4 9" xfId="45772" xr:uid="{00000000-0005-0000-0000-0000A8B90000}"/>
    <cellStyle name="SAPBEXexcCritical4 9 2" xfId="51684"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5" xr:uid="{00000000-0005-0000-0000-0000B8B90000}"/>
    <cellStyle name="SAPBEXexcCritical5 2 2 3" xfId="51565" xr:uid="{00000000-0005-0000-0000-0000B9B90000}"/>
    <cellStyle name="SAPBEXexcCritical5 2 2 4" xfId="49843" xr:uid="{00000000-0005-0000-0000-0000BAB90000}"/>
    <cellStyle name="SAPBEXexcCritical5 2 3" xfId="45786" xr:uid="{00000000-0005-0000-0000-0000BBB90000}"/>
    <cellStyle name="SAPBEXexcCritical5 2 3 2" xfId="50524" xr:uid="{00000000-0005-0000-0000-0000BCB90000}"/>
    <cellStyle name="SAPBEXexcCritical5 2 4" xfId="50887" xr:uid="{00000000-0005-0000-0000-0000BDB90000}"/>
    <cellStyle name="SAPBEXexcCritical5 2 5" xfId="49515"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3" xr:uid="{00000000-0005-0000-0000-0000CAB90000}"/>
    <cellStyle name="SAPBEXexcCritical5 3 2 2" xfId="50224" xr:uid="{00000000-0005-0000-0000-0000CBB90000}"/>
    <cellStyle name="SAPBEXexcCritical5 3 2 3" xfId="51422" xr:uid="{00000000-0005-0000-0000-0000CCB90000}"/>
    <cellStyle name="SAPBEXexcCritical5 3 3" xfId="50593" xr:uid="{00000000-0005-0000-0000-0000CDB90000}"/>
    <cellStyle name="SAPBEXexcCritical5 3 4" xfId="51459" xr:uid="{00000000-0005-0000-0000-0000CEB90000}"/>
    <cellStyle name="SAPBEXexcCritical5 3 5" xfId="49445"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1" xr:uid="{00000000-0005-0000-0000-0000D3B90000}"/>
    <cellStyle name="SAPBEXexcCritical5 4" xfId="45801" xr:uid="{00000000-0005-0000-0000-0000D4B90000}"/>
    <cellStyle name="SAPBEXexcCritical5 4 2" xfId="49923" xr:uid="{00000000-0005-0000-0000-0000D5B90000}"/>
    <cellStyle name="SAPBEXexcCritical5 4 2 2" xfId="50826" xr:uid="{00000000-0005-0000-0000-0000D6B90000}"/>
    <cellStyle name="SAPBEXexcCritical5 4 2 3" xfId="51154" xr:uid="{00000000-0005-0000-0000-0000D7B90000}"/>
    <cellStyle name="SAPBEXexcCritical5 4 3" xfId="50444" xr:uid="{00000000-0005-0000-0000-0000D8B90000}"/>
    <cellStyle name="SAPBEXexcCritical5 4 4" xfId="51497" xr:uid="{00000000-0005-0000-0000-0000D9B90000}"/>
    <cellStyle name="SAPBEXexcCritical5 4 5" xfId="49595" xr:uid="{00000000-0005-0000-0000-0000DAB90000}"/>
    <cellStyle name="SAPBEXexcCritical5 5" xfId="45802" xr:uid="{00000000-0005-0000-0000-0000DBB90000}"/>
    <cellStyle name="SAPBEXexcCritical5 5 2" xfId="50412" xr:uid="{00000000-0005-0000-0000-0000DCB90000}"/>
    <cellStyle name="SAPBEXexcCritical5 5 3" xfId="50767" xr:uid="{00000000-0005-0000-0000-0000DDB90000}"/>
    <cellStyle name="SAPBEXexcCritical5 5 4" xfId="49654" xr:uid="{00000000-0005-0000-0000-0000DEB90000}"/>
    <cellStyle name="SAPBEXexcCritical5 6" xfId="45803" xr:uid="{00000000-0005-0000-0000-0000DFB90000}"/>
    <cellStyle name="SAPBEXexcCritical5 6 2" xfId="51066" xr:uid="{00000000-0005-0000-0000-0000E0B90000}"/>
    <cellStyle name="SAPBEXexcCritical5 6 3" xfId="51124" xr:uid="{00000000-0005-0000-0000-0000E1B90000}"/>
    <cellStyle name="SAPBEXexcCritical5 6 4" xfId="50021" xr:uid="{00000000-0005-0000-0000-0000E2B90000}"/>
    <cellStyle name="SAPBEXexcCritical5 7" xfId="45804" xr:uid="{00000000-0005-0000-0000-0000E3B90000}"/>
    <cellStyle name="SAPBEXexcCritical5 7 2" xfId="50734" xr:uid="{00000000-0005-0000-0000-0000E4B90000}"/>
    <cellStyle name="SAPBEXexcCritical5 8" xfId="45805" xr:uid="{00000000-0005-0000-0000-0000E5B90000}"/>
    <cellStyle name="SAPBEXexcCritical5 8 2" xfId="51466" xr:uid="{00000000-0005-0000-0000-0000E6B90000}"/>
    <cellStyle name="SAPBEXexcCritical5 9" xfId="45806" xr:uid="{00000000-0005-0000-0000-0000E7B90000}"/>
    <cellStyle name="SAPBEXexcCritical5 9 2" xfId="50791"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3" xr:uid="{00000000-0005-0000-0000-0000F7B90000}"/>
    <cellStyle name="SAPBEXexcCritical6 2 2 3" xfId="51395" xr:uid="{00000000-0005-0000-0000-0000F8B90000}"/>
    <cellStyle name="SAPBEXexcCritical6 2 2 4" xfId="49844" xr:uid="{00000000-0005-0000-0000-0000F9B90000}"/>
    <cellStyle name="SAPBEXexcCritical6 2 3" xfId="45820" xr:uid="{00000000-0005-0000-0000-0000FAB90000}"/>
    <cellStyle name="SAPBEXexcCritical6 2 3 2" xfId="50523" xr:uid="{00000000-0005-0000-0000-0000FBB90000}"/>
    <cellStyle name="SAPBEXexcCritical6 2 4" xfId="51239" xr:uid="{00000000-0005-0000-0000-0000FCB90000}"/>
    <cellStyle name="SAPBEXexcCritical6 2 5" xfId="49516"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2" xr:uid="{00000000-0005-0000-0000-000009BA0000}"/>
    <cellStyle name="SAPBEXexcCritical6 3 2 2" xfId="50225" xr:uid="{00000000-0005-0000-0000-00000ABA0000}"/>
    <cellStyle name="SAPBEXexcCritical6 3 2 3" xfId="51162" xr:uid="{00000000-0005-0000-0000-00000BBA0000}"/>
    <cellStyle name="SAPBEXexcCritical6 3 3" xfId="50594" xr:uid="{00000000-0005-0000-0000-00000CBA0000}"/>
    <cellStyle name="SAPBEXexcCritical6 3 4" xfId="51201" xr:uid="{00000000-0005-0000-0000-00000DBA0000}"/>
    <cellStyle name="SAPBEXexcCritical6 3 5" xfId="49444"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2" xr:uid="{00000000-0005-0000-0000-000012BA0000}"/>
    <cellStyle name="SAPBEXexcCritical6 4" xfId="45835" xr:uid="{00000000-0005-0000-0000-000013BA0000}"/>
    <cellStyle name="SAPBEXexcCritical6 4 2" xfId="49829" xr:uid="{00000000-0005-0000-0000-000014BA0000}"/>
    <cellStyle name="SAPBEXexcCritical6 4 2 2" xfId="50835" xr:uid="{00000000-0005-0000-0000-000015BA0000}"/>
    <cellStyle name="SAPBEXexcCritical6 4 2 3" xfId="50745" xr:uid="{00000000-0005-0000-0000-000016BA0000}"/>
    <cellStyle name="SAPBEXexcCritical6 4 3" xfId="50538" xr:uid="{00000000-0005-0000-0000-000017BA0000}"/>
    <cellStyle name="SAPBEXexcCritical6 4 4" xfId="51493" xr:uid="{00000000-0005-0000-0000-000018BA0000}"/>
    <cellStyle name="SAPBEXexcCritical6 4 5" xfId="49501" xr:uid="{00000000-0005-0000-0000-000019BA0000}"/>
    <cellStyle name="SAPBEXexcCritical6 5" xfId="45836" xr:uid="{00000000-0005-0000-0000-00001ABA0000}"/>
    <cellStyle name="SAPBEXexcCritical6 5 2" xfId="50411" xr:uid="{00000000-0005-0000-0000-00001BBA0000}"/>
    <cellStyle name="SAPBEXexcCritical6 5 3" xfId="50068" xr:uid="{00000000-0005-0000-0000-00001CBA0000}"/>
    <cellStyle name="SAPBEXexcCritical6 5 4" xfId="49655" xr:uid="{00000000-0005-0000-0000-00001DBA0000}"/>
    <cellStyle name="SAPBEXexcCritical6 6" xfId="45837" xr:uid="{00000000-0005-0000-0000-00001EBA0000}"/>
    <cellStyle name="SAPBEXexcCritical6 6 2" xfId="51065" xr:uid="{00000000-0005-0000-0000-00001FBA0000}"/>
    <cellStyle name="SAPBEXexcCritical6 6 3" xfId="51123" xr:uid="{00000000-0005-0000-0000-000020BA0000}"/>
    <cellStyle name="SAPBEXexcCritical6 6 4" xfId="50020" xr:uid="{00000000-0005-0000-0000-000021BA0000}"/>
    <cellStyle name="SAPBEXexcCritical6 7" xfId="45838" xr:uid="{00000000-0005-0000-0000-000022BA0000}"/>
    <cellStyle name="SAPBEXexcCritical6 7 2" xfId="50733" xr:uid="{00000000-0005-0000-0000-000023BA0000}"/>
    <cellStyle name="SAPBEXexcCritical6 8" xfId="45839" xr:uid="{00000000-0005-0000-0000-000024BA0000}"/>
    <cellStyle name="SAPBEXexcCritical6 8 2" xfId="51213" xr:uid="{00000000-0005-0000-0000-000025BA0000}"/>
    <cellStyle name="SAPBEXexcCritical6 9" xfId="45840" xr:uid="{00000000-0005-0000-0000-000026BA0000}"/>
    <cellStyle name="SAPBEXexcCritical6 9 2" xfId="50675"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2" xr:uid="{00000000-0005-0000-0000-000036BA0000}"/>
    <cellStyle name="SAPBEXexcGood1 2 2 3" xfId="51615" xr:uid="{00000000-0005-0000-0000-000037BA0000}"/>
    <cellStyle name="SAPBEXexcGood1 2 2 4" xfId="49845" xr:uid="{00000000-0005-0000-0000-000038BA0000}"/>
    <cellStyle name="SAPBEXexcGood1 2 3" xfId="45854" xr:uid="{00000000-0005-0000-0000-000039BA0000}"/>
    <cellStyle name="SAPBEXexcGood1 2 3 2" xfId="50522" xr:uid="{00000000-0005-0000-0000-00003ABA0000}"/>
    <cellStyle name="SAPBEXexcGood1 2 4" xfId="51496" xr:uid="{00000000-0005-0000-0000-00003BBA0000}"/>
    <cellStyle name="SAPBEXexcGood1 2 5" xfId="49517"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1" xr:uid="{00000000-0005-0000-0000-000048BA0000}"/>
    <cellStyle name="SAPBEXexcGood1 3 2 2" xfId="50226" xr:uid="{00000000-0005-0000-0000-000049BA0000}"/>
    <cellStyle name="SAPBEXexcGood1 3 2 3" xfId="51527" xr:uid="{00000000-0005-0000-0000-00004ABA0000}"/>
    <cellStyle name="SAPBEXexcGood1 3 3" xfId="50595" xr:uid="{00000000-0005-0000-0000-00004BBA0000}"/>
    <cellStyle name="SAPBEXexcGood1 3 4" xfId="51486" xr:uid="{00000000-0005-0000-0000-00004CBA0000}"/>
    <cellStyle name="SAPBEXexcGood1 3 5" xfId="49443"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3" xr:uid="{00000000-0005-0000-0000-000051BA0000}"/>
    <cellStyle name="SAPBEXexcGood1 4" xfId="45869" xr:uid="{00000000-0005-0000-0000-000052BA0000}"/>
    <cellStyle name="SAPBEXexcGood1 4 2" xfId="49926" xr:uid="{00000000-0005-0000-0000-000053BA0000}"/>
    <cellStyle name="SAPBEXexcGood1 4 2 2" xfId="50825" xr:uid="{00000000-0005-0000-0000-000054BA0000}"/>
    <cellStyle name="SAPBEXexcGood1 4 2 3" xfId="51148" xr:uid="{00000000-0005-0000-0000-000055BA0000}"/>
    <cellStyle name="SAPBEXexcGood1 4 3" xfId="50441" xr:uid="{00000000-0005-0000-0000-000056BA0000}"/>
    <cellStyle name="SAPBEXexcGood1 4 4" xfId="51358" xr:uid="{00000000-0005-0000-0000-000057BA0000}"/>
    <cellStyle name="SAPBEXexcGood1 4 5" xfId="49598" xr:uid="{00000000-0005-0000-0000-000058BA0000}"/>
    <cellStyle name="SAPBEXexcGood1 5" xfId="45870" xr:uid="{00000000-0005-0000-0000-000059BA0000}"/>
    <cellStyle name="SAPBEXexcGood1 5 2" xfId="50410" xr:uid="{00000000-0005-0000-0000-00005ABA0000}"/>
    <cellStyle name="SAPBEXexcGood1 5 3" xfId="50912" xr:uid="{00000000-0005-0000-0000-00005BBA0000}"/>
    <cellStyle name="SAPBEXexcGood1 5 4" xfId="49656" xr:uid="{00000000-0005-0000-0000-00005CBA0000}"/>
    <cellStyle name="SAPBEXexcGood1 6" xfId="45871" xr:uid="{00000000-0005-0000-0000-00005DBA0000}"/>
    <cellStyle name="SAPBEXexcGood1 6 2" xfId="51064" xr:uid="{00000000-0005-0000-0000-00005EBA0000}"/>
    <cellStyle name="SAPBEXexcGood1 6 3" xfId="51122" xr:uid="{00000000-0005-0000-0000-00005FBA0000}"/>
    <cellStyle name="SAPBEXexcGood1 6 4" xfId="50019" xr:uid="{00000000-0005-0000-0000-000060BA0000}"/>
    <cellStyle name="SAPBEXexcGood1 7" xfId="45872" xr:uid="{00000000-0005-0000-0000-000061BA0000}"/>
    <cellStyle name="SAPBEXexcGood1 7 2" xfId="50732" xr:uid="{00000000-0005-0000-0000-000062BA0000}"/>
    <cellStyle name="SAPBEXexcGood1 8" xfId="45873" xr:uid="{00000000-0005-0000-0000-000063BA0000}"/>
    <cellStyle name="SAPBEXexcGood1 8 2" xfId="51470" xr:uid="{00000000-0005-0000-0000-000064BA0000}"/>
    <cellStyle name="SAPBEXexcGood1 9" xfId="45874" xr:uid="{00000000-0005-0000-0000-000065BA0000}"/>
    <cellStyle name="SAPBEXexcGood1 9 2" xfId="51681"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1" xr:uid="{00000000-0005-0000-0000-000075BA0000}"/>
    <cellStyle name="SAPBEXexcGood2 2 2 3" xfId="50645" xr:uid="{00000000-0005-0000-0000-000076BA0000}"/>
    <cellStyle name="SAPBEXexcGood2 2 2 4" xfId="49846" xr:uid="{00000000-0005-0000-0000-000077BA0000}"/>
    <cellStyle name="SAPBEXexcGood2 2 3" xfId="45888" xr:uid="{00000000-0005-0000-0000-000078BA0000}"/>
    <cellStyle name="SAPBEXexcGood2 2 3 2" xfId="50521" xr:uid="{00000000-0005-0000-0000-000079BA0000}"/>
    <cellStyle name="SAPBEXexcGood2 2 4" xfId="51191" xr:uid="{00000000-0005-0000-0000-00007ABA0000}"/>
    <cellStyle name="SAPBEXexcGood2 2 5" xfId="49518"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0" xr:uid="{00000000-0005-0000-0000-000087BA0000}"/>
    <cellStyle name="SAPBEXexcGood2 3 2 2" xfId="50227" xr:uid="{00000000-0005-0000-0000-000088BA0000}"/>
    <cellStyle name="SAPBEXexcGood2 3 2 3" xfId="51269" xr:uid="{00000000-0005-0000-0000-000089BA0000}"/>
    <cellStyle name="SAPBEXexcGood2 3 3" xfId="50596" xr:uid="{00000000-0005-0000-0000-00008ABA0000}"/>
    <cellStyle name="SAPBEXexcGood2 3 4" xfId="51229" xr:uid="{00000000-0005-0000-0000-00008BBA0000}"/>
    <cellStyle name="SAPBEXexcGood2 3 5" xfId="49442"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4" xr:uid="{00000000-0005-0000-0000-000090BA0000}"/>
    <cellStyle name="SAPBEXexcGood2 4" xfId="45903" xr:uid="{00000000-0005-0000-0000-000091BA0000}"/>
    <cellStyle name="SAPBEXexcGood2 4 2" xfId="49830" xr:uid="{00000000-0005-0000-0000-000092BA0000}"/>
    <cellStyle name="SAPBEXexcGood2 4 2 2" xfId="50837" xr:uid="{00000000-0005-0000-0000-000093BA0000}"/>
    <cellStyle name="SAPBEXexcGood2 4 2 3" xfId="51658" xr:uid="{00000000-0005-0000-0000-000094BA0000}"/>
    <cellStyle name="SAPBEXexcGood2 4 3" xfId="50537" xr:uid="{00000000-0005-0000-0000-000095BA0000}"/>
    <cellStyle name="SAPBEXexcGood2 4 4" xfId="51194" xr:uid="{00000000-0005-0000-0000-000096BA0000}"/>
    <cellStyle name="SAPBEXexcGood2 4 5" xfId="49502" xr:uid="{00000000-0005-0000-0000-000097BA0000}"/>
    <cellStyle name="SAPBEXexcGood2 5" xfId="45904" xr:uid="{00000000-0005-0000-0000-000098BA0000}"/>
    <cellStyle name="SAPBEXexcGood2 5 2" xfId="50409" xr:uid="{00000000-0005-0000-0000-000099BA0000}"/>
    <cellStyle name="SAPBEXexcGood2 5 3" xfId="51255" xr:uid="{00000000-0005-0000-0000-00009ABA0000}"/>
    <cellStyle name="SAPBEXexcGood2 5 4" xfId="49657" xr:uid="{00000000-0005-0000-0000-00009BBA0000}"/>
    <cellStyle name="SAPBEXexcGood2 6" xfId="45905" xr:uid="{00000000-0005-0000-0000-00009CBA0000}"/>
    <cellStyle name="SAPBEXexcGood2 6 2" xfId="51063" xr:uid="{00000000-0005-0000-0000-00009DBA0000}"/>
    <cellStyle name="SAPBEXexcGood2 6 3" xfId="51602" xr:uid="{00000000-0005-0000-0000-00009EBA0000}"/>
    <cellStyle name="SAPBEXexcGood2 6 4" xfId="50018" xr:uid="{00000000-0005-0000-0000-00009FBA0000}"/>
    <cellStyle name="SAPBEXexcGood2 7" xfId="45906" xr:uid="{00000000-0005-0000-0000-0000A0BA0000}"/>
    <cellStyle name="SAPBEXexcGood2 7 2" xfId="50731" xr:uid="{00000000-0005-0000-0000-0000A1BA0000}"/>
    <cellStyle name="SAPBEXexcGood2 8" xfId="45907" xr:uid="{00000000-0005-0000-0000-0000A2BA0000}"/>
    <cellStyle name="SAPBEXexcGood2 8 2" xfId="51339" xr:uid="{00000000-0005-0000-0000-0000A3BA0000}"/>
    <cellStyle name="SAPBEXexcGood2 9" xfId="45908" xr:uid="{00000000-0005-0000-0000-0000A4BA0000}"/>
    <cellStyle name="SAPBEXexcGood2 9 2" xfId="50744"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0" xr:uid="{00000000-0005-0000-0000-0000B4BA0000}"/>
    <cellStyle name="SAPBEXexcGood3 2 2 3" xfId="51309" xr:uid="{00000000-0005-0000-0000-0000B5BA0000}"/>
    <cellStyle name="SAPBEXexcGood3 2 2 4" xfId="49847" xr:uid="{00000000-0005-0000-0000-0000B6BA0000}"/>
    <cellStyle name="SAPBEXexcGood3 2 3" xfId="45922" xr:uid="{00000000-0005-0000-0000-0000B7BA0000}"/>
    <cellStyle name="SAPBEXexcGood3 2 3 2" xfId="50520" xr:uid="{00000000-0005-0000-0000-0000B8BA0000}"/>
    <cellStyle name="SAPBEXexcGood3 2 4" xfId="51449" xr:uid="{00000000-0005-0000-0000-0000B9BA0000}"/>
    <cellStyle name="SAPBEXexcGood3 2 5" xfId="49519"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69" xr:uid="{00000000-0005-0000-0000-0000C6BA0000}"/>
    <cellStyle name="SAPBEXexcGood3 3 2 2" xfId="50228" xr:uid="{00000000-0005-0000-0000-0000C7BA0000}"/>
    <cellStyle name="SAPBEXexcGood3 3 2 3" xfId="50815" xr:uid="{00000000-0005-0000-0000-0000C8BA0000}"/>
    <cellStyle name="SAPBEXexcGood3 3 3" xfId="50597" xr:uid="{00000000-0005-0000-0000-0000C9BA0000}"/>
    <cellStyle name="SAPBEXexcGood3 3 4" xfId="50909" xr:uid="{00000000-0005-0000-0000-0000CABA0000}"/>
    <cellStyle name="SAPBEXexcGood3 3 5" xfId="49441"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5" xr:uid="{00000000-0005-0000-0000-0000CFBA0000}"/>
    <cellStyle name="SAPBEXexcGood3 4" xfId="45937" xr:uid="{00000000-0005-0000-0000-0000D0BA0000}"/>
    <cellStyle name="SAPBEXexcGood3 4 2" xfId="49831" xr:uid="{00000000-0005-0000-0000-0000D1BA0000}"/>
    <cellStyle name="SAPBEXexcGood3 4 2 2" xfId="50834" xr:uid="{00000000-0005-0000-0000-0000D2BA0000}"/>
    <cellStyle name="SAPBEXexcGood3 4 2 3" xfId="50659" xr:uid="{00000000-0005-0000-0000-0000D3BA0000}"/>
    <cellStyle name="SAPBEXexcGood3 4 3" xfId="50536" xr:uid="{00000000-0005-0000-0000-0000D4BA0000}"/>
    <cellStyle name="SAPBEXexcGood3 4 4" xfId="51452" xr:uid="{00000000-0005-0000-0000-0000D5BA0000}"/>
    <cellStyle name="SAPBEXexcGood3 4 5" xfId="49503" xr:uid="{00000000-0005-0000-0000-0000D6BA0000}"/>
    <cellStyle name="SAPBEXexcGood3 5" xfId="45938" xr:uid="{00000000-0005-0000-0000-0000D7BA0000}"/>
    <cellStyle name="SAPBEXexcGood3 5 2" xfId="50408" xr:uid="{00000000-0005-0000-0000-0000D8BA0000}"/>
    <cellStyle name="SAPBEXexcGood3 5 3" xfId="51512" xr:uid="{00000000-0005-0000-0000-0000D9BA0000}"/>
    <cellStyle name="SAPBEXexcGood3 5 4" xfId="49658" xr:uid="{00000000-0005-0000-0000-0000DABA0000}"/>
    <cellStyle name="SAPBEXexcGood3 6" xfId="45939" xr:uid="{00000000-0005-0000-0000-0000DBBA0000}"/>
    <cellStyle name="SAPBEXexcGood3 6 2" xfId="51062" xr:uid="{00000000-0005-0000-0000-0000DCBA0000}"/>
    <cellStyle name="SAPBEXexcGood3 6 3" xfId="51413" xr:uid="{00000000-0005-0000-0000-0000DDBA0000}"/>
    <cellStyle name="SAPBEXexcGood3 6 4" xfId="50017" xr:uid="{00000000-0005-0000-0000-0000DEBA0000}"/>
    <cellStyle name="SAPBEXexcGood3 7" xfId="45940" xr:uid="{00000000-0005-0000-0000-0000DFBA0000}"/>
    <cellStyle name="SAPBEXexcGood3 7 2" xfId="50730" xr:uid="{00000000-0005-0000-0000-0000E0BA0000}"/>
    <cellStyle name="SAPBEXexcGood3 8" xfId="45941" xr:uid="{00000000-0005-0000-0000-0000E1BA0000}"/>
    <cellStyle name="SAPBEXexcGood3 8 2" xfId="51657" xr:uid="{00000000-0005-0000-0000-0000E2BA0000}"/>
    <cellStyle name="SAPBEXexcGood3 9" xfId="45942" xr:uid="{00000000-0005-0000-0000-0000E3BA0000}"/>
    <cellStyle name="SAPBEXexcGood3 9 2" xfId="50921"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48" xr:uid="{00000000-0005-0000-0000-0000E8BA0000}"/>
    <cellStyle name="SAPBEXfilterDrill 2 2 2" xfId="50159" xr:uid="{00000000-0005-0000-0000-0000E9BA0000}"/>
    <cellStyle name="SAPBEXfilterDrill 2 2 3" xfId="51566" xr:uid="{00000000-0005-0000-0000-0000EABA0000}"/>
    <cellStyle name="SAPBEXfilterDrill 2 3" xfId="50519" xr:uid="{00000000-0005-0000-0000-0000EBBA0000}"/>
    <cellStyle name="SAPBEXfilterDrill 2 4" xfId="51357" xr:uid="{00000000-0005-0000-0000-0000ECBA0000}"/>
    <cellStyle name="SAPBEXfilterDrill 2 5" xfId="49520" xr:uid="{00000000-0005-0000-0000-0000EDBA0000}"/>
    <cellStyle name="SAPBEXfilterDrill 3" xfId="49440" xr:uid="{00000000-0005-0000-0000-0000EEBA0000}"/>
    <cellStyle name="SAPBEXfilterDrill 3 2" xfId="49768" xr:uid="{00000000-0005-0000-0000-0000EFBA0000}"/>
    <cellStyle name="SAPBEXfilterDrill 3 2 2" xfId="50229" xr:uid="{00000000-0005-0000-0000-0000F0BA0000}"/>
    <cellStyle name="SAPBEXfilterDrill 3 2 3" xfId="51618" xr:uid="{00000000-0005-0000-0000-0000F1BA0000}"/>
    <cellStyle name="SAPBEXfilterDrill 3 3" xfId="50598" xr:uid="{00000000-0005-0000-0000-0000F2BA0000}"/>
    <cellStyle name="SAPBEXfilterDrill 3 4" xfId="51651" xr:uid="{00000000-0005-0000-0000-0000F3BA0000}"/>
    <cellStyle name="SAPBEXfilterDrill 4" xfId="49659" xr:uid="{00000000-0005-0000-0000-0000F4BA0000}"/>
    <cellStyle name="SAPBEXfilterDrill 4 2" xfId="50407" xr:uid="{00000000-0005-0000-0000-0000F5BA0000}"/>
    <cellStyle name="SAPBEXfilterDrill 4 3" xfId="51175" xr:uid="{00000000-0005-0000-0000-0000F6BA0000}"/>
    <cellStyle name="SAPBEXfilterDrill 5" xfId="50016" xr:uid="{00000000-0005-0000-0000-0000F7BA0000}"/>
    <cellStyle name="SAPBEXfilterDrill 5 2" xfId="51061" xr:uid="{00000000-0005-0000-0000-0000F8BA0000}"/>
    <cellStyle name="SAPBEXfilterDrill 5 3" xfId="51590" xr:uid="{00000000-0005-0000-0000-0000F9BA0000}"/>
    <cellStyle name="SAPBEXfilterDrill 6" xfId="50729" xr:uid="{00000000-0005-0000-0000-0000FABA0000}"/>
    <cellStyle name="SAPBEXfilterDrill 7" xfId="51214" xr:uid="{00000000-0005-0000-0000-0000FBBA0000}"/>
    <cellStyle name="SAPBEXfilterDrill 8" xfId="49276"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49" xr:uid="{00000000-0005-0000-0000-000000BB0000}"/>
    <cellStyle name="SAPBEXfilterItem 2 2 2" xfId="50158" xr:uid="{00000000-0005-0000-0000-000001BB0000}"/>
    <cellStyle name="SAPBEXfilterItem 2 2 3" xfId="51396" xr:uid="{00000000-0005-0000-0000-000002BB0000}"/>
    <cellStyle name="SAPBEXfilterItem 2 3" xfId="50518" xr:uid="{00000000-0005-0000-0000-000003BB0000}"/>
    <cellStyle name="SAPBEXfilterItem 2 4" xfId="51641" xr:uid="{00000000-0005-0000-0000-000004BB0000}"/>
    <cellStyle name="SAPBEXfilterItem 2 5" xfId="49521" xr:uid="{00000000-0005-0000-0000-000005BB0000}"/>
    <cellStyle name="SAPBEXfilterItem 3" xfId="49439" xr:uid="{00000000-0005-0000-0000-000006BB0000}"/>
    <cellStyle name="SAPBEXfilterItem 3 2" xfId="49767" xr:uid="{00000000-0005-0000-0000-000007BB0000}"/>
    <cellStyle name="SAPBEXfilterItem 3 2 2" xfId="50230" xr:uid="{00000000-0005-0000-0000-000008BB0000}"/>
    <cellStyle name="SAPBEXfilterItem 3 2 3" xfId="51387" xr:uid="{00000000-0005-0000-0000-000009BB0000}"/>
    <cellStyle name="SAPBEXfilterItem 3 3" xfId="50599" xr:uid="{00000000-0005-0000-0000-00000ABB0000}"/>
    <cellStyle name="SAPBEXfilterItem 3 4" xfId="51346" xr:uid="{00000000-0005-0000-0000-00000BBB0000}"/>
    <cellStyle name="SAPBEXfilterItem 4" xfId="49660" xr:uid="{00000000-0005-0000-0000-00000CBB0000}"/>
    <cellStyle name="SAPBEXfilterItem 4 2" xfId="50406" xr:uid="{00000000-0005-0000-0000-00000DBB0000}"/>
    <cellStyle name="SAPBEXfilterItem 4 3" xfId="51434" xr:uid="{00000000-0005-0000-0000-00000EBB0000}"/>
    <cellStyle name="SAPBEXfilterItem 5" xfId="50015" xr:uid="{00000000-0005-0000-0000-00000FBB0000}"/>
    <cellStyle name="SAPBEXfilterItem 5 2" xfId="51060" xr:uid="{00000000-0005-0000-0000-000010BB0000}"/>
    <cellStyle name="SAPBEXfilterItem 5 3" xfId="51335" xr:uid="{00000000-0005-0000-0000-000011BB0000}"/>
    <cellStyle name="SAPBEXfilterItem 6" xfId="50728" xr:uid="{00000000-0005-0000-0000-000012BB0000}"/>
    <cellStyle name="SAPBEXfilterItem 7" xfId="51471" xr:uid="{00000000-0005-0000-0000-000013BB0000}"/>
    <cellStyle name="SAPBEXfilterItem 8" xfId="49277"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0" xr:uid="{00000000-0005-0000-0000-000018BB0000}"/>
    <cellStyle name="SAPBEXfilterText 2 2 2" xfId="50157" xr:uid="{00000000-0005-0000-0000-000019BB0000}"/>
    <cellStyle name="SAPBEXfilterText 2 2 3" xfId="51614" xr:uid="{00000000-0005-0000-0000-00001ABB0000}"/>
    <cellStyle name="SAPBEXfilterText 2 3" xfId="50517" xr:uid="{00000000-0005-0000-0000-00001BBB0000}"/>
    <cellStyle name="SAPBEXfilterText 2 4" xfId="51238" xr:uid="{00000000-0005-0000-0000-00001CBB0000}"/>
    <cellStyle name="SAPBEXfilterText 2 5" xfId="49522" xr:uid="{00000000-0005-0000-0000-00001DBB0000}"/>
    <cellStyle name="SAPBEXfilterText 3" xfId="49438" xr:uid="{00000000-0005-0000-0000-00001EBB0000}"/>
    <cellStyle name="SAPBEXfilterText 3 2" xfId="49766" xr:uid="{00000000-0005-0000-0000-00001FBB0000}"/>
    <cellStyle name="SAPBEXfilterText 3 2 2" xfId="50231" xr:uid="{00000000-0005-0000-0000-000020BB0000}"/>
    <cellStyle name="SAPBEXfilterText 3 2 3" xfId="51423" xr:uid="{00000000-0005-0000-0000-000021BB0000}"/>
    <cellStyle name="SAPBEXfilterText 3 3" xfId="50600" xr:uid="{00000000-0005-0000-0000-000022BB0000}"/>
    <cellStyle name="SAPBEXfilterText 3 4" xfId="51476" xr:uid="{00000000-0005-0000-0000-000023BB0000}"/>
    <cellStyle name="SAPBEXfilterText 4" xfId="49661" xr:uid="{00000000-0005-0000-0000-000024BB0000}"/>
    <cellStyle name="SAPBEXfilterText 4 2" xfId="50405" xr:uid="{00000000-0005-0000-0000-000025BB0000}"/>
    <cellStyle name="SAPBEXfilterText 4 3" xfId="51373" xr:uid="{00000000-0005-0000-0000-000026BB0000}"/>
    <cellStyle name="SAPBEXfilterText 5" xfId="50014" xr:uid="{00000000-0005-0000-0000-000027BB0000}"/>
    <cellStyle name="SAPBEXfilterText 5 2" xfId="51059" xr:uid="{00000000-0005-0000-0000-000028BB0000}"/>
    <cellStyle name="SAPBEXfilterText 5 3" xfId="51583" xr:uid="{00000000-0005-0000-0000-000029BB0000}"/>
    <cellStyle name="SAPBEXfilterText 6" xfId="50727" xr:uid="{00000000-0005-0000-0000-00002ABB0000}"/>
    <cellStyle name="SAPBEXfilterText 7" xfId="50979" xr:uid="{00000000-0005-0000-0000-00002BBB0000}"/>
    <cellStyle name="SAPBEXfilterText 8" xfId="49278"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56" xr:uid="{00000000-0005-0000-0000-00003BBB0000}"/>
    <cellStyle name="SAPBEXformats 2 2 3" xfId="50949" xr:uid="{00000000-0005-0000-0000-00003CBB0000}"/>
    <cellStyle name="SAPBEXformats 2 2 4" xfId="49851" xr:uid="{00000000-0005-0000-0000-00003DBB0000}"/>
    <cellStyle name="SAPBEXformats 2 3" xfId="45962" xr:uid="{00000000-0005-0000-0000-00003EBB0000}"/>
    <cellStyle name="SAPBEXformats 2 3 2" xfId="50516" xr:uid="{00000000-0005-0000-0000-00003FBB0000}"/>
    <cellStyle name="SAPBEXformats 2 4" xfId="51495" xr:uid="{00000000-0005-0000-0000-000040BB0000}"/>
    <cellStyle name="SAPBEXformats 2 5" xfId="49523"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5" xr:uid="{00000000-0005-0000-0000-00004DBB0000}"/>
    <cellStyle name="SAPBEXformats 3 2 2" xfId="50232" xr:uid="{00000000-0005-0000-0000-00004EBB0000}"/>
    <cellStyle name="SAPBEXformats 3 2 3" xfId="51163" xr:uid="{00000000-0005-0000-0000-00004FBB0000}"/>
    <cellStyle name="SAPBEXformats 3 3" xfId="50601" xr:uid="{00000000-0005-0000-0000-000050BB0000}"/>
    <cellStyle name="SAPBEXformats 3 4" xfId="51220" xr:uid="{00000000-0005-0000-0000-000051BB0000}"/>
    <cellStyle name="SAPBEXformats 3 5" xfId="49437"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79" xr:uid="{00000000-0005-0000-0000-000056BB0000}"/>
    <cellStyle name="SAPBEXformats 4" xfId="45977" xr:uid="{00000000-0005-0000-0000-000057BB0000}"/>
    <cellStyle name="SAPBEXformats 4 2" xfId="49832" xr:uid="{00000000-0005-0000-0000-000058BB0000}"/>
    <cellStyle name="SAPBEXformats 4 2 2" xfId="50847" xr:uid="{00000000-0005-0000-0000-000059BB0000}"/>
    <cellStyle name="SAPBEXformats 4 2 3" xfId="50776" xr:uid="{00000000-0005-0000-0000-00005ABB0000}"/>
    <cellStyle name="SAPBEXformats 4 3" xfId="50535" xr:uid="{00000000-0005-0000-0000-00005BBB0000}"/>
    <cellStyle name="SAPBEXformats 4 4" xfId="51354" xr:uid="{00000000-0005-0000-0000-00005CBB0000}"/>
    <cellStyle name="SAPBEXformats 4 5" xfId="49504" xr:uid="{00000000-0005-0000-0000-00005DBB0000}"/>
    <cellStyle name="SAPBEXformats 5" xfId="45978" xr:uid="{00000000-0005-0000-0000-00005EBB0000}"/>
    <cellStyle name="SAPBEXformats 5 2" xfId="50404" xr:uid="{00000000-0005-0000-0000-00005FBB0000}"/>
    <cellStyle name="SAPBEXformats 5 3" xfId="51628" xr:uid="{00000000-0005-0000-0000-000060BB0000}"/>
    <cellStyle name="SAPBEXformats 5 4" xfId="49662" xr:uid="{00000000-0005-0000-0000-000061BB0000}"/>
    <cellStyle name="SAPBEXformats 6" xfId="45979" xr:uid="{00000000-0005-0000-0000-000062BB0000}"/>
    <cellStyle name="SAPBEXformats 6 2" xfId="51058" xr:uid="{00000000-0005-0000-0000-000063BB0000}"/>
    <cellStyle name="SAPBEXformats 6 3" xfId="51326" xr:uid="{00000000-0005-0000-0000-000064BB0000}"/>
    <cellStyle name="SAPBEXformats 6 4" xfId="50013" xr:uid="{00000000-0005-0000-0000-000065BB0000}"/>
    <cellStyle name="SAPBEXformats 7" xfId="45980" xr:uid="{00000000-0005-0000-0000-000066BB0000}"/>
    <cellStyle name="SAPBEXformats 7 2" xfId="50726" xr:uid="{00000000-0005-0000-0000-000067BB0000}"/>
    <cellStyle name="SAPBEXformats 8" xfId="45981" xr:uid="{00000000-0005-0000-0000-000068BB0000}"/>
    <cellStyle name="SAPBEXformats 8 2" xfId="51216" xr:uid="{00000000-0005-0000-0000-000069BB0000}"/>
    <cellStyle name="SAPBEXformats 9" xfId="45982" xr:uid="{00000000-0005-0000-0000-00006ABB0000}"/>
    <cellStyle name="SAPBEXformats 9 2" xfId="50779"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4" xr:uid="{00000000-0005-0000-0000-00006FBB0000}"/>
    <cellStyle name="SAPBEXheaderItem 3 2" xfId="49852" xr:uid="{00000000-0005-0000-0000-000070BB0000}"/>
    <cellStyle name="SAPBEXheaderItem 3 2 2" xfId="50155" xr:uid="{00000000-0005-0000-0000-000071BB0000}"/>
    <cellStyle name="SAPBEXheaderItem 3 2 3" xfId="51278" xr:uid="{00000000-0005-0000-0000-000072BB0000}"/>
    <cellStyle name="SAPBEXheaderItem 3 3" xfId="50515" xr:uid="{00000000-0005-0000-0000-000073BB0000}"/>
    <cellStyle name="SAPBEXheaderItem 3 4" xfId="51192" xr:uid="{00000000-0005-0000-0000-000074BB0000}"/>
    <cellStyle name="SAPBEXheaderItem 4" xfId="49436" xr:uid="{00000000-0005-0000-0000-000075BB0000}"/>
    <cellStyle name="SAPBEXheaderItem 4 2" xfId="49764" xr:uid="{00000000-0005-0000-0000-000076BB0000}"/>
    <cellStyle name="SAPBEXheaderItem 4 2 2" xfId="50233" xr:uid="{00000000-0005-0000-0000-000077BB0000}"/>
    <cellStyle name="SAPBEXheaderItem 4 2 3" xfId="51526" xr:uid="{00000000-0005-0000-0000-000078BB0000}"/>
    <cellStyle name="SAPBEXheaderItem 4 3" xfId="50602" xr:uid="{00000000-0005-0000-0000-000079BB0000}"/>
    <cellStyle name="SAPBEXheaderItem 4 4" xfId="51460" xr:uid="{00000000-0005-0000-0000-00007ABB0000}"/>
    <cellStyle name="SAPBEXheaderItem 5" xfId="49663" xr:uid="{00000000-0005-0000-0000-00007BBB0000}"/>
    <cellStyle name="SAPBEXheaderItem 5 2" xfId="50403" xr:uid="{00000000-0005-0000-0000-00007CBB0000}"/>
    <cellStyle name="SAPBEXheaderItem 5 3" xfId="50974" xr:uid="{00000000-0005-0000-0000-00007DBB0000}"/>
    <cellStyle name="SAPBEXheaderItem 6" xfId="50012" xr:uid="{00000000-0005-0000-0000-00007EBB0000}"/>
    <cellStyle name="SAPBEXheaderItem 6 2" xfId="51057" xr:uid="{00000000-0005-0000-0000-00007FBB0000}"/>
    <cellStyle name="SAPBEXheaderItem 6 3" xfId="51553" xr:uid="{00000000-0005-0000-0000-000080BB0000}"/>
    <cellStyle name="SAPBEXheaderItem 7" xfId="50725" xr:uid="{00000000-0005-0000-0000-000081BB0000}"/>
    <cellStyle name="SAPBEXheaderItem 8" xfId="51473" xr:uid="{00000000-0005-0000-0000-000082BB0000}"/>
    <cellStyle name="SAPBEXheaderItem 9" xfId="49280"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5" xr:uid="{00000000-0005-0000-0000-000087BB0000}"/>
    <cellStyle name="SAPBEXheaderText 3 2" xfId="49853" xr:uid="{00000000-0005-0000-0000-000088BB0000}"/>
    <cellStyle name="SAPBEXheaderText 3 2 2" xfId="50067" xr:uid="{00000000-0005-0000-0000-000089BB0000}"/>
    <cellStyle name="SAPBEXheaderText 3 2 3" xfId="51536" xr:uid="{00000000-0005-0000-0000-00008ABB0000}"/>
    <cellStyle name="SAPBEXheaderText 3 3" xfId="50514" xr:uid="{00000000-0005-0000-0000-00008BBB0000}"/>
    <cellStyle name="SAPBEXheaderText 3 4" xfId="51450" xr:uid="{00000000-0005-0000-0000-00008CBB0000}"/>
    <cellStyle name="SAPBEXheaderText 4" xfId="49435" xr:uid="{00000000-0005-0000-0000-00008DBB0000}"/>
    <cellStyle name="SAPBEXheaderText 4 2" xfId="49763" xr:uid="{00000000-0005-0000-0000-00008EBB0000}"/>
    <cellStyle name="SAPBEXheaderText 4 2 2" xfId="50234" xr:uid="{00000000-0005-0000-0000-00008FBB0000}"/>
    <cellStyle name="SAPBEXheaderText 4 2 3" xfId="51268" xr:uid="{00000000-0005-0000-0000-000090BB0000}"/>
    <cellStyle name="SAPBEXheaderText 4 3" xfId="50603" xr:uid="{00000000-0005-0000-0000-000091BB0000}"/>
    <cellStyle name="SAPBEXheaderText 4 4" xfId="51202" xr:uid="{00000000-0005-0000-0000-000092BB0000}"/>
    <cellStyle name="SAPBEXheaderText 5" xfId="49664" xr:uid="{00000000-0005-0000-0000-000093BB0000}"/>
    <cellStyle name="SAPBEXheaderText 5 2" xfId="50402" xr:uid="{00000000-0005-0000-0000-000094BB0000}"/>
    <cellStyle name="SAPBEXheaderText 5 3" xfId="51256" xr:uid="{00000000-0005-0000-0000-000095BB0000}"/>
    <cellStyle name="SAPBEXheaderText 6" xfId="50011" xr:uid="{00000000-0005-0000-0000-000096BB0000}"/>
    <cellStyle name="SAPBEXheaderText 6 2" xfId="51056" xr:uid="{00000000-0005-0000-0000-000097BB0000}"/>
    <cellStyle name="SAPBEXheaderText 6 3" xfId="51295" xr:uid="{00000000-0005-0000-0000-000098BB0000}"/>
    <cellStyle name="SAPBEXheaderText 7" xfId="50724" xr:uid="{00000000-0005-0000-0000-000099BB0000}"/>
    <cellStyle name="SAPBEXheaderText 8" xfId="51340" xr:uid="{00000000-0005-0000-0000-00009ABB0000}"/>
    <cellStyle name="SAPBEXheaderText 9" xfId="49281"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1"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4" xr:uid="{00000000-0005-0000-0000-0000B6BB0000}"/>
    <cellStyle name="SAPBEXHLevel0 2 2 2 3" xfId="51567" xr:uid="{00000000-0005-0000-0000-0000B7BB0000}"/>
    <cellStyle name="SAPBEXHLevel0 2 2 2 4" xfId="49855" xr:uid="{00000000-0005-0000-0000-0000B8BB0000}"/>
    <cellStyle name="SAPBEXHLevel0 2 2 3" xfId="46011" xr:uid="{00000000-0005-0000-0000-0000B9BB0000}"/>
    <cellStyle name="SAPBEXHLevel0 2 2 3 2" xfId="50512" xr:uid="{00000000-0005-0000-0000-0000BABB0000}"/>
    <cellStyle name="SAPBEXHLevel0 2 2 4" xfId="51480" xr:uid="{00000000-0005-0000-0000-0000BBBB0000}"/>
    <cellStyle name="SAPBEXHLevel0 2 2 5" xfId="49527"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36" xr:uid="{00000000-0005-0000-0000-0000C9BB0000}"/>
    <cellStyle name="SAPBEXHLevel0 2 3 2 3" xfId="51619" xr:uid="{00000000-0005-0000-0000-0000CABB0000}"/>
    <cellStyle name="SAPBEXHLevel0 2 3 2 4" xfId="49761" xr:uid="{00000000-0005-0000-0000-0000CBBB0000}"/>
    <cellStyle name="SAPBEXHLevel0 2 3 3" xfId="50605" xr:uid="{00000000-0005-0000-0000-0000CCBB0000}"/>
    <cellStyle name="SAPBEXHLevel0 2 3 4" xfId="51228" xr:uid="{00000000-0005-0000-0000-0000CDBB0000}"/>
    <cellStyle name="SAPBEXHLevel0 2 3 5" xfId="49433"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3" xr:uid="{00000000-0005-0000-0000-0000D2BB0000}"/>
    <cellStyle name="SAPBEXHLevel0 2 4" xfId="46027" xr:uid="{00000000-0005-0000-0000-0000D3BB0000}"/>
    <cellStyle name="SAPBEXHLevel0 2 4 2" xfId="46028" xr:uid="{00000000-0005-0000-0000-0000D4BB0000}"/>
    <cellStyle name="SAPBEXHLevel0 2 4 2 2" xfId="50400" xr:uid="{00000000-0005-0000-0000-0000D5BB0000}"/>
    <cellStyle name="SAPBEXHLevel0 2 4 3" xfId="51302" xr:uid="{00000000-0005-0000-0000-0000D6BB0000}"/>
    <cellStyle name="SAPBEXHLevel0 2 4 4" xfId="49666" xr:uid="{00000000-0005-0000-0000-0000D7BB0000}"/>
    <cellStyle name="SAPBEXHLevel0 2 5" xfId="46029" xr:uid="{00000000-0005-0000-0000-0000D8BB0000}"/>
    <cellStyle name="SAPBEXHLevel0 2 5 2" xfId="46030" xr:uid="{00000000-0005-0000-0000-0000D9BB0000}"/>
    <cellStyle name="SAPBEXHLevel0 2 5 2 2" xfId="51054" xr:uid="{00000000-0005-0000-0000-0000DABB0000}"/>
    <cellStyle name="SAPBEXHLevel0 2 5 3" xfId="51120" xr:uid="{00000000-0005-0000-0000-0000DBBB0000}"/>
    <cellStyle name="SAPBEXHLevel0 2 5 4" xfId="50009" xr:uid="{00000000-0005-0000-0000-0000DCBB0000}"/>
    <cellStyle name="SAPBEXHLevel0 2 6" xfId="46031" xr:uid="{00000000-0005-0000-0000-0000DDBB0000}"/>
    <cellStyle name="SAPBEXHLevel0 2 6 2" xfId="46032" xr:uid="{00000000-0005-0000-0000-0000DEBB0000}"/>
    <cellStyle name="SAPBEXHLevel0 2 6 3" xfId="50722" xr:uid="{00000000-0005-0000-0000-0000DFBB0000}"/>
    <cellStyle name="SAPBEXHLevel0 2 7" xfId="46033" xr:uid="{00000000-0005-0000-0000-0000E0BB0000}"/>
    <cellStyle name="SAPBEXHLevel0 2 7 2" xfId="46034" xr:uid="{00000000-0005-0000-0000-0000E1BB0000}"/>
    <cellStyle name="SAPBEXHLevel0 2 7 3" xfId="51474"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69" xr:uid="{00000000-0005-0000-0000-0000F2BB0000}"/>
    <cellStyle name="SAPBEXHLevel0 3 2 3" xfId="51310" xr:uid="{00000000-0005-0000-0000-0000F3BB0000}"/>
    <cellStyle name="SAPBEXHLevel0 3 2 4" xfId="49854" xr:uid="{00000000-0005-0000-0000-0000F4BB0000}"/>
    <cellStyle name="SAPBEXHLevel0 3 3" xfId="46050" xr:uid="{00000000-0005-0000-0000-0000F5BB0000}"/>
    <cellStyle name="SAPBEXHLevel0 3 3 2" xfId="50513" xr:uid="{00000000-0005-0000-0000-0000F6BB0000}"/>
    <cellStyle name="SAPBEXHLevel0 3 4" xfId="51224" xr:uid="{00000000-0005-0000-0000-0000F7BB0000}"/>
    <cellStyle name="SAPBEXHLevel0 3 5" xfId="49526"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2" xr:uid="{00000000-0005-0000-0000-0000FDBB0000}"/>
    <cellStyle name="SAPBEXHLevel0 4" xfId="46055" xr:uid="{00000000-0005-0000-0000-0000FEBB0000}"/>
    <cellStyle name="SAPBEXHLevel0 4 2" xfId="46056" xr:uid="{00000000-0005-0000-0000-0000FFBB0000}"/>
    <cellStyle name="SAPBEXHLevel0 4 2 2" xfId="50235" xr:uid="{00000000-0005-0000-0000-000000BC0000}"/>
    <cellStyle name="SAPBEXHLevel0 4 2 3" xfId="50814" xr:uid="{00000000-0005-0000-0000-000001BC0000}"/>
    <cellStyle name="SAPBEXHLevel0 4 2 4" xfId="49762" xr:uid="{00000000-0005-0000-0000-000002BC0000}"/>
    <cellStyle name="SAPBEXHLevel0 4 3" xfId="50604" xr:uid="{00000000-0005-0000-0000-000003BC0000}"/>
    <cellStyle name="SAPBEXHLevel0 4 4" xfId="51485" xr:uid="{00000000-0005-0000-0000-000004BC0000}"/>
    <cellStyle name="SAPBEXHLevel0 4 5" xfId="49434" xr:uid="{00000000-0005-0000-0000-000005BC0000}"/>
    <cellStyle name="SAPBEXHLevel0 5" xfId="46057" xr:uid="{00000000-0005-0000-0000-000006BC0000}"/>
    <cellStyle name="SAPBEXHLevel0 5 2" xfId="46058" xr:uid="{00000000-0005-0000-0000-000007BC0000}"/>
    <cellStyle name="SAPBEXHLevel0 5 2 2" xfId="50833" xr:uid="{00000000-0005-0000-0000-000008BC0000}"/>
    <cellStyle name="SAPBEXHLevel0 5 2 3" xfId="50747" xr:uid="{00000000-0005-0000-0000-000009BC0000}"/>
    <cellStyle name="SAPBEXHLevel0 5 2 4" xfId="49833" xr:uid="{00000000-0005-0000-0000-00000ABC0000}"/>
    <cellStyle name="SAPBEXHLevel0 5 3" xfId="50534" xr:uid="{00000000-0005-0000-0000-00000BBC0000}"/>
    <cellStyle name="SAPBEXHLevel0 5 4" xfId="51644" xr:uid="{00000000-0005-0000-0000-00000CBC0000}"/>
    <cellStyle name="SAPBEXHLevel0 5 5" xfId="49505" xr:uid="{00000000-0005-0000-0000-00000DBC0000}"/>
    <cellStyle name="SAPBEXHLevel0 6" xfId="46059" xr:uid="{00000000-0005-0000-0000-00000EBC0000}"/>
    <cellStyle name="SAPBEXHLevel0 6 2" xfId="46060" xr:uid="{00000000-0005-0000-0000-00000FBC0000}"/>
    <cellStyle name="SAPBEXHLevel0 6 2 2" xfId="50401" xr:uid="{00000000-0005-0000-0000-000010BC0000}"/>
    <cellStyle name="SAPBEXHLevel0 6 3" xfId="51513" xr:uid="{00000000-0005-0000-0000-000011BC0000}"/>
    <cellStyle name="SAPBEXHLevel0 6 4" xfId="49665" xr:uid="{00000000-0005-0000-0000-000012BC0000}"/>
    <cellStyle name="SAPBEXHLevel0 7" xfId="46061" xr:uid="{00000000-0005-0000-0000-000013BC0000}"/>
    <cellStyle name="SAPBEXHLevel0 7 2" xfId="46062" xr:uid="{00000000-0005-0000-0000-000014BC0000}"/>
    <cellStyle name="SAPBEXHLevel0 7 2 2" xfId="51055" xr:uid="{00000000-0005-0000-0000-000015BC0000}"/>
    <cellStyle name="SAPBEXHLevel0 7 3" xfId="51121" xr:uid="{00000000-0005-0000-0000-000016BC0000}"/>
    <cellStyle name="SAPBEXHLevel0 7 4" xfId="50010" xr:uid="{00000000-0005-0000-0000-000017BC0000}"/>
    <cellStyle name="SAPBEXHLevel0 8" xfId="46063" xr:uid="{00000000-0005-0000-0000-000018BC0000}"/>
    <cellStyle name="SAPBEXHLevel0 8 2" xfId="46064" xr:uid="{00000000-0005-0000-0000-000019BC0000}"/>
    <cellStyle name="SAPBEXHLevel0 8 3" xfId="50723" xr:uid="{00000000-0005-0000-0000-00001ABC0000}"/>
    <cellStyle name="SAPBEXHLevel0 9" xfId="46065" xr:uid="{00000000-0005-0000-0000-00001BBC0000}"/>
    <cellStyle name="SAPBEXHLevel0 9 2" xfId="46066" xr:uid="{00000000-0005-0000-0000-00001CBC0000}"/>
    <cellStyle name="SAPBEXHLevel0 9 3" xfId="51217"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2" xr:uid="{00000000-0005-0000-0000-000037BC0000}"/>
    <cellStyle name="SAPBEXHLevel0X 2 2 2 3" xfId="51613" xr:uid="{00000000-0005-0000-0000-000038BC0000}"/>
    <cellStyle name="SAPBEXHLevel0X 2 2 2 4" xfId="49857" xr:uid="{00000000-0005-0000-0000-000039BC0000}"/>
    <cellStyle name="SAPBEXHLevel0X 2 2 3" xfId="46091" xr:uid="{00000000-0005-0000-0000-00003ABC0000}"/>
    <cellStyle name="SAPBEXHLevel0X 2 2 3 2" xfId="50510" xr:uid="{00000000-0005-0000-0000-00003BBC0000}"/>
    <cellStyle name="SAPBEXHLevel0X 2 2 4" xfId="51642" xr:uid="{00000000-0005-0000-0000-00003CBC0000}"/>
    <cellStyle name="SAPBEXHLevel0X 2 2 5" xfId="49529"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38" xr:uid="{00000000-0005-0000-0000-00004ABC0000}"/>
    <cellStyle name="SAPBEXHLevel0X 2 3 2 3" xfId="51424" xr:uid="{00000000-0005-0000-0000-00004BBC0000}"/>
    <cellStyle name="SAPBEXHLevel0X 2 3 2 4" xfId="49759" xr:uid="{00000000-0005-0000-0000-00004CBC0000}"/>
    <cellStyle name="SAPBEXHLevel0X 2 3 3" xfId="50607" xr:uid="{00000000-0005-0000-0000-00004DBC0000}"/>
    <cellStyle name="SAPBEXHLevel0X 2 3 4" xfId="51652" xr:uid="{00000000-0005-0000-0000-00004EBC0000}"/>
    <cellStyle name="SAPBEXHLevel0X 2 3 5" xfId="49431"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5" xr:uid="{00000000-0005-0000-0000-000053BC0000}"/>
    <cellStyle name="SAPBEXHLevel0X 2 4" xfId="46107" xr:uid="{00000000-0005-0000-0000-000054BC0000}"/>
    <cellStyle name="SAPBEXHLevel0X 2 4 2" xfId="46108" xr:uid="{00000000-0005-0000-0000-000055BC0000}"/>
    <cellStyle name="SAPBEXHLevel0X 2 4 2 2" xfId="50398" xr:uid="{00000000-0005-0000-0000-000056BC0000}"/>
    <cellStyle name="SAPBEXHLevel0X 2 4 3" xfId="51374" xr:uid="{00000000-0005-0000-0000-000057BC0000}"/>
    <cellStyle name="SAPBEXHLevel0X 2 4 4" xfId="49668" xr:uid="{00000000-0005-0000-0000-000058BC0000}"/>
    <cellStyle name="SAPBEXHLevel0X 2 5" xfId="46109" xr:uid="{00000000-0005-0000-0000-000059BC0000}"/>
    <cellStyle name="SAPBEXHLevel0X 2 5 2" xfId="46110" xr:uid="{00000000-0005-0000-0000-00005ABC0000}"/>
    <cellStyle name="SAPBEXHLevel0X 2 5 2 2" xfId="51052" xr:uid="{00000000-0005-0000-0000-00005BBC0000}"/>
    <cellStyle name="SAPBEXHLevel0X 2 5 3" xfId="51412" xr:uid="{00000000-0005-0000-0000-00005CBC0000}"/>
    <cellStyle name="SAPBEXHLevel0X 2 5 4" xfId="50007" xr:uid="{00000000-0005-0000-0000-00005DBC0000}"/>
    <cellStyle name="SAPBEXHLevel0X 2 6" xfId="46111" xr:uid="{00000000-0005-0000-0000-00005EBC0000}"/>
    <cellStyle name="SAPBEXHLevel0X 2 6 2" xfId="46112" xr:uid="{00000000-0005-0000-0000-00005FBC0000}"/>
    <cellStyle name="SAPBEXHLevel0X 2 6 3" xfId="50720" xr:uid="{00000000-0005-0000-0000-000060BC0000}"/>
    <cellStyle name="SAPBEXHLevel0X 2 7" xfId="46113" xr:uid="{00000000-0005-0000-0000-000061BC0000}"/>
    <cellStyle name="SAPBEXHLevel0X 2 7 2" xfId="46114" xr:uid="{00000000-0005-0000-0000-000062BC0000}"/>
    <cellStyle name="SAPBEXHLevel0X 2 7 3" xfId="51341"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0" xr:uid="{00000000-0005-0000-0000-000072BC0000}"/>
    <cellStyle name="SAPBEXHLevel0X 3 10 2" xfId="49758" xr:uid="{00000000-0005-0000-0000-000073BC0000}"/>
    <cellStyle name="SAPBEXHLevel0X 3 10 2 2" xfId="50239" xr:uid="{00000000-0005-0000-0000-000074BC0000}"/>
    <cellStyle name="SAPBEXHLevel0X 3 10 2 3" xfId="51164" xr:uid="{00000000-0005-0000-0000-000075BC0000}"/>
    <cellStyle name="SAPBEXHLevel0X 3 10 3" xfId="50608" xr:uid="{00000000-0005-0000-0000-000076BC0000}"/>
    <cellStyle name="SAPBEXHLevel0X 3 10 4" xfId="51345" xr:uid="{00000000-0005-0000-0000-000077BC0000}"/>
    <cellStyle name="SAPBEXHLevel0X 3 11" xfId="49669" xr:uid="{00000000-0005-0000-0000-000078BC0000}"/>
    <cellStyle name="SAPBEXHLevel0X 3 11 2" xfId="50397" xr:uid="{00000000-0005-0000-0000-000079BC0000}"/>
    <cellStyle name="SAPBEXHLevel0X 3 11 3" xfId="51627" xr:uid="{00000000-0005-0000-0000-00007ABC0000}"/>
    <cellStyle name="SAPBEXHLevel0X 3 12" xfId="50006" xr:uid="{00000000-0005-0000-0000-00007BBC0000}"/>
    <cellStyle name="SAPBEXHLevel0X 3 12 2" xfId="51051" xr:uid="{00000000-0005-0000-0000-00007CBC0000}"/>
    <cellStyle name="SAPBEXHLevel0X 3 12 3" xfId="51582" xr:uid="{00000000-0005-0000-0000-00007DBC0000}"/>
    <cellStyle name="SAPBEXHLevel0X 3 13" xfId="50719" xr:uid="{00000000-0005-0000-0000-00007EBC0000}"/>
    <cellStyle name="SAPBEXHLevel0X 3 14" xfId="51656" xr:uid="{00000000-0005-0000-0000-00007FBC0000}"/>
    <cellStyle name="SAPBEXHLevel0X 3 15" xfId="49286" xr:uid="{00000000-0005-0000-0000-000080BC0000}"/>
    <cellStyle name="SAPBEXHLevel0X 3 2" xfId="46129" xr:uid="{00000000-0005-0000-0000-000081BC0000}"/>
    <cellStyle name="SAPBEXHLevel0X 3 2 2" xfId="49531" xr:uid="{00000000-0005-0000-0000-000082BC0000}"/>
    <cellStyle name="SAPBEXHLevel0X 3 2 2 2" xfId="49859" xr:uid="{00000000-0005-0000-0000-000083BC0000}"/>
    <cellStyle name="SAPBEXHLevel0X 3 2 2 2 2" xfId="50150" xr:uid="{00000000-0005-0000-0000-000084BC0000}"/>
    <cellStyle name="SAPBEXHLevel0X 3 2 2 2 3" xfId="51279" xr:uid="{00000000-0005-0000-0000-000085BC0000}"/>
    <cellStyle name="SAPBEXHLevel0X 3 2 2 3" xfId="50508" xr:uid="{00000000-0005-0000-0000-000086BC0000}"/>
    <cellStyle name="SAPBEXHLevel0X 3 2 2 4" xfId="50976" xr:uid="{00000000-0005-0000-0000-000087BC0000}"/>
    <cellStyle name="SAPBEXHLevel0X 3 2 3" xfId="49429" xr:uid="{00000000-0005-0000-0000-000088BC0000}"/>
    <cellStyle name="SAPBEXHLevel0X 3 2 3 2" xfId="49757" xr:uid="{00000000-0005-0000-0000-000089BC0000}"/>
    <cellStyle name="SAPBEXHLevel0X 3 2 3 2 2" xfId="50240" xr:uid="{00000000-0005-0000-0000-00008ABC0000}"/>
    <cellStyle name="SAPBEXHLevel0X 3 2 3 2 3" xfId="51525" xr:uid="{00000000-0005-0000-0000-00008BBC0000}"/>
    <cellStyle name="SAPBEXHLevel0X 3 2 3 3" xfId="50609" xr:uid="{00000000-0005-0000-0000-00008CBC0000}"/>
    <cellStyle name="SAPBEXHLevel0X 3 2 3 4" xfId="51561" xr:uid="{00000000-0005-0000-0000-00008DBC0000}"/>
    <cellStyle name="SAPBEXHLevel0X 3 2 4" xfId="49670" xr:uid="{00000000-0005-0000-0000-00008EBC0000}"/>
    <cellStyle name="SAPBEXHLevel0X 3 2 4 2" xfId="50396" xr:uid="{00000000-0005-0000-0000-00008FBC0000}"/>
    <cellStyle name="SAPBEXHLevel0X 3 2 4 3" xfId="50809" xr:uid="{00000000-0005-0000-0000-000090BC0000}"/>
    <cellStyle name="SAPBEXHLevel0X 3 2 5" xfId="50005" xr:uid="{00000000-0005-0000-0000-000091BC0000}"/>
    <cellStyle name="SAPBEXHLevel0X 3 2 5 2" xfId="51050" xr:uid="{00000000-0005-0000-0000-000092BC0000}"/>
    <cellStyle name="SAPBEXHLevel0X 3 2 5 3" xfId="51325" xr:uid="{00000000-0005-0000-0000-000093BC0000}"/>
    <cellStyle name="SAPBEXHLevel0X 3 2 6" xfId="50718" xr:uid="{00000000-0005-0000-0000-000094BC0000}"/>
    <cellStyle name="SAPBEXHLevel0X 3 2 7" xfId="50654" xr:uid="{00000000-0005-0000-0000-000095BC0000}"/>
    <cellStyle name="SAPBEXHLevel0X 3 2 8" xfId="49287" xr:uid="{00000000-0005-0000-0000-000096BC0000}"/>
    <cellStyle name="SAPBEXHLevel0X 3 3" xfId="46130" xr:uid="{00000000-0005-0000-0000-000097BC0000}"/>
    <cellStyle name="SAPBEXHLevel0X 3 3 2" xfId="49532" xr:uid="{00000000-0005-0000-0000-000098BC0000}"/>
    <cellStyle name="SAPBEXHLevel0X 3 3 2 2" xfId="49860" xr:uid="{00000000-0005-0000-0000-000099BC0000}"/>
    <cellStyle name="SAPBEXHLevel0X 3 3 2 2 2" xfId="50149" xr:uid="{00000000-0005-0000-0000-00009ABC0000}"/>
    <cellStyle name="SAPBEXHLevel0X 3 3 2 2 3" xfId="51537" xr:uid="{00000000-0005-0000-0000-00009BBC0000}"/>
    <cellStyle name="SAPBEXHLevel0X 3 3 2 3" xfId="50507" xr:uid="{00000000-0005-0000-0000-00009CBC0000}"/>
    <cellStyle name="SAPBEXHLevel0X 3 3 2 4" xfId="51241" xr:uid="{00000000-0005-0000-0000-00009DBC0000}"/>
    <cellStyle name="SAPBEXHLevel0X 3 3 3" xfId="49428" xr:uid="{00000000-0005-0000-0000-00009EBC0000}"/>
    <cellStyle name="SAPBEXHLevel0X 3 3 3 2" xfId="49756" xr:uid="{00000000-0005-0000-0000-00009FBC0000}"/>
    <cellStyle name="SAPBEXHLevel0X 3 3 3 2 2" xfId="50241" xr:uid="{00000000-0005-0000-0000-0000A0BC0000}"/>
    <cellStyle name="SAPBEXHLevel0X 3 3 3 2 3" xfId="51267" xr:uid="{00000000-0005-0000-0000-0000A1BC0000}"/>
    <cellStyle name="SAPBEXHLevel0X 3 3 3 3" xfId="50610" xr:uid="{00000000-0005-0000-0000-0000A2BC0000}"/>
    <cellStyle name="SAPBEXHLevel0X 3 3 3 4" xfId="51304" xr:uid="{00000000-0005-0000-0000-0000A3BC0000}"/>
    <cellStyle name="SAPBEXHLevel0X 3 3 4" xfId="49671" xr:uid="{00000000-0005-0000-0000-0000A4BC0000}"/>
    <cellStyle name="SAPBEXHLevel0X 3 3 4 2" xfId="50395" xr:uid="{00000000-0005-0000-0000-0000A5BC0000}"/>
    <cellStyle name="SAPBEXHLevel0X 3 3 4 3" xfId="51257" xr:uid="{00000000-0005-0000-0000-0000A6BC0000}"/>
    <cellStyle name="SAPBEXHLevel0X 3 3 5" xfId="50004" xr:uid="{00000000-0005-0000-0000-0000A7BC0000}"/>
    <cellStyle name="SAPBEXHLevel0X 3 3 5 2" xfId="51049" xr:uid="{00000000-0005-0000-0000-0000A8BC0000}"/>
    <cellStyle name="SAPBEXHLevel0X 3 3 5 3" xfId="51552" xr:uid="{00000000-0005-0000-0000-0000A9BC0000}"/>
    <cellStyle name="SAPBEXHLevel0X 3 3 6" xfId="50717" xr:uid="{00000000-0005-0000-0000-0000AABC0000}"/>
    <cellStyle name="SAPBEXHLevel0X 3 3 7" xfId="50869" xr:uid="{00000000-0005-0000-0000-0000ABBC0000}"/>
    <cellStyle name="SAPBEXHLevel0X 3 3 8" xfId="49288" xr:uid="{00000000-0005-0000-0000-0000ACBC0000}"/>
    <cellStyle name="SAPBEXHLevel0X 3 4" xfId="49289" xr:uid="{00000000-0005-0000-0000-0000ADBC0000}"/>
    <cellStyle name="SAPBEXHLevel0X 3 4 2" xfId="49533" xr:uid="{00000000-0005-0000-0000-0000AEBC0000}"/>
    <cellStyle name="SAPBEXHLevel0X 3 4 2 2" xfId="49861" xr:uid="{00000000-0005-0000-0000-0000AFBC0000}"/>
    <cellStyle name="SAPBEXHLevel0X 3 4 2 2 2" xfId="50148" xr:uid="{00000000-0005-0000-0000-0000B0BC0000}"/>
    <cellStyle name="SAPBEXHLevel0X 3 4 2 2 3" xfId="51311" xr:uid="{00000000-0005-0000-0000-0000B1BC0000}"/>
    <cellStyle name="SAPBEXHLevel0X 3 4 2 3" xfId="50506" xr:uid="{00000000-0005-0000-0000-0000B2BC0000}"/>
    <cellStyle name="SAPBEXHLevel0X 3 4 2 4" xfId="51498" xr:uid="{00000000-0005-0000-0000-0000B3BC0000}"/>
    <cellStyle name="SAPBEXHLevel0X 3 4 3" xfId="49427" xr:uid="{00000000-0005-0000-0000-0000B4BC0000}"/>
    <cellStyle name="SAPBEXHLevel0X 3 4 3 2" xfId="49755" xr:uid="{00000000-0005-0000-0000-0000B5BC0000}"/>
    <cellStyle name="SAPBEXHLevel0X 3 4 3 2 2" xfId="50242" xr:uid="{00000000-0005-0000-0000-0000B6BC0000}"/>
    <cellStyle name="SAPBEXHLevel0X 3 4 3 2 3" xfId="50644" xr:uid="{00000000-0005-0000-0000-0000B7BC0000}"/>
    <cellStyle name="SAPBEXHLevel0X 3 4 3 3" xfId="50611" xr:uid="{00000000-0005-0000-0000-0000B8BC0000}"/>
    <cellStyle name="SAPBEXHLevel0X 3 4 3 4" xfId="51461" xr:uid="{00000000-0005-0000-0000-0000B9BC0000}"/>
    <cellStyle name="SAPBEXHLevel0X 3 4 4" xfId="49672" xr:uid="{00000000-0005-0000-0000-0000BABC0000}"/>
    <cellStyle name="SAPBEXHLevel0X 3 4 4 2" xfId="50059" xr:uid="{00000000-0005-0000-0000-0000BBBC0000}"/>
    <cellStyle name="SAPBEXHLevel0X 3 4 4 3" xfId="51514" xr:uid="{00000000-0005-0000-0000-0000BCBC0000}"/>
    <cellStyle name="SAPBEXHLevel0X 3 4 5" xfId="50003" xr:uid="{00000000-0005-0000-0000-0000BDBC0000}"/>
    <cellStyle name="SAPBEXHLevel0X 3 4 5 2" xfId="51048" xr:uid="{00000000-0005-0000-0000-0000BEBC0000}"/>
    <cellStyle name="SAPBEXHLevel0X 3 4 5 3" xfId="51294" xr:uid="{00000000-0005-0000-0000-0000BFBC0000}"/>
    <cellStyle name="SAPBEXHLevel0X 3 4 6" xfId="50716" xr:uid="{00000000-0005-0000-0000-0000C0BC0000}"/>
    <cellStyle name="SAPBEXHLevel0X 3 4 7" xfId="50943" xr:uid="{00000000-0005-0000-0000-0000C1BC0000}"/>
    <cellStyle name="SAPBEXHLevel0X 3 5" xfId="49290" xr:uid="{00000000-0005-0000-0000-0000C2BC0000}"/>
    <cellStyle name="SAPBEXHLevel0X 3 5 2" xfId="49534" xr:uid="{00000000-0005-0000-0000-0000C3BC0000}"/>
    <cellStyle name="SAPBEXHLevel0X 3 5 2 2" xfId="49862" xr:uid="{00000000-0005-0000-0000-0000C4BC0000}"/>
    <cellStyle name="SAPBEXHLevel0X 3 5 2 2 2" xfId="50147" xr:uid="{00000000-0005-0000-0000-0000C5BC0000}"/>
    <cellStyle name="SAPBEXHLevel0X 3 5 2 2 3" xfId="51568" xr:uid="{00000000-0005-0000-0000-0000C6BC0000}"/>
    <cellStyle name="SAPBEXHLevel0X 3 5 2 3" xfId="50505" xr:uid="{00000000-0005-0000-0000-0000C7BC0000}"/>
    <cellStyle name="SAPBEXHLevel0X 3 5 2 4" xfId="51189" xr:uid="{00000000-0005-0000-0000-0000C8BC0000}"/>
    <cellStyle name="SAPBEXHLevel0X 3 5 3" xfId="49426" xr:uid="{00000000-0005-0000-0000-0000C9BC0000}"/>
    <cellStyle name="SAPBEXHLevel0X 3 5 3 2" xfId="49754" xr:uid="{00000000-0005-0000-0000-0000CABC0000}"/>
    <cellStyle name="SAPBEXHLevel0X 3 5 3 2 2" xfId="50243" xr:uid="{00000000-0005-0000-0000-0000CBBC0000}"/>
    <cellStyle name="SAPBEXHLevel0X 3 5 3 2 3" xfId="51659" xr:uid="{00000000-0005-0000-0000-0000CCBC0000}"/>
    <cellStyle name="SAPBEXHLevel0X 3 5 3 3" xfId="50612" xr:uid="{00000000-0005-0000-0000-0000CDBC0000}"/>
    <cellStyle name="SAPBEXHLevel0X 3 5 3 4" xfId="51203" xr:uid="{00000000-0005-0000-0000-0000CEBC0000}"/>
    <cellStyle name="SAPBEXHLevel0X 3 5 4" xfId="49673" xr:uid="{00000000-0005-0000-0000-0000CFBC0000}"/>
    <cellStyle name="SAPBEXHLevel0X 3 5 4 2" xfId="50371" xr:uid="{00000000-0005-0000-0000-0000D0BC0000}"/>
    <cellStyle name="SAPBEXHLevel0X 3 5 4 3" xfId="51174" xr:uid="{00000000-0005-0000-0000-0000D1BC0000}"/>
    <cellStyle name="SAPBEXHLevel0X 3 5 5" xfId="49962" xr:uid="{00000000-0005-0000-0000-0000D2BC0000}"/>
    <cellStyle name="SAPBEXHLevel0X 3 5 5 2" xfId="51007" xr:uid="{00000000-0005-0000-0000-0000D3BC0000}"/>
    <cellStyle name="SAPBEXHLevel0X 3 5 5 3" xfId="51329" xr:uid="{00000000-0005-0000-0000-0000D4BC0000}"/>
    <cellStyle name="SAPBEXHLevel0X 3 5 6" xfId="50715" xr:uid="{00000000-0005-0000-0000-0000D5BC0000}"/>
    <cellStyle name="SAPBEXHLevel0X 3 5 7" xfId="50883" xr:uid="{00000000-0005-0000-0000-0000D6BC0000}"/>
    <cellStyle name="SAPBEXHLevel0X 3 6" xfId="49291" xr:uid="{00000000-0005-0000-0000-0000D7BC0000}"/>
    <cellStyle name="SAPBEXHLevel0X 3 6 2" xfId="49535" xr:uid="{00000000-0005-0000-0000-0000D8BC0000}"/>
    <cellStyle name="SAPBEXHLevel0X 3 6 2 2" xfId="49863" xr:uid="{00000000-0005-0000-0000-0000D9BC0000}"/>
    <cellStyle name="SAPBEXHLevel0X 3 6 2 2 2" xfId="50146" xr:uid="{00000000-0005-0000-0000-0000DABC0000}"/>
    <cellStyle name="SAPBEXHLevel0X 3 6 2 2 3" xfId="51398" xr:uid="{00000000-0005-0000-0000-0000DBBC0000}"/>
    <cellStyle name="SAPBEXHLevel0X 3 6 2 3" xfId="50504" xr:uid="{00000000-0005-0000-0000-0000DCBC0000}"/>
    <cellStyle name="SAPBEXHLevel0X 3 6 2 4" xfId="51447" xr:uid="{00000000-0005-0000-0000-0000DDBC0000}"/>
    <cellStyle name="SAPBEXHLevel0X 3 6 3" xfId="49425" xr:uid="{00000000-0005-0000-0000-0000DEBC0000}"/>
    <cellStyle name="SAPBEXHLevel0X 3 6 3 2" xfId="49753" xr:uid="{00000000-0005-0000-0000-0000DFBC0000}"/>
    <cellStyle name="SAPBEXHLevel0X 3 6 3 2 2" xfId="50244" xr:uid="{00000000-0005-0000-0000-0000E0BC0000}"/>
    <cellStyle name="SAPBEXHLevel0X 3 6 3 2 3" xfId="51385" xr:uid="{00000000-0005-0000-0000-0000E1BC0000}"/>
    <cellStyle name="SAPBEXHLevel0X 3 6 3 3" xfId="50613" xr:uid="{00000000-0005-0000-0000-0000E2BC0000}"/>
    <cellStyle name="SAPBEXHLevel0X 3 6 3 4" xfId="51484" xr:uid="{00000000-0005-0000-0000-0000E3BC0000}"/>
    <cellStyle name="SAPBEXHLevel0X 3 6 4" xfId="49674" xr:uid="{00000000-0005-0000-0000-0000E4BC0000}"/>
    <cellStyle name="SAPBEXHLevel0X 3 6 4 2" xfId="50345" xr:uid="{00000000-0005-0000-0000-0000E5BC0000}"/>
    <cellStyle name="SAPBEXHLevel0X 3 6 4 3" xfId="51433" xr:uid="{00000000-0005-0000-0000-0000E6BC0000}"/>
    <cellStyle name="SAPBEXHLevel0X 3 6 5" xfId="50002" xr:uid="{00000000-0005-0000-0000-0000E7BC0000}"/>
    <cellStyle name="SAPBEXHLevel0X 3 6 5 2" xfId="51047" xr:uid="{00000000-0005-0000-0000-0000E8BC0000}"/>
    <cellStyle name="SAPBEXHLevel0X 3 6 5 3" xfId="51119" xr:uid="{00000000-0005-0000-0000-0000E9BC0000}"/>
    <cellStyle name="SAPBEXHLevel0X 3 6 6" xfId="50714" xr:uid="{00000000-0005-0000-0000-0000EABC0000}"/>
    <cellStyle name="SAPBEXHLevel0X 3 6 7" xfId="50954" xr:uid="{00000000-0005-0000-0000-0000EBBC0000}"/>
    <cellStyle name="SAPBEXHLevel0X 3 7" xfId="49292" xr:uid="{00000000-0005-0000-0000-0000ECBC0000}"/>
    <cellStyle name="SAPBEXHLevel0X 3 7 2" xfId="49536" xr:uid="{00000000-0005-0000-0000-0000EDBC0000}"/>
    <cellStyle name="SAPBEXHLevel0X 3 7 2 2" xfId="49864" xr:uid="{00000000-0005-0000-0000-0000EEBC0000}"/>
    <cellStyle name="SAPBEXHLevel0X 3 7 2 2 2" xfId="50145" xr:uid="{00000000-0005-0000-0000-0000EFBC0000}"/>
    <cellStyle name="SAPBEXHLevel0X 3 7 2 2 3" xfId="51612" xr:uid="{00000000-0005-0000-0000-0000F0BC0000}"/>
    <cellStyle name="SAPBEXHLevel0X 3 7 2 3" xfId="50503" xr:uid="{00000000-0005-0000-0000-0000F1BC0000}"/>
    <cellStyle name="SAPBEXHLevel0X 3 7 2 4" xfId="51359" xr:uid="{00000000-0005-0000-0000-0000F2BC0000}"/>
    <cellStyle name="SAPBEXHLevel0X 3 7 3" xfId="49424" xr:uid="{00000000-0005-0000-0000-0000F3BC0000}"/>
    <cellStyle name="SAPBEXHLevel0X 3 7 3 2" xfId="49752" xr:uid="{00000000-0005-0000-0000-0000F4BC0000}"/>
    <cellStyle name="SAPBEXHLevel0X 3 7 3 2 2" xfId="50245" xr:uid="{00000000-0005-0000-0000-0000F5BC0000}"/>
    <cellStyle name="SAPBEXHLevel0X 3 7 3 2 3" xfId="51425" xr:uid="{00000000-0005-0000-0000-0000F6BC0000}"/>
    <cellStyle name="SAPBEXHLevel0X 3 7 3 3" xfId="50614" xr:uid="{00000000-0005-0000-0000-0000F7BC0000}"/>
    <cellStyle name="SAPBEXHLevel0X 3 7 3 4" xfId="51227" xr:uid="{00000000-0005-0000-0000-0000F8BC0000}"/>
    <cellStyle name="SAPBEXHLevel0X 3 7 4" xfId="49675" xr:uid="{00000000-0005-0000-0000-0000F9BC0000}"/>
    <cellStyle name="SAPBEXHLevel0X 3 7 4 2" xfId="50344" xr:uid="{00000000-0005-0000-0000-0000FABC0000}"/>
    <cellStyle name="SAPBEXHLevel0X 3 7 4 3" xfId="51375" xr:uid="{00000000-0005-0000-0000-0000FBBC0000}"/>
    <cellStyle name="SAPBEXHLevel0X 3 7 5" xfId="50001" xr:uid="{00000000-0005-0000-0000-0000FCBC0000}"/>
    <cellStyle name="SAPBEXHLevel0X 3 7 5 2" xfId="51046" xr:uid="{00000000-0005-0000-0000-0000FDBC0000}"/>
    <cellStyle name="SAPBEXHLevel0X 3 7 5 3" xfId="51604" xr:uid="{00000000-0005-0000-0000-0000FEBC0000}"/>
    <cellStyle name="SAPBEXHLevel0X 3 7 6" xfId="50713" xr:uid="{00000000-0005-0000-0000-0000FFBC0000}"/>
    <cellStyle name="SAPBEXHLevel0X 3 7 7" xfId="50907" xr:uid="{00000000-0005-0000-0000-000000BD0000}"/>
    <cellStyle name="SAPBEXHLevel0X 3 8" xfId="49293" xr:uid="{00000000-0005-0000-0000-000001BD0000}"/>
    <cellStyle name="SAPBEXHLevel0X 3 8 2" xfId="49537" xr:uid="{00000000-0005-0000-0000-000002BD0000}"/>
    <cellStyle name="SAPBEXHLevel0X 3 8 2 2" xfId="49865" xr:uid="{00000000-0005-0000-0000-000003BD0000}"/>
    <cellStyle name="SAPBEXHLevel0X 3 8 2 2 2" xfId="50144" xr:uid="{00000000-0005-0000-0000-000004BD0000}"/>
    <cellStyle name="SAPBEXHLevel0X 3 8 2 2 3" xfId="50961" xr:uid="{00000000-0005-0000-0000-000005BD0000}"/>
    <cellStyle name="SAPBEXHLevel0X 3 8 2 3" xfId="50502" xr:uid="{00000000-0005-0000-0000-000006BD0000}"/>
    <cellStyle name="SAPBEXHLevel0X 3 8 2 4" xfId="51639" xr:uid="{00000000-0005-0000-0000-000007BD0000}"/>
    <cellStyle name="SAPBEXHLevel0X 3 8 3" xfId="49423" xr:uid="{00000000-0005-0000-0000-000008BD0000}"/>
    <cellStyle name="SAPBEXHLevel0X 3 8 3 2" xfId="49751" xr:uid="{00000000-0005-0000-0000-000009BD0000}"/>
    <cellStyle name="SAPBEXHLevel0X 3 8 3 2 2" xfId="50246" xr:uid="{00000000-0005-0000-0000-00000ABD0000}"/>
    <cellStyle name="SAPBEXHLevel0X 3 8 3 2 3" xfId="51165" xr:uid="{00000000-0005-0000-0000-00000BBD0000}"/>
    <cellStyle name="SAPBEXHLevel0X 3 8 3 3" xfId="50615" xr:uid="{00000000-0005-0000-0000-00000CBD0000}"/>
    <cellStyle name="SAPBEXHLevel0X 3 8 3 4" xfId="50895" xr:uid="{00000000-0005-0000-0000-00000DBD0000}"/>
    <cellStyle name="SAPBEXHLevel0X 3 8 4" xfId="49676" xr:uid="{00000000-0005-0000-0000-00000EBD0000}"/>
    <cellStyle name="SAPBEXHLevel0X 3 8 4 2" xfId="50343" xr:uid="{00000000-0005-0000-0000-00000FBD0000}"/>
    <cellStyle name="SAPBEXHLevel0X 3 8 4 3" xfId="51626" xr:uid="{00000000-0005-0000-0000-000010BD0000}"/>
    <cellStyle name="SAPBEXHLevel0X 3 8 5" xfId="50047" xr:uid="{00000000-0005-0000-0000-000011BD0000}"/>
    <cellStyle name="SAPBEXHLevel0X 3 8 5 2" xfId="51091" xr:uid="{00000000-0005-0000-0000-000012BD0000}"/>
    <cellStyle name="SAPBEXHLevel0X 3 8 5 3" xfId="51585" xr:uid="{00000000-0005-0000-0000-000013BD0000}"/>
    <cellStyle name="SAPBEXHLevel0X 3 8 6" xfId="50712" xr:uid="{00000000-0005-0000-0000-000014BD0000}"/>
    <cellStyle name="SAPBEXHLevel0X 3 8 7" xfId="50970" xr:uid="{00000000-0005-0000-0000-000015BD0000}"/>
    <cellStyle name="SAPBEXHLevel0X 3 9" xfId="49530" xr:uid="{00000000-0005-0000-0000-000016BD0000}"/>
    <cellStyle name="SAPBEXHLevel0X 3 9 2" xfId="49858" xr:uid="{00000000-0005-0000-0000-000017BD0000}"/>
    <cellStyle name="SAPBEXHLevel0X 3 9 2 2" xfId="50151" xr:uid="{00000000-0005-0000-0000-000018BD0000}"/>
    <cellStyle name="SAPBEXHLevel0X 3 9 2 3" xfId="50890" xr:uid="{00000000-0005-0000-0000-000019BD0000}"/>
    <cellStyle name="SAPBEXHLevel0X 3 9 3" xfId="50509" xr:uid="{00000000-0005-0000-0000-00001ABD0000}"/>
    <cellStyle name="SAPBEXHLevel0X 3 9 4" xfId="50910"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4" xr:uid="{00000000-0005-0000-0000-000020BD0000}"/>
    <cellStyle name="SAPBEXHLevel0X 4" xfId="46135" xr:uid="{00000000-0005-0000-0000-000021BD0000}"/>
    <cellStyle name="SAPBEXHLevel0X 4 2" xfId="46136" xr:uid="{00000000-0005-0000-0000-000022BD0000}"/>
    <cellStyle name="SAPBEXHLevel0X 4 2 2" xfId="50153" xr:uid="{00000000-0005-0000-0000-000023BD0000}"/>
    <cellStyle name="SAPBEXHLevel0X 4 2 3" xfId="51397" xr:uid="{00000000-0005-0000-0000-000024BD0000}"/>
    <cellStyle name="SAPBEXHLevel0X 4 2 4" xfId="49856" xr:uid="{00000000-0005-0000-0000-000025BD0000}"/>
    <cellStyle name="SAPBEXHLevel0X 4 3" xfId="50511" xr:uid="{00000000-0005-0000-0000-000026BD0000}"/>
    <cellStyle name="SAPBEXHLevel0X 4 4" xfId="51356" xr:uid="{00000000-0005-0000-0000-000027BD0000}"/>
    <cellStyle name="SAPBEXHLevel0X 4 5" xfId="49528" xr:uid="{00000000-0005-0000-0000-000028BD0000}"/>
    <cellStyle name="SAPBEXHLevel0X 5" xfId="46137" xr:uid="{00000000-0005-0000-0000-000029BD0000}"/>
    <cellStyle name="SAPBEXHLevel0X 5 2" xfId="46138" xr:uid="{00000000-0005-0000-0000-00002ABD0000}"/>
    <cellStyle name="SAPBEXHLevel0X 5 2 2" xfId="50237" xr:uid="{00000000-0005-0000-0000-00002BBD0000}"/>
    <cellStyle name="SAPBEXHLevel0X 5 2 3" xfId="51386" xr:uid="{00000000-0005-0000-0000-00002CBD0000}"/>
    <cellStyle name="SAPBEXHLevel0X 5 2 4" xfId="49760" xr:uid="{00000000-0005-0000-0000-00002DBD0000}"/>
    <cellStyle name="SAPBEXHLevel0X 5 3" xfId="50606" xr:uid="{00000000-0005-0000-0000-00002EBD0000}"/>
    <cellStyle name="SAPBEXHLevel0X 5 4" xfId="50966" xr:uid="{00000000-0005-0000-0000-00002FBD0000}"/>
    <cellStyle name="SAPBEXHLevel0X 5 5" xfId="49432" xr:uid="{00000000-0005-0000-0000-000030BD0000}"/>
    <cellStyle name="SAPBEXHLevel0X 6" xfId="46139" xr:uid="{00000000-0005-0000-0000-000031BD0000}"/>
    <cellStyle name="SAPBEXHLevel0X 6 2" xfId="46140" xr:uid="{00000000-0005-0000-0000-000032BD0000}"/>
    <cellStyle name="SAPBEXHLevel0X 6 2 2" xfId="50399" xr:uid="{00000000-0005-0000-0000-000033BD0000}"/>
    <cellStyle name="SAPBEXHLevel0X 6 3" xfId="51559" xr:uid="{00000000-0005-0000-0000-000034BD0000}"/>
    <cellStyle name="SAPBEXHLevel0X 6 4" xfId="49667" xr:uid="{00000000-0005-0000-0000-000035BD0000}"/>
    <cellStyle name="SAPBEXHLevel0X 7" xfId="46141" xr:uid="{00000000-0005-0000-0000-000036BD0000}"/>
    <cellStyle name="SAPBEXHLevel0X 7 2" xfId="46142" xr:uid="{00000000-0005-0000-0000-000037BD0000}"/>
    <cellStyle name="SAPBEXHLevel0X 7 2 2" xfId="51053" xr:uid="{00000000-0005-0000-0000-000038BD0000}"/>
    <cellStyle name="SAPBEXHLevel0X 7 3" xfId="51603" xr:uid="{00000000-0005-0000-0000-000039BD0000}"/>
    <cellStyle name="SAPBEXHLevel0X 7 4" xfId="50008" xr:uid="{00000000-0005-0000-0000-00003ABD0000}"/>
    <cellStyle name="SAPBEXHLevel0X 8" xfId="46143" xr:uid="{00000000-0005-0000-0000-00003BBD0000}"/>
    <cellStyle name="SAPBEXHLevel0X 8 2" xfId="46144" xr:uid="{00000000-0005-0000-0000-00003CBD0000}"/>
    <cellStyle name="SAPBEXHLevel0X 8 3" xfId="50721" xr:uid="{00000000-0005-0000-0000-00003DBD0000}"/>
    <cellStyle name="SAPBEXHLevel0X 9" xfId="46145" xr:uid="{00000000-0005-0000-0000-00003EBD0000}"/>
    <cellStyle name="SAPBEXHLevel0X 9 2" xfId="46146" xr:uid="{00000000-0005-0000-0000-00003FBD0000}"/>
    <cellStyle name="SAPBEXHLevel0X 9 3" xfId="51465"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38"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2" xr:uid="{00000000-0005-0000-0000-00005BBD0000}"/>
    <cellStyle name="SAPBEXHLevel1 2 2 2 3" xfId="51538" xr:uid="{00000000-0005-0000-0000-00005CBD0000}"/>
    <cellStyle name="SAPBEXHLevel1 2 2 2 4" xfId="49867" xr:uid="{00000000-0005-0000-0000-00005DBD0000}"/>
    <cellStyle name="SAPBEXHLevel1 2 2 3" xfId="46171" xr:uid="{00000000-0005-0000-0000-00005EBD0000}"/>
    <cellStyle name="SAPBEXHLevel1 2 2 3 2" xfId="50500" xr:uid="{00000000-0005-0000-0000-00005FBD0000}"/>
    <cellStyle name="SAPBEXHLevel1 2 2 4" xfId="51188" xr:uid="{00000000-0005-0000-0000-000060BD0000}"/>
    <cellStyle name="SAPBEXHLevel1 2 2 5" xfId="49539"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48" xr:uid="{00000000-0005-0000-0000-00006EBD0000}"/>
    <cellStyle name="SAPBEXHLevel1 2 3 2 3" xfId="51266" xr:uid="{00000000-0005-0000-0000-00006FBD0000}"/>
    <cellStyle name="SAPBEXHLevel1 2 3 2 4" xfId="49749" xr:uid="{00000000-0005-0000-0000-000070BD0000}"/>
    <cellStyle name="SAPBEXHLevel1 2 3 3" xfId="50617" xr:uid="{00000000-0005-0000-0000-000071BD0000}"/>
    <cellStyle name="SAPBEXHLevel1 2 3 4" xfId="51344" xr:uid="{00000000-0005-0000-0000-000072BD0000}"/>
    <cellStyle name="SAPBEXHLevel1 2 3 5" xfId="49421"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5" xr:uid="{00000000-0005-0000-0000-000077BD0000}"/>
    <cellStyle name="SAPBEXHLevel1 2 4" xfId="46187" xr:uid="{00000000-0005-0000-0000-000078BD0000}"/>
    <cellStyle name="SAPBEXHLevel1 2 4 2" xfId="46188" xr:uid="{00000000-0005-0000-0000-000079BD0000}"/>
    <cellStyle name="SAPBEXHLevel1 2 4 2 2" xfId="50341" xr:uid="{00000000-0005-0000-0000-00007ABD0000}"/>
    <cellStyle name="SAPBEXHLevel1 2 4 3" xfId="51258" xr:uid="{00000000-0005-0000-0000-00007BBD0000}"/>
    <cellStyle name="SAPBEXHLevel1 2 4 4" xfId="49678" xr:uid="{00000000-0005-0000-0000-00007CBD0000}"/>
    <cellStyle name="SAPBEXHLevel1 2 5" xfId="46189" xr:uid="{00000000-0005-0000-0000-00007DBD0000}"/>
    <cellStyle name="SAPBEXHLevel1 2 5 2" xfId="46190" xr:uid="{00000000-0005-0000-0000-00007EBD0000}"/>
    <cellStyle name="SAPBEXHLevel1 2 5 2 2" xfId="51044" xr:uid="{00000000-0005-0000-0000-00007FBD0000}"/>
    <cellStyle name="SAPBEXHLevel1 2 5 3" xfId="51581" xr:uid="{00000000-0005-0000-0000-000080BD0000}"/>
    <cellStyle name="SAPBEXHLevel1 2 5 4" xfId="49999" xr:uid="{00000000-0005-0000-0000-000081BD0000}"/>
    <cellStyle name="SAPBEXHLevel1 2 6" xfId="46191" xr:uid="{00000000-0005-0000-0000-000082BD0000}"/>
    <cellStyle name="SAPBEXHLevel1 2 6 2" xfId="46192" xr:uid="{00000000-0005-0000-0000-000083BD0000}"/>
    <cellStyle name="SAPBEXHLevel1 2 6 3" xfId="50710" xr:uid="{00000000-0005-0000-0000-000084BD0000}"/>
    <cellStyle name="SAPBEXHLevel1 2 7" xfId="46193" xr:uid="{00000000-0005-0000-0000-000085BD0000}"/>
    <cellStyle name="SAPBEXHLevel1 2 7 2" xfId="46194" xr:uid="{00000000-0005-0000-0000-000086BD0000}"/>
    <cellStyle name="SAPBEXHLevel1 2 7 3" xfId="51140"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3" xr:uid="{00000000-0005-0000-0000-000097BD0000}"/>
    <cellStyle name="SAPBEXHLevel1 3 2 3" xfId="51280" xr:uid="{00000000-0005-0000-0000-000098BD0000}"/>
    <cellStyle name="SAPBEXHLevel1 3 2 4" xfId="49866" xr:uid="{00000000-0005-0000-0000-000099BD0000}"/>
    <cellStyle name="SAPBEXHLevel1 3 3" xfId="46210" xr:uid="{00000000-0005-0000-0000-00009ABD0000}"/>
    <cellStyle name="SAPBEXHLevel1 3 3 2" xfId="50501" xr:uid="{00000000-0005-0000-0000-00009BBD0000}"/>
    <cellStyle name="SAPBEXHLevel1 3 4" xfId="50807" xr:uid="{00000000-0005-0000-0000-00009CBD0000}"/>
    <cellStyle name="SAPBEXHLevel1 3 5" xfId="49538"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4" xr:uid="{00000000-0005-0000-0000-0000A2BD0000}"/>
    <cellStyle name="SAPBEXHLevel1 4" xfId="46215" xr:uid="{00000000-0005-0000-0000-0000A3BD0000}"/>
    <cellStyle name="SAPBEXHLevel1 4 2" xfId="46216" xr:uid="{00000000-0005-0000-0000-0000A4BD0000}"/>
    <cellStyle name="SAPBEXHLevel1 4 2 2" xfId="50247" xr:uid="{00000000-0005-0000-0000-0000A5BD0000}"/>
    <cellStyle name="SAPBEXHLevel1 4 2 3" xfId="51524" xr:uid="{00000000-0005-0000-0000-0000A6BD0000}"/>
    <cellStyle name="SAPBEXHLevel1 4 2 4" xfId="49750" xr:uid="{00000000-0005-0000-0000-0000A7BD0000}"/>
    <cellStyle name="SAPBEXHLevel1 4 3" xfId="50616" xr:uid="{00000000-0005-0000-0000-0000A8BD0000}"/>
    <cellStyle name="SAPBEXHLevel1 4 4" xfId="51653" xr:uid="{00000000-0005-0000-0000-0000A9BD0000}"/>
    <cellStyle name="SAPBEXHLevel1 4 5" xfId="49422" xr:uid="{00000000-0005-0000-0000-0000AABD0000}"/>
    <cellStyle name="SAPBEXHLevel1 5" xfId="46217" xr:uid="{00000000-0005-0000-0000-0000ABBD0000}"/>
    <cellStyle name="SAPBEXHLevel1 5 2" xfId="46218" xr:uid="{00000000-0005-0000-0000-0000ACBD0000}"/>
    <cellStyle name="SAPBEXHLevel1 5 2 2" xfId="50087" xr:uid="{00000000-0005-0000-0000-0000ADBD0000}"/>
    <cellStyle name="SAPBEXHLevel1 5 2 3" xfId="51108" xr:uid="{00000000-0005-0000-0000-0000AEBD0000}"/>
    <cellStyle name="SAPBEXHLevel1 5 2 4" xfId="49924" xr:uid="{00000000-0005-0000-0000-0000AFBD0000}"/>
    <cellStyle name="SAPBEXHLevel1 5 3" xfId="50443" xr:uid="{00000000-0005-0000-0000-0000B0BD0000}"/>
    <cellStyle name="SAPBEXHLevel1 5 4" xfId="51190" xr:uid="{00000000-0005-0000-0000-0000B1BD0000}"/>
    <cellStyle name="SAPBEXHLevel1 5 5" xfId="49596" xr:uid="{00000000-0005-0000-0000-0000B2BD0000}"/>
    <cellStyle name="SAPBEXHLevel1 6" xfId="46219" xr:uid="{00000000-0005-0000-0000-0000B3BD0000}"/>
    <cellStyle name="SAPBEXHLevel1 6 2" xfId="46220" xr:uid="{00000000-0005-0000-0000-0000B4BD0000}"/>
    <cellStyle name="SAPBEXHLevel1 6 2 2" xfId="50342" xr:uid="{00000000-0005-0000-0000-0000B5BD0000}"/>
    <cellStyle name="SAPBEXHLevel1 6 3" xfId="50810" xr:uid="{00000000-0005-0000-0000-0000B6BD0000}"/>
    <cellStyle name="SAPBEXHLevel1 6 4" xfId="49677" xr:uid="{00000000-0005-0000-0000-0000B7BD0000}"/>
    <cellStyle name="SAPBEXHLevel1 7" xfId="46221" xr:uid="{00000000-0005-0000-0000-0000B8BD0000}"/>
    <cellStyle name="SAPBEXHLevel1 7 2" xfId="46222" xr:uid="{00000000-0005-0000-0000-0000B9BD0000}"/>
    <cellStyle name="SAPBEXHLevel1 7 2 2" xfId="51045" xr:uid="{00000000-0005-0000-0000-0000BABD0000}"/>
    <cellStyle name="SAPBEXHLevel1 7 3" xfId="51411" xr:uid="{00000000-0005-0000-0000-0000BBBD0000}"/>
    <cellStyle name="SAPBEXHLevel1 7 4" xfId="50000" xr:uid="{00000000-0005-0000-0000-0000BCBD0000}"/>
    <cellStyle name="SAPBEXHLevel1 8" xfId="46223" xr:uid="{00000000-0005-0000-0000-0000BDBD0000}"/>
    <cellStyle name="SAPBEXHLevel1 8 2" xfId="46224" xr:uid="{00000000-0005-0000-0000-0000BEBD0000}"/>
    <cellStyle name="SAPBEXHLevel1 8 3" xfId="50711" xr:uid="{00000000-0005-0000-0000-0000BFBD0000}"/>
    <cellStyle name="SAPBEXHLevel1 9" xfId="46225" xr:uid="{00000000-0005-0000-0000-0000C0BD0000}"/>
    <cellStyle name="SAPBEXHLevel1 9 2" xfId="46226" xr:uid="{00000000-0005-0000-0000-0000C1BD0000}"/>
    <cellStyle name="SAPBEXHLevel1 9 3" xfId="50941"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0" xr:uid="{00000000-0005-0000-0000-0000DCBD0000}"/>
    <cellStyle name="SAPBEXHLevel1X 2 2 2 3" xfId="51569" xr:uid="{00000000-0005-0000-0000-0000DDBD0000}"/>
    <cellStyle name="SAPBEXHLevel1X 2 2 2 4" xfId="49869" xr:uid="{00000000-0005-0000-0000-0000DEBD0000}"/>
    <cellStyle name="SAPBEXHLevel1X 2 2 3" xfId="46251" xr:uid="{00000000-0005-0000-0000-0000DFBD0000}"/>
    <cellStyle name="SAPBEXHLevel1X 2 2 3 2" xfId="50498" xr:uid="{00000000-0005-0000-0000-0000E0BD0000}"/>
    <cellStyle name="SAPBEXHLevel1X 2 2 4" xfId="51360" xr:uid="{00000000-0005-0000-0000-0000E1BD0000}"/>
    <cellStyle name="SAPBEXHLevel1X 2 2 5" xfId="49541"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0" xr:uid="{00000000-0005-0000-0000-0000EFBD0000}"/>
    <cellStyle name="SAPBEXHLevel1X 2 3 2 3" xfId="51620" xr:uid="{00000000-0005-0000-0000-0000F0BD0000}"/>
    <cellStyle name="SAPBEXHLevel1X 2 3 2 4" xfId="49747" xr:uid="{00000000-0005-0000-0000-0000F1BD0000}"/>
    <cellStyle name="SAPBEXHLevel1X 2 3 3" xfId="50619" xr:uid="{00000000-0005-0000-0000-0000F2BD0000}"/>
    <cellStyle name="SAPBEXHLevel1X 2 3 4" xfId="51303" xr:uid="{00000000-0005-0000-0000-0000F3BD0000}"/>
    <cellStyle name="SAPBEXHLevel1X 2 3 5" xfId="49419"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297" xr:uid="{00000000-0005-0000-0000-0000F8BD0000}"/>
    <cellStyle name="SAPBEXHLevel1X 2 4" xfId="46267" xr:uid="{00000000-0005-0000-0000-0000F9BD0000}"/>
    <cellStyle name="SAPBEXHLevel1X 2 4 2" xfId="46268" xr:uid="{00000000-0005-0000-0000-0000FABD0000}"/>
    <cellStyle name="SAPBEXHLevel1X 2 4 2 2" xfId="50333" xr:uid="{00000000-0005-0000-0000-0000FBBD0000}"/>
    <cellStyle name="SAPBEXHLevel1X 2 4 3" xfId="51173" xr:uid="{00000000-0005-0000-0000-0000FCBD0000}"/>
    <cellStyle name="SAPBEXHLevel1X 2 4 4" xfId="49680" xr:uid="{00000000-0005-0000-0000-0000FDBD0000}"/>
    <cellStyle name="SAPBEXHLevel1X 2 5" xfId="46269" xr:uid="{00000000-0005-0000-0000-0000FEBD0000}"/>
    <cellStyle name="SAPBEXHLevel1X 2 5 2" xfId="46270" xr:uid="{00000000-0005-0000-0000-0000FFBD0000}"/>
    <cellStyle name="SAPBEXHLevel1X 2 5 2 2" xfId="51090" xr:uid="{00000000-0005-0000-0000-000000BE0000}"/>
    <cellStyle name="SAPBEXHLevel1X 2 5 3" xfId="50902" xr:uid="{00000000-0005-0000-0000-000001BE0000}"/>
    <cellStyle name="SAPBEXHLevel1X 2 5 4" xfId="50046" xr:uid="{00000000-0005-0000-0000-000002BE0000}"/>
    <cellStyle name="SAPBEXHLevel1X 2 6" xfId="46271" xr:uid="{00000000-0005-0000-0000-000003BE0000}"/>
    <cellStyle name="SAPBEXHLevel1X 2 6 2" xfId="46272" xr:uid="{00000000-0005-0000-0000-000004BE0000}"/>
    <cellStyle name="SAPBEXHLevel1X 2 6 3" xfId="50708" xr:uid="{00000000-0005-0000-0000-000005BE0000}"/>
    <cellStyle name="SAPBEXHLevel1X 2 7" xfId="46273" xr:uid="{00000000-0005-0000-0000-000006BE0000}"/>
    <cellStyle name="SAPBEXHLevel1X 2 7 2" xfId="46274" xr:uid="{00000000-0005-0000-0000-000007BE0000}"/>
    <cellStyle name="SAPBEXHLevel1X 2 7 3" xfId="50850"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18" xr:uid="{00000000-0005-0000-0000-000017BE0000}"/>
    <cellStyle name="SAPBEXHLevel1X 3 10 2" xfId="49746" xr:uid="{00000000-0005-0000-0000-000018BE0000}"/>
    <cellStyle name="SAPBEXHLevel1X 3 10 2 2" xfId="50251" xr:uid="{00000000-0005-0000-0000-000019BE0000}"/>
    <cellStyle name="SAPBEXHLevel1X 3 10 2 3" xfId="51384" xr:uid="{00000000-0005-0000-0000-00001ABE0000}"/>
    <cellStyle name="SAPBEXHLevel1X 3 10 3" xfId="50620" xr:uid="{00000000-0005-0000-0000-00001BBE0000}"/>
    <cellStyle name="SAPBEXHLevel1X 3 10 4" xfId="51462" xr:uid="{00000000-0005-0000-0000-00001CBE0000}"/>
    <cellStyle name="SAPBEXHLevel1X 3 11" xfId="49681" xr:uid="{00000000-0005-0000-0000-00001DBE0000}"/>
    <cellStyle name="SAPBEXHLevel1X 3 11 2" xfId="50332" xr:uid="{00000000-0005-0000-0000-00001EBE0000}"/>
    <cellStyle name="SAPBEXHLevel1X 3 11 3" xfId="51432" xr:uid="{00000000-0005-0000-0000-00001FBE0000}"/>
    <cellStyle name="SAPBEXHLevel1X 3 12" xfId="49997" xr:uid="{00000000-0005-0000-0000-000020BE0000}"/>
    <cellStyle name="SAPBEXHLevel1X 3 12 2" xfId="51042" xr:uid="{00000000-0005-0000-0000-000021BE0000}"/>
    <cellStyle name="SAPBEXHLevel1X 3 12 3" xfId="51551" xr:uid="{00000000-0005-0000-0000-000022BE0000}"/>
    <cellStyle name="SAPBEXHLevel1X 3 13" xfId="50707" xr:uid="{00000000-0005-0000-0000-000023BE0000}"/>
    <cellStyle name="SAPBEXHLevel1X 3 14" xfId="51141" xr:uid="{00000000-0005-0000-0000-000024BE0000}"/>
    <cellStyle name="SAPBEXHLevel1X 3 15" xfId="49298" xr:uid="{00000000-0005-0000-0000-000025BE0000}"/>
    <cellStyle name="SAPBEXHLevel1X 3 2" xfId="46289" xr:uid="{00000000-0005-0000-0000-000026BE0000}"/>
    <cellStyle name="SAPBEXHLevel1X 3 2 2" xfId="49543" xr:uid="{00000000-0005-0000-0000-000027BE0000}"/>
    <cellStyle name="SAPBEXHLevel1X 3 2 2 2" xfId="49871" xr:uid="{00000000-0005-0000-0000-000028BE0000}"/>
    <cellStyle name="SAPBEXHLevel1X 3 2 2 2 2" xfId="50138" xr:uid="{00000000-0005-0000-0000-000029BE0000}"/>
    <cellStyle name="SAPBEXHLevel1X 3 2 2 2 3" xfId="51611" xr:uid="{00000000-0005-0000-0000-00002ABE0000}"/>
    <cellStyle name="SAPBEXHLevel1X 3 2 2 3" xfId="50496" xr:uid="{00000000-0005-0000-0000-00002BBE0000}"/>
    <cellStyle name="SAPBEXHLevel1X 3 2 2 4" xfId="50873" xr:uid="{00000000-0005-0000-0000-00002CBE0000}"/>
    <cellStyle name="SAPBEXHLevel1X 3 2 3" xfId="49417" xr:uid="{00000000-0005-0000-0000-00002DBE0000}"/>
    <cellStyle name="SAPBEXHLevel1X 3 2 3 2" xfId="49745" xr:uid="{00000000-0005-0000-0000-00002EBE0000}"/>
    <cellStyle name="SAPBEXHLevel1X 3 2 3 2 2" xfId="50252" xr:uid="{00000000-0005-0000-0000-00002FBE0000}"/>
    <cellStyle name="SAPBEXHLevel1X 3 2 3 2 3" xfId="51426" xr:uid="{00000000-0005-0000-0000-000030BE0000}"/>
    <cellStyle name="SAPBEXHLevel1X 3 2 3 3" xfId="50621" xr:uid="{00000000-0005-0000-0000-000031BE0000}"/>
    <cellStyle name="SAPBEXHLevel1X 3 2 3 4" xfId="51204" xr:uid="{00000000-0005-0000-0000-000032BE0000}"/>
    <cellStyle name="SAPBEXHLevel1X 3 2 4" xfId="49682" xr:uid="{00000000-0005-0000-0000-000033BE0000}"/>
    <cellStyle name="SAPBEXHLevel1X 3 2 4 2" xfId="50326" xr:uid="{00000000-0005-0000-0000-000034BE0000}"/>
    <cellStyle name="SAPBEXHLevel1X 3 2 4 3" xfId="51376" xr:uid="{00000000-0005-0000-0000-000035BE0000}"/>
    <cellStyle name="SAPBEXHLevel1X 3 2 5" xfId="49996" xr:uid="{00000000-0005-0000-0000-000036BE0000}"/>
    <cellStyle name="SAPBEXHLevel1X 3 2 5 2" xfId="51041" xr:uid="{00000000-0005-0000-0000-000037BE0000}"/>
    <cellStyle name="SAPBEXHLevel1X 3 2 5 3" xfId="51293" xr:uid="{00000000-0005-0000-0000-000038BE0000}"/>
    <cellStyle name="SAPBEXHLevel1X 3 2 6" xfId="50706" xr:uid="{00000000-0005-0000-0000-000039BE0000}"/>
    <cellStyle name="SAPBEXHLevel1X 3 2 7" xfId="50916" xr:uid="{00000000-0005-0000-0000-00003ABE0000}"/>
    <cellStyle name="SAPBEXHLevel1X 3 2 8" xfId="49299" xr:uid="{00000000-0005-0000-0000-00003BBE0000}"/>
    <cellStyle name="SAPBEXHLevel1X 3 3" xfId="46290" xr:uid="{00000000-0005-0000-0000-00003CBE0000}"/>
    <cellStyle name="SAPBEXHLevel1X 3 3 2" xfId="49544" xr:uid="{00000000-0005-0000-0000-00003DBE0000}"/>
    <cellStyle name="SAPBEXHLevel1X 3 3 2 2" xfId="49872" xr:uid="{00000000-0005-0000-0000-00003EBE0000}"/>
    <cellStyle name="SAPBEXHLevel1X 3 3 2 2 2" xfId="50137" xr:uid="{00000000-0005-0000-0000-00003FBE0000}"/>
    <cellStyle name="SAPBEXHLevel1X 3 3 2 2 3" xfId="50646" xr:uid="{00000000-0005-0000-0000-000040BE0000}"/>
    <cellStyle name="SAPBEXHLevel1X 3 3 2 3" xfId="50495" xr:uid="{00000000-0005-0000-0000-000041BE0000}"/>
    <cellStyle name="SAPBEXHLevel1X 3 3 2 4" xfId="51243" xr:uid="{00000000-0005-0000-0000-000042BE0000}"/>
    <cellStyle name="SAPBEXHLevel1X 3 3 3" xfId="49591" xr:uid="{00000000-0005-0000-0000-000043BE0000}"/>
    <cellStyle name="SAPBEXHLevel1X 3 3 3 2" xfId="49919" xr:uid="{00000000-0005-0000-0000-000044BE0000}"/>
    <cellStyle name="SAPBEXHLevel1X 3 3 3 2 2" xfId="50090" xr:uid="{00000000-0005-0000-0000-000045BE0000}"/>
    <cellStyle name="SAPBEXHLevel1X 3 3 3 2 3" xfId="51106" xr:uid="{00000000-0005-0000-0000-000046BE0000}"/>
    <cellStyle name="SAPBEXHLevel1X 3 3 3 3" xfId="50448" xr:uid="{00000000-0005-0000-0000-000047BE0000}"/>
    <cellStyle name="SAPBEXHLevel1X 3 3 3 4" xfId="51662" xr:uid="{00000000-0005-0000-0000-000048BE0000}"/>
    <cellStyle name="SAPBEXHLevel1X 3 3 4" xfId="49683" xr:uid="{00000000-0005-0000-0000-000049BE0000}"/>
    <cellStyle name="SAPBEXHLevel1X 3 3 4 2" xfId="50325" xr:uid="{00000000-0005-0000-0000-00004ABE0000}"/>
    <cellStyle name="SAPBEXHLevel1X 3 3 4 3" xfId="51625" xr:uid="{00000000-0005-0000-0000-00004BBE0000}"/>
    <cellStyle name="SAPBEXHLevel1X 3 3 5" xfId="49995" xr:uid="{00000000-0005-0000-0000-00004CBE0000}"/>
    <cellStyle name="SAPBEXHLevel1X 3 3 5 2" xfId="51040" xr:uid="{00000000-0005-0000-0000-00004DBE0000}"/>
    <cellStyle name="SAPBEXHLevel1X 3 3 5 3" xfId="51118" xr:uid="{00000000-0005-0000-0000-00004EBE0000}"/>
    <cellStyle name="SAPBEXHLevel1X 3 3 6" xfId="50705" xr:uid="{00000000-0005-0000-0000-00004FBE0000}"/>
    <cellStyle name="SAPBEXHLevel1X 3 3 7" xfId="50662" xr:uid="{00000000-0005-0000-0000-000050BE0000}"/>
    <cellStyle name="SAPBEXHLevel1X 3 3 8" xfId="49300" xr:uid="{00000000-0005-0000-0000-000051BE0000}"/>
    <cellStyle name="SAPBEXHLevel1X 3 4" xfId="49301" xr:uid="{00000000-0005-0000-0000-000052BE0000}"/>
    <cellStyle name="SAPBEXHLevel1X 3 4 2" xfId="49545" xr:uid="{00000000-0005-0000-0000-000053BE0000}"/>
    <cellStyle name="SAPBEXHLevel1X 3 4 2 2" xfId="49873" xr:uid="{00000000-0005-0000-0000-000054BE0000}"/>
    <cellStyle name="SAPBEXHLevel1X 3 4 2 2 2" xfId="50136" xr:uid="{00000000-0005-0000-0000-000055BE0000}"/>
    <cellStyle name="SAPBEXHLevel1X 3 4 2 2 3" xfId="51281" xr:uid="{00000000-0005-0000-0000-000056BE0000}"/>
    <cellStyle name="SAPBEXHLevel1X 3 4 2 3" xfId="50494" xr:uid="{00000000-0005-0000-0000-000057BE0000}"/>
    <cellStyle name="SAPBEXHLevel1X 3 4 2 4" xfId="51500" xr:uid="{00000000-0005-0000-0000-000058BE0000}"/>
    <cellStyle name="SAPBEXHLevel1X 3 4 3" xfId="49416" xr:uid="{00000000-0005-0000-0000-000059BE0000}"/>
    <cellStyle name="SAPBEXHLevel1X 3 4 3 2" xfId="49744" xr:uid="{00000000-0005-0000-0000-00005ABE0000}"/>
    <cellStyle name="SAPBEXHLevel1X 3 4 3 2 2" xfId="50253" xr:uid="{00000000-0005-0000-0000-00005BBE0000}"/>
    <cellStyle name="SAPBEXHLevel1X 3 4 3 2 3" xfId="51166" xr:uid="{00000000-0005-0000-0000-00005CBE0000}"/>
    <cellStyle name="SAPBEXHLevel1X 3 4 3 3" xfId="50622" xr:uid="{00000000-0005-0000-0000-00005DBE0000}"/>
    <cellStyle name="SAPBEXHLevel1X 3 4 3 4" xfId="51483" xr:uid="{00000000-0005-0000-0000-00005EBE0000}"/>
    <cellStyle name="SAPBEXHLevel1X 3 4 4" xfId="49684" xr:uid="{00000000-0005-0000-0000-00005FBE0000}"/>
    <cellStyle name="SAPBEXHLevel1X 3 4 4 2" xfId="50324" xr:uid="{00000000-0005-0000-0000-000060BE0000}"/>
    <cellStyle name="SAPBEXHLevel1X 3 4 4 3" xfId="50811" xr:uid="{00000000-0005-0000-0000-000061BE0000}"/>
    <cellStyle name="SAPBEXHLevel1X 3 4 5" xfId="49994" xr:uid="{00000000-0005-0000-0000-000062BE0000}"/>
    <cellStyle name="SAPBEXHLevel1X 3 4 5 2" xfId="51039" xr:uid="{00000000-0005-0000-0000-000063BE0000}"/>
    <cellStyle name="SAPBEXHLevel1X 3 4 5 3" xfId="51605" xr:uid="{00000000-0005-0000-0000-000064BE0000}"/>
    <cellStyle name="SAPBEXHLevel1X 3 4 6" xfId="50704" xr:uid="{00000000-0005-0000-0000-000065BE0000}"/>
    <cellStyle name="SAPBEXHLevel1X 3 4 7" xfId="50903" xr:uid="{00000000-0005-0000-0000-000066BE0000}"/>
    <cellStyle name="SAPBEXHLevel1X 3 5" xfId="49302" xr:uid="{00000000-0005-0000-0000-000067BE0000}"/>
    <cellStyle name="SAPBEXHLevel1X 3 5 2" xfId="49546" xr:uid="{00000000-0005-0000-0000-000068BE0000}"/>
    <cellStyle name="SAPBEXHLevel1X 3 5 2 2" xfId="49874" xr:uid="{00000000-0005-0000-0000-000069BE0000}"/>
    <cellStyle name="SAPBEXHLevel1X 3 5 2 2 2" xfId="50135" xr:uid="{00000000-0005-0000-0000-00006ABE0000}"/>
    <cellStyle name="SAPBEXHLevel1X 3 5 2 2 3" xfId="51539" xr:uid="{00000000-0005-0000-0000-00006BBE0000}"/>
    <cellStyle name="SAPBEXHLevel1X 3 5 2 3" xfId="50493" xr:uid="{00000000-0005-0000-0000-00006CBE0000}"/>
    <cellStyle name="SAPBEXHLevel1X 3 5 2 4" xfId="51187" xr:uid="{00000000-0005-0000-0000-00006DBE0000}"/>
    <cellStyle name="SAPBEXHLevel1X 3 5 3" xfId="49415" xr:uid="{00000000-0005-0000-0000-00006EBE0000}"/>
    <cellStyle name="SAPBEXHLevel1X 3 5 3 2" xfId="49743" xr:uid="{00000000-0005-0000-0000-00006FBE0000}"/>
    <cellStyle name="SAPBEXHLevel1X 3 5 3 2 2" xfId="50254" xr:uid="{00000000-0005-0000-0000-000070BE0000}"/>
    <cellStyle name="SAPBEXHLevel1X 3 5 3 2 3" xfId="50973" xr:uid="{00000000-0005-0000-0000-000071BE0000}"/>
    <cellStyle name="SAPBEXHLevel1X 3 5 3 3" xfId="50623" xr:uid="{00000000-0005-0000-0000-000072BE0000}"/>
    <cellStyle name="SAPBEXHLevel1X 3 5 3 4" xfId="51226" xr:uid="{00000000-0005-0000-0000-000073BE0000}"/>
    <cellStyle name="SAPBEXHLevel1X 3 5 4" xfId="49685" xr:uid="{00000000-0005-0000-0000-000074BE0000}"/>
    <cellStyle name="SAPBEXHLevel1X 3 5 4 2" xfId="50323" xr:uid="{00000000-0005-0000-0000-000075BE0000}"/>
    <cellStyle name="SAPBEXHLevel1X 3 5 4 3" xfId="51259" xr:uid="{00000000-0005-0000-0000-000076BE0000}"/>
    <cellStyle name="SAPBEXHLevel1X 3 5 5" xfId="49993" xr:uid="{00000000-0005-0000-0000-000077BE0000}"/>
    <cellStyle name="SAPBEXHLevel1X 3 5 5 2" xfId="51038" xr:uid="{00000000-0005-0000-0000-000078BE0000}"/>
    <cellStyle name="SAPBEXHLevel1X 3 5 5 3" xfId="51410" xr:uid="{00000000-0005-0000-0000-000079BE0000}"/>
    <cellStyle name="SAPBEXHLevel1X 3 5 6" xfId="50703" xr:uid="{00000000-0005-0000-0000-00007ABE0000}"/>
    <cellStyle name="SAPBEXHLevel1X 3 5 7" xfId="50989" xr:uid="{00000000-0005-0000-0000-00007BBE0000}"/>
    <cellStyle name="SAPBEXHLevel1X 3 6" xfId="49303" xr:uid="{00000000-0005-0000-0000-00007CBE0000}"/>
    <cellStyle name="SAPBEXHLevel1X 3 6 2" xfId="49547" xr:uid="{00000000-0005-0000-0000-00007DBE0000}"/>
    <cellStyle name="SAPBEXHLevel1X 3 6 2 2" xfId="49875" xr:uid="{00000000-0005-0000-0000-00007EBE0000}"/>
    <cellStyle name="SAPBEXHLevel1X 3 6 2 2 2" xfId="50134" xr:uid="{00000000-0005-0000-0000-00007FBE0000}"/>
    <cellStyle name="SAPBEXHLevel1X 3 6 2 2 3" xfId="51313" xr:uid="{00000000-0005-0000-0000-000080BE0000}"/>
    <cellStyle name="SAPBEXHLevel1X 3 6 2 3" xfId="50492" xr:uid="{00000000-0005-0000-0000-000081BE0000}"/>
    <cellStyle name="SAPBEXHLevel1X 3 6 2 4" xfId="51445" xr:uid="{00000000-0005-0000-0000-000082BE0000}"/>
    <cellStyle name="SAPBEXHLevel1X 3 6 3" xfId="49590" xr:uid="{00000000-0005-0000-0000-000083BE0000}"/>
    <cellStyle name="SAPBEXHLevel1X 3 6 3 2" xfId="49918" xr:uid="{00000000-0005-0000-0000-000084BE0000}"/>
    <cellStyle name="SAPBEXHLevel1X 3 6 3 2 2" xfId="50091" xr:uid="{00000000-0005-0000-0000-000085BE0000}"/>
    <cellStyle name="SAPBEXHLevel1X 3 6 3 2 3" xfId="51152" xr:uid="{00000000-0005-0000-0000-000086BE0000}"/>
    <cellStyle name="SAPBEXHLevel1X 3 6 3 3" xfId="50449" xr:uid="{00000000-0005-0000-0000-000087BE0000}"/>
    <cellStyle name="SAPBEXHLevel1X 3 6 3 4" xfId="51367" xr:uid="{00000000-0005-0000-0000-000088BE0000}"/>
    <cellStyle name="SAPBEXHLevel1X 3 6 4" xfId="49686" xr:uid="{00000000-0005-0000-0000-000089BE0000}"/>
    <cellStyle name="SAPBEXHLevel1X 3 6 4 2" xfId="50322" xr:uid="{00000000-0005-0000-0000-00008ABE0000}"/>
    <cellStyle name="SAPBEXHLevel1X 3 6 4 3" xfId="51516" xr:uid="{00000000-0005-0000-0000-00008BBE0000}"/>
    <cellStyle name="SAPBEXHLevel1X 3 6 5" xfId="49992" xr:uid="{00000000-0005-0000-0000-00008CBE0000}"/>
    <cellStyle name="SAPBEXHLevel1X 3 6 5 2" xfId="51037" xr:uid="{00000000-0005-0000-0000-00008DBE0000}"/>
    <cellStyle name="SAPBEXHLevel1X 3 6 5 3" xfId="51589" xr:uid="{00000000-0005-0000-0000-00008EBE0000}"/>
    <cellStyle name="SAPBEXHLevel1X 3 6 6" xfId="50702" xr:uid="{00000000-0005-0000-0000-00008FBE0000}"/>
    <cellStyle name="SAPBEXHLevel1X 3 6 7" xfId="50793" xr:uid="{00000000-0005-0000-0000-000090BE0000}"/>
    <cellStyle name="SAPBEXHLevel1X 3 7" xfId="49304" xr:uid="{00000000-0005-0000-0000-000091BE0000}"/>
    <cellStyle name="SAPBEXHLevel1X 3 7 2" xfId="49548" xr:uid="{00000000-0005-0000-0000-000092BE0000}"/>
    <cellStyle name="SAPBEXHLevel1X 3 7 2 2" xfId="49876" xr:uid="{00000000-0005-0000-0000-000093BE0000}"/>
    <cellStyle name="SAPBEXHLevel1X 3 7 2 2 2" xfId="50133" xr:uid="{00000000-0005-0000-0000-000094BE0000}"/>
    <cellStyle name="SAPBEXHLevel1X 3 7 2 2 3" xfId="51570" xr:uid="{00000000-0005-0000-0000-000095BE0000}"/>
    <cellStyle name="SAPBEXHLevel1X 3 7 2 3" xfId="50491" xr:uid="{00000000-0005-0000-0000-000096BE0000}"/>
    <cellStyle name="SAPBEXHLevel1X 3 7 2 4" xfId="51361" xr:uid="{00000000-0005-0000-0000-000097BE0000}"/>
    <cellStyle name="SAPBEXHLevel1X 3 7 3" xfId="49414" xr:uid="{00000000-0005-0000-0000-000098BE0000}"/>
    <cellStyle name="SAPBEXHLevel1X 3 7 3 2" xfId="49742" xr:uid="{00000000-0005-0000-0000-000099BE0000}"/>
    <cellStyle name="SAPBEXHLevel1X 3 7 3 2 2" xfId="50255" xr:uid="{00000000-0005-0000-0000-00009ABE0000}"/>
    <cellStyle name="SAPBEXHLevel1X 3 7 3 2 3" xfId="51594" xr:uid="{00000000-0005-0000-0000-00009BBE0000}"/>
    <cellStyle name="SAPBEXHLevel1X 3 7 3 3" xfId="50624" xr:uid="{00000000-0005-0000-0000-00009CBE0000}"/>
    <cellStyle name="SAPBEXHLevel1X 3 7 3 4" xfId="50957" xr:uid="{00000000-0005-0000-0000-00009DBE0000}"/>
    <cellStyle name="SAPBEXHLevel1X 3 7 4" xfId="49687" xr:uid="{00000000-0005-0000-0000-00009EBE0000}"/>
    <cellStyle name="SAPBEXHLevel1X 3 7 4 2" xfId="50321" xr:uid="{00000000-0005-0000-0000-00009FBE0000}"/>
    <cellStyle name="SAPBEXHLevel1X 3 7 4 3" xfId="50648" xr:uid="{00000000-0005-0000-0000-0000A0BE0000}"/>
    <cellStyle name="SAPBEXHLevel1X 3 7 5" xfId="49965" xr:uid="{00000000-0005-0000-0000-0000A1BE0000}"/>
    <cellStyle name="SAPBEXHLevel1X 3 7 5 2" xfId="51010" xr:uid="{00000000-0005-0000-0000-0000A2BE0000}"/>
    <cellStyle name="SAPBEXHLevel1X 3 7 5 3" xfId="51577" xr:uid="{00000000-0005-0000-0000-0000A3BE0000}"/>
    <cellStyle name="SAPBEXHLevel1X 3 7 6" xfId="50701" xr:uid="{00000000-0005-0000-0000-0000A4BE0000}"/>
    <cellStyle name="SAPBEXHLevel1X 3 7 7" xfId="50794" xr:uid="{00000000-0005-0000-0000-0000A5BE0000}"/>
    <cellStyle name="SAPBEXHLevel1X 3 8" xfId="49305" xr:uid="{00000000-0005-0000-0000-0000A6BE0000}"/>
    <cellStyle name="SAPBEXHLevel1X 3 8 2" xfId="49549" xr:uid="{00000000-0005-0000-0000-0000A7BE0000}"/>
    <cellStyle name="SAPBEXHLevel1X 3 8 2 2" xfId="49877" xr:uid="{00000000-0005-0000-0000-0000A8BE0000}"/>
    <cellStyle name="SAPBEXHLevel1X 3 8 2 2 2" xfId="50132" xr:uid="{00000000-0005-0000-0000-0000A9BE0000}"/>
    <cellStyle name="SAPBEXHLevel1X 3 8 2 2 3" xfId="51400" xr:uid="{00000000-0005-0000-0000-0000AABE0000}"/>
    <cellStyle name="SAPBEXHLevel1X 3 8 2 3" xfId="50490" xr:uid="{00000000-0005-0000-0000-0000ABBE0000}"/>
    <cellStyle name="SAPBEXHLevel1X 3 8 2 4" xfId="51637" xr:uid="{00000000-0005-0000-0000-0000ACBE0000}"/>
    <cellStyle name="SAPBEXHLevel1X 3 8 3" xfId="49413" xr:uid="{00000000-0005-0000-0000-0000ADBE0000}"/>
    <cellStyle name="SAPBEXHLevel1X 3 8 3 2" xfId="49741" xr:uid="{00000000-0005-0000-0000-0000AEBE0000}"/>
    <cellStyle name="SAPBEXHLevel1X 3 8 3 2 2" xfId="50256" xr:uid="{00000000-0005-0000-0000-0000AFBE0000}"/>
    <cellStyle name="SAPBEXHLevel1X 3 8 3 2 3" xfId="51383" xr:uid="{00000000-0005-0000-0000-0000B0BE0000}"/>
    <cellStyle name="SAPBEXHLevel1X 3 8 3 3" xfId="50625" xr:uid="{00000000-0005-0000-0000-0000B1BE0000}"/>
    <cellStyle name="SAPBEXHLevel1X 3 8 3 4" xfId="51654" xr:uid="{00000000-0005-0000-0000-0000B2BE0000}"/>
    <cellStyle name="SAPBEXHLevel1X 3 8 4" xfId="49688" xr:uid="{00000000-0005-0000-0000-0000B3BE0000}"/>
    <cellStyle name="SAPBEXHLevel1X 3 8 4 2" xfId="50320" xr:uid="{00000000-0005-0000-0000-0000B4BE0000}"/>
    <cellStyle name="SAPBEXHLevel1X 3 8 4 3" xfId="51301" xr:uid="{00000000-0005-0000-0000-0000B5BE0000}"/>
    <cellStyle name="SAPBEXHLevel1X 3 8 5" xfId="49991" xr:uid="{00000000-0005-0000-0000-0000B6BE0000}"/>
    <cellStyle name="SAPBEXHLevel1X 3 8 5 2" xfId="51036" xr:uid="{00000000-0005-0000-0000-0000B7BE0000}"/>
    <cellStyle name="SAPBEXHLevel1X 3 8 5 3" xfId="51334" xr:uid="{00000000-0005-0000-0000-0000B8BE0000}"/>
    <cellStyle name="SAPBEXHLevel1X 3 8 6" xfId="50700" xr:uid="{00000000-0005-0000-0000-0000B9BE0000}"/>
    <cellStyle name="SAPBEXHLevel1X 3 8 7" xfId="50795" xr:uid="{00000000-0005-0000-0000-0000BABE0000}"/>
    <cellStyle name="SAPBEXHLevel1X 3 9" xfId="49542" xr:uid="{00000000-0005-0000-0000-0000BBBE0000}"/>
    <cellStyle name="SAPBEXHLevel1X 3 9 2" xfId="49870" xr:uid="{00000000-0005-0000-0000-0000BCBE0000}"/>
    <cellStyle name="SAPBEXHLevel1X 3 9 2 2" xfId="50139" xr:uid="{00000000-0005-0000-0000-0000BDBE0000}"/>
    <cellStyle name="SAPBEXHLevel1X 3 9 2 3" xfId="51399" xr:uid="{00000000-0005-0000-0000-0000BEBE0000}"/>
    <cellStyle name="SAPBEXHLevel1X 3 9 3" xfId="50497" xr:uid="{00000000-0005-0000-0000-0000BFBE0000}"/>
    <cellStyle name="SAPBEXHLevel1X 3 9 4" xfId="51638"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296" xr:uid="{00000000-0005-0000-0000-0000C5BE0000}"/>
    <cellStyle name="SAPBEXHLevel1X 4" xfId="46295" xr:uid="{00000000-0005-0000-0000-0000C6BE0000}"/>
    <cellStyle name="SAPBEXHLevel1X 4 2" xfId="46296" xr:uid="{00000000-0005-0000-0000-0000C7BE0000}"/>
    <cellStyle name="SAPBEXHLevel1X 4 2 2" xfId="50141" xr:uid="{00000000-0005-0000-0000-0000C8BE0000}"/>
    <cellStyle name="SAPBEXHLevel1X 4 2 3" xfId="51312" xr:uid="{00000000-0005-0000-0000-0000C9BE0000}"/>
    <cellStyle name="SAPBEXHLevel1X 4 2 4" xfId="49868" xr:uid="{00000000-0005-0000-0000-0000CABE0000}"/>
    <cellStyle name="SAPBEXHLevel1X 4 3" xfId="50499" xr:uid="{00000000-0005-0000-0000-0000CBBE0000}"/>
    <cellStyle name="SAPBEXHLevel1X 4 4" xfId="51446" xr:uid="{00000000-0005-0000-0000-0000CCBE0000}"/>
    <cellStyle name="SAPBEXHLevel1X 4 5" xfId="49540" xr:uid="{00000000-0005-0000-0000-0000CDBE0000}"/>
    <cellStyle name="SAPBEXHLevel1X 5" xfId="46297" xr:uid="{00000000-0005-0000-0000-0000CEBE0000}"/>
    <cellStyle name="SAPBEXHLevel1X 5 2" xfId="46298" xr:uid="{00000000-0005-0000-0000-0000CFBE0000}"/>
    <cellStyle name="SAPBEXHLevel1X 5 2 2" xfId="50249" xr:uid="{00000000-0005-0000-0000-0000D0BE0000}"/>
    <cellStyle name="SAPBEXHLevel1X 5 2 3" xfId="50813" xr:uid="{00000000-0005-0000-0000-0000D1BE0000}"/>
    <cellStyle name="SAPBEXHLevel1X 5 2 4" xfId="49748" xr:uid="{00000000-0005-0000-0000-0000D2BE0000}"/>
    <cellStyle name="SAPBEXHLevel1X 5 3" xfId="50618" xr:uid="{00000000-0005-0000-0000-0000D3BE0000}"/>
    <cellStyle name="SAPBEXHLevel1X 5 4" xfId="51560" xr:uid="{00000000-0005-0000-0000-0000D4BE0000}"/>
    <cellStyle name="SAPBEXHLevel1X 5 5" xfId="49420" xr:uid="{00000000-0005-0000-0000-0000D5BE0000}"/>
    <cellStyle name="SAPBEXHLevel1X 6" xfId="46299" xr:uid="{00000000-0005-0000-0000-0000D6BE0000}"/>
    <cellStyle name="SAPBEXHLevel1X 6 2" xfId="46300" xr:uid="{00000000-0005-0000-0000-0000D7BE0000}"/>
    <cellStyle name="SAPBEXHLevel1X 6 2 2" xfId="50334" xr:uid="{00000000-0005-0000-0000-0000D8BE0000}"/>
    <cellStyle name="SAPBEXHLevel1X 6 3" xfId="51515" xr:uid="{00000000-0005-0000-0000-0000D9BE0000}"/>
    <cellStyle name="SAPBEXHLevel1X 6 4" xfId="49679" xr:uid="{00000000-0005-0000-0000-0000DABE0000}"/>
    <cellStyle name="SAPBEXHLevel1X 7" xfId="46301" xr:uid="{00000000-0005-0000-0000-0000DBBE0000}"/>
    <cellStyle name="SAPBEXHLevel1X 7 2" xfId="46302" xr:uid="{00000000-0005-0000-0000-0000DCBE0000}"/>
    <cellStyle name="SAPBEXHLevel1X 7 2 2" xfId="51043" xr:uid="{00000000-0005-0000-0000-0000DDBE0000}"/>
    <cellStyle name="SAPBEXHLevel1X 7 3" xfId="51324" xr:uid="{00000000-0005-0000-0000-0000DEBE0000}"/>
    <cellStyle name="SAPBEXHLevel1X 7 4" xfId="49998" xr:uid="{00000000-0005-0000-0000-0000DFBE0000}"/>
    <cellStyle name="SAPBEXHLevel1X 8" xfId="46303" xr:uid="{00000000-0005-0000-0000-0000E0BE0000}"/>
    <cellStyle name="SAPBEXHLevel1X 8 2" xfId="46304" xr:uid="{00000000-0005-0000-0000-0000E1BE0000}"/>
    <cellStyle name="SAPBEXHLevel1X 8 3" xfId="50709" xr:uid="{00000000-0005-0000-0000-0000E2BE0000}"/>
    <cellStyle name="SAPBEXHLevel1X 9" xfId="46305" xr:uid="{00000000-0005-0000-0000-0000E3BE0000}"/>
    <cellStyle name="SAPBEXHLevel1X 9 2" xfId="46306" xr:uid="{00000000-0005-0000-0000-0000E4BE0000}"/>
    <cellStyle name="SAPBEXHLevel1X 9 3" xfId="50940"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5"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0" xr:uid="{00000000-0005-0000-0000-000000BF0000}"/>
    <cellStyle name="SAPBEXHLevel2 2 2 2 3" xfId="50914" xr:uid="{00000000-0005-0000-0000-000001BF0000}"/>
    <cellStyle name="SAPBEXHLevel2 2 2 2 4" xfId="49879" xr:uid="{00000000-0005-0000-0000-000002BF0000}"/>
    <cellStyle name="SAPBEXHLevel2 2 2 3" xfId="46331" xr:uid="{00000000-0005-0000-0000-000003BF0000}"/>
    <cellStyle name="SAPBEXHLevel2 2 2 3 2" xfId="50488" xr:uid="{00000000-0005-0000-0000-000004BF0000}"/>
    <cellStyle name="SAPBEXHLevel2 2 2 4" xfId="51244" xr:uid="{00000000-0005-0000-0000-000005BF0000}"/>
    <cellStyle name="SAPBEXHLevel2 2 2 5" xfId="49551"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58" xr:uid="{00000000-0005-0000-0000-000013BF0000}"/>
    <cellStyle name="SAPBEXHLevel2 2 3 2 3" xfId="51167" xr:uid="{00000000-0005-0000-0000-000014BF0000}"/>
    <cellStyle name="SAPBEXHLevel2 2 3 2 4" xfId="49739" xr:uid="{00000000-0005-0000-0000-000015BF0000}"/>
    <cellStyle name="SAPBEXHLevel2 2 3 3" xfId="50627" xr:uid="{00000000-0005-0000-0000-000016BF0000}"/>
    <cellStyle name="SAPBEXHLevel2 2 3 4" xfId="51463" xr:uid="{00000000-0005-0000-0000-000017BF0000}"/>
    <cellStyle name="SAPBEXHLevel2 2 3 5" xfId="49411"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07" xr:uid="{00000000-0005-0000-0000-00001CBF0000}"/>
    <cellStyle name="SAPBEXHLevel2 2 4" xfId="46347" xr:uid="{00000000-0005-0000-0000-00001DBF0000}"/>
    <cellStyle name="SAPBEXHLevel2 2 4 2" xfId="46348" xr:uid="{00000000-0005-0000-0000-00001EBF0000}"/>
    <cellStyle name="SAPBEXHLevel2 2 4 2 2" xfId="50317" xr:uid="{00000000-0005-0000-0000-00001FBF0000}"/>
    <cellStyle name="SAPBEXHLevel2 2 4 3" xfId="51377" xr:uid="{00000000-0005-0000-0000-000020BF0000}"/>
    <cellStyle name="SAPBEXHLevel2 2 4 4" xfId="49690" xr:uid="{00000000-0005-0000-0000-000021BF0000}"/>
    <cellStyle name="SAPBEXHLevel2 2 5" xfId="46349" xr:uid="{00000000-0005-0000-0000-000022BF0000}"/>
    <cellStyle name="SAPBEXHLevel2 2 5 2" xfId="46350" xr:uid="{00000000-0005-0000-0000-000023BF0000}"/>
    <cellStyle name="SAPBEXHLevel2 2 5 2 2" xfId="51035" xr:uid="{00000000-0005-0000-0000-000024BF0000}"/>
    <cellStyle name="SAPBEXHLevel2 2 5 3" xfId="51580" xr:uid="{00000000-0005-0000-0000-000025BF0000}"/>
    <cellStyle name="SAPBEXHLevel2 2 5 4" xfId="49990" xr:uid="{00000000-0005-0000-0000-000026BF0000}"/>
    <cellStyle name="SAPBEXHLevel2 2 6" xfId="46351" xr:uid="{00000000-0005-0000-0000-000027BF0000}"/>
    <cellStyle name="SAPBEXHLevel2 2 6 2" xfId="46352" xr:uid="{00000000-0005-0000-0000-000028BF0000}"/>
    <cellStyle name="SAPBEXHLevel2 2 6 3" xfId="50698" xr:uid="{00000000-0005-0000-0000-000029BF0000}"/>
    <cellStyle name="SAPBEXHLevel2 2 7" xfId="46353" xr:uid="{00000000-0005-0000-0000-00002ABF0000}"/>
    <cellStyle name="SAPBEXHLevel2 2 7 2" xfId="46354" xr:uid="{00000000-0005-0000-0000-00002BBF0000}"/>
    <cellStyle name="SAPBEXHLevel2 2 7 3" xfId="50796"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1" xr:uid="{00000000-0005-0000-0000-00003CBF0000}"/>
    <cellStyle name="SAPBEXHLevel2 3 2 3" xfId="51610" xr:uid="{00000000-0005-0000-0000-00003DBF0000}"/>
    <cellStyle name="SAPBEXHLevel2 3 2 4" xfId="49878" xr:uid="{00000000-0005-0000-0000-00003EBF0000}"/>
    <cellStyle name="SAPBEXHLevel2 3 3" xfId="46370" xr:uid="{00000000-0005-0000-0000-00003FBF0000}"/>
    <cellStyle name="SAPBEXHLevel2 3 3 2" xfId="50489" xr:uid="{00000000-0005-0000-0000-000040BF0000}"/>
    <cellStyle name="SAPBEXHLevel2 3 4" xfId="50947" xr:uid="{00000000-0005-0000-0000-000041BF0000}"/>
    <cellStyle name="SAPBEXHLevel2 3 5" xfId="49550"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06" xr:uid="{00000000-0005-0000-0000-000047BF0000}"/>
    <cellStyle name="SAPBEXHLevel2 4" xfId="46375" xr:uid="{00000000-0005-0000-0000-000048BF0000}"/>
    <cellStyle name="SAPBEXHLevel2 4 2" xfId="46376" xr:uid="{00000000-0005-0000-0000-000049BF0000}"/>
    <cellStyle name="SAPBEXHLevel2 4 2 2" xfId="50257" xr:uid="{00000000-0005-0000-0000-00004ABF0000}"/>
    <cellStyle name="SAPBEXHLevel2 4 2 3" xfId="51427" xr:uid="{00000000-0005-0000-0000-00004BBF0000}"/>
    <cellStyle name="SAPBEXHLevel2 4 2 4" xfId="49740" xr:uid="{00000000-0005-0000-0000-00004CBF0000}"/>
    <cellStyle name="SAPBEXHLevel2 4 3" xfId="50626" xr:uid="{00000000-0005-0000-0000-00004DBF0000}"/>
    <cellStyle name="SAPBEXHLevel2 4 4" xfId="51343" xr:uid="{00000000-0005-0000-0000-00004EBF0000}"/>
    <cellStyle name="SAPBEXHLevel2 4 5" xfId="49412" xr:uid="{00000000-0005-0000-0000-00004FBF0000}"/>
    <cellStyle name="SAPBEXHLevel2 5" xfId="46377" xr:uid="{00000000-0005-0000-0000-000050BF0000}"/>
    <cellStyle name="SAPBEXHLevel2 5 2" xfId="46378" xr:uid="{00000000-0005-0000-0000-000051BF0000}"/>
    <cellStyle name="SAPBEXHLevel2 5 2 2" xfId="50107" xr:uid="{00000000-0005-0000-0000-000052BF0000}"/>
    <cellStyle name="SAPBEXHLevel2 5 2 3" xfId="51275" xr:uid="{00000000-0005-0000-0000-000053BF0000}"/>
    <cellStyle name="SAPBEXHLevel2 5 2 4" xfId="49902" xr:uid="{00000000-0005-0000-0000-000054BF0000}"/>
    <cellStyle name="SAPBEXHLevel2 5 3" xfId="50465" xr:uid="{00000000-0005-0000-0000-000055BF0000}"/>
    <cellStyle name="SAPBEXHLevel2 5 4" xfId="51183" xr:uid="{00000000-0005-0000-0000-000056BF0000}"/>
    <cellStyle name="SAPBEXHLevel2 5 5" xfId="49574" xr:uid="{00000000-0005-0000-0000-000057BF0000}"/>
    <cellStyle name="SAPBEXHLevel2 6" xfId="46379" xr:uid="{00000000-0005-0000-0000-000058BF0000}"/>
    <cellStyle name="SAPBEXHLevel2 6 2" xfId="46380" xr:uid="{00000000-0005-0000-0000-000059BF0000}"/>
    <cellStyle name="SAPBEXHLevel2 6 2 2" xfId="50318" xr:uid="{00000000-0005-0000-0000-00005ABF0000}"/>
    <cellStyle name="SAPBEXHLevel2 6 3" xfId="51558" xr:uid="{00000000-0005-0000-0000-00005BBF0000}"/>
    <cellStyle name="SAPBEXHLevel2 6 4" xfId="49689" xr:uid="{00000000-0005-0000-0000-00005CBF0000}"/>
    <cellStyle name="SAPBEXHLevel2 7" xfId="46381" xr:uid="{00000000-0005-0000-0000-00005DBF0000}"/>
    <cellStyle name="SAPBEXHLevel2 7 2" xfId="46382" xr:uid="{00000000-0005-0000-0000-00005EBF0000}"/>
    <cellStyle name="SAPBEXHLevel2 7 2 2" xfId="51006" xr:uid="{00000000-0005-0000-0000-00005FBF0000}"/>
    <cellStyle name="SAPBEXHLevel2 7 3" xfId="51416" xr:uid="{00000000-0005-0000-0000-000060BF0000}"/>
    <cellStyle name="SAPBEXHLevel2 7 4" xfId="49961" xr:uid="{00000000-0005-0000-0000-000061BF0000}"/>
    <cellStyle name="SAPBEXHLevel2 8" xfId="46383" xr:uid="{00000000-0005-0000-0000-000062BF0000}"/>
    <cellStyle name="SAPBEXHLevel2 8 2" xfId="46384" xr:uid="{00000000-0005-0000-0000-000063BF0000}"/>
    <cellStyle name="SAPBEXHLevel2 8 3" xfId="50699" xr:uid="{00000000-0005-0000-0000-000064BF0000}"/>
    <cellStyle name="SAPBEXHLevel2 9" xfId="46385" xr:uid="{00000000-0005-0000-0000-000065BF0000}"/>
    <cellStyle name="SAPBEXHLevel2 9 2" xfId="46386" xr:uid="{00000000-0005-0000-0000-000066BF0000}"/>
    <cellStyle name="SAPBEXHLevel2 9 3" xfId="50840"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28" xr:uid="{00000000-0005-0000-0000-000081BF0000}"/>
    <cellStyle name="SAPBEXHLevel2X 2 2 2 3" xfId="51540" xr:uid="{00000000-0005-0000-0000-000082BF0000}"/>
    <cellStyle name="SAPBEXHLevel2X 2 2 2 4" xfId="49881" xr:uid="{00000000-0005-0000-0000-000083BF0000}"/>
    <cellStyle name="SAPBEXHLevel2X 2 2 3" xfId="46411" xr:uid="{00000000-0005-0000-0000-000084BF0000}"/>
    <cellStyle name="SAPBEXHLevel2X 2 2 3 2" xfId="50486" xr:uid="{00000000-0005-0000-0000-000085BF0000}"/>
    <cellStyle name="SAPBEXHLevel2X 2 2 4" xfId="51186" xr:uid="{00000000-0005-0000-0000-000086BF0000}"/>
    <cellStyle name="SAPBEXHLevel2X 2 2 5" xfId="49553"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0" xr:uid="{00000000-0005-0000-0000-000094BF0000}"/>
    <cellStyle name="SAPBEXHLevel2X 2 3 2 3" xfId="51264" xr:uid="{00000000-0005-0000-0000-000095BF0000}"/>
    <cellStyle name="SAPBEXHLevel2X 2 3 2 4" xfId="49737" xr:uid="{00000000-0005-0000-0000-000096BF0000}"/>
    <cellStyle name="SAPBEXHLevel2X 2 3 3" xfId="50629" xr:uid="{00000000-0005-0000-0000-000097BF0000}"/>
    <cellStyle name="SAPBEXHLevel2X 2 3 4" xfId="51482" xr:uid="{00000000-0005-0000-0000-000098BF0000}"/>
    <cellStyle name="SAPBEXHLevel2X 2 3 5" xfId="49409"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09" xr:uid="{00000000-0005-0000-0000-00009DBF0000}"/>
    <cellStyle name="SAPBEXHLevel2X 2 4" xfId="46427" xr:uid="{00000000-0005-0000-0000-00009EBF0000}"/>
    <cellStyle name="SAPBEXHLevel2X 2 4 2" xfId="46428" xr:uid="{00000000-0005-0000-0000-00009FBF0000}"/>
    <cellStyle name="SAPBEXHLevel2X 2 4 2 2" xfId="50315" xr:uid="{00000000-0005-0000-0000-0000A0BF0000}"/>
    <cellStyle name="SAPBEXHLevel2X 2 4 3" xfId="50812" xr:uid="{00000000-0005-0000-0000-0000A1BF0000}"/>
    <cellStyle name="SAPBEXHLevel2X 2 4 4" xfId="49692" xr:uid="{00000000-0005-0000-0000-0000A2BF0000}"/>
    <cellStyle name="SAPBEXHLevel2X 2 5" xfId="46429" xr:uid="{00000000-0005-0000-0000-0000A3BF0000}"/>
    <cellStyle name="SAPBEXHLevel2X 2 5 2" xfId="46430" xr:uid="{00000000-0005-0000-0000-0000A4BF0000}"/>
    <cellStyle name="SAPBEXHLevel2X 2 5 2 2" xfId="51005" xr:uid="{00000000-0005-0000-0000-0000A5BF0000}"/>
    <cellStyle name="SAPBEXHLevel2X 2 5 3" xfId="51289" xr:uid="{00000000-0005-0000-0000-0000A6BF0000}"/>
    <cellStyle name="SAPBEXHLevel2X 2 5 4" xfId="49960" xr:uid="{00000000-0005-0000-0000-0000A7BF0000}"/>
    <cellStyle name="SAPBEXHLevel2X 2 6" xfId="46431" xr:uid="{00000000-0005-0000-0000-0000A8BF0000}"/>
    <cellStyle name="SAPBEXHLevel2X 2 6 2" xfId="46432" xr:uid="{00000000-0005-0000-0000-0000A9BF0000}"/>
    <cellStyle name="SAPBEXHLevel2X 2 6 3" xfId="50696" xr:uid="{00000000-0005-0000-0000-0000AABF0000}"/>
    <cellStyle name="SAPBEXHLevel2X 2 7" xfId="46433" xr:uid="{00000000-0005-0000-0000-0000ABBF0000}"/>
    <cellStyle name="SAPBEXHLevel2X 2 7 2" xfId="46434" xr:uid="{00000000-0005-0000-0000-0000ACBF0000}"/>
    <cellStyle name="SAPBEXHLevel2X 2 7 3" xfId="50841"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08" xr:uid="{00000000-0005-0000-0000-0000BCBF0000}"/>
    <cellStyle name="SAPBEXHLevel2X 3 10 2" xfId="49736" xr:uid="{00000000-0005-0000-0000-0000BDBF0000}"/>
    <cellStyle name="SAPBEXHLevel2X 3 10 2 2" xfId="50261" xr:uid="{00000000-0005-0000-0000-0000BEBF0000}"/>
    <cellStyle name="SAPBEXHLevel2X 3 10 2 3" xfId="50643" xr:uid="{00000000-0005-0000-0000-0000BFBF0000}"/>
    <cellStyle name="SAPBEXHLevel2X 3 10 3" xfId="50630" xr:uid="{00000000-0005-0000-0000-0000C0BF0000}"/>
    <cellStyle name="SAPBEXHLevel2X 3 10 4" xfId="51225" xr:uid="{00000000-0005-0000-0000-0000C1BF0000}"/>
    <cellStyle name="SAPBEXHLevel2X 3 11" xfId="49693" xr:uid="{00000000-0005-0000-0000-0000C2BF0000}"/>
    <cellStyle name="SAPBEXHLevel2X 3 11 2" xfId="50314" xr:uid="{00000000-0005-0000-0000-0000C3BF0000}"/>
    <cellStyle name="SAPBEXHLevel2X 3 11 3" xfId="51134" xr:uid="{00000000-0005-0000-0000-0000C4BF0000}"/>
    <cellStyle name="SAPBEXHLevel2X 3 12" xfId="49988" xr:uid="{00000000-0005-0000-0000-0000C5BF0000}"/>
    <cellStyle name="SAPBEXHLevel2X 3 12 2" xfId="51033" xr:uid="{00000000-0005-0000-0000-0000C6BF0000}"/>
    <cellStyle name="SAPBEXHLevel2X 3 12 3" xfId="51550" xr:uid="{00000000-0005-0000-0000-0000C7BF0000}"/>
    <cellStyle name="SAPBEXHLevel2X 3 13" xfId="50695" xr:uid="{00000000-0005-0000-0000-0000C8BF0000}"/>
    <cellStyle name="SAPBEXHLevel2X 3 14" xfId="50656" xr:uid="{00000000-0005-0000-0000-0000C9BF0000}"/>
    <cellStyle name="SAPBEXHLevel2X 3 15" xfId="49310" xr:uid="{00000000-0005-0000-0000-0000CABF0000}"/>
    <cellStyle name="SAPBEXHLevel2X 3 2" xfId="46449" xr:uid="{00000000-0005-0000-0000-0000CBBF0000}"/>
    <cellStyle name="SAPBEXHLevel2X 3 2 2" xfId="49555" xr:uid="{00000000-0005-0000-0000-0000CCBF0000}"/>
    <cellStyle name="SAPBEXHLevel2X 3 2 2 2" xfId="49883" xr:uid="{00000000-0005-0000-0000-0000CDBF0000}"/>
    <cellStyle name="SAPBEXHLevel2X 3 2 2 2 2" xfId="50126" xr:uid="{00000000-0005-0000-0000-0000CEBF0000}"/>
    <cellStyle name="SAPBEXHLevel2X 3 2 2 2 3" xfId="51571" xr:uid="{00000000-0005-0000-0000-0000CFBF0000}"/>
    <cellStyle name="SAPBEXHLevel2X 3 2 2 3" xfId="50484" xr:uid="{00000000-0005-0000-0000-0000D0BF0000}"/>
    <cellStyle name="SAPBEXHLevel2X 3 2 2 4" xfId="51362" xr:uid="{00000000-0005-0000-0000-0000D1BF0000}"/>
    <cellStyle name="SAPBEXHLevel2X 3 2 3" xfId="49407" xr:uid="{00000000-0005-0000-0000-0000D2BF0000}"/>
    <cellStyle name="SAPBEXHLevel2X 3 2 3 2" xfId="49735" xr:uid="{00000000-0005-0000-0000-0000D3BF0000}"/>
    <cellStyle name="SAPBEXHLevel2X 3 2 3 2 2" xfId="50262" xr:uid="{00000000-0005-0000-0000-0000D4BF0000}"/>
    <cellStyle name="SAPBEXHLevel2X 3 2 3 2 3" xfId="50913" xr:uid="{00000000-0005-0000-0000-0000D5BF0000}"/>
    <cellStyle name="SAPBEXHLevel2X 3 2 3 3" xfId="50631" xr:uid="{00000000-0005-0000-0000-0000D6BF0000}"/>
    <cellStyle name="SAPBEXHLevel2X 3 2 3 4" xfId="50885" xr:uid="{00000000-0005-0000-0000-0000D7BF0000}"/>
    <cellStyle name="SAPBEXHLevel2X 3 2 4" xfId="49694" xr:uid="{00000000-0005-0000-0000-0000D8BF0000}"/>
    <cellStyle name="SAPBEXHLevel2X 3 2 4 2" xfId="50313" xr:uid="{00000000-0005-0000-0000-0000D9BF0000}"/>
    <cellStyle name="SAPBEXHLevel2X 3 2 4 3" xfId="51260" xr:uid="{00000000-0005-0000-0000-0000DABF0000}"/>
    <cellStyle name="SAPBEXHLevel2X 3 2 5" xfId="50044" xr:uid="{00000000-0005-0000-0000-0000DBBF0000}"/>
    <cellStyle name="SAPBEXHLevel2X 3 2 5 2" xfId="51088" xr:uid="{00000000-0005-0000-0000-0000DCBF0000}"/>
    <cellStyle name="SAPBEXHLevel2X 3 2 5 3" xfId="51555" xr:uid="{00000000-0005-0000-0000-0000DDBF0000}"/>
    <cellStyle name="SAPBEXHLevel2X 3 2 6" xfId="50694" xr:uid="{00000000-0005-0000-0000-0000DEBF0000}"/>
    <cellStyle name="SAPBEXHLevel2X 3 2 7" xfId="50798" xr:uid="{00000000-0005-0000-0000-0000DFBF0000}"/>
    <cellStyle name="SAPBEXHLevel2X 3 2 8" xfId="49311" xr:uid="{00000000-0005-0000-0000-0000E0BF0000}"/>
    <cellStyle name="SAPBEXHLevel2X 3 3" xfId="46450" xr:uid="{00000000-0005-0000-0000-0000E1BF0000}"/>
    <cellStyle name="SAPBEXHLevel2X 3 3 2" xfId="49556" xr:uid="{00000000-0005-0000-0000-0000E2BF0000}"/>
    <cellStyle name="SAPBEXHLevel2X 3 3 2 2" xfId="49884" xr:uid="{00000000-0005-0000-0000-0000E3BF0000}"/>
    <cellStyle name="SAPBEXHLevel2X 3 3 2 2 2" xfId="50125" xr:uid="{00000000-0005-0000-0000-0000E4BF0000}"/>
    <cellStyle name="SAPBEXHLevel2X 3 3 2 2 3" xfId="51401" xr:uid="{00000000-0005-0000-0000-0000E5BF0000}"/>
    <cellStyle name="SAPBEXHLevel2X 3 3 2 3" xfId="50483" xr:uid="{00000000-0005-0000-0000-0000E6BF0000}"/>
    <cellStyle name="SAPBEXHLevel2X 3 3 2 4" xfId="51636" xr:uid="{00000000-0005-0000-0000-0000E7BF0000}"/>
    <cellStyle name="SAPBEXHLevel2X 3 3 3" xfId="49406" xr:uid="{00000000-0005-0000-0000-0000E8BF0000}"/>
    <cellStyle name="SAPBEXHLevel2X 3 3 3 2" xfId="49734" xr:uid="{00000000-0005-0000-0000-0000E9BF0000}"/>
    <cellStyle name="SAPBEXHLevel2X 3 3 3 2 2" xfId="50263" xr:uid="{00000000-0005-0000-0000-0000EABF0000}"/>
    <cellStyle name="SAPBEXHLevel2X 3 3 3 2 3" xfId="51595" xr:uid="{00000000-0005-0000-0000-0000EBBF0000}"/>
    <cellStyle name="SAPBEXHLevel2X 3 3 3 3" xfId="50632" xr:uid="{00000000-0005-0000-0000-0000ECBF0000}"/>
    <cellStyle name="SAPBEXHLevel2X 3 3 3 4" xfId="51655" xr:uid="{00000000-0005-0000-0000-0000EDBF0000}"/>
    <cellStyle name="SAPBEXHLevel2X 3 3 4" xfId="49695" xr:uid="{00000000-0005-0000-0000-0000EEBF0000}"/>
    <cellStyle name="SAPBEXHLevel2X 3 3 4 2" xfId="50312" xr:uid="{00000000-0005-0000-0000-0000EFBF0000}"/>
    <cellStyle name="SAPBEXHLevel2X 3 3 4 3" xfId="51517" xr:uid="{00000000-0005-0000-0000-0000F0BF0000}"/>
    <cellStyle name="SAPBEXHLevel2X 3 3 5" xfId="49987" xr:uid="{00000000-0005-0000-0000-0000F1BF0000}"/>
    <cellStyle name="SAPBEXHLevel2X 3 3 5 2" xfId="51032" xr:uid="{00000000-0005-0000-0000-0000F2BF0000}"/>
    <cellStyle name="SAPBEXHLevel2X 3 3 5 3" xfId="51292" xr:uid="{00000000-0005-0000-0000-0000F3BF0000}"/>
    <cellStyle name="SAPBEXHLevel2X 3 3 6" xfId="50693" xr:uid="{00000000-0005-0000-0000-0000F4BF0000}"/>
    <cellStyle name="SAPBEXHLevel2X 3 3 7" xfId="50962" xr:uid="{00000000-0005-0000-0000-0000F5BF0000}"/>
    <cellStyle name="SAPBEXHLevel2X 3 3 8" xfId="49312" xr:uid="{00000000-0005-0000-0000-0000F6BF0000}"/>
    <cellStyle name="SAPBEXHLevel2X 3 4" xfId="49313" xr:uid="{00000000-0005-0000-0000-0000F7BF0000}"/>
    <cellStyle name="SAPBEXHLevel2X 3 4 2" xfId="49557" xr:uid="{00000000-0005-0000-0000-0000F8BF0000}"/>
    <cellStyle name="SAPBEXHLevel2X 3 4 2 2" xfId="49885" xr:uid="{00000000-0005-0000-0000-0000F9BF0000}"/>
    <cellStyle name="SAPBEXHLevel2X 3 4 2 2 2" xfId="50124" xr:uid="{00000000-0005-0000-0000-0000FABF0000}"/>
    <cellStyle name="SAPBEXHLevel2X 3 4 2 2 3" xfId="51660" xr:uid="{00000000-0005-0000-0000-0000FBBF0000}"/>
    <cellStyle name="SAPBEXHLevel2X 3 4 2 3" xfId="50482" xr:uid="{00000000-0005-0000-0000-0000FCBF0000}"/>
    <cellStyle name="SAPBEXHLevel2X 3 4 2 4" xfId="50888" xr:uid="{00000000-0005-0000-0000-0000FDBF0000}"/>
    <cellStyle name="SAPBEXHLevel2X 3 4 3" xfId="49405" xr:uid="{00000000-0005-0000-0000-0000FEBF0000}"/>
    <cellStyle name="SAPBEXHLevel2X 3 4 3 2" xfId="49733" xr:uid="{00000000-0005-0000-0000-0000FFBF0000}"/>
    <cellStyle name="SAPBEXHLevel2X 3 4 3 2 2" xfId="50264" xr:uid="{00000000-0005-0000-0000-000000C00000}"/>
    <cellStyle name="SAPBEXHLevel2X 3 4 3 2 3" xfId="51380" xr:uid="{00000000-0005-0000-0000-000001C00000}"/>
    <cellStyle name="SAPBEXHLevel2X 3 4 3 3" xfId="50633" xr:uid="{00000000-0005-0000-0000-000002C00000}"/>
    <cellStyle name="SAPBEXHLevel2X 3 4 3 4" xfId="51342" xr:uid="{00000000-0005-0000-0000-000003C00000}"/>
    <cellStyle name="SAPBEXHLevel2X 3 4 4" xfId="49696" xr:uid="{00000000-0005-0000-0000-000004C00000}"/>
    <cellStyle name="SAPBEXHLevel2X 3 4 4 2" xfId="50311" xr:uid="{00000000-0005-0000-0000-000005C00000}"/>
    <cellStyle name="SAPBEXHLevel2X 3 4 4 3" xfId="51172" xr:uid="{00000000-0005-0000-0000-000006C00000}"/>
    <cellStyle name="SAPBEXHLevel2X 3 4 5" xfId="49986" xr:uid="{00000000-0005-0000-0000-000007C00000}"/>
    <cellStyle name="SAPBEXHLevel2X 3 4 5 2" xfId="51031" xr:uid="{00000000-0005-0000-0000-000008C00000}"/>
    <cellStyle name="SAPBEXHLevel2X 3 4 5 3" xfId="51117" xr:uid="{00000000-0005-0000-0000-000009C00000}"/>
    <cellStyle name="SAPBEXHLevel2X 3 4 6" xfId="50692" xr:uid="{00000000-0005-0000-0000-00000AC00000}"/>
    <cellStyle name="SAPBEXHLevel2X 3 4 7" xfId="50842" xr:uid="{00000000-0005-0000-0000-00000BC00000}"/>
    <cellStyle name="SAPBEXHLevel2X 3 5" xfId="49314" xr:uid="{00000000-0005-0000-0000-00000CC00000}"/>
    <cellStyle name="SAPBEXHLevel2X 3 5 2" xfId="49558" xr:uid="{00000000-0005-0000-0000-00000DC00000}"/>
    <cellStyle name="SAPBEXHLevel2X 3 5 2 2" xfId="49886" xr:uid="{00000000-0005-0000-0000-00000EC00000}"/>
    <cellStyle name="SAPBEXHLevel2X 3 5 2 2 2" xfId="50123" xr:uid="{00000000-0005-0000-0000-00000FC00000}"/>
    <cellStyle name="SAPBEXHLevel2X 3 5 2 2 3" xfId="50972" xr:uid="{00000000-0005-0000-0000-000010C00000}"/>
    <cellStyle name="SAPBEXHLevel2X 3 5 2 3" xfId="50481" xr:uid="{00000000-0005-0000-0000-000011C00000}"/>
    <cellStyle name="SAPBEXHLevel2X 3 5 2 4" xfId="51245" xr:uid="{00000000-0005-0000-0000-000012C00000}"/>
    <cellStyle name="SAPBEXHLevel2X 3 5 3" xfId="49404" xr:uid="{00000000-0005-0000-0000-000013C00000}"/>
    <cellStyle name="SAPBEXHLevel2X 3 5 3 2" xfId="49732" xr:uid="{00000000-0005-0000-0000-000014C00000}"/>
    <cellStyle name="SAPBEXHLevel2X 3 5 3 2 2" xfId="50265" xr:uid="{00000000-0005-0000-0000-000015C00000}"/>
    <cellStyle name="SAPBEXHLevel2X 3 5 3 2 3" xfId="51543" xr:uid="{00000000-0005-0000-0000-000016C00000}"/>
    <cellStyle name="SAPBEXHLevel2X 3 5 3 3" xfId="50634" xr:uid="{00000000-0005-0000-0000-000017C00000}"/>
    <cellStyle name="SAPBEXHLevel2X 3 5 3 4" xfId="51475" xr:uid="{00000000-0005-0000-0000-000018C00000}"/>
    <cellStyle name="SAPBEXHLevel2X 3 5 4" xfId="49697" xr:uid="{00000000-0005-0000-0000-000019C00000}"/>
    <cellStyle name="SAPBEXHLevel2X 3 5 4 2" xfId="50310" xr:uid="{00000000-0005-0000-0000-00001AC00000}"/>
    <cellStyle name="SAPBEXHLevel2X 3 5 4 3" xfId="50865" xr:uid="{00000000-0005-0000-0000-00001BC00000}"/>
    <cellStyle name="SAPBEXHLevel2X 3 5 5" xfId="49957" xr:uid="{00000000-0005-0000-0000-00001CC00000}"/>
    <cellStyle name="SAPBEXHLevel2X 3 5 5 2" xfId="51002" xr:uid="{00000000-0005-0000-0000-00001DC00000}"/>
    <cellStyle name="SAPBEXHLevel2X 3 5 5 3" xfId="51406" xr:uid="{00000000-0005-0000-0000-00001EC00000}"/>
    <cellStyle name="SAPBEXHLevel2X 3 5 6" xfId="50691" xr:uid="{00000000-0005-0000-0000-00001FC00000}"/>
    <cellStyle name="SAPBEXHLevel2X 3 5 7" xfId="50799" xr:uid="{00000000-0005-0000-0000-000020C00000}"/>
    <cellStyle name="SAPBEXHLevel2X 3 6" xfId="49315" xr:uid="{00000000-0005-0000-0000-000021C00000}"/>
    <cellStyle name="SAPBEXHLevel2X 3 6 2" xfId="49559" xr:uid="{00000000-0005-0000-0000-000022C00000}"/>
    <cellStyle name="SAPBEXHLevel2X 3 6 2 2" xfId="49887" xr:uid="{00000000-0005-0000-0000-000023C00000}"/>
    <cellStyle name="SAPBEXHLevel2X 3 6 2 2 2" xfId="50122" xr:uid="{00000000-0005-0000-0000-000024C00000}"/>
    <cellStyle name="SAPBEXHLevel2X 3 6 2 2 3" xfId="51283" xr:uid="{00000000-0005-0000-0000-000025C00000}"/>
    <cellStyle name="SAPBEXHLevel2X 3 6 2 3" xfId="50480" xr:uid="{00000000-0005-0000-0000-000026C00000}"/>
    <cellStyle name="SAPBEXHLevel2X 3 6 2 4" xfId="51502" xr:uid="{00000000-0005-0000-0000-000027C00000}"/>
    <cellStyle name="SAPBEXHLevel2X 3 6 3" xfId="49403" xr:uid="{00000000-0005-0000-0000-000028C00000}"/>
    <cellStyle name="SAPBEXHLevel2X 3 6 3 2" xfId="49731" xr:uid="{00000000-0005-0000-0000-000029C00000}"/>
    <cellStyle name="SAPBEXHLevel2X 3 6 3 2 2" xfId="50266" xr:uid="{00000000-0005-0000-0000-00002AC00000}"/>
    <cellStyle name="SAPBEXHLevel2X 3 6 3 2 3" xfId="51285" xr:uid="{00000000-0005-0000-0000-00002BC00000}"/>
    <cellStyle name="SAPBEXHLevel2X 3 6 3 3" xfId="50635" xr:uid="{00000000-0005-0000-0000-00002CC00000}"/>
    <cellStyle name="SAPBEXHLevel2X 3 6 3 4" xfId="51219" xr:uid="{00000000-0005-0000-0000-00002DC00000}"/>
    <cellStyle name="SAPBEXHLevel2X 3 6 4" xfId="49698" xr:uid="{00000000-0005-0000-0000-00002EC00000}"/>
    <cellStyle name="SAPBEXHLevel2X 3 6 4 2" xfId="50309" xr:uid="{00000000-0005-0000-0000-00002FC00000}"/>
    <cellStyle name="SAPBEXHLevel2X 3 6 4 3" xfId="51431" xr:uid="{00000000-0005-0000-0000-000030C00000}"/>
    <cellStyle name="SAPBEXHLevel2X 3 6 5" xfId="49985" xr:uid="{00000000-0005-0000-0000-000031C00000}"/>
    <cellStyle name="SAPBEXHLevel2X 3 6 5 2" xfId="51030" xr:uid="{00000000-0005-0000-0000-000032C00000}"/>
    <cellStyle name="SAPBEXHLevel2X 3 6 5 3" xfId="51606" xr:uid="{00000000-0005-0000-0000-000033C00000}"/>
    <cellStyle name="SAPBEXHLevel2X 3 6 6" xfId="50690" xr:uid="{00000000-0005-0000-0000-000034C00000}"/>
    <cellStyle name="SAPBEXHLevel2X 3 6 7" xfId="50843" xr:uid="{00000000-0005-0000-0000-000035C00000}"/>
    <cellStyle name="SAPBEXHLevel2X 3 7" xfId="49316" xr:uid="{00000000-0005-0000-0000-000036C00000}"/>
    <cellStyle name="SAPBEXHLevel2X 3 7 2" xfId="49560" xr:uid="{00000000-0005-0000-0000-000037C00000}"/>
    <cellStyle name="SAPBEXHLevel2X 3 7 2 2" xfId="49888" xr:uid="{00000000-0005-0000-0000-000038C00000}"/>
    <cellStyle name="SAPBEXHLevel2X 3 7 2 2 2" xfId="50121" xr:uid="{00000000-0005-0000-0000-000039C00000}"/>
    <cellStyle name="SAPBEXHLevel2X 3 7 2 2 3" xfId="51541" xr:uid="{00000000-0005-0000-0000-00003AC00000}"/>
    <cellStyle name="SAPBEXHLevel2X 3 7 2 3" xfId="50479" xr:uid="{00000000-0005-0000-0000-00003BC00000}"/>
    <cellStyle name="SAPBEXHLevel2X 3 7 2 4" xfId="51185" xr:uid="{00000000-0005-0000-0000-00003CC00000}"/>
    <cellStyle name="SAPBEXHLevel2X 3 7 3" xfId="49589" xr:uid="{00000000-0005-0000-0000-00003DC00000}"/>
    <cellStyle name="SAPBEXHLevel2X 3 7 3 2" xfId="49917" xr:uid="{00000000-0005-0000-0000-00003EC00000}"/>
    <cellStyle name="SAPBEXHLevel2X 3 7 3 2 2" xfId="50092" xr:uid="{00000000-0005-0000-0000-00003FC00000}"/>
    <cellStyle name="SAPBEXHLevel2X 3 7 3 2 3" xfId="51105" xr:uid="{00000000-0005-0000-0000-000040C00000}"/>
    <cellStyle name="SAPBEXHLevel2X 3 7 3 3" xfId="50450" xr:uid="{00000000-0005-0000-0000-000041C00000}"/>
    <cellStyle name="SAPBEXHLevel2X 3 7 3 4" xfId="51439" xr:uid="{00000000-0005-0000-0000-000042C00000}"/>
    <cellStyle name="SAPBEXHLevel2X 3 7 4" xfId="49699" xr:uid="{00000000-0005-0000-0000-000043C00000}"/>
    <cellStyle name="SAPBEXHLevel2X 3 7 4 2" xfId="50282" xr:uid="{00000000-0005-0000-0000-000044C00000}"/>
    <cellStyle name="SAPBEXHLevel2X 3 7 4 3" xfId="51378" xr:uid="{00000000-0005-0000-0000-000045C00000}"/>
    <cellStyle name="SAPBEXHLevel2X 3 7 5" xfId="49984" xr:uid="{00000000-0005-0000-0000-000046C00000}"/>
    <cellStyle name="SAPBEXHLevel2X 3 7 5 2" xfId="51029" xr:uid="{00000000-0005-0000-0000-000047C00000}"/>
    <cellStyle name="SAPBEXHLevel2X 3 7 5 3" xfId="51409" xr:uid="{00000000-0005-0000-0000-000048C00000}"/>
    <cellStyle name="SAPBEXHLevel2X 3 7 6" xfId="50689" xr:uid="{00000000-0005-0000-0000-000049C00000}"/>
    <cellStyle name="SAPBEXHLevel2X 3 7 7" xfId="50800" xr:uid="{00000000-0005-0000-0000-00004AC00000}"/>
    <cellStyle name="SAPBEXHLevel2X 3 8" xfId="49317" xr:uid="{00000000-0005-0000-0000-00004BC00000}"/>
    <cellStyle name="SAPBEXHLevel2X 3 8 2" xfId="49561" xr:uid="{00000000-0005-0000-0000-00004CC00000}"/>
    <cellStyle name="SAPBEXHLevel2X 3 8 2 2" xfId="49889" xr:uid="{00000000-0005-0000-0000-00004DC00000}"/>
    <cellStyle name="SAPBEXHLevel2X 3 8 2 2 2" xfId="50120" xr:uid="{00000000-0005-0000-0000-00004EC00000}"/>
    <cellStyle name="SAPBEXHLevel2X 3 8 2 2 3" xfId="51315" xr:uid="{00000000-0005-0000-0000-00004FC00000}"/>
    <cellStyle name="SAPBEXHLevel2X 3 8 2 3" xfId="50478" xr:uid="{00000000-0005-0000-0000-000050C00000}"/>
    <cellStyle name="SAPBEXHLevel2X 3 8 2 4" xfId="51443" xr:uid="{00000000-0005-0000-0000-000051C00000}"/>
    <cellStyle name="SAPBEXHLevel2X 3 8 3" xfId="49402" xr:uid="{00000000-0005-0000-0000-000052C00000}"/>
    <cellStyle name="SAPBEXHLevel2X 3 8 3 2" xfId="49730" xr:uid="{00000000-0005-0000-0000-000053C00000}"/>
    <cellStyle name="SAPBEXHLevel2X 3 8 3 2 2" xfId="50267" xr:uid="{00000000-0005-0000-0000-000054C00000}"/>
    <cellStyle name="SAPBEXHLevel2X 3 8 3 2 3" xfId="51429" xr:uid="{00000000-0005-0000-0000-000055C00000}"/>
    <cellStyle name="SAPBEXHLevel2X 3 8 3 3" xfId="50636" xr:uid="{00000000-0005-0000-0000-000056C00000}"/>
    <cellStyle name="SAPBEXHLevel2X 3 8 3 4" xfId="51464" xr:uid="{00000000-0005-0000-0000-000057C00000}"/>
    <cellStyle name="SAPBEXHLevel2X 3 8 4" xfId="49700" xr:uid="{00000000-0005-0000-0000-000058C00000}"/>
    <cellStyle name="SAPBEXHLevel2X 3 8 4 2" xfId="50281" xr:uid="{00000000-0005-0000-0000-000059C00000}"/>
    <cellStyle name="SAPBEXHLevel2X 3 8 4 3" xfId="51598" xr:uid="{00000000-0005-0000-0000-00005AC00000}"/>
    <cellStyle name="SAPBEXHLevel2X 3 8 5" xfId="50052" xr:uid="{00000000-0005-0000-0000-00005BC00000}"/>
    <cellStyle name="SAPBEXHLevel2X 3 8 5 2" xfId="51096" xr:uid="{00000000-0005-0000-0000-00005CC00000}"/>
    <cellStyle name="SAPBEXHLevel2X 3 8 5 3" xfId="51298" xr:uid="{00000000-0005-0000-0000-00005DC00000}"/>
    <cellStyle name="SAPBEXHLevel2X 3 8 6" xfId="50688" xr:uid="{00000000-0005-0000-0000-00005EC00000}"/>
    <cellStyle name="SAPBEXHLevel2X 3 8 7" xfId="50844" xr:uid="{00000000-0005-0000-0000-00005FC00000}"/>
    <cellStyle name="SAPBEXHLevel2X 3 9" xfId="49554" xr:uid="{00000000-0005-0000-0000-000060C00000}"/>
    <cellStyle name="SAPBEXHLevel2X 3 9 2" xfId="49882" xr:uid="{00000000-0005-0000-0000-000061C00000}"/>
    <cellStyle name="SAPBEXHLevel2X 3 9 2 2" xfId="50127" xr:uid="{00000000-0005-0000-0000-000062C00000}"/>
    <cellStyle name="SAPBEXHLevel2X 3 9 2 3" xfId="51314" xr:uid="{00000000-0005-0000-0000-000063C00000}"/>
    <cellStyle name="SAPBEXHLevel2X 3 9 3" xfId="50485" xr:uid="{00000000-0005-0000-0000-000064C00000}"/>
    <cellStyle name="SAPBEXHLevel2X 3 9 4" xfId="51444"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08" xr:uid="{00000000-0005-0000-0000-00006AC00000}"/>
    <cellStyle name="SAPBEXHLevel2X 4" xfId="46455" xr:uid="{00000000-0005-0000-0000-00006BC00000}"/>
    <cellStyle name="SAPBEXHLevel2X 4 2" xfId="46456" xr:uid="{00000000-0005-0000-0000-00006CC00000}"/>
    <cellStyle name="SAPBEXHLevel2X 4 2 2" xfId="50129" xr:uid="{00000000-0005-0000-0000-00006DC00000}"/>
    <cellStyle name="SAPBEXHLevel2X 4 2 3" xfId="51282" xr:uid="{00000000-0005-0000-0000-00006EC00000}"/>
    <cellStyle name="SAPBEXHLevel2X 4 2 4" xfId="49880" xr:uid="{00000000-0005-0000-0000-00006FC00000}"/>
    <cellStyle name="SAPBEXHLevel2X 4 3" xfId="50487" xr:uid="{00000000-0005-0000-0000-000070C00000}"/>
    <cellStyle name="SAPBEXHLevel2X 4 4" xfId="51501" xr:uid="{00000000-0005-0000-0000-000071C00000}"/>
    <cellStyle name="SAPBEXHLevel2X 4 5" xfId="49552" xr:uid="{00000000-0005-0000-0000-000072C00000}"/>
    <cellStyle name="SAPBEXHLevel2X 5" xfId="46457" xr:uid="{00000000-0005-0000-0000-000073C00000}"/>
    <cellStyle name="SAPBEXHLevel2X 5 2" xfId="46458" xr:uid="{00000000-0005-0000-0000-000074C00000}"/>
    <cellStyle name="SAPBEXHLevel2X 5 2 2" xfId="50259" xr:uid="{00000000-0005-0000-0000-000075C00000}"/>
    <cellStyle name="SAPBEXHLevel2X 5 2 3" xfId="51522" xr:uid="{00000000-0005-0000-0000-000076C00000}"/>
    <cellStyle name="SAPBEXHLevel2X 5 2 4" xfId="49738" xr:uid="{00000000-0005-0000-0000-000077C00000}"/>
    <cellStyle name="SAPBEXHLevel2X 5 3" xfId="50628" xr:uid="{00000000-0005-0000-0000-000078C00000}"/>
    <cellStyle name="SAPBEXHLevel2X 5 4" xfId="51205" xr:uid="{00000000-0005-0000-0000-000079C00000}"/>
    <cellStyle name="SAPBEXHLevel2X 5 5" xfId="49410" xr:uid="{00000000-0005-0000-0000-00007AC00000}"/>
    <cellStyle name="SAPBEXHLevel2X 6" xfId="46459" xr:uid="{00000000-0005-0000-0000-00007BC00000}"/>
    <cellStyle name="SAPBEXHLevel2X 6 2" xfId="46460" xr:uid="{00000000-0005-0000-0000-00007CC00000}"/>
    <cellStyle name="SAPBEXHLevel2X 6 2 2" xfId="50316" xr:uid="{00000000-0005-0000-0000-00007DC00000}"/>
    <cellStyle name="SAPBEXHLevel2X 6 3" xfId="51624" xr:uid="{00000000-0005-0000-0000-00007EC00000}"/>
    <cellStyle name="SAPBEXHLevel2X 6 4" xfId="49691" xr:uid="{00000000-0005-0000-0000-00007FC00000}"/>
    <cellStyle name="SAPBEXHLevel2X 7" xfId="46461" xr:uid="{00000000-0005-0000-0000-000080C00000}"/>
    <cellStyle name="SAPBEXHLevel2X 7 2" xfId="46462" xr:uid="{00000000-0005-0000-0000-000081C00000}"/>
    <cellStyle name="SAPBEXHLevel2X 7 2 2" xfId="51034" xr:uid="{00000000-0005-0000-0000-000082C00000}"/>
    <cellStyle name="SAPBEXHLevel2X 7 3" xfId="51323" xr:uid="{00000000-0005-0000-0000-000083C00000}"/>
    <cellStyle name="SAPBEXHLevel2X 7 4" xfId="49989" xr:uid="{00000000-0005-0000-0000-000084C00000}"/>
    <cellStyle name="SAPBEXHLevel2X 8" xfId="46463" xr:uid="{00000000-0005-0000-0000-000085C00000}"/>
    <cellStyle name="SAPBEXHLevel2X 8 2" xfId="46464" xr:uid="{00000000-0005-0000-0000-000086C00000}"/>
    <cellStyle name="SAPBEXHLevel2X 8 3" xfId="50697" xr:uid="{00000000-0005-0000-0000-000087C00000}"/>
    <cellStyle name="SAPBEXHLevel2X 9" xfId="46465" xr:uid="{00000000-0005-0000-0000-000088C00000}"/>
    <cellStyle name="SAPBEXHLevel2X 9 2" xfId="46466" xr:uid="{00000000-0005-0000-0000-000089C00000}"/>
    <cellStyle name="SAPBEXHLevel2X 9 3" xfId="50797"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37"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18" xr:uid="{00000000-0005-0000-0000-0000A5C00000}"/>
    <cellStyle name="SAPBEXHLevel3 2 2 2 3" xfId="51402" xr:uid="{00000000-0005-0000-0000-0000A6C00000}"/>
    <cellStyle name="SAPBEXHLevel3 2 2 2 4" xfId="49891" xr:uid="{00000000-0005-0000-0000-0000A7C00000}"/>
    <cellStyle name="SAPBEXHLevel3 2 2 3" xfId="46491" xr:uid="{00000000-0005-0000-0000-0000A8C00000}"/>
    <cellStyle name="SAPBEXHLevel3 2 2 3 2" xfId="50476" xr:uid="{00000000-0005-0000-0000-0000A9C00000}"/>
    <cellStyle name="SAPBEXHLevel3 2 2 4" xfId="51635" xr:uid="{00000000-0005-0000-0000-0000AAC00000}"/>
    <cellStyle name="SAPBEXHLevel3 2 2 5" xfId="49563"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3" xr:uid="{00000000-0005-0000-0000-0000B8C00000}"/>
    <cellStyle name="SAPBEXHLevel3 2 3 2 3" xfId="51151" xr:uid="{00000000-0005-0000-0000-0000B9C00000}"/>
    <cellStyle name="SAPBEXHLevel3 2 3 2 4" xfId="49916" xr:uid="{00000000-0005-0000-0000-0000BAC00000}"/>
    <cellStyle name="SAPBEXHLevel3 2 3 3" xfId="50451" xr:uid="{00000000-0005-0000-0000-0000BBC00000}"/>
    <cellStyle name="SAPBEXHLevel3 2 3 4" xfId="51181" xr:uid="{00000000-0005-0000-0000-0000BCC00000}"/>
    <cellStyle name="SAPBEXHLevel3 2 3 5" xfId="49588"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19" xr:uid="{00000000-0005-0000-0000-0000C1C00000}"/>
    <cellStyle name="SAPBEXHLevel3 2 4" xfId="46507" xr:uid="{00000000-0005-0000-0000-0000C2C00000}"/>
    <cellStyle name="SAPBEXHLevel3 2 4 2" xfId="46508" xr:uid="{00000000-0005-0000-0000-0000C3C00000}"/>
    <cellStyle name="SAPBEXHLevel3 2 4 2 2" xfId="50279" xr:uid="{00000000-0005-0000-0000-0000C4C00000}"/>
    <cellStyle name="SAPBEXHLevel3 2 4 3" xfId="50935" xr:uid="{00000000-0005-0000-0000-0000C5C00000}"/>
    <cellStyle name="SAPBEXHLevel3 2 4 4" xfId="49702" xr:uid="{00000000-0005-0000-0000-0000C6C00000}"/>
    <cellStyle name="SAPBEXHLevel3 2 5" xfId="46509" xr:uid="{00000000-0005-0000-0000-0000C7C00000}"/>
    <cellStyle name="SAPBEXHLevel3 2 5 2" xfId="46510" xr:uid="{00000000-0005-0000-0000-0000C8C00000}"/>
    <cellStyle name="SAPBEXHLevel3 2 5 2 2" xfId="51095" xr:uid="{00000000-0005-0000-0000-0000C9C00000}"/>
    <cellStyle name="SAPBEXHLevel3 2 5 3" xfId="51131" xr:uid="{00000000-0005-0000-0000-0000CAC00000}"/>
    <cellStyle name="SAPBEXHLevel3 2 5 4" xfId="50051" xr:uid="{00000000-0005-0000-0000-0000CBC00000}"/>
    <cellStyle name="SAPBEXHLevel3 2 6" xfId="46511" xr:uid="{00000000-0005-0000-0000-0000CCC00000}"/>
    <cellStyle name="SAPBEXHLevel3 2 6 2" xfId="46512" xr:uid="{00000000-0005-0000-0000-0000CDC00000}"/>
    <cellStyle name="SAPBEXHLevel3 2 6 3" xfId="50686" xr:uid="{00000000-0005-0000-0000-0000CEC00000}"/>
    <cellStyle name="SAPBEXHLevel3 2 7" xfId="46513" xr:uid="{00000000-0005-0000-0000-0000CFC00000}"/>
    <cellStyle name="SAPBEXHLevel3 2 7 2" xfId="46514" xr:uid="{00000000-0005-0000-0000-0000D0C00000}"/>
    <cellStyle name="SAPBEXHLevel3 2 7 3" xfId="50839"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19" xr:uid="{00000000-0005-0000-0000-0000E1C00000}"/>
    <cellStyle name="SAPBEXHLevel3 3 2 3" xfId="51572" xr:uid="{00000000-0005-0000-0000-0000E2C00000}"/>
    <cellStyle name="SAPBEXHLevel3 3 2 4" xfId="49890" xr:uid="{00000000-0005-0000-0000-0000E3C00000}"/>
    <cellStyle name="SAPBEXHLevel3 3 3" xfId="46530" xr:uid="{00000000-0005-0000-0000-0000E4C00000}"/>
    <cellStyle name="SAPBEXHLevel3 3 3 2" xfId="50477" xr:uid="{00000000-0005-0000-0000-0000E5C00000}"/>
    <cellStyle name="SAPBEXHLevel3 3 4" xfId="51363" xr:uid="{00000000-0005-0000-0000-0000E6C00000}"/>
    <cellStyle name="SAPBEXHLevel3 3 5" xfId="49562"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18" xr:uid="{00000000-0005-0000-0000-0000ECC00000}"/>
    <cellStyle name="SAPBEXHLevel3 4" xfId="46535" xr:uid="{00000000-0005-0000-0000-0000EDC00000}"/>
    <cellStyle name="SAPBEXHLevel3 4 2" xfId="46536" xr:uid="{00000000-0005-0000-0000-0000EEC00000}"/>
    <cellStyle name="SAPBEXHLevel3 4 2 2" xfId="50268" xr:uid="{00000000-0005-0000-0000-0000EFC00000}"/>
    <cellStyle name="SAPBEXHLevel3 4 2 3" xfId="51170" xr:uid="{00000000-0005-0000-0000-0000F0C00000}"/>
    <cellStyle name="SAPBEXHLevel3 4 2 4" xfId="49729" xr:uid="{00000000-0005-0000-0000-0000F1C00000}"/>
    <cellStyle name="SAPBEXHLevel3 4 3" xfId="50637" xr:uid="{00000000-0005-0000-0000-0000F2C00000}"/>
    <cellStyle name="SAPBEXHLevel3 4 4" xfId="51206" xr:uid="{00000000-0005-0000-0000-0000F3C00000}"/>
    <cellStyle name="SAPBEXHLevel3 4 5" xfId="49401" xr:uid="{00000000-0005-0000-0000-0000F4C00000}"/>
    <cellStyle name="SAPBEXHLevel3 5" xfId="46537" xr:uid="{00000000-0005-0000-0000-0000F5C00000}"/>
    <cellStyle name="SAPBEXHLevel3 5 2" xfId="46538" xr:uid="{00000000-0005-0000-0000-0000F6C00000}"/>
    <cellStyle name="SAPBEXHLevel3 5 2 2" xfId="50994" xr:uid="{00000000-0005-0000-0000-0000F7C00000}"/>
    <cellStyle name="SAPBEXHLevel3 5 2 3" xfId="51112" xr:uid="{00000000-0005-0000-0000-0000F8C00000}"/>
    <cellStyle name="SAPBEXHLevel3 5 2 4" xfId="49949" xr:uid="{00000000-0005-0000-0000-0000F9C00000}"/>
    <cellStyle name="SAPBEXHLevel3 5 3" xfId="50055" xr:uid="{00000000-0005-0000-0000-0000FAC00000}"/>
    <cellStyle name="SAPBEXHLevel3 5 4" xfId="51133" xr:uid="{00000000-0005-0000-0000-0000FBC00000}"/>
    <cellStyle name="SAPBEXHLevel3 5 5" xfId="49621" xr:uid="{00000000-0005-0000-0000-0000FCC00000}"/>
    <cellStyle name="SAPBEXHLevel3 6" xfId="46539" xr:uid="{00000000-0005-0000-0000-0000FDC00000}"/>
    <cellStyle name="SAPBEXHLevel3 6 2" xfId="46540" xr:uid="{00000000-0005-0000-0000-0000FEC00000}"/>
    <cellStyle name="SAPBEXHLevel3 6 2 2" xfId="50280" xr:uid="{00000000-0005-0000-0000-0000FFC00000}"/>
    <cellStyle name="SAPBEXHLevel3 6 3" xfId="50875" xr:uid="{00000000-0005-0000-0000-000000C10000}"/>
    <cellStyle name="SAPBEXHLevel3 6 4" xfId="49701" xr:uid="{00000000-0005-0000-0000-000001C10000}"/>
    <cellStyle name="SAPBEXHLevel3 7" xfId="46541" xr:uid="{00000000-0005-0000-0000-000002C10000}"/>
    <cellStyle name="SAPBEXHLevel3 7 2" xfId="46542" xr:uid="{00000000-0005-0000-0000-000003C10000}"/>
    <cellStyle name="SAPBEXHLevel3 7 2 2" xfId="51097" xr:uid="{00000000-0005-0000-0000-000004C10000}"/>
    <cellStyle name="SAPBEXHLevel3 7 3" xfId="51670" xr:uid="{00000000-0005-0000-0000-000005C10000}"/>
    <cellStyle name="SAPBEXHLevel3 7 4" xfId="50053" xr:uid="{00000000-0005-0000-0000-000006C10000}"/>
    <cellStyle name="SAPBEXHLevel3 8" xfId="46543" xr:uid="{00000000-0005-0000-0000-000007C10000}"/>
    <cellStyle name="SAPBEXHLevel3 8 2" xfId="46544" xr:uid="{00000000-0005-0000-0000-000008C10000}"/>
    <cellStyle name="SAPBEXHLevel3 8 3" xfId="50687" xr:uid="{00000000-0005-0000-0000-000009C10000}"/>
    <cellStyle name="SAPBEXHLevel3 9" xfId="46545" xr:uid="{00000000-0005-0000-0000-00000AC10000}"/>
    <cellStyle name="SAPBEXHLevel3 9 2" xfId="46546" xr:uid="{00000000-0005-0000-0000-00000BC10000}"/>
    <cellStyle name="SAPBEXHLevel3 9 3" xfId="50845"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16" xr:uid="{00000000-0005-0000-0000-000026C10000}"/>
    <cellStyle name="SAPBEXHLevel3X 2 2 2 3" xfId="51098" xr:uid="{00000000-0005-0000-0000-000027C10000}"/>
    <cellStyle name="SAPBEXHLevel3X 2 2 2 4" xfId="49893" xr:uid="{00000000-0005-0000-0000-000028C10000}"/>
    <cellStyle name="SAPBEXHLevel3X 2 2 3" xfId="46571" xr:uid="{00000000-0005-0000-0000-000029C10000}"/>
    <cellStyle name="SAPBEXHLevel3X 2 2 3 2" xfId="50474" xr:uid="{00000000-0005-0000-0000-00002AC10000}"/>
    <cellStyle name="SAPBEXHLevel3X 2 2 4" xfId="51246" xr:uid="{00000000-0005-0000-0000-00002BC10000}"/>
    <cellStyle name="SAPBEXHLevel3X 2 2 5" xfId="49565"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5" xr:uid="{00000000-0005-0000-0000-000039C10000}"/>
    <cellStyle name="SAPBEXHLevel3X 2 3 2 3" xfId="51147" xr:uid="{00000000-0005-0000-0000-00003AC10000}"/>
    <cellStyle name="SAPBEXHLevel3X 2 3 2 4" xfId="49927" xr:uid="{00000000-0005-0000-0000-00003BC10000}"/>
    <cellStyle name="SAPBEXHLevel3X 2 3 3" xfId="50440" xr:uid="{00000000-0005-0000-0000-00003CC10000}"/>
    <cellStyle name="SAPBEXHLevel3X 2 3 4" xfId="51640" xr:uid="{00000000-0005-0000-0000-00003DC10000}"/>
    <cellStyle name="SAPBEXHLevel3X 2 3 5" xfId="49599"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1" xr:uid="{00000000-0005-0000-0000-000042C10000}"/>
    <cellStyle name="SAPBEXHLevel3X 2 4" xfId="46587" xr:uid="{00000000-0005-0000-0000-000043C10000}"/>
    <cellStyle name="SAPBEXHLevel3X 2 4 2" xfId="46588" xr:uid="{00000000-0005-0000-0000-000044C10000}"/>
    <cellStyle name="SAPBEXHLevel3X 2 4 2 2" xfId="50277" xr:uid="{00000000-0005-0000-0000-000045C10000}"/>
    <cellStyle name="SAPBEXHLevel3X 2 4 3" xfId="50853" xr:uid="{00000000-0005-0000-0000-000046C10000}"/>
    <cellStyle name="SAPBEXHLevel3X 2 4 4" xfId="49704" xr:uid="{00000000-0005-0000-0000-000047C10000}"/>
    <cellStyle name="SAPBEXHLevel3X 2 5" xfId="46589" xr:uid="{00000000-0005-0000-0000-000048C10000}"/>
    <cellStyle name="SAPBEXHLevel3X 2 5 2" xfId="46590" xr:uid="{00000000-0005-0000-0000-000049C10000}"/>
    <cellStyle name="SAPBEXHLevel3X 2 5 2 2" xfId="51028" xr:uid="{00000000-0005-0000-0000-00004AC10000}"/>
    <cellStyle name="SAPBEXHLevel3X 2 5 3" xfId="51588" xr:uid="{00000000-0005-0000-0000-00004BC10000}"/>
    <cellStyle name="SAPBEXHLevel3X 2 5 4" xfId="49983" xr:uid="{00000000-0005-0000-0000-00004CC10000}"/>
    <cellStyle name="SAPBEXHLevel3X 2 6" xfId="46591" xr:uid="{00000000-0005-0000-0000-00004DC10000}"/>
    <cellStyle name="SAPBEXHLevel3X 2 6 2" xfId="46592" xr:uid="{00000000-0005-0000-0000-00004EC10000}"/>
    <cellStyle name="SAPBEXHLevel3X 2 6 3" xfId="50684" xr:uid="{00000000-0005-0000-0000-00004FC10000}"/>
    <cellStyle name="SAPBEXHLevel3X 2 7" xfId="46593" xr:uid="{00000000-0005-0000-0000-000050C10000}"/>
    <cellStyle name="SAPBEXHLevel3X 2 7 2" xfId="46594" xr:uid="{00000000-0005-0000-0000-000051C10000}"/>
    <cellStyle name="SAPBEXHLevel3X 2 7 3" xfId="51142"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0" xr:uid="{00000000-0005-0000-0000-000061C10000}"/>
    <cellStyle name="SAPBEXHLevel3X 3 10 2" xfId="49928" xr:uid="{00000000-0005-0000-0000-000062C10000}"/>
    <cellStyle name="SAPBEXHLevel3X 3 10 2 2" xfId="50084" xr:uid="{00000000-0005-0000-0000-000063C10000}"/>
    <cellStyle name="SAPBEXHLevel3X 3 10 2 3" xfId="51109" xr:uid="{00000000-0005-0000-0000-000064C10000}"/>
    <cellStyle name="SAPBEXHLevel3X 3 10 3" xfId="50439" xr:uid="{00000000-0005-0000-0000-000065C10000}"/>
    <cellStyle name="SAPBEXHLevel3X 3 10 4" xfId="50874" xr:uid="{00000000-0005-0000-0000-000066C10000}"/>
    <cellStyle name="SAPBEXHLevel3X 3 11" xfId="49705" xr:uid="{00000000-0005-0000-0000-000067C10000}"/>
    <cellStyle name="SAPBEXHLevel3X 3 11 2" xfId="50276" xr:uid="{00000000-0005-0000-0000-000068C10000}"/>
    <cellStyle name="SAPBEXHLevel3X 3 11 3" xfId="51518" xr:uid="{00000000-0005-0000-0000-000069C10000}"/>
    <cellStyle name="SAPBEXHLevel3X 3 12" xfId="49982" xr:uid="{00000000-0005-0000-0000-00006AC10000}"/>
    <cellStyle name="SAPBEXHLevel3X 3 12 2" xfId="51027" xr:uid="{00000000-0005-0000-0000-00006BC10000}"/>
    <cellStyle name="SAPBEXHLevel3X 3 12 3" xfId="51333" xr:uid="{00000000-0005-0000-0000-00006CC10000}"/>
    <cellStyle name="SAPBEXHLevel3X 3 13" xfId="50683" xr:uid="{00000000-0005-0000-0000-00006DC10000}"/>
    <cellStyle name="SAPBEXHLevel3X 3 14" xfId="50838" xr:uid="{00000000-0005-0000-0000-00006EC10000}"/>
    <cellStyle name="SAPBEXHLevel3X 3 15" xfId="49322" xr:uid="{00000000-0005-0000-0000-00006FC10000}"/>
    <cellStyle name="SAPBEXHLevel3X 3 2" xfId="46609" xr:uid="{00000000-0005-0000-0000-000070C10000}"/>
    <cellStyle name="SAPBEXHLevel3X 3 2 2" xfId="49567" xr:uid="{00000000-0005-0000-0000-000071C10000}"/>
    <cellStyle name="SAPBEXHLevel3X 3 2 2 2" xfId="49895" xr:uid="{00000000-0005-0000-0000-000072C10000}"/>
    <cellStyle name="SAPBEXHLevel3X 3 2 2 2 2" xfId="50114" xr:uid="{00000000-0005-0000-0000-000073C10000}"/>
    <cellStyle name="SAPBEXHLevel3X 3 2 2 2 3" xfId="51542" xr:uid="{00000000-0005-0000-0000-000074C10000}"/>
    <cellStyle name="SAPBEXHLevel3X 3 2 2 3" xfId="50472" xr:uid="{00000000-0005-0000-0000-000075C10000}"/>
    <cellStyle name="SAPBEXHLevel3X 3 2 2 4" xfId="51184" xr:uid="{00000000-0005-0000-0000-000076C10000}"/>
    <cellStyle name="SAPBEXHLevel3X 3 2 3" xfId="49601" xr:uid="{00000000-0005-0000-0000-000077C10000}"/>
    <cellStyle name="SAPBEXHLevel3X 3 2 3 2" xfId="49929" xr:uid="{00000000-0005-0000-0000-000078C10000}"/>
    <cellStyle name="SAPBEXHLevel3X 3 2 3 2 2" xfId="50083" xr:uid="{00000000-0005-0000-0000-000079C10000}"/>
    <cellStyle name="SAPBEXHLevel3X 3 2 3 2 3" xfId="51110" xr:uid="{00000000-0005-0000-0000-00007AC10000}"/>
    <cellStyle name="SAPBEXHLevel3X 3 2 3 3" xfId="50438" xr:uid="{00000000-0005-0000-0000-00007BC10000}"/>
    <cellStyle name="SAPBEXHLevel3X 3 2 3 4" xfId="50948" xr:uid="{00000000-0005-0000-0000-00007CC10000}"/>
    <cellStyle name="SAPBEXHLevel3X 3 2 4" xfId="49706" xr:uid="{00000000-0005-0000-0000-00007DC10000}"/>
    <cellStyle name="SAPBEXHLevel3X 3 2 4 2" xfId="50275" xr:uid="{00000000-0005-0000-0000-00007EC10000}"/>
    <cellStyle name="SAPBEXHLevel3X 3 2 4 3" xfId="51171" xr:uid="{00000000-0005-0000-0000-00007FC10000}"/>
    <cellStyle name="SAPBEXHLevel3X 3 2 5" xfId="49981" xr:uid="{00000000-0005-0000-0000-000080C10000}"/>
    <cellStyle name="SAPBEXHLevel3X 3 2 5 2" xfId="51026" xr:uid="{00000000-0005-0000-0000-000081C10000}"/>
    <cellStyle name="SAPBEXHLevel3X 3 2 5 3" xfId="51579" xr:uid="{00000000-0005-0000-0000-000082C10000}"/>
    <cellStyle name="SAPBEXHLevel3X 3 2 6" xfId="50682" xr:uid="{00000000-0005-0000-0000-000083C10000}"/>
    <cellStyle name="SAPBEXHLevel3X 3 2 7" xfId="51143" xr:uid="{00000000-0005-0000-0000-000084C10000}"/>
    <cellStyle name="SAPBEXHLevel3X 3 2 8" xfId="49323" xr:uid="{00000000-0005-0000-0000-000085C10000}"/>
    <cellStyle name="SAPBEXHLevel3X 3 3" xfId="46610" xr:uid="{00000000-0005-0000-0000-000086C10000}"/>
    <cellStyle name="SAPBEXHLevel3X 3 3 2" xfId="49568" xr:uid="{00000000-0005-0000-0000-000087C10000}"/>
    <cellStyle name="SAPBEXHLevel3X 3 3 2 2" xfId="49896" xr:uid="{00000000-0005-0000-0000-000088C10000}"/>
    <cellStyle name="SAPBEXHLevel3X 3 3 2 2 2" xfId="50113" xr:uid="{00000000-0005-0000-0000-000089C10000}"/>
    <cellStyle name="SAPBEXHLevel3X 3 3 2 2 3" xfId="51316" xr:uid="{00000000-0005-0000-0000-00008AC10000}"/>
    <cellStyle name="SAPBEXHLevel3X 3 3 2 3" xfId="50471" xr:uid="{00000000-0005-0000-0000-00008BC10000}"/>
    <cellStyle name="SAPBEXHLevel3X 3 3 2 4" xfId="51442" xr:uid="{00000000-0005-0000-0000-00008CC10000}"/>
    <cellStyle name="SAPBEXHLevel3X 3 3 3" xfId="49602" xr:uid="{00000000-0005-0000-0000-00008DC10000}"/>
    <cellStyle name="SAPBEXHLevel3X 3 3 3 2" xfId="49930" xr:uid="{00000000-0005-0000-0000-00008EC10000}"/>
    <cellStyle name="SAPBEXHLevel3X 3 3 3 2 2" xfId="50082" xr:uid="{00000000-0005-0000-0000-00008FC10000}"/>
    <cellStyle name="SAPBEXHLevel3X 3 3 3 2 3" xfId="51286" xr:uid="{00000000-0005-0000-0000-000090C10000}"/>
    <cellStyle name="SAPBEXHLevel3X 3 3 3 3" xfId="50437" xr:uid="{00000000-0005-0000-0000-000091C10000}"/>
    <cellStyle name="SAPBEXHLevel3X 3 3 3 4" xfId="51251" xr:uid="{00000000-0005-0000-0000-000092C10000}"/>
    <cellStyle name="SAPBEXHLevel3X 3 3 4" xfId="49707" xr:uid="{00000000-0005-0000-0000-000093C10000}"/>
    <cellStyle name="SAPBEXHLevel3X 3 3 4 2" xfId="50274" xr:uid="{00000000-0005-0000-0000-000094C10000}"/>
    <cellStyle name="SAPBEXHLevel3X 3 3 4 3" xfId="51430" xr:uid="{00000000-0005-0000-0000-000095C10000}"/>
    <cellStyle name="SAPBEXHLevel3X 3 3 5" xfId="49980" xr:uid="{00000000-0005-0000-0000-000096C10000}"/>
    <cellStyle name="SAPBEXHLevel3X 3 3 5 2" xfId="51025" xr:uid="{00000000-0005-0000-0000-000097C10000}"/>
    <cellStyle name="SAPBEXHLevel3X 3 3 5 3" xfId="51322" xr:uid="{00000000-0005-0000-0000-000098C10000}"/>
    <cellStyle name="SAPBEXHLevel3X 3 3 6" xfId="50681" xr:uid="{00000000-0005-0000-0000-000099C10000}"/>
    <cellStyle name="SAPBEXHLevel3X 3 3 7" xfId="50801" xr:uid="{00000000-0005-0000-0000-00009AC10000}"/>
    <cellStyle name="SAPBEXHLevel3X 3 3 8" xfId="49324" xr:uid="{00000000-0005-0000-0000-00009BC10000}"/>
    <cellStyle name="SAPBEXHLevel3X 3 4" xfId="49325" xr:uid="{00000000-0005-0000-0000-00009CC10000}"/>
    <cellStyle name="SAPBEXHLevel3X 3 4 2" xfId="49569" xr:uid="{00000000-0005-0000-0000-00009DC10000}"/>
    <cellStyle name="SAPBEXHLevel3X 3 4 2 2" xfId="49897" xr:uid="{00000000-0005-0000-0000-00009EC10000}"/>
    <cellStyle name="SAPBEXHLevel3X 3 4 2 2 2" xfId="50112" xr:uid="{00000000-0005-0000-0000-00009FC10000}"/>
    <cellStyle name="SAPBEXHLevel3X 3 4 2 2 3" xfId="51573" xr:uid="{00000000-0005-0000-0000-0000A0C10000}"/>
    <cellStyle name="SAPBEXHLevel3X 3 4 2 3" xfId="50470" xr:uid="{00000000-0005-0000-0000-0000A1C10000}"/>
    <cellStyle name="SAPBEXHLevel3X 3 4 2 4" xfId="51364" xr:uid="{00000000-0005-0000-0000-0000A2C10000}"/>
    <cellStyle name="SAPBEXHLevel3X 3 4 3" xfId="49603" xr:uid="{00000000-0005-0000-0000-0000A3C10000}"/>
    <cellStyle name="SAPBEXHLevel3X 3 4 3 2" xfId="49931" xr:uid="{00000000-0005-0000-0000-0000A4C10000}"/>
    <cellStyle name="SAPBEXHLevel3X 3 4 3 2 2" xfId="50081" xr:uid="{00000000-0005-0000-0000-0000A5C10000}"/>
    <cellStyle name="SAPBEXHLevel3X 3 4 3 2 3" xfId="51544" xr:uid="{00000000-0005-0000-0000-0000A6C10000}"/>
    <cellStyle name="SAPBEXHLevel3X 3 4 3 3" xfId="50060" xr:uid="{00000000-0005-0000-0000-0000A7C10000}"/>
    <cellStyle name="SAPBEXHLevel3X 3 4 3 4" xfId="51508" xr:uid="{00000000-0005-0000-0000-0000A8C10000}"/>
    <cellStyle name="SAPBEXHLevel3X 3 4 4" xfId="49708" xr:uid="{00000000-0005-0000-0000-0000A9C10000}"/>
    <cellStyle name="SAPBEXHLevel3X 3 4 4 2" xfId="50273" xr:uid="{00000000-0005-0000-0000-0000AAC10000}"/>
    <cellStyle name="SAPBEXHLevel3X 3 4 4 3" xfId="51379" xr:uid="{00000000-0005-0000-0000-0000ABC10000}"/>
    <cellStyle name="SAPBEXHLevel3X 3 4 5" xfId="49979" xr:uid="{00000000-0005-0000-0000-0000ACC10000}"/>
    <cellStyle name="SAPBEXHLevel3X 3 4 5 2" xfId="51024" xr:uid="{00000000-0005-0000-0000-0000ADC10000}"/>
    <cellStyle name="SAPBEXHLevel3X 3 4 5 3" xfId="51549" xr:uid="{00000000-0005-0000-0000-0000AEC10000}"/>
    <cellStyle name="SAPBEXHLevel3X 3 4 6" xfId="50680" xr:uid="{00000000-0005-0000-0000-0000AFC10000}"/>
    <cellStyle name="SAPBEXHLevel3X 3 4 7" xfId="50870" xr:uid="{00000000-0005-0000-0000-0000B0C10000}"/>
    <cellStyle name="SAPBEXHLevel3X 3 5" xfId="49326" xr:uid="{00000000-0005-0000-0000-0000B1C10000}"/>
    <cellStyle name="SAPBEXHLevel3X 3 5 2" xfId="49570" xr:uid="{00000000-0005-0000-0000-0000B2C10000}"/>
    <cellStyle name="SAPBEXHLevel3X 3 5 2 2" xfId="49898" xr:uid="{00000000-0005-0000-0000-0000B3C10000}"/>
    <cellStyle name="SAPBEXHLevel3X 3 5 2 2 2" xfId="50111" xr:uid="{00000000-0005-0000-0000-0000B4C10000}"/>
    <cellStyle name="SAPBEXHLevel3X 3 5 2 2 3" xfId="51403" xr:uid="{00000000-0005-0000-0000-0000B5C10000}"/>
    <cellStyle name="SAPBEXHLevel3X 3 5 2 3" xfId="50469" xr:uid="{00000000-0005-0000-0000-0000B6C10000}"/>
    <cellStyle name="SAPBEXHLevel3X 3 5 2 4" xfId="51596" xr:uid="{00000000-0005-0000-0000-0000B7C10000}"/>
    <cellStyle name="SAPBEXHLevel3X 3 5 3" xfId="49604" xr:uid="{00000000-0005-0000-0000-0000B8C10000}"/>
    <cellStyle name="SAPBEXHLevel3X 3 5 3 2" xfId="49932" xr:uid="{00000000-0005-0000-0000-0000B9C10000}"/>
    <cellStyle name="SAPBEXHLevel3X 3 5 3 2 2" xfId="50080" xr:uid="{00000000-0005-0000-0000-0000BAC10000}"/>
    <cellStyle name="SAPBEXHLevel3X 3 5 3 2 3" xfId="51317" xr:uid="{00000000-0005-0000-0000-0000BBC10000}"/>
    <cellStyle name="SAPBEXHLevel3X 3 5 3 3" xfId="50821" xr:uid="{00000000-0005-0000-0000-0000BCC10000}"/>
    <cellStyle name="SAPBEXHLevel3X 3 5 3 4" xfId="51179" xr:uid="{00000000-0005-0000-0000-0000BDC10000}"/>
    <cellStyle name="SAPBEXHLevel3X 3 5 4" xfId="49709" xr:uid="{00000000-0005-0000-0000-0000BEC10000}"/>
    <cellStyle name="SAPBEXHLevel3X 3 5 4 2" xfId="50272" xr:uid="{00000000-0005-0000-0000-0000BFC10000}"/>
    <cellStyle name="SAPBEXHLevel3X 3 5 4 3" xfId="51623" xr:uid="{00000000-0005-0000-0000-0000C0C10000}"/>
    <cellStyle name="SAPBEXHLevel3X 3 5 5" xfId="49978" xr:uid="{00000000-0005-0000-0000-0000C1C10000}"/>
    <cellStyle name="SAPBEXHLevel3X 3 5 5 2" xfId="51023" xr:uid="{00000000-0005-0000-0000-0000C2C10000}"/>
    <cellStyle name="SAPBEXHLevel3X 3 5 5 3" xfId="51291" xr:uid="{00000000-0005-0000-0000-0000C3C10000}"/>
    <cellStyle name="SAPBEXHLevel3X 3 5 6" xfId="50679" xr:uid="{00000000-0005-0000-0000-0000C4C10000}"/>
    <cellStyle name="SAPBEXHLevel3X 3 5 7" xfId="50944" xr:uid="{00000000-0005-0000-0000-0000C5C10000}"/>
    <cellStyle name="SAPBEXHLevel3X 3 6" xfId="49327" xr:uid="{00000000-0005-0000-0000-0000C6C10000}"/>
    <cellStyle name="SAPBEXHLevel3X 3 6 2" xfId="49571" xr:uid="{00000000-0005-0000-0000-0000C7C10000}"/>
    <cellStyle name="SAPBEXHLevel3X 3 6 2 2" xfId="49899" xr:uid="{00000000-0005-0000-0000-0000C8C10000}"/>
    <cellStyle name="SAPBEXHLevel3X 3 6 2 2 2" xfId="50110" xr:uid="{00000000-0005-0000-0000-0000C9C10000}"/>
    <cellStyle name="SAPBEXHLevel3X 3 6 2 2 3" xfId="51597" xr:uid="{00000000-0005-0000-0000-0000CAC10000}"/>
    <cellStyle name="SAPBEXHLevel3X 3 6 2 3" xfId="50468" xr:uid="{00000000-0005-0000-0000-0000CBC10000}"/>
    <cellStyle name="SAPBEXHLevel3X 3 6 2 4" xfId="50911" xr:uid="{00000000-0005-0000-0000-0000CCC10000}"/>
    <cellStyle name="SAPBEXHLevel3X 3 6 3" xfId="49605" xr:uid="{00000000-0005-0000-0000-0000CDC10000}"/>
    <cellStyle name="SAPBEXHLevel3X 3 6 3 2" xfId="49933" xr:uid="{00000000-0005-0000-0000-0000CEC10000}"/>
    <cellStyle name="SAPBEXHLevel3X 3 6 3 2 2" xfId="50079" xr:uid="{00000000-0005-0000-0000-0000CFC10000}"/>
    <cellStyle name="SAPBEXHLevel3X 3 6 3 2 3" xfId="51574" xr:uid="{00000000-0005-0000-0000-0000D0C10000}"/>
    <cellStyle name="SAPBEXHLevel3X 3 6 3 3" xfId="50062" xr:uid="{00000000-0005-0000-0000-0000D1C10000}"/>
    <cellStyle name="SAPBEXHLevel3X 3 6 3 4" xfId="51437" xr:uid="{00000000-0005-0000-0000-0000D2C10000}"/>
    <cellStyle name="SAPBEXHLevel3X 3 6 4" xfId="49710" xr:uid="{00000000-0005-0000-0000-0000D3C10000}"/>
    <cellStyle name="SAPBEXHLevel3X 3 6 4 2" xfId="50271" xr:uid="{00000000-0005-0000-0000-0000D4C10000}"/>
    <cellStyle name="SAPBEXHLevel3X 3 6 4 3" xfId="51254" xr:uid="{00000000-0005-0000-0000-0000D5C10000}"/>
    <cellStyle name="SAPBEXHLevel3X 3 6 5" xfId="50045" xr:uid="{00000000-0005-0000-0000-0000D6C10000}"/>
    <cellStyle name="SAPBEXHLevel3X 3 6 5 2" xfId="51089" xr:uid="{00000000-0005-0000-0000-0000D7C10000}"/>
    <cellStyle name="SAPBEXHLevel3X 3 6 5 3" xfId="51328" xr:uid="{00000000-0005-0000-0000-0000D8C10000}"/>
    <cellStyle name="SAPBEXHLevel3X 3 6 6" xfId="50678" xr:uid="{00000000-0005-0000-0000-0000D9C10000}"/>
    <cellStyle name="SAPBEXHLevel3X 3 6 7" xfId="50884" xr:uid="{00000000-0005-0000-0000-0000DAC10000}"/>
    <cellStyle name="SAPBEXHLevel3X 3 7" xfId="49328" xr:uid="{00000000-0005-0000-0000-0000DBC10000}"/>
    <cellStyle name="SAPBEXHLevel3X 3 7 2" xfId="49572" xr:uid="{00000000-0005-0000-0000-0000DCC10000}"/>
    <cellStyle name="SAPBEXHLevel3X 3 7 2 2" xfId="49900" xr:uid="{00000000-0005-0000-0000-0000DDC10000}"/>
    <cellStyle name="SAPBEXHLevel3X 3 7 2 2 2" xfId="50109" xr:uid="{00000000-0005-0000-0000-0000DEC10000}"/>
    <cellStyle name="SAPBEXHLevel3X 3 7 2 2 3" xfId="51277" xr:uid="{00000000-0005-0000-0000-0000DFC10000}"/>
    <cellStyle name="SAPBEXHLevel3X 3 7 2 3" xfId="50467" xr:uid="{00000000-0005-0000-0000-0000E0C10000}"/>
    <cellStyle name="SAPBEXHLevel3X 3 7 2 4" xfId="51247" xr:uid="{00000000-0005-0000-0000-0000E1C10000}"/>
    <cellStyle name="SAPBEXHLevel3X 3 7 3" xfId="49606" xr:uid="{00000000-0005-0000-0000-0000E2C10000}"/>
    <cellStyle name="SAPBEXHLevel3X 3 7 3 2" xfId="49934" xr:uid="{00000000-0005-0000-0000-0000E3C10000}"/>
    <cellStyle name="SAPBEXHLevel3X 3 7 3 2 2" xfId="50078" xr:uid="{00000000-0005-0000-0000-0000E4C10000}"/>
    <cellStyle name="SAPBEXHLevel3X 3 7 3 2 3" xfId="51404" xr:uid="{00000000-0005-0000-0000-0000E5C10000}"/>
    <cellStyle name="SAPBEXHLevel3X 3 7 3 3" xfId="50830" xr:uid="{00000000-0005-0000-0000-0000E6C10000}"/>
    <cellStyle name="SAPBEXHLevel3X 3 7 3 4" xfId="51369" xr:uid="{00000000-0005-0000-0000-0000E7C10000}"/>
    <cellStyle name="SAPBEXHLevel3X 3 7 4" xfId="49711" xr:uid="{00000000-0005-0000-0000-0000E8C10000}"/>
    <cellStyle name="SAPBEXHLevel3X 3 7 4 2" xfId="50270" xr:uid="{00000000-0005-0000-0000-0000E9C10000}"/>
    <cellStyle name="SAPBEXHLevel3X 3 7 4 3" xfId="51511" xr:uid="{00000000-0005-0000-0000-0000EAC10000}"/>
    <cellStyle name="SAPBEXHLevel3X 3 7 5" xfId="49977" xr:uid="{00000000-0005-0000-0000-0000EBC10000}"/>
    <cellStyle name="SAPBEXHLevel3X 3 7 5 2" xfId="51022" xr:uid="{00000000-0005-0000-0000-0000ECC10000}"/>
    <cellStyle name="SAPBEXHLevel3X 3 7 5 3" xfId="51116" xr:uid="{00000000-0005-0000-0000-0000EDC10000}"/>
    <cellStyle name="SAPBEXHLevel3X 3 7 6" xfId="50677" xr:uid="{00000000-0005-0000-0000-0000EEC10000}"/>
    <cellStyle name="SAPBEXHLevel3X 3 7 7" xfId="50955" xr:uid="{00000000-0005-0000-0000-0000EFC10000}"/>
    <cellStyle name="SAPBEXHLevel3X 3 8" xfId="49329" xr:uid="{00000000-0005-0000-0000-0000F0C10000}"/>
    <cellStyle name="SAPBEXHLevel3X 3 8 2" xfId="49573" xr:uid="{00000000-0005-0000-0000-0000F1C10000}"/>
    <cellStyle name="SAPBEXHLevel3X 3 8 2 2" xfId="49901" xr:uid="{00000000-0005-0000-0000-0000F2C10000}"/>
    <cellStyle name="SAPBEXHLevel3X 3 8 2 2 2" xfId="50108" xr:uid="{00000000-0005-0000-0000-0000F3C10000}"/>
    <cellStyle name="SAPBEXHLevel3X 3 8 2 2 3" xfId="51535" xr:uid="{00000000-0005-0000-0000-0000F4C10000}"/>
    <cellStyle name="SAPBEXHLevel3X 3 8 2 3" xfId="50466" xr:uid="{00000000-0005-0000-0000-0000F5C10000}"/>
    <cellStyle name="SAPBEXHLevel3X 3 8 2 4" xfId="51504" xr:uid="{00000000-0005-0000-0000-0000F6C10000}"/>
    <cellStyle name="SAPBEXHLevel3X 3 8 3" xfId="49607" xr:uid="{00000000-0005-0000-0000-0000F7C10000}"/>
    <cellStyle name="SAPBEXHLevel3X 3 8 3 2" xfId="49935" xr:uid="{00000000-0005-0000-0000-0000F8C10000}"/>
    <cellStyle name="SAPBEXHLevel3X 3 8 3 2 2" xfId="50077" xr:uid="{00000000-0005-0000-0000-0000F9C10000}"/>
    <cellStyle name="SAPBEXHLevel3X 3 8 3 2 3" xfId="51663" xr:uid="{00000000-0005-0000-0000-0000FAC10000}"/>
    <cellStyle name="SAPBEXHLevel3X 3 8 3 3" xfId="50820" xr:uid="{00000000-0005-0000-0000-0000FBC10000}"/>
    <cellStyle name="SAPBEXHLevel3X 3 8 3 4" xfId="51631" xr:uid="{00000000-0005-0000-0000-0000FCC10000}"/>
    <cellStyle name="SAPBEXHLevel3X 3 8 4" xfId="49712" xr:uid="{00000000-0005-0000-0000-0000FDC10000}"/>
    <cellStyle name="SAPBEXHLevel3X 3 8 4 2" xfId="50988" xr:uid="{00000000-0005-0000-0000-0000FEC10000}"/>
    <cellStyle name="SAPBEXHLevel3X 3 8 4 3" xfId="51252" xr:uid="{00000000-0005-0000-0000-0000FFC10000}"/>
    <cellStyle name="SAPBEXHLevel3X 3 8 5" xfId="49964" xr:uid="{00000000-0005-0000-0000-000000C20000}"/>
    <cellStyle name="SAPBEXHLevel3X 3 8 5 2" xfId="51009" xr:uid="{00000000-0005-0000-0000-000001C20000}"/>
    <cellStyle name="SAPBEXHLevel3X 3 8 5 3" xfId="51320" xr:uid="{00000000-0005-0000-0000-000002C20000}"/>
    <cellStyle name="SAPBEXHLevel3X 3 8 6" xfId="50676" xr:uid="{00000000-0005-0000-0000-000003C20000}"/>
    <cellStyle name="SAPBEXHLevel3X 3 8 7" xfId="50641" xr:uid="{00000000-0005-0000-0000-000004C20000}"/>
    <cellStyle name="SAPBEXHLevel3X 3 9" xfId="49566" xr:uid="{00000000-0005-0000-0000-000005C20000}"/>
    <cellStyle name="SAPBEXHLevel3X 3 9 2" xfId="49894" xr:uid="{00000000-0005-0000-0000-000006C20000}"/>
    <cellStyle name="SAPBEXHLevel3X 3 9 2 2" xfId="50115" xr:uid="{00000000-0005-0000-0000-000007C20000}"/>
    <cellStyle name="SAPBEXHLevel3X 3 9 2 3" xfId="51284" xr:uid="{00000000-0005-0000-0000-000008C20000}"/>
    <cellStyle name="SAPBEXHLevel3X 3 9 3" xfId="50473" xr:uid="{00000000-0005-0000-0000-000009C20000}"/>
    <cellStyle name="SAPBEXHLevel3X 3 9 4" xfId="51503"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0" xr:uid="{00000000-0005-0000-0000-00000FC20000}"/>
    <cellStyle name="SAPBEXHLevel3X 4" xfId="46615" xr:uid="{00000000-0005-0000-0000-000010C20000}"/>
    <cellStyle name="SAPBEXHLevel3X 4 2" xfId="46616" xr:uid="{00000000-0005-0000-0000-000011C20000}"/>
    <cellStyle name="SAPBEXHLevel3X 4 2 2" xfId="50117" xr:uid="{00000000-0005-0000-0000-000012C20000}"/>
    <cellStyle name="SAPBEXHLevel3X 4 2 3" xfId="51609" xr:uid="{00000000-0005-0000-0000-000013C20000}"/>
    <cellStyle name="SAPBEXHLevel3X 4 2 4" xfId="49892" xr:uid="{00000000-0005-0000-0000-000014C20000}"/>
    <cellStyle name="SAPBEXHLevel3X 4 3" xfId="50475" xr:uid="{00000000-0005-0000-0000-000015C20000}"/>
    <cellStyle name="SAPBEXHLevel3X 4 4" xfId="50959" xr:uid="{00000000-0005-0000-0000-000016C20000}"/>
    <cellStyle name="SAPBEXHLevel3X 4 5" xfId="49564" xr:uid="{00000000-0005-0000-0000-000017C20000}"/>
    <cellStyle name="SAPBEXHLevel3X 5" xfId="46617" xr:uid="{00000000-0005-0000-0000-000018C20000}"/>
    <cellStyle name="SAPBEXHLevel3X 5 2" xfId="46618" xr:uid="{00000000-0005-0000-0000-000019C20000}"/>
    <cellStyle name="SAPBEXHLevel3X 5 2 2" xfId="50856" xr:uid="{00000000-0005-0000-0000-00001AC20000}"/>
    <cellStyle name="SAPBEXHLevel3X 5 2 3" xfId="51519" xr:uid="{00000000-0005-0000-0000-00001BC20000}"/>
    <cellStyle name="SAPBEXHLevel3X 5 2 4" xfId="49728" xr:uid="{00000000-0005-0000-0000-00001CC20000}"/>
    <cellStyle name="SAPBEXHLevel3X 5 3" xfId="50638" xr:uid="{00000000-0005-0000-0000-00001DC20000}"/>
    <cellStyle name="SAPBEXHLevel3X 5 4" xfId="51481" xr:uid="{00000000-0005-0000-0000-00001EC20000}"/>
    <cellStyle name="SAPBEXHLevel3X 5 5" xfId="49400" xr:uid="{00000000-0005-0000-0000-00001FC20000}"/>
    <cellStyle name="SAPBEXHLevel3X 6" xfId="46619" xr:uid="{00000000-0005-0000-0000-000020C20000}"/>
    <cellStyle name="SAPBEXHLevel3X 6 2" xfId="46620" xr:uid="{00000000-0005-0000-0000-000021C20000}"/>
    <cellStyle name="SAPBEXHLevel3X 6 2 2" xfId="50278" xr:uid="{00000000-0005-0000-0000-000022C20000}"/>
    <cellStyle name="SAPBEXHLevel3X 6 3" xfId="51261" xr:uid="{00000000-0005-0000-0000-000023C20000}"/>
    <cellStyle name="SAPBEXHLevel3X 6 4" xfId="49703" xr:uid="{00000000-0005-0000-0000-000024C20000}"/>
    <cellStyle name="SAPBEXHLevel3X 7" xfId="46621" xr:uid="{00000000-0005-0000-0000-000025C20000}"/>
    <cellStyle name="SAPBEXHLevel3X 7 2" xfId="46622" xr:uid="{00000000-0005-0000-0000-000026C20000}"/>
    <cellStyle name="SAPBEXHLevel3X 7 2 2" xfId="51094" xr:uid="{00000000-0005-0000-0000-000027C20000}"/>
    <cellStyle name="SAPBEXHLevel3X 7 3" xfId="50984" xr:uid="{00000000-0005-0000-0000-000028C20000}"/>
    <cellStyle name="SAPBEXHLevel3X 7 4" xfId="50050" xr:uid="{00000000-0005-0000-0000-000029C20000}"/>
    <cellStyle name="SAPBEXHLevel3X 8" xfId="46623" xr:uid="{00000000-0005-0000-0000-00002AC20000}"/>
    <cellStyle name="SAPBEXHLevel3X 8 2" xfId="46624" xr:uid="{00000000-0005-0000-0000-00002BC20000}"/>
    <cellStyle name="SAPBEXHLevel3X 8 3" xfId="50685" xr:uid="{00000000-0005-0000-0000-00002CC20000}"/>
    <cellStyle name="SAPBEXHLevel3X 9" xfId="46625" xr:uid="{00000000-0005-0000-0000-00002DC20000}"/>
    <cellStyle name="SAPBEXHLevel3X 9 2" xfId="46626" xr:uid="{00000000-0005-0000-0000-00002EC20000}"/>
    <cellStyle name="SAPBEXHLevel3X 9 3" xfId="50660"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0"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1"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3"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88"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89" xr:uid="{00000000-0005-0000-0000-000047C30000}"/>
    <cellStyle name="SAPBEXinputData 3 3 3" xfId="46900" xr:uid="{00000000-0005-0000-0000-000048C30000}"/>
    <cellStyle name="SAPBEXinputData 3 3 4" xfId="49334" xr:uid="{00000000-0005-0000-0000-000049C30000}"/>
    <cellStyle name="SAPBEXinputData 3 30" xfId="46901" xr:uid="{00000000-0005-0000-0000-00004AC30000}"/>
    <cellStyle name="SAPBEXinputData 3 31" xfId="49332" xr:uid="{00000000-0005-0000-0000-00004BC30000}"/>
    <cellStyle name="SAPBEXinputData 3 4" xfId="46902" xr:uid="{00000000-0005-0000-0000-00004CC30000}"/>
    <cellStyle name="SAPBEXinputData 3 4 2" xfId="46903" xr:uid="{00000000-0005-0000-0000-00004DC30000}"/>
    <cellStyle name="SAPBEXinputData 3 4 2 2" xfId="49390" xr:uid="{00000000-0005-0000-0000-00004EC30000}"/>
    <cellStyle name="SAPBEXinputData 3 4 3" xfId="49335" xr:uid="{00000000-0005-0000-0000-00004FC30000}"/>
    <cellStyle name="SAPBEXinputData 3 5" xfId="46904" xr:uid="{00000000-0005-0000-0000-000050C30000}"/>
    <cellStyle name="SAPBEXinputData 3 5 2" xfId="46905" xr:uid="{00000000-0005-0000-0000-000051C30000}"/>
    <cellStyle name="SAPBEXinputData 3 5 2 2" xfId="49391" xr:uid="{00000000-0005-0000-0000-000052C30000}"/>
    <cellStyle name="SAPBEXinputData 3 5 3" xfId="49336" xr:uid="{00000000-0005-0000-0000-000053C30000}"/>
    <cellStyle name="SAPBEXinputData 3 6" xfId="46906" xr:uid="{00000000-0005-0000-0000-000054C30000}"/>
    <cellStyle name="SAPBEXinputData 3 6 2" xfId="46907" xr:uid="{00000000-0005-0000-0000-000055C30000}"/>
    <cellStyle name="SAPBEXinputData 3 6 2 2" xfId="49392" xr:uid="{00000000-0005-0000-0000-000056C30000}"/>
    <cellStyle name="SAPBEXinputData 3 6 3" xfId="49337" xr:uid="{00000000-0005-0000-0000-000057C30000}"/>
    <cellStyle name="SAPBEXinputData 3 7" xfId="46908" xr:uid="{00000000-0005-0000-0000-000058C30000}"/>
    <cellStyle name="SAPBEXinputData 3 7 2" xfId="46909" xr:uid="{00000000-0005-0000-0000-000059C30000}"/>
    <cellStyle name="SAPBEXinputData 3 7 2 2" xfId="49393" xr:uid="{00000000-0005-0000-0000-00005AC30000}"/>
    <cellStyle name="SAPBEXinputData 3 7 3" xfId="49338" xr:uid="{00000000-0005-0000-0000-00005BC30000}"/>
    <cellStyle name="SAPBEXinputData 3 8" xfId="46910" xr:uid="{00000000-0005-0000-0000-00005CC30000}"/>
    <cellStyle name="SAPBEXinputData 3 8 2" xfId="46911" xr:uid="{00000000-0005-0000-0000-00005DC30000}"/>
    <cellStyle name="SAPBEXinputData 3 8 2 2" xfId="49394" xr:uid="{00000000-0005-0000-0000-00005EC30000}"/>
    <cellStyle name="SAPBEXinputData 3 8 3" xfId="49339" xr:uid="{00000000-0005-0000-0000-00005FC30000}"/>
    <cellStyle name="SAPBEXinputData 3 9" xfId="46912" xr:uid="{00000000-0005-0000-0000-000060C30000}"/>
    <cellStyle name="SAPBEXinputData 3 9 2" xfId="46913" xr:uid="{00000000-0005-0000-0000-000061C30000}"/>
    <cellStyle name="SAPBEXinputData 3 9 3" xfId="49387"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86"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06" xr:uid="{00000000-0005-0000-0000-000002C40000}"/>
    <cellStyle name="SAPBEXItemHeader 2 2 3" xfId="51533" xr:uid="{00000000-0005-0000-0000-000003C40000}"/>
    <cellStyle name="SAPBEXItemHeader 2 2 4" xfId="49903" xr:uid="{00000000-0005-0000-0000-000004C40000}"/>
    <cellStyle name="SAPBEXItemHeader 2 3" xfId="47072" xr:uid="{00000000-0005-0000-0000-000005C40000}"/>
    <cellStyle name="SAPBEXItemHeader 2 3 2" xfId="50464" xr:uid="{00000000-0005-0000-0000-000006C40000}"/>
    <cellStyle name="SAPBEXItemHeader 2 4" xfId="51441" xr:uid="{00000000-0005-0000-0000-000007C40000}"/>
    <cellStyle name="SAPBEXItemHeader 2 5" xfId="49575"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36" xr:uid="{00000000-0005-0000-0000-000014C40000}"/>
    <cellStyle name="SAPBEXItemHeader 3 2 2" xfId="50076" xr:uid="{00000000-0005-0000-0000-000015C40000}"/>
    <cellStyle name="SAPBEXItemHeader 3 2 3" xfId="50787" xr:uid="{00000000-0005-0000-0000-000016C40000}"/>
    <cellStyle name="SAPBEXItemHeader 3 3" xfId="50064" xr:uid="{00000000-0005-0000-0000-000017C40000}"/>
    <cellStyle name="SAPBEXItemHeader 3 4" xfId="51250" xr:uid="{00000000-0005-0000-0000-000018C40000}"/>
    <cellStyle name="SAPBEXItemHeader 3 5" xfId="49608"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0" xr:uid="{00000000-0005-0000-0000-00001DC40000}"/>
    <cellStyle name="SAPBEXItemHeader 4" xfId="47087" xr:uid="{00000000-0005-0000-0000-00001EC40000}"/>
    <cellStyle name="SAPBEXItemHeader 4 2" xfId="50899" xr:uid="{00000000-0005-0000-0000-00001FC40000}"/>
    <cellStyle name="SAPBEXItemHeader 4 3" xfId="51509" xr:uid="{00000000-0005-0000-0000-000020C40000}"/>
    <cellStyle name="SAPBEXItemHeader 4 4" xfId="49713" xr:uid="{00000000-0005-0000-0000-000021C40000}"/>
    <cellStyle name="SAPBEXItemHeader 5" xfId="47088" xr:uid="{00000000-0005-0000-0000-000022C40000}"/>
    <cellStyle name="SAPBEXItemHeader 5 2" xfId="51092" xr:uid="{00000000-0005-0000-0000-000023C40000}"/>
    <cellStyle name="SAPBEXItemHeader 5 3" xfId="51415" xr:uid="{00000000-0005-0000-0000-000024C40000}"/>
    <cellStyle name="SAPBEXItemHeader 5 4" xfId="50048" xr:uid="{00000000-0005-0000-0000-000025C40000}"/>
    <cellStyle name="SAPBEXItemHeader 6" xfId="47089" xr:uid="{00000000-0005-0000-0000-000026C40000}"/>
    <cellStyle name="SAPBEXItemHeader 6 2" xfId="50674" xr:uid="{00000000-0005-0000-0000-000027C40000}"/>
    <cellStyle name="SAPBEXItemHeader 7" xfId="47090" xr:uid="{00000000-0005-0000-0000-000028C40000}"/>
    <cellStyle name="SAPBEXItemHeader 7 2" xfId="50908"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5" xr:uid="{00000000-0005-0000-0000-000039C40000}"/>
    <cellStyle name="SAPBEXresData 2 2 3" xfId="51158" xr:uid="{00000000-0005-0000-0000-00003AC40000}"/>
    <cellStyle name="SAPBEXresData 2 2 4" xfId="49904" xr:uid="{00000000-0005-0000-0000-00003BC40000}"/>
    <cellStyle name="SAPBEXresData 2 3" xfId="47105" xr:uid="{00000000-0005-0000-0000-00003CC40000}"/>
    <cellStyle name="SAPBEXresData 2 3 2" xfId="50463" xr:uid="{00000000-0005-0000-0000-00003DC40000}"/>
    <cellStyle name="SAPBEXresData 2 4" xfId="51365" xr:uid="{00000000-0005-0000-0000-00003EC40000}"/>
    <cellStyle name="SAPBEXresData 2 5" xfId="49576"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37" xr:uid="{00000000-0005-0000-0000-00004BC40000}"/>
    <cellStyle name="SAPBEXresData 3 2 2" xfId="50075" xr:uid="{00000000-0005-0000-0000-00004CC40000}"/>
    <cellStyle name="SAPBEXresData 3 2 3" xfId="50864" xr:uid="{00000000-0005-0000-0000-00004DC40000}"/>
    <cellStyle name="SAPBEXresData 3 3" xfId="50436" xr:uid="{00000000-0005-0000-0000-00004EC40000}"/>
    <cellStyle name="SAPBEXresData 3 4" xfId="51507" xr:uid="{00000000-0005-0000-0000-00004FC40000}"/>
    <cellStyle name="SAPBEXresData 3 5" xfId="49609"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1" xr:uid="{00000000-0005-0000-0000-000054C40000}"/>
    <cellStyle name="SAPBEXresData 4" xfId="47120" xr:uid="{00000000-0005-0000-0000-000055C40000}"/>
    <cellStyle name="SAPBEXresData 4 2" xfId="50963" xr:uid="{00000000-0005-0000-0000-000056C40000}"/>
    <cellStyle name="SAPBEXresData 4 3" xfId="51178" xr:uid="{00000000-0005-0000-0000-000057C40000}"/>
    <cellStyle name="SAPBEXresData 4 4" xfId="49714" xr:uid="{00000000-0005-0000-0000-000058C40000}"/>
    <cellStyle name="SAPBEXresData 5" xfId="47121" xr:uid="{00000000-0005-0000-0000-000059C40000}"/>
    <cellStyle name="SAPBEXresData 5 2" xfId="51004" xr:uid="{00000000-0005-0000-0000-00005AC40000}"/>
    <cellStyle name="SAPBEXresData 5 3" xfId="51114" xr:uid="{00000000-0005-0000-0000-00005BC40000}"/>
    <cellStyle name="SAPBEXresData 5 4" xfId="49959" xr:uid="{00000000-0005-0000-0000-00005CC40000}"/>
    <cellStyle name="SAPBEXresData 6" xfId="47122" xr:uid="{00000000-0005-0000-0000-00005DC40000}"/>
    <cellStyle name="SAPBEXresData 6 2" xfId="50673" xr:uid="{00000000-0005-0000-0000-00005EC40000}"/>
    <cellStyle name="SAPBEXresData 7" xfId="47123" xr:uid="{00000000-0005-0000-0000-00005FC40000}"/>
    <cellStyle name="SAPBEXresData 7 2" xfId="51144"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2"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4" xr:uid="{00000000-0005-0000-0000-000095C40000}"/>
    <cellStyle name="SAPBEXresItem 2 2 3" xfId="51418" xr:uid="{00000000-0005-0000-0000-000096C40000}"/>
    <cellStyle name="SAPBEXresItem 2 2 4" xfId="49905" xr:uid="{00000000-0005-0000-0000-000097C40000}"/>
    <cellStyle name="SAPBEXresItem 2 3" xfId="47173" xr:uid="{00000000-0005-0000-0000-000098C40000}"/>
    <cellStyle name="SAPBEXresItem 2 3 2" xfId="50462" xr:uid="{00000000-0005-0000-0000-000099C40000}"/>
    <cellStyle name="SAPBEXresItem 2 4" xfId="51634" xr:uid="{00000000-0005-0000-0000-00009AC40000}"/>
    <cellStyle name="SAPBEXresItem 2 5" xfId="49577"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38" xr:uid="{00000000-0005-0000-0000-0000A7C40000}"/>
    <cellStyle name="SAPBEXresItem 3 2 2" xfId="50824" xr:uid="{00000000-0005-0000-0000-0000A8C40000}"/>
    <cellStyle name="SAPBEXresItem 3 2 3" xfId="50985" xr:uid="{00000000-0005-0000-0000-0000A9C40000}"/>
    <cellStyle name="SAPBEXresItem 3 3" xfId="50435" xr:uid="{00000000-0005-0000-0000-0000AAC40000}"/>
    <cellStyle name="SAPBEXresItem 3 4" xfId="51180" xr:uid="{00000000-0005-0000-0000-0000ABC40000}"/>
    <cellStyle name="SAPBEXresItem 3 5" xfId="49610"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3" xr:uid="{00000000-0005-0000-0000-0000B0C40000}"/>
    <cellStyle name="SAPBEXresItem 4" xfId="47188" xr:uid="{00000000-0005-0000-0000-0000B1C40000}"/>
    <cellStyle name="SAPBEXresItem 4 2" xfId="50892" xr:uid="{00000000-0005-0000-0000-0000B2C40000}"/>
    <cellStyle name="SAPBEXresItem 4 3" xfId="50920" xr:uid="{00000000-0005-0000-0000-0000B3C40000}"/>
    <cellStyle name="SAPBEXresItem 4 4" xfId="49715" xr:uid="{00000000-0005-0000-0000-0000B4C40000}"/>
    <cellStyle name="SAPBEXresItem 5" xfId="47189" xr:uid="{00000000-0005-0000-0000-0000B5C40000}"/>
    <cellStyle name="SAPBEXresItem 5 2" xfId="51003" xr:uid="{00000000-0005-0000-0000-0000B6C40000}"/>
    <cellStyle name="SAPBEXresItem 5 3" xfId="51592" xr:uid="{00000000-0005-0000-0000-0000B7C40000}"/>
    <cellStyle name="SAPBEXresItem 5 4" xfId="49958" xr:uid="{00000000-0005-0000-0000-0000B8C40000}"/>
    <cellStyle name="SAPBEXresItem 6" xfId="47190" xr:uid="{00000000-0005-0000-0000-0000B9C40000}"/>
    <cellStyle name="SAPBEXresItem 6 2" xfId="50672" xr:uid="{00000000-0005-0000-0000-0000BAC40000}"/>
    <cellStyle name="SAPBEXresItem 7" xfId="47191" xr:uid="{00000000-0005-0000-0000-0000BBC40000}"/>
    <cellStyle name="SAPBEXresItem 7 2" xfId="50639"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3" xr:uid="{00000000-0005-0000-0000-0000CDC40000}"/>
    <cellStyle name="SAPBEXresItemX 2 2 3" xfId="51394" xr:uid="{00000000-0005-0000-0000-0000CEC40000}"/>
    <cellStyle name="SAPBEXresItemX 2 2 4" xfId="49906" xr:uid="{00000000-0005-0000-0000-0000CFC40000}"/>
    <cellStyle name="SAPBEXresItemX 2 3" xfId="47207" xr:uid="{00000000-0005-0000-0000-0000D0C40000}"/>
    <cellStyle name="SAPBEXresItemX 2 3 2" xfId="50461" xr:uid="{00000000-0005-0000-0000-0000D1C40000}"/>
    <cellStyle name="SAPBEXresItemX 2 4" xfId="50975" xr:uid="{00000000-0005-0000-0000-0000D2C40000}"/>
    <cellStyle name="SAPBEXresItemX 2 5" xfId="49578"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39" xr:uid="{00000000-0005-0000-0000-0000DFC40000}"/>
    <cellStyle name="SAPBEXresItemX 3 2 2" xfId="50074" xr:uid="{00000000-0005-0000-0000-0000E0C40000}"/>
    <cellStyle name="SAPBEXresItemX 3 2 3" xfId="50934" xr:uid="{00000000-0005-0000-0000-0000E1C40000}"/>
    <cellStyle name="SAPBEXresItemX 3 3" xfId="50434" xr:uid="{00000000-0005-0000-0000-0000E2C40000}"/>
    <cellStyle name="SAPBEXresItemX 3 4" xfId="51438" xr:uid="{00000000-0005-0000-0000-0000E3C40000}"/>
    <cellStyle name="SAPBEXresItemX 3 5" xfId="49611"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4" xr:uid="{00000000-0005-0000-0000-0000E8C40000}"/>
    <cellStyle name="SAPBEXresItemX 4" xfId="47222" xr:uid="{00000000-0005-0000-0000-0000E9C40000}"/>
    <cellStyle name="SAPBEXresItemX 4 2" xfId="50950" xr:uid="{00000000-0005-0000-0000-0000EAC40000}"/>
    <cellStyle name="SAPBEXresItemX 4 3" xfId="51436" xr:uid="{00000000-0005-0000-0000-0000EBC40000}"/>
    <cellStyle name="SAPBEXresItemX 4 4" xfId="49716" xr:uid="{00000000-0005-0000-0000-0000ECC40000}"/>
    <cellStyle name="SAPBEXresItemX 5" xfId="47223" xr:uid="{00000000-0005-0000-0000-0000EDC40000}"/>
    <cellStyle name="SAPBEXresItemX 5 2" xfId="51021" xr:uid="{00000000-0005-0000-0000-0000EEC40000}"/>
    <cellStyle name="SAPBEXresItemX 5 3" xfId="51607" xr:uid="{00000000-0005-0000-0000-0000EFC40000}"/>
    <cellStyle name="SAPBEXresItemX 5 4" xfId="49976" xr:uid="{00000000-0005-0000-0000-0000F0C40000}"/>
    <cellStyle name="SAPBEXresItemX 6" xfId="47224" xr:uid="{00000000-0005-0000-0000-0000F1C40000}"/>
    <cellStyle name="SAPBEXresItemX 6 2" xfId="50671" xr:uid="{00000000-0005-0000-0000-0000F2C40000}"/>
    <cellStyle name="SAPBEXresItemX 7" xfId="47225" xr:uid="{00000000-0005-0000-0000-0000F3C40000}"/>
    <cellStyle name="SAPBEXresItemX 7 2" xfId="51157"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2" xr:uid="{00000000-0005-0000-0000-000004C50000}"/>
    <cellStyle name="SAPBEXstdData 2 2 3" xfId="51665" xr:uid="{00000000-0005-0000-0000-000005C50000}"/>
    <cellStyle name="SAPBEXstdData 2 2 4" xfId="49907" xr:uid="{00000000-0005-0000-0000-000006C50000}"/>
    <cellStyle name="SAPBEXstdData 2 3" xfId="47240" xr:uid="{00000000-0005-0000-0000-000007C50000}"/>
    <cellStyle name="SAPBEXstdData 2 3 2" xfId="50460" xr:uid="{00000000-0005-0000-0000-000008C50000}"/>
    <cellStyle name="SAPBEXstdData 2 4" xfId="51248" xr:uid="{00000000-0005-0000-0000-000009C50000}"/>
    <cellStyle name="SAPBEXstdData 2 5" xfId="49579"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0" xr:uid="{00000000-0005-0000-0000-000016C50000}"/>
    <cellStyle name="SAPBEXstdData 3 2 2" xfId="50073" xr:uid="{00000000-0005-0000-0000-000017C50000}"/>
    <cellStyle name="SAPBEXstdData 3 2 3" xfId="50930" xr:uid="{00000000-0005-0000-0000-000018C50000}"/>
    <cellStyle name="SAPBEXstdData 3 3" xfId="50433" xr:uid="{00000000-0005-0000-0000-000019C50000}"/>
    <cellStyle name="SAPBEXstdData 3 4" xfId="51305" xr:uid="{00000000-0005-0000-0000-00001AC50000}"/>
    <cellStyle name="SAPBEXstdData 3 5" xfId="49612"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5" xr:uid="{00000000-0005-0000-0000-00001FC50000}"/>
    <cellStyle name="SAPBEXstdData 4" xfId="47255" xr:uid="{00000000-0005-0000-0000-000020C50000}"/>
    <cellStyle name="SAPBEXstdData 4 2" xfId="49953" xr:uid="{00000000-0005-0000-0000-000021C50000}"/>
    <cellStyle name="SAPBEXstdData 4 2 2" xfId="50998" xr:uid="{00000000-0005-0000-0000-000022C50000}"/>
    <cellStyle name="SAPBEXstdData 4 2 3" xfId="51288" xr:uid="{00000000-0005-0000-0000-000023C50000}"/>
    <cellStyle name="SAPBEXstdData 4 3" xfId="50425" xr:uid="{00000000-0005-0000-0000-000024C50000}"/>
    <cellStyle name="SAPBEXstdData 4 4" xfId="51510" xr:uid="{00000000-0005-0000-0000-000025C50000}"/>
    <cellStyle name="SAPBEXstdData 4 5" xfId="49625" xr:uid="{00000000-0005-0000-0000-000026C50000}"/>
    <cellStyle name="SAPBEXstdData 5" xfId="47256" xr:uid="{00000000-0005-0000-0000-000027C50000}"/>
    <cellStyle name="SAPBEXstdData 5 2" xfId="50877" xr:uid="{00000000-0005-0000-0000-000028C50000}"/>
    <cellStyle name="SAPBEXstdData 5 3" xfId="51370" xr:uid="{00000000-0005-0000-0000-000029C50000}"/>
    <cellStyle name="SAPBEXstdData 5 4" xfId="49717" xr:uid="{00000000-0005-0000-0000-00002AC50000}"/>
    <cellStyle name="SAPBEXstdData 6" xfId="47257" xr:uid="{00000000-0005-0000-0000-00002BC50000}"/>
    <cellStyle name="SAPBEXstdData 6 2" xfId="51020" xr:uid="{00000000-0005-0000-0000-00002CC50000}"/>
    <cellStyle name="SAPBEXstdData 6 3" xfId="51408" xr:uid="{00000000-0005-0000-0000-00002DC50000}"/>
    <cellStyle name="SAPBEXstdData 6 4" xfId="49975" xr:uid="{00000000-0005-0000-0000-00002EC50000}"/>
    <cellStyle name="SAPBEXstdData 7" xfId="47258" xr:uid="{00000000-0005-0000-0000-00002FC50000}"/>
    <cellStyle name="SAPBEXstdData 7 2" xfId="50670" xr:uid="{00000000-0005-0000-0000-000030C50000}"/>
    <cellStyle name="SAPBEXstdData 8" xfId="47259" xr:uid="{00000000-0005-0000-0000-000031C50000}"/>
    <cellStyle name="SAPBEXstdData 8 2" xfId="50915" xr:uid="{00000000-0005-0000-0000-000032C50000}"/>
    <cellStyle name="SAPBEXstdData 9" xfId="47260" xr:uid="{00000000-0005-0000-0000-000033C50000}"/>
    <cellStyle name="SAPBEXstdData 9 2" xfId="50868"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1" xr:uid="{00000000-0005-0000-0000-000043C50000}"/>
    <cellStyle name="SAPBEXstdDataEmph 2 2 3" xfId="51099" xr:uid="{00000000-0005-0000-0000-000044C50000}"/>
    <cellStyle name="SAPBEXstdDataEmph 2 2 4" xfId="49908" xr:uid="{00000000-0005-0000-0000-000045C50000}"/>
    <cellStyle name="SAPBEXstdDataEmph 2 3" xfId="47274" xr:uid="{00000000-0005-0000-0000-000046C50000}"/>
    <cellStyle name="SAPBEXstdDataEmph 2 3 2" xfId="50459" xr:uid="{00000000-0005-0000-0000-000047C50000}"/>
    <cellStyle name="SAPBEXstdDataEmph 2 4" xfId="51505" xr:uid="{00000000-0005-0000-0000-000048C50000}"/>
    <cellStyle name="SAPBEXstdDataEmph 2 5" xfId="49580"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1" xr:uid="{00000000-0005-0000-0000-000055C50000}"/>
    <cellStyle name="SAPBEXstdDataEmph 3 2 2" xfId="50072" xr:uid="{00000000-0005-0000-0000-000056C50000}"/>
    <cellStyle name="SAPBEXstdDataEmph 3 2 3" xfId="50854" xr:uid="{00000000-0005-0000-0000-000057C50000}"/>
    <cellStyle name="SAPBEXstdDataEmph 3 3" xfId="50432" xr:uid="{00000000-0005-0000-0000-000058C50000}"/>
    <cellStyle name="SAPBEXstdDataEmph 3 4" xfId="51562" xr:uid="{00000000-0005-0000-0000-000059C50000}"/>
    <cellStyle name="SAPBEXstdDataEmph 3 5" xfId="49613"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46" xr:uid="{00000000-0005-0000-0000-00005EC50000}"/>
    <cellStyle name="SAPBEXstdDataEmph 4" xfId="47289" xr:uid="{00000000-0005-0000-0000-00005FC50000}"/>
    <cellStyle name="SAPBEXstdDataEmph 4 2" xfId="49954" xr:uid="{00000000-0005-0000-0000-000060C50000}"/>
    <cellStyle name="SAPBEXstdDataEmph 4 2 2" xfId="50999" xr:uid="{00000000-0005-0000-0000-000061C50000}"/>
    <cellStyle name="SAPBEXstdDataEmph 4 2 3" xfId="51546" xr:uid="{00000000-0005-0000-0000-000062C50000}"/>
    <cellStyle name="SAPBEXstdDataEmph 4 3" xfId="50986" xr:uid="{00000000-0005-0000-0000-000063C50000}"/>
    <cellStyle name="SAPBEXstdDataEmph 4 4" xfId="51177" xr:uid="{00000000-0005-0000-0000-000064C50000}"/>
    <cellStyle name="SAPBEXstdDataEmph 4 5" xfId="49626" xr:uid="{00000000-0005-0000-0000-000065C50000}"/>
    <cellStyle name="SAPBEXstdDataEmph 5" xfId="47290" xr:uid="{00000000-0005-0000-0000-000066C50000}"/>
    <cellStyle name="SAPBEXstdDataEmph 5 2" xfId="50922" xr:uid="{00000000-0005-0000-0000-000067C50000}"/>
    <cellStyle name="SAPBEXstdDataEmph 5 3" xfId="51630" xr:uid="{00000000-0005-0000-0000-000068C50000}"/>
    <cellStyle name="SAPBEXstdDataEmph 5 4" xfId="49718" xr:uid="{00000000-0005-0000-0000-000069C50000}"/>
    <cellStyle name="SAPBEXstdDataEmph 6" xfId="47291" xr:uid="{00000000-0005-0000-0000-00006AC50000}"/>
    <cellStyle name="SAPBEXstdDataEmph 6 2" xfId="51019" xr:uid="{00000000-0005-0000-0000-00006BC50000}"/>
    <cellStyle name="SAPBEXstdDataEmph 6 3" xfId="51587" xr:uid="{00000000-0005-0000-0000-00006CC50000}"/>
    <cellStyle name="SAPBEXstdDataEmph 6 4" xfId="49974" xr:uid="{00000000-0005-0000-0000-00006DC50000}"/>
    <cellStyle name="SAPBEXstdDataEmph 7" xfId="47292" xr:uid="{00000000-0005-0000-0000-00006EC50000}"/>
    <cellStyle name="SAPBEXstdDataEmph 7 2" xfId="50669" xr:uid="{00000000-0005-0000-0000-00006FC50000}"/>
    <cellStyle name="SAPBEXstdDataEmph 8" xfId="47293" xr:uid="{00000000-0005-0000-0000-000070C50000}"/>
    <cellStyle name="SAPBEXstdDataEmph 8 2" xfId="50969" xr:uid="{00000000-0005-0000-0000-000071C50000}"/>
    <cellStyle name="SAPBEXstdDataEmph 9" xfId="47294" xr:uid="{00000000-0005-0000-0000-000072C50000}"/>
    <cellStyle name="SAPBEXstdDataEmph 9 2" xfId="51674"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0" xr:uid="{00000000-0005-0000-0000-000082C50000}"/>
    <cellStyle name="SAPBEXstdItem 2 2 3" xfId="51100" xr:uid="{00000000-0005-0000-0000-000083C50000}"/>
    <cellStyle name="SAPBEXstdItem 2 2 4" xfId="49909" xr:uid="{00000000-0005-0000-0000-000084C50000}"/>
    <cellStyle name="SAPBEXstdItem 2 3" xfId="47308" xr:uid="{00000000-0005-0000-0000-000085C50000}"/>
    <cellStyle name="SAPBEXstdItem 2 3 2" xfId="50458" xr:uid="{00000000-0005-0000-0000-000086C50000}"/>
    <cellStyle name="SAPBEXstdItem 2 4" xfId="51182" xr:uid="{00000000-0005-0000-0000-000087C50000}"/>
    <cellStyle name="SAPBEXstdItem 2 5" xfId="49581"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2" xr:uid="{00000000-0005-0000-0000-000094C50000}"/>
    <cellStyle name="SAPBEXstdItem 3 2 2" xfId="50823" xr:uid="{00000000-0005-0000-0000-000095C50000}"/>
    <cellStyle name="SAPBEXstdItem 3 2 3" xfId="51111" xr:uid="{00000000-0005-0000-0000-000096C50000}"/>
    <cellStyle name="SAPBEXstdItem 3 3" xfId="50431" xr:uid="{00000000-0005-0000-0000-000097C50000}"/>
    <cellStyle name="SAPBEXstdItem 3 4" xfId="51368" xr:uid="{00000000-0005-0000-0000-000098C50000}"/>
    <cellStyle name="SAPBEXstdItem 3 5" xfId="49614"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47" xr:uid="{00000000-0005-0000-0000-00009DC50000}"/>
    <cellStyle name="SAPBEXstdItem 4" xfId="47323" xr:uid="{00000000-0005-0000-0000-00009EC50000}"/>
    <cellStyle name="SAPBEXstdItem 4 2" xfId="49955" xr:uid="{00000000-0005-0000-0000-00009FC50000}"/>
    <cellStyle name="SAPBEXstdItem 4 2 2" xfId="51000" xr:uid="{00000000-0005-0000-0000-0000A0C50000}"/>
    <cellStyle name="SAPBEXstdItem 4 2 3" xfId="51319" xr:uid="{00000000-0005-0000-0000-0000A1C50000}"/>
    <cellStyle name="SAPBEXstdItem 4 3" xfId="50901" xr:uid="{00000000-0005-0000-0000-0000A2C50000}"/>
    <cellStyle name="SAPBEXstdItem 4 4" xfId="51435" xr:uid="{00000000-0005-0000-0000-0000A3C50000}"/>
    <cellStyle name="SAPBEXstdItem 4 5" xfId="49627" xr:uid="{00000000-0005-0000-0000-0000A4C50000}"/>
    <cellStyle name="SAPBEXstdItem 5" xfId="47324" xr:uid="{00000000-0005-0000-0000-0000A5C50000}"/>
    <cellStyle name="SAPBEXstdItem 5 2" xfId="50857" xr:uid="{00000000-0005-0000-0000-0000A6C50000}"/>
    <cellStyle name="SAPBEXstdItem 5 3" xfId="50889" xr:uid="{00000000-0005-0000-0000-0000A7C50000}"/>
    <cellStyle name="SAPBEXstdItem 5 4" xfId="49719" xr:uid="{00000000-0005-0000-0000-0000A8C50000}"/>
    <cellStyle name="SAPBEXstdItem 6" xfId="47325" xr:uid="{00000000-0005-0000-0000-0000A9C50000}"/>
    <cellStyle name="SAPBEXstdItem 6 2" xfId="51018" xr:uid="{00000000-0005-0000-0000-0000AAC50000}"/>
    <cellStyle name="SAPBEXstdItem 6 3" xfId="51332" xr:uid="{00000000-0005-0000-0000-0000ABC50000}"/>
    <cellStyle name="SAPBEXstdItem 6 4" xfId="49973" xr:uid="{00000000-0005-0000-0000-0000ACC50000}"/>
    <cellStyle name="SAPBEXstdItem 7" xfId="47326" xr:uid="{00000000-0005-0000-0000-0000ADC50000}"/>
    <cellStyle name="SAPBEXstdItem 7 2" xfId="50668" xr:uid="{00000000-0005-0000-0000-0000AEC50000}"/>
    <cellStyle name="SAPBEXstdItem 8" xfId="47327" xr:uid="{00000000-0005-0000-0000-0000AFC50000}"/>
    <cellStyle name="SAPBEXstdItem 8 2" xfId="50802" xr:uid="{00000000-0005-0000-0000-0000B0C50000}"/>
    <cellStyle name="SAPBEXstdItem 9" xfId="47328" xr:uid="{00000000-0005-0000-0000-0000B1C50000}"/>
    <cellStyle name="SAPBEXstdItem 9 2" xfId="50880"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099" xr:uid="{00000000-0005-0000-0000-0000C1C50000}"/>
    <cellStyle name="SAPBEXstdItemX 2 2 3" xfId="51101" xr:uid="{00000000-0005-0000-0000-0000C2C50000}"/>
    <cellStyle name="SAPBEXstdItemX 2 2 4" xfId="49910" xr:uid="{00000000-0005-0000-0000-0000C3C50000}"/>
    <cellStyle name="SAPBEXstdItemX 2 3" xfId="47342" xr:uid="{00000000-0005-0000-0000-0000C4C50000}"/>
    <cellStyle name="SAPBEXstdItemX 2 3 2" xfId="50457" xr:uid="{00000000-0005-0000-0000-0000C5C50000}"/>
    <cellStyle name="SAPBEXstdItemX 2 4" xfId="51440" xr:uid="{00000000-0005-0000-0000-0000C6C50000}"/>
    <cellStyle name="SAPBEXstdItemX 2 5" xfId="49582"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3" xr:uid="{00000000-0005-0000-0000-0000D3C50000}"/>
    <cellStyle name="SAPBEXstdItemX 3 2 2" xfId="50071" xr:uid="{00000000-0005-0000-0000-0000D4C50000}"/>
    <cellStyle name="SAPBEXstdItemX 3 2 3" xfId="51287" xr:uid="{00000000-0005-0000-0000-0000D5C50000}"/>
    <cellStyle name="SAPBEXstdItemX 3 3" xfId="50054" xr:uid="{00000000-0005-0000-0000-0000D6C50000}"/>
    <cellStyle name="SAPBEXstdItemX 3 4" xfId="51632" xr:uid="{00000000-0005-0000-0000-0000D7C50000}"/>
    <cellStyle name="SAPBEXstdItemX 3 5" xfId="49615"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48" xr:uid="{00000000-0005-0000-0000-0000DCC50000}"/>
    <cellStyle name="SAPBEXstdItemX 4" xfId="47357" xr:uid="{00000000-0005-0000-0000-0000DDC50000}"/>
    <cellStyle name="SAPBEXstdItemX 4 2" xfId="50269" xr:uid="{00000000-0005-0000-0000-0000DEC50000}"/>
    <cellStyle name="SAPBEXstdItemX 4 3" xfId="50642" xr:uid="{00000000-0005-0000-0000-0000DFC50000}"/>
    <cellStyle name="SAPBEXstdItemX 4 4" xfId="49720" xr:uid="{00000000-0005-0000-0000-0000E0C50000}"/>
    <cellStyle name="SAPBEXstdItemX 5" xfId="47358" xr:uid="{00000000-0005-0000-0000-0000E1C50000}"/>
    <cellStyle name="SAPBEXstdItemX 5 2" xfId="51017" xr:uid="{00000000-0005-0000-0000-0000E2C50000}"/>
    <cellStyle name="SAPBEXstdItemX 5 3" xfId="51578" xr:uid="{00000000-0005-0000-0000-0000E3C50000}"/>
    <cellStyle name="SAPBEXstdItemX 5 4" xfId="49972" xr:uid="{00000000-0005-0000-0000-0000E4C50000}"/>
    <cellStyle name="SAPBEXstdItemX 6" xfId="47359" xr:uid="{00000000-0005-0000-0000-0000E5C50000}"/>
    <cellStyle name="SAPBEXstdItemX 6 2" xfId="50667" xr:uid="{00000000-0005-0000-0000-0000E6C50000}"/>
    <cellStyle name="SAPBEXstdItemX 7" xfId="47360" xr:uid="{00000000-0005-0000-0000-0000E7C50000}"/>
    <cellStyle name="SAPBEXstdItemX 7 2" xfId="50803"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098" xr:uid="{00000000-0005-0000-0000-0000EEC50000}"/>
    <cellStyle name="SAPBEXtitle 2 2 3" xfId="51102" xr:uid="{00000000-0005-0000-0000-0000EFC50000}"/>
    <cellStyle name="SAPBEXtitle 2 2 4" xfId="49911" xr:uid="{00000000-0005-0000-0000-0000F0C50000}"/>
    <cellStyle name="SAPBEXtitle 2 3" xfId="50456" xr:uid="{00000000-0005-0000-0000-0000F1C50000}"/>
    <cellStyle name="SAPBEXtitle 2 4" xfId="51366" xr:uid="{00000000-0005-0000-0000-0000F2C50000}"/>
    <cellStyle name="SAPBEXtitle 2 5" xfId="49583" xr:uid="{00000000-0005-0000-0000-0000F3C50000}"/>
    <cellStyle name="SAPBEXtitle 3" xfId="49616" xr:uid="{00000000-0005-0000-0000-0000F4C50000}"/>
    <cellStyle name="SAPBEXtitle 3 2" xfId="49944" xr:uid="{00000000-0005-0000-0000-0000F5C50000}"/>
    <cellStyle name="SAPBEXtitle 3 2 2" xfId="50070" xr:uid="{00000000-0005-0000-0000-0000F6C50000}"/>
    <cellStyle name="SAPBEXtitle 3 2 3" xfId="51545" xr:uid="{00000000-0005-0000-0000-0000F7C50000}"/>
    <cellStyle name="SAPBEXtitle 3 3" xfId="50430" xr:uid="{00000000-0005-0000-0000-0000F8C50000}"/>
    <cellStyle name="SAPBEXtitle 3 4" xfId="51137" xr:uid="{00000000-0005-0000-0000-0000F9C50000}"/>
    <cellStyle name="SAPBEXtitle 4" xfId="49721" xr:uid="{00000000-0005-0000-0000-0000FAC50000}"/>
    <cellStyle name="SAPBEXtitle 4 2" xfId="50971" xr:uid="{00000000-0005-0000-0000-0000FBC50000}"/>
    <cellStyle name="SAPBEXtitle 4 3" xfId="51262" xr:uid="{00000000-0005-0000-0000-0000FCC50000}"/>
    <cellStyle name="SAPBEXtitle 5" xfId="49971" xr:uid="{00000000-0005-0000-0000-0000FDC50000}"/>
    <cellStyle name="SAPBEXtitle 5 2" xfId="51016" xr:uid="{00000000-0005-0000-0000-0000FEC50000}"/>
    <cellStyle name="SAPBEXtitle 5 3" xfId="51321" xr:uid="{00000000-0005-0000-0000-0000FFC50000}"/>
    <cellStyle name="SAPBEXtitle 6" xfId="50666" xr:uid="{00000000-0005-0000-0000-000000C60000}"/>
    <cellStyle name="SAPBEXtitle 7" xfId="50871" xr:uid="{00000000-0005-0000-0000-000001C60000}"/>
    <cellStyle name="SAPBEXtitle 8" xfId="49349"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0"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097" xr:uid="{00000000-0005-0000-0000-0000ECC60000}"/>
    <cellStyle name="SAPBEXundefined 2 2 3" xfId="47596" xr:uid="{00000000-0005-0000-0000-0000EDC60000}"/>
    <cellStyle name="SAPBEXundefined 2 2 3 2" xfId="51149" xr:uid="{00000000-0005-0000-0000-0000EEC60000}"/>
    <cellStyle name="SAPBEXundefined 2 2 4" xfId="49912" xr:uid="{00000000-0005-0000-0000-0000EFC60000}"/>
    <cellStyle name="SAPBEXundefined 2 3" xfId="47597" xr:uid="{00000000-0005-0000-0000-0000F0C60000}"/>
    <cellStyle name="SAPBEXundefined 2 3 2" xfId="47598" xr:uid="{00000000-0005-0000-0000-0000F1C60000}"/>
    <cellStyle name="SAPBEXundefined 2 3 3" xfId="50455" xr:uid="{00000000-0005-0000-0000-0000F2C60000}"/>
    <cellStyle name="SAPBEXundefined 2 4" xfId="47599" xr:uid="{00000000-0005-0000-0000-0000F3C60000}"/>
    <cellStyle name="SAPBEXundefined 2 4 2" xfId="51633" xr:uid="{00000000-0005-0000-0000-0000F4C60000}"/>
    <cellStyle name="SAPBEXundefined 2 5" xfId="49584"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0" xr:uid="{00000000-0005-0000-0000-000002C70000}"/>
    <cellStyle name="SAPBEXundefined 3 2 3" xfId="51318" xr:uid="{00000000-0005-0000-0000-000003C70000}"/>
    <cellStyle name="SAPBEXundefined 3 2 4" xfId="49945" xr:uid="{00000000-0005-0000-0000-000004C70000}"/>
    <cellStyle name="SAPBEXundefined 3 3" xfId="47612" xr:uid="{00000000-0005-0000-0000-000005C70000}"/>
    <cellStyle name="SAPBEXundefined 3 3 2" xfId="50429" xr:uid="{00000000-0005-0000-0000-000006C70000}"/>
    <cellStyle name="SAPBEXundefined 3 4" xfId="50936" xr:uid="{00000000-0005-0000-0000-000007C70000}"/>
    <cellStyle name="SAPBEXundefined 3 5" xfId="49617"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1" xr:uid="{00000000-0005-0000-0000-00000CC70000}"/>
    <cellStyle name="SAPBEXundefined 4" xfId="47616" xr:uid="{00000000-0005-0000-0000-00000DC70000}"/>
    <cellStyle name="SAPBEXundefined 4 2" xfId="47617" xr:uid="{00000000-0005-0000-0000-00000EC70000}"/>
    <cellStyle name="SAPBEXundefined 4 2 2" xfId="51001" xr:uid="{00000000-0005-0000-0000-00000FC70000}"/>
    <cellStyle name="SAPBEXundefined 4 2 3" xfId="51576" xr:uid="{00000000-0005-0000-0000-000010C70000}"/>
    <cellStyle name="SAPBEXundefined 4 2 4" xfId="49956" xr:uid="{00000000-0005-0000-0000-000011C70000}"/>
    <cellStyle name="SAPBEXundefined 4 3" xfId="50926" xr:uid="{00000000-0005-0000-0000-000012C70000}"/>
    <cellStyle name="SAPBEXundefined 4 4" xfId="50819" xr:uid="{00000000-0005-0000-0000-000013C70000}"/>
    <cellStyle name="SAPBEXundefined 4 5" xfId="49628" xr:uid="{00000000-0005-0000-0000-000014C70000}"/>
    <cellStyle name="SAPBEXundefined 5" xfId="47618" xr:uid="{00000000-0005-0000-0000-000015C70000}"/>
    <cellStyle name="SAPBEXundefined 5 2" xfId="50898" xr:uid="{00000000-0005-0000-0000-000016C70000}"/>
    <cellStyle name="SAPBEXundefined 5 3" xfId="51520" xr:uid="{00000000-0005-0000-0000-000017C70000}"/>
    <cellStyle name="SAPBEXundefined 5 4" xfId="49722" xr:uid="{00000000-0005-0000-0000-000018C70000}"/>
    <cellStyle name="SAPBEXundefined 6" xfId="47619" xr:uid="{00000000-0005-0000-0000-000019C70000}"/>
    <cellStyle name="SAPBEXundefined 6 2" xfId="51015" xr:uid="{00000000-0005-0000-0000-00001AC70000}"/>
    <cellStyle name="SAPBEXundefined 6 3" xfId="51548" xr:uid="{00000000-0005-0000-0000-00001BC70000}"/>
    <cellStyle name="SAPBEXundefined 6 4" xfId="49970" xr:uid="{00000000-0005-0000-0000-00001CC70000}"/>
    <cellStyle name="SAPBEXundefined 7" xfId="47620" xr:uid="{00000000-0005-0000-0000-00001DC70000}"/>
    <cellStyle name="SAPBEXundefined 7 2" xfId="50665" xr:uid="{00000000-0005-0000-0000-00001EC70000}"/>
    <cellStyle name="SAPBEXundefined 8" xfId="47621" xr:uid="{00000000-0005-0000-0000-00001FC70000}"/>
    <cellStyle name="SAPBEXundefined 8 2" xfId="51145" xr:uid="{00000000-0005-0000-0000-000020C70000}"/>
    <cellStyle name="SAPBEXundefined 9" xfId="47622" xr:uid="{00000000-0005-0000-0000-000021C70000}"/>
    <cellStyle name="SAPBEXundefined 9 2" xfId="51683"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2"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3"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5" xr:uid="{00000000-0005-0000-0000-0000DCC70000}"/>
    <cellStyle name="Sub-total 2 2" xfId="49913" xr:uid="{00000000-0005-0000-0000-0000DDC70000}"/>
    <cellStyle name="Sub-total 2 2 2" xfId="50096" xr:uid="{00000000-0005-0000-0000-0000DEC70000}"/>
    <cellStyle name="Sub-total 2 2 3" xfId="51103" xr:uid="{00000000-0005-0000-0000-0000DFC70000}"/>
    <cellStyle name="Sub-total 2 3" xfId="50454" xr:uid="{00000000-0005-0000-0000-0000E0C70000}"/>
    <cellStyle name="Sub-total 2 4" xfId="50808" xr:uid="{00000000-0005-0000-0000-0000E1C70000}"/>
    <cellStyle name="Sub-total 3" xfId="49618" xr:uid="{00000000-0005-0000-0000-0000E2C70000}"/>
    <cellStyle name="Sub-total 3 2" xfId="49946" xr:uid="{00000000-0005-0000-0000-0000E3C70000}"/>
    <cellStyle name="Sub-total 3 2 2" xfId="50991" xr:uid="{00000000-0005-0000-0000-0000E4C70000}"/>
    <cellStyle name="Sub-total 3 2 3" xfId="51575" xr:uid="{00000000-0005-0000-0000-0000E5C70000}"/>
    <cellStyle name="Sub-total 3 3" xfId="50428" xr:uid="{00000000-0005-0000-0000-0000E6C70000}"/>
    <cellStyle name="Sub-total 3 4" xfId="51135" xr:uid="{00000000-0005-0000-0000-0000E7C70000}"/>
    <cellStyle name="Sub-total 4" xfId="49723" xr:uid="{00000000-0005-0000-0000-0000E8C70000}"/>
    <cellStyle name="Sub-total 4 2" xfId="50964" xr:uid="{00000000-0005-0000-0000-0000E9C70000}"/>
    <cellStyle name="Sub-total 4 3" xfId="51169" xr:uid="{00000000-0005-0000-0000-0000EAC70000}"/>
    <cellStyle name="Sub-total 5" xfId="49969" xr:uid="{00000000-0005-0000-0000-0000EBC70000}"/>
    <cellStyle name="Sub-total 5 2" xfId="51014" xr:uid="{00000000-0005-0000-0000-0000ECC70000}"/>
    <cellStyle name="Sub-total 5 3" xfId="51290" xr:uid="{00000000-0005-0000-0000-0000EDC70000}"/>
    <cellStyle name="Sub-total 6" xfId="50661" xr:uid="{00000000-0005-0000-0000-0000EEC70000}"/>
    <cellStyle name="Sub-total 7" xfId="50956" xr:uid="{00000000-0005-0000-0000-0000EFC70000}"/>
    <cellStyle name="Sub-total 8" xfId="49354"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5"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56"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57"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597" xr:uid="{00000000-0005-0000-0000-000050C80000}"/>
    <cellStyle name="Total 1 2 2 2" xfId="47897" xr:uid="{00000000-0005-0000-0000-000051C80000}"/>
    <cellStyle name="Total 1 2 2 2 2" xfId="47898" xr:uid="{00000000-0005-0000-0000-000052C80000}"/>
    <cellStyle name="Total 1 2 2 2 2 2" xfId="50086" xr:uid="{00000000-0005-0000-0000-000053C80000}"/>
    <cellStyle name="Total 1 2 2 2 3" xfId="47899" xr:uid="{00000000-0005-0000-0000-000054C80000}"/>
    <cellStyle name="Total 1 2 2 2 3 2" xfId="51155" xr:uid="{00000000-0005-0000-0000-000055C80000}"/>
    <cellStyle name="Total 1 2 2 2 4" xfId="49925"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2"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48"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0997" xr:uid="{00000000-0005-0000-0000-000070C80000}"/>
    <cellStyle name="Total 1 2 3 2 3" xfId="51113" xr:uid="{00000000-0005-0000-0000-000071C80000}"/>
    <cellStyle name="Total 1 2 3 2 4" xfId="49952" xr:uid="{00000000-0005-0000-0000-000072C80000}"/>
    <cellStyle name="Total 1 2 3 3" xfId="47923" xr:uid="{00000000-0005-0000-0000-000073C80000}"/>
    <cellStyle name="Total 1 2 3 3 2" xfId="50056" xr:uid="{00000000-0005-0000-0000-000074C80000}"/>
    <cellStyle name="Total 1 2 3 4" xfId="51253" xr:uid="{00000000-0005-0000-0000-000075C80000}"/>
    <cellStyle name="Total 1 2 3 5" xfId="49624" xr:uid="{00000000-0005-0000-0000-000076C80000}"/>
    <cellStyle name="Total 1 2 30" xfId="47924" xr:uid="{00000000-0005-0000-0000-000077C80000}"/>
    <cellStyle name="Total 1 2 31" xfId="49395" xr:uid="{00000000-0005-0000-0000-000078C80000}"/>
    <cellStyle name="Total 1 2 4" xfId="47925" xr:uid="{00000000-0005-0000-0000-000079C80000}"/>
    <cellStyle name="Total 1 2 4 2" xfId="47926" xr:uid="{00000000-0005-0000-0000-00007AC80000}"/>
    <cellStyle name="Total 1 2 4 2 2" xfId="50878" xr:uid="{00000000-0005-0000-0000-00007BC80000}"/>
    <cellStyle name="Total 1 2 4 3" xfId="47927" xr:uid="{00000000-0005-0000-0000-00007CC80000}"/>
    <cellStyle name="Total 1 2 4 3 2" xfId="51622" xr:uid="{00000000-0005-0000-0000-00007DC80000}"/>
    <cellStyle name="Total 1 2 4 4" xfId="49726"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0" xr:uid="{00000000-0005-0000-0000-000082C80000}"/>
    <cellStyle name="Total 1 2 6" xfId="47931" xr:uid="{00000000-0005-0000-0000-000083C80000}"/>
    <cellStyle name="Total 1 2 6 2" xfId="51218"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58"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5" xr:uid="{00000000-0005-0000-0000-00005BC90000}"/>
    <cellStyle name="Total 2 2 2 3" xfId="51150" xr:uid="{00000000-0005-0000-0000-00005CC90000}"/>
    <cellStyle name="Total 2 2 2 4" xfId="49914" xr:uid="{00000000-0005-0000-0000-00005DC90000}"/>
    <cellStyle name="Total 2 2 3" xfId="48145" xr:uid="{00000000-0005-0000-0000-00005EC90000}"/>
    <cellStyle name="Total 2 2 3 2" xfId="50453" xr:uid="{00000000-0005-0000-0000-00005FC90000}"/>
    <cellStyle name="Total 2 2 4" xfId="51249" xr:uid="{00000000-0005-0000-0000-000060C90000}"/>
    <cellStyle name="Total 2 2 5" xfId="49586"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2" xr:uid="{00000000-0005-0000-0000-00006EC90000}"/>
    <cellStyle name="Total 2 3 2 3" xfId="51405" xr:uid="{00000000-0005-0000-0000-00006FC90000}"/>
    <cellStyle name="Total 2 3 2 4" xfId="49947" xr:uid="{00000000-0005-0000-0000-000070C90000}"/>
    <cellStyle name="Total 2 3 3" xfId="48158" xr:uid="{00000000-0005-0000-0000-000071C90000}"/>
    <cellStyle name="Total 2 3 3 2" xfId="50427" xr:uid="{00000000-0005-0000-0000-000072C90000}"/>
    <cellStyle name="Total 2 3 4" xfId="50788" xr:uid="{00000000-0005-0000-0000-000073C90000}"/>
    <cellStyle name="Total 2 3 5" xfId="49619"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3" xr:uid="{00000000-0005-0000-0000-000080C90000}"/>
    <cellStyle name="Total 2 4 3" xfId="51428" xr:uid="{00000000-0005-0000-0000-000081C90000}"/>
    <cellStyle name="Total 2 4 4" xfId="49724"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59" xr:uid="{00000000-0005-0000-0000-00008CC90000}"/>
    <cellStyle name="Total 2 5" xfId="48179" xr:uid="{00000000-0005-0000-0000-00008DC90000}"/>
    <cellStyle name="Total 2 5 2" xfId="51013" xr:uid="{00000000-0005-0000-0000-00008EC90000}"/>
    <cellStyle name="Total 2 5 3" xfId="51115" xr:uid="{00000000-0005-0000-0000-00008FC90000}"/>
    <cellStyle name="Total 2 5 4" xfId="49968" xr:uid="{00000000-0005-0000-0000-000090C90000}"/>
    <cellStyle name="Total 2 6" xfId="48180" xr:uid="{00000000-0005-0000-0000-000091C90000}"/>
    <cellStyle name="Total 2 6 2" xfId="50658" xr:uid="{00000000-0005-0000-0000-000092C90000}"/>
    <cellStyle name="Total 2 7" xfId="48181" xr:uid="{00000000-0005-0000-0000-000093C90000}"/>
    <cellStyle name="Total 2 7 2" xfId="50804"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5" xr:uid="{00000000-0005-0000-0000-000099C90000}"/>
    <cellStyle name="Total 3 2 2 2" xfId="50094" xr:uid="{00000000-0005-0000-0000-00009AC90000}"/>
    <cellStyle name="Total 3 2 2 3" xfId="51104" xr:uid="{00000000-0005-0000-0000-00009BC90000}"/>
    <cellStyle name="Total 3 2 3" xfId="50452" xr:uid="{00000000-0005-0000-0000-00009CC90000}"/>
    <cellStyle name="Total 3 2 4" xfId="51506" xr:uid="{00000000-0005-0000-0000-00009DC90000}"/>
    <cellStyle name="Total 3 2 5" xfId="49587" xr:uid="{00000000-0005-0000-0000-00009EC90000}"/>
    <cellStyle name="Total 3 3" xfId="48186" xr:uid="{00000000-0005-0000-0000-00009FC90000}"/>
    <cellStyle name="Total 3 3 2" xfId="49948" xr:uid="{00000000-0005-0000-0000-0000A0C90000}"/>
    <cellStyle name="Total 3 3 2 2" xfId="50993" xr:uid="{00000000-0005-0000-0000-0000A1C90000}"/>
    <cellStyle name="Total 3 3 2 3" xfId="51593" xr:uid="{00000000-0005-0000-0000-0000A2C90000}"/>
    <cellStyle name="Total 3 3 3" xfId="50426" xr:uid="{00000000-0005-0000-0000-0000A3C90000}"/>
    <cellStyle name="Total 3 3 4" xfId="50852" xr:uid="{00000000-0005-0000-0000-0000A4C90000}"/>
    <cellStyle name="Total 3 3 5" xfId="49620" xr:uid="{00000000-0005-0000-0000-0000A5C90000}"/>
    <cellStyle name="Total 3 4" xfId="49725" xr:uid="{00000000-0005-0000-0000-0000A6C90000}"/>
    <cellStyle name="Total 3 4 2" xfId="50951" xr:uid="{00000000-0005-0000-0000-0000A7C90000}"/>
    <cellStyle name="Total 3 4 3" xfId="51381" xr:uid="{00000000-0005-0000-0000-0000A8C90000}"/>
    <cellStyle name="Total 3 5" xfId="49967" xr:uid="{00000000-0005-0000-0000-0000A9C90000}"/>
    <cellStyle name="Total 3 5 2" xfId="51012" xr:uid="{00000000-0005-0000-0000-0000AAC90000}"/>
    <cellStyle name="Total 3 5 3" xfId="51608" xr:uid="{00000000-0005-0000-0000-0000ABC90000}"/>
    <cellStyle name="Total 3 6" xfId="50657" xr:uid="{00000000-0005-0000-0000-0000ACC90000}"/>
    <cellStyle name="Total 3 7" xfId="51146" xr:uid="{00000000-0005-0000-0000-0000ADC90000}"/>
    <cellStyle name="Total 3 8" xfId="49360"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1"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2" xr:uid="{00000000-0005-0000-0000-0000DEC90000}"/>
    <cellStyle name="Yellow" xfId="48233" xr:uid="{00000000-0005-0000-0000-0000DFC90000}"/>
    <cellStyle name="Yellow 2" xfId="49364" xr:uid="{00000000-0005-0000-0000-0000E0C90000}"/>
    <cellStyle name="Yellow 2 2" xfId="49365" xr:uid="{00000000-0005-0000-0000-0000E1C90000}"/>
    <cellStyle name="Yellow 2 3" xfId="49366" xr:uid="{00000000-0005-0000-0000-0000E2C90000}"/>
    <cellStyle name="Yellow 2 4" xfId="49367" xr:uid="{00000000-0005-0000-0000-0000E3C90000}"/>
    <cellStyle name="Yellow 2 5" xfId="49368" xr:uid="{00000000-0005-0000-0000-0000E4C90000}"/>
    <cellStyle name="Yellow 2 6" xfId="49369" xr:uid="{00000000-0005-0000-0000-0000E5C90000}"/>
    <cellStyle name="Yellow 2 7" xfId="49370" xr:uid="{00000000-0005-0000-0000-0000E6C90000}"/>
    <cellStyle name="Yellow 2 8" xfId="49371" xr:uid="{00000000-0005-0000-0000-0000E7C90000}"/>
    <cellStyle name="Yellow 3" xfId="49363" xr:uid="{00000000-0005-0000-0000-0000E8C90000}"/>
  </cellStyles>
  <dxfs count="72">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FFFF"/>
      <color rgb="FFCCFFCC"/>
      <color rgb="FFCCECFF"/>
      <color rgb="FFFFFFCC"/>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 Id="rId30"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8</xdr:col>
      <xdr:colOff>101202</xdr:colOff>
      <xdr:row>2</xdr:row>
      <xdr:rowOff>178593</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1360" y="0"/>
          <a:ext cx="4673202" cy="702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ssets.publishing.service.gov.uk/government/uploads/system/uploads/attachment_data/file/853025/Forecomp_December_2019.pdf" TargetMode="External"/><Relationship Id="rId1" Type="http://schemas.openxmlformats.org/officeDocument/2006/relationships/hyperlink" Target="https://www.gov.uk/government/statistics/forecasts-for-the-uk-economy-august-201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85"/>
  <sheetViews>
    <sheetView showGridLines="0" tabSelected="1" zoomScale="80" zoomScaleNormal="80" zoomScaleSheetLayoutView="90" workbookViewId="0">
      <pane ySplit="3" topLeftCell="A4" activePane="bottomLeft" state="frozen"/>
      <selection activeCell="B75" sqref="A1:XFD1048576"/>
      <selection pane="bottomLeft" activeCell="E28" sqref="E28"/>
    </sheetView>
  </sheetViews>
  <sheetFormatPr defaultRowHeight="12.75"/>
  <cols>
    <col min="1" max="1" width="8.375" customWidth="1"/>
    <col min="2" max="2" width="27.125" customWidth="1"/>
    <col min="3" max="6" width="14.125" customWidth="1"/>
    <col min="7" max="7" width="14.125" style="214" customWidth="1"/>
    <col min="8" max="11" width="14.125" customWidth="1"/>
  </cols>
  <sheetData>
    <row r="1" spans="1:11" s="31" customFormat="1" ht="20.25">
      <c r="A1" s="912" t="s">
        <v>306</v>
      </c>
      <c r="B1" s="913"/>
      <c r="C1" s="913"/>
      <c r="D1" s="914"/>
      <c r="E1" s="915"/>
      <c r="F1" s="913"/>
      <c r="G1" s="916"/>
      <c r="H1" s="913"/>
      <c r="I1" s="913"/>
      <c r="J1" s="913"/>
      <c r="K1" s="913"/>
    </row>
    <row r="2" spans="1:11" s="31" customFormat="1" ht="20.25">
      <c r="A2" s="912" t="str">
        <f>'RFPR cover'!C5</f>
        <v>ENWL</v>
      </c>
      <c r="B2" s="913"/>
      <c r="C2" s="913"/>
      <c r="D2" s="915"/>
      <c r="E2" s="915"/>
      <c r="F2" s="913"/>
      <c r="G2" s="916"/>
      <c r="H2" s="913"/>
      <c r="I2" s="913"/>
      <c r="J2" s="913"/>
      <c r="K2" s="913"/>
    </row>
    <row r="3" spans="1:11" s="31" customFormat="1" ht="20.25">
      <c r="A3" s="912">
        <f>'RFPR cover'!C7</f>
        <v>2020</v>
      </c>
      <c r="B3" s="913"/>
      <c r="C3" s="913"/>
      <c r="D3" s="915"/>
      <c r="E3" s="915"/>
      <c r="F3" s="913"/>
      <c r="G3" s="916"/>
      <c r="H3" s="913"/>
      <c r="I3" s="913"/>
      <c r="J3" s="913"/>
      <c r="K3" s="913"/>
    </row>
    <row r="4" spans="1:11" ht="14.25">
      <c r="A4" s="30"/>
      <c r="B4" s="30"/>
      <c r="C4" s="30"/>
      <c r="D4" s="30"/>
      <c r="E4" s="30"/>
      <c r="H4" s="10"/>
      <c r="I4" s="10"/>
      <c r="J4" s="10"/>
    </row>
    <row r="5" spans="1:11" ht="13.5" customHeight="1">
      <c r="A5" s="30"/>
      <c r="B5" s="78" t="s">
        <v>62</v>
      </c>
      <c r="C5" s="45" t="s">
        <v>43</v>
      </c>
      <c r="D5" s="340"/>
      <c r="E5" s="19"/>
      <c r="F5" s="11"/>
      <c r="G5" s="551" t="s">
        <v>0</v>
      </c>
      <c r="H5" s="10"/>
      <c r="I5" s="10"/>
      <c r="J5" s="10"/>
    </row>
    <row r="6" spans="1:11" ht="13.5" customHeight="1">
      <c r="A6" s="30"/>
      <c r="B6" s="78" t="s">
        <v>188</v>
      </c>
      <c r="C6" s="83" t="str">
        <f>INDEX(Data!$A$73:$A$100,MATCH($C$5,Data!$B$73:$B$100,0),0)&amp;"1"</f>
        <v>ED1</v>
      </c>
      <c r="D6" s="19"/>
      <c r="E6" s="19"/>
      <c r="F6" s="9"/>
      <c r="G6" s="551" t="s">
        <v>1</v>
      </c>
      <c r="H6" s="10"/>
      <c r="I6" s="10"/>
      <c r="J6" s="10"/>
    </row>
    <row r="7" spans="1:11" ht="25.5">
      <c r="A7" s="30"/>
      <c r="B7" s="79" t="s">
        <v>187</v>
      </c>
      <c r="C7" s="84">
        <v>2020</v>
      </c>
      <c r="D7" s="18"/>
      <c r="E7" s="19"/>
      <c r="F7" s="8"/>
      <c r="G7" s="552" t="s">
        <v>2</v>
      </c>
      <c r="H7" s="10"/>
      <c r="I7" s="10"/>
      <c r="J7" s="10"/>
    </row>
    <row r="8" spans="1:11" ht="14.25">
      <c r="A8" s="30"/>
      <c r="B8" s="78" t="s">
        <v>37</v>
      </c>
      <c r="C8" s="85"/>
      <c r="D8" s="19"/>
      <c r="E8" s="18"/>
      <c r="F8" s="7"/>
      <c r="G8" s="551" t="s">
        <v>3</v>
      </c>
      <c r="H8" s="10"/>
      <c r="I8" s="10"/>
      <c r="J8" s="10"/>
    </row>
    <row r="9" spans="1:11" ht="14.25">
      <c r="A9" s="30"/>
      <c r="B9" s="78" t="s">
        <v>38</v>
      </c>
      <c r="C9" s="86"/>
      <c r="D9" s="18"/>
      <c r="E9" s="18"/>
      <c r="F9" s="6"/>
      <c r="G9" s="551" t="s">
        <v>4</v>
      </c>
      <c r="H9" s="10"/>
      <c r="I9" s="10"/>
      <c r="J9" s="10"/>
    </row>
    <row r="10" spans="1:11" ht="14.25">
      <c r="A10" s="30"/>
      <c r="B10" s="78" t="s">
        <v>70</v>
      </c>
      <c r="C10" s="87">
        <f>SUMIF(Data!$B$72:$B$100,C5,Data!$C$72:$C$100)</f>
        <v>0.06</v>
      </c>
      <c r="D10" s="18"/>
      <c r="E10" s="18"/>
      <c r="F10" s="5"/>
      <c r="G10" s="551" t="s">
        <v>5</v>
      </c>
      <c r="H10" s="10"/>
      <c r="I10" s="10"/>
      <c r="J10" s="10"/>
    </row>
    <row r="11" spans="1:11" ht="14.25">
      <c r="A11" s="30"/>
      <c r="B11" s="78" t="s">
        <v>71</v>
      </c>
      <c r="C11" s="88">
        <f>SUMIF(Data!$B$72:$B$100,C5,Data!$D$72:$D$100)</f>
        <v>0.58109999999999995</v>
      </c>
      <c r="D11" s="19"/>
      <c r="E11" s="19"/>
      <c r="F11" s="4"/>
      <c r="G11" s="551" t="s">
        <v>6</v>
      </c>
      <c r="H11" s="10"/>
      <c r="I11" s="10"/>
      <c r="J11" s="10"/>
    </row>
    <row r="12" spans="1:11">
      <c r="A12" s="30"/>
      <c r="B12" s="78" t="s">
        <v>115</v>
      </c>
      <c r="C12" s="87">
        <f>SUMIF(Data!$B$72:$B$100,C5,Data!$E$72:$E$100)</f>
        <v>0.65</v>
      </c>
      <c r="D12" s="18"/>
      <c r="E12" s="18"/>
      <c r="F12" s="18"/>
      <c r="G12" s="553"/>
    </row>
    <row r="13" spans="1:11">
      <c r="A13" s="30"/>
      <c r="B13" s="78" t="s">
        <v>501</v>
      </c>
      <c r="C13" s="83">
        <f>INDEX(Data!$G$73:$G$100,MATCH($C$5,Data!$B$73:$B$100,0),0)</f>
        <v>2016</v>
      </c>
      <c r="D13" s="18"/>
      <c r="E13" s="18"/>
      <c r="F13" s="77" t="s">
        <v>190</v>
      </c>
    </row>
    <row r="14" spans="1:11">
      <c r="A14" s="30"/>
      <c r="B14" s="80" t="s">
        <v>184</v>
      </c>
      <c r="C14" s="83" t="str">
        <f>INDEX(Data!$H$73:$H$100,MATCH($C$5,Data!$B$73:$B$100,0),0)</f>
        <v>£m 12/13</v>
      </c>
      <c r="D14" s="18"/>
      <c r="E14" s="18"/>
      <c r="F14" s="90">
        <v>0.1</v>
      </c>
      <c r="G14" s="553"/>
    </row>
    <row r="15" spans="1:11">
      <c r="A15" s="30"/>
      <c r="B15" s="18"/>
      <c r="C15" s="18"/>
      <c r="D15" s="18"/>
      <c r="E15" s="18"/>
      <c r="F15" s="18"/>
      <c r="G15" s="553"/>
    </row>
    <row r="85" spans="1:1">
      <c r="A85" s="205"/>
    </row>
  </sheetData>
  <pageMargins left="0.70866141732283472" right="0.70866141732283472" top="0.74803149606299213" bottom="0.74803149606299213" header="0.31496062992125984" footer="0.31496062992125984"/>
  <pageSetup scale="4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Data!$B$73:$B$100</xm:f>
          </x14:formula1>
          <xm:sqref>C5</xm:sqref>
        </x14:dataValidation>
        <x14:dataValidation type="list" allowBlank="1" showInputMessage="1" showErrorMessage="1" xr:uid="{00000000-0002-0000-0000-000001000000}">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9CCFF"/>
  </sheetPr>
  <dimension ref="A1:T268"/>
  <sheetViews>
    <sheetView showGridLines="0" zoomScale="69" zoomScaleNormal="69" workbookViewId="0">
      <pane ySplit="4" topLeftCell="A11" activePane="bottomLeft" state="frozen"/>
      <selection activeCell="B75" sqref="A1:XFD1048576"/>
      <selection pane="bottomLeft" activeCell="G39" sqref="G39"/>
    </sheetView>
  </sheetViews>
  <sheetFormatPr defaultRowHeight="12.75"/>
  <cols>
    <col min="1" max="1" width="8.375" customWidth="1"/>
    <col min="2" max="2" width="35.125" customWidth="1"/>
    <col min="8" max="8" width="10.125" bestFit="1" customWidth="1"/>
    <col min="14" max="14" width="9" customWidth="1"/>
  </cols>
  <sheetData>
    <row r="1" spans="1:14" ht="20.25">
      <c r="A1" s="917" t="s">
        <v>366</v>
      </c>
      <c r="B1" s="918"/>
      <c r="C1" s="918"/>
      <c r="D1" s="918"/>
      <c r="E1" s="918"/>
      <c r="F1" s="918"/>
      <c r="G1" s="918"/>
      <c r="H1" s="918"/>
      <c r="I1" s="918"/>
      <c r="J1" s="918"/>
      <c r="K1" s="918"/>
      <c r="L1" s="918"/>
      <c r="M1" s="918"/>
      <c r="N1" s="919"/>
    </row>
    <row r="2" spans="1:14" ht="20.25">
      <c r="A2" s="920" t="str">
        <f>'RFPR cover'!C5</f>
        <v>ENWL</v>
      </c>
      <c r="B2" s="921"/>
      <c r="C2" s="921"/>
      <c r="D2" s="921"/>
      <c r="E2" s="921"/>
      <c r="F2" s="921"/>
      <c r="G2" s="921"/>
      <c r="H2" s="921"/>
      <c r="I2" s="921"/>
      <c r="J2" s="921"/>
      <c r="K2" s="921"/>
      <c r="L2" s="921"/>
      <c r="M2" s="921"/>
      <c r="N2" s="922"/>
    </row>
    <row r="3" spans="1:14" ht="20.25">
      <c r="A3" s="923">
        <f>'RFPR cover'!C7</f>
        <v>2020</v>
      </c>
      <c r="B3" s="924"/>
      <c r="C3" s="924"/>
      <c r="D3" s="924"/>
      <c r="E3" s="924"/>
      <c r="F3" s="924"/>
      <c r="G3" s="924"/>
      <c r="H3" s="924"/>
      <c r="I3" s="924"/>
      <c r="J3" s="924"/>
      <c r="K3" s="924"/>
      <c r="L3" s="924"/>
      <c r="M3" s="924"/>
      <c r="N3" s="925"/>
    </row>
    <row r="6" spans="1:14">
      <c r="A6" s="30"/>
      <c r="B6" s="21">
        <v>2018</v>
      </c>
      <c r="C6" s="20" t="s">
        <v>63</v>
      </c>
      <c r="D6" s="18"/>
      <c r="E6" s="18"/>
      <c r="F6" s="848"/>
      <c r="G6" s="18"/>
    </row>
    <row r="7" spans="1:14">
      <c r="A7" s="30"/>
      <c r="B7" s="21">
        <v>2019</v>
      </c>
      <c r="C7" s="20" t="s">
        <v>64</v>
      </c>
      <c r="D7" s="18"/>
      <c r="E7" s="18"/>
      <c r="F7" s="18"/>
      <c r="G7" s="18"/>
    </row>
    <row r="8" spans="1:14">
      <c r="A8" s="30"/>
      <c r="B8" s="21">
        <v>2020</v>
      </c>
      <c r="C8" s="20" t="s">
        <v>65</v>
      </c>
      <c r="D8" s="19"/>
      <c r="E8" s="19"/>
      <c r="F8" s="19"/>
      <c r="G8" s="19"/>
    </row>
    <row r="9" spans="1:14">
      <c r="A9" s="30"/>
      <c r="B9" s="21">
        <v>2021</v>
      </c>
      <c r="C9" s="20" t="s">
        <v>66</v>
      </c>
      <c r="D9" s="18"/>
      <c r="E9" s="18"/>
      <c r="F9" s="18"/>
      <c r="G9" s="18"/>
    </row>
    <row r="10" spans="1:14">
      <c r="A10" s="30"/>
      <c r="B10" s="21">
        <v>2022</v>
      </c>
      <c r="C10" s="20" t="s">
        <v>67</v>
      </c>
      <c r="D10" s="18"/>
      <c r="E10" s="18"/>
      <c r="F10" s="18"/>
    </row>
    <row r="11" spans="1:14">
      <c r="A11" s="30"/>
      <c r="B11" s="21">
        <v>2023</v>
      </c>
      <c r="C11" s="20" t="s">
        <v>68</v>
      </c>
      <c r="D11" s="19"/>
      <c r="E11" s="19"/>
      <c r="F11" s="19"/>
    </row>
    <row r="12" spans="1:14">
      <c r="A12" s="30"/>
      <c r="B12" s="18"/>
      <c r="C12" s="18"/>
      <c r="D12" s="18"/>
      <c r="E12" s="18"/>
      <c r="F12" s="18"/>
    </row>
    <row r="13" spans="1:14" ht="75" customHeight="1">
      <c r="A13" s="30"/>
      <c r="B13" s="554" t="s">
        <v>39</v>
      </c>
      <c r="C13" s="555" t="s">
        <v>40</v>
      </c>
      <c r="D13" s="555" t="s">
        <v>191</v>
      </c>
      <c r="E13" s="555" t="s">
        <v>41</v>
      </c>
      <c r="F13" s="555" t="s">
        <v>42</v>
      </c>
      <c r="G13" s="556" t="s">
        <v>319</v>
      </c>
    </row>
    <row r="14" spans="1:14">
      <c r="A14" s="30"/>
      <c r="B14" s="163" t="s">
        <v>74</v>
      </c>
      <c r="C14" s="170">
        <v>2010</v>
      </c>
      <c r="D14" s="164" t="str">
        <f>IF(VALUE(C14)&lt;='RFPR cover'!$C$7,"Actual","Forecast")</f>
        <v>Actual</v>
      </c>
      <c r="E14" s="375">
        <v>215.767</v>
      </c>
      <c r="F14" s="500">
        <v>221.75</v>
      </c>
      <c r="G14" s="165">
        <v>0.28000000000000003</v>
      </c>
      <c r="H14" s="849"/>
      <c r="J14" s="850"/>
    </row>
    <row r="15" spans="1:14">
      <c r="A15" s="30"/>
      <c r="B15" s="166" t="s">
        <v>75</v>
      </c>
      <c r="C15" s="171">
        <v>2011</v>
      </c>
      <c r="D15" s="167" t="str">
        <f>IF(VALUE(C15)&lt;='RFPR cover'!$C$7,"Actual","Forecast")</f>
        <v>Actual</v>
      </c>
      <c r="E15" s="376">
        <v>226.47499999999999</v>
      </c>
      <c r="F15" s="501">
        <v>233.45</v>
      </c>
      <c r="G15" s="168">
        <v>0.28000000000000003</v>
      </c>
      <c r="H15" s="849"/>
      <c r="J15" s="850"/>
    </row>
    <row r="16" spans="1:14" ht="14.25" customHeight="1">
      <c r="A16" s="30"/>
      <c r="B16" s="166" t="s">
        <v>76</v>
      </c>
      <c r="C16" s="171">
        <v>2012</v>
      </c>
      <c r="D16" s="167" t="str">
        <f>IF(VALUE(C16)&lt;='RFPR cover'!$C$7,"Actual","Forecast")</f>
        <v>Actual</v>
      </c>
      <c r="E16" s="376">
        <v>237.34200000000001</v>
      </c>
      <c r="F16" s="501">
        <v>241.65</v>
      </c>
      <c r="G16" s="168">
        <v>0.26</v>
      </c>
      <c r="H16" s="849"/>
      <c r="J16" s="850"/>
    </row>
    <row r="17" spans="2:10">
      <c r="B17" s="166" t="s">
        <v>77</v>
      </c>
      <c r="C17" s="171">
        <v>2013</v>
      </c>
      <c r="D17" s="167" t="str">
        <f>IF(VALUE(C17)&lt;='RFPR cover'!$C$7,"Actual","Forecast")</f>
        <v>Actual</v>
      </c>
      <c r="E17" s="376">
        <v>244.67500000000001</v>
      </c>
      <c r="F17" s="501">
        <v>249.1</v>
      </c>
      <c r="G17" s="168">
        <v>0.24</v>
      </c>
      <c r="H17" s="849"/>
      <c r="J17" s="850"/>
    </row>
    <row r="18" spans="2:10">
      <c r="B18" s="166" t="s">
        <v>78</v>
      </c>
      <c r="C18" s="171">
        <v>2014</v>
      </c>
      <c r="D18" s="167" t="str">
        <f>IF(VALUE(C18)&lt;='RFPR cover'!$C$7,"Actual","Forecast")</f>
        <v>Actual</v>
      </c>
      <c r="E18" s="376">
        <v>251.733</v>
      </c>
      <c r="F18" s="501">
        <v>255.25</v>
      </c>
      <c r="G18" s="168">
        <v>0.23</v>
      </c>
      <c r="H18" s="849"/>
      <c r="I18" s="520"/>
      <c r="J18" s="850"/>
    </row>
    <row r="19" spans="2:10">
      <c r="B19" s="166" t="s">
        <v>79</v>
      </c>
      <c r="C19" s="171">
        <v>2015</v>
      </c>
      <c r="D19" s="167" t="str">
        <f>IF(VALUE(C19)&lt;='RFPR cover'!$C$7,"Actual","Forecast")</f>
        <v>Actual</v>
      </c>
      <c r="E19" s="376">
        <v>256.66699999999997</v>
      </c>
      <c r="F19" s="501">
        <v>257.55</v>
      </c>
      <c r="G19" s="168">
        <v>0.21</v>
      </c>
      <c r="H19" s="849"/>
      <c r="I19" s="520"/>
      <c r="J19" s="850"/>
    </row>
    <row r="20" spans="2:10">
      <c r="B20" s="166" t="s">
        <v>80</v>
      </c>
      <c r="C20" s="171">
        <v>2016</v>
      </c>
      <c r="D20" s="167" t="str">
        <f>IF(VALUE(C20)&lt;='RFPR cover'!$C$7,"Actual","Forecast")</f>
        <v>Actual</v>
      </c>
      <c r="E20" s="376">
        <v>259.43299999999999</v>
      </c>
      <c r="F20" s="501">
        <v>261.25</v>
      </c>
      <c r="G20" s="168">
        <v>0.2</v>
      </c>
      <c r="H20" s="849"/>
      <c r="I20" s="520"/>
      <c r="J20" s="850"/>
    </row>
    <row r="21" spans="2:10">
      <c r="B21" s="166" t="s">
        <v>81</v>
      </c>
      <c r="C21" s="171">
        <v>2017</v>
      </c>
      <c r="D21" s="167" t="str">
        <f>IF(VALUE(C21)&lt;='RFPR cover'!$C$7,"Actual","Forecast")</f>
        <v>Actual</v>
      </c>
      <c r="E21" s="376">
        <v>264.99200000000002</v>
      </c>
      <c r="F21" s="501">
        <v>269.95000000000005</v>
      </c>
      <c r="G21" s="168">
        <v>0.2</v>
      </c>
      <c r="H21" s="849"/>
      <c r="I21" s="520"/>
      <c r="J21" s="850"/>
    </row>
    <row r="22" spans="2:10">
      <c r="B22" s="166" t="s">
        <v>63</v>
      </c>
      <c r="C22" s="171">
        <v>2018</v>
      </c>
      <c r="D22" s="167" t="str">
        <f>IF(VALUE(C22)&lt;='RFPR cover'!$C$7,"Actual","Forecast")</f>
        <v>Actual</v>
      </c>
      <c r="E22" s="376">
        <v>274.90800000000002</v>
      </c>
      <c r="F22" s="501">
        <v>279</v>
      </c>
      <c r="G22" s="168">
        <v>0.19</v>
      </c>
      <c r="H22" s="849"/>
      <c r="I22" s="520"/>
      <c r="J22" s="850"/>
    </row>
    <row r="23" spans="2:10">
      <c r="B23" s="503" t="s">
        <v>64</v>
      </c>
      <c r="C23" s="504">
        <v>2019</v>
      </c>
      <c r="D23" s="167" t="str">
        <f>IF(VALUE(C23)&lt;='RFPR cover'!$C$7,"Actual","Forecast")</f>
        <v>Actual</v>
      </c>
      <c r="E23" s="376">
        <v>283.30799999999999</v>
      </c>
      <c r="F23" s="501">
        <v>286.64999999999998</v>
      </c>
      <c r="G23" s="168">
        <v>0.19</v>
      </c>
      <c r="H23" s="849"/>
      <c r="J23" s="850"/>
    </row>
    <row r="24" spans="2:10">
      <c r="B24" s="503" t="s">
        <v>65</v>
      </c>
      <c r="C24" s="504">
        <v>2020</v>
      </c>
      <c r="D24" s="167" t="str">
        <f>IF(VALUE(C24)&lt;='RFPR cover'!$C$7,"Actual","Forecast")</f>
        <v>Actual</v>
      </c>
      <c r="E24" s="376">
        <v>290.642</v>
      </c>
      <c r="F24" s="501">
        <v>292.60000000000002</v>
      </c>
      <c r="G24" s="168">
        <v>0.19</v>
      </c>
      <c r="H24" s="849"/>
      <c r="J24" s="850"/>
    </row>
    <row r="25" spans="2:10">
      <c r="B25" s="503" t="s">
        <v>66</v>
      </c>
      <c r="C25" s="504">
        <v>2021</v>
      </c>
      <c r="D25" s="167" t="str">
        <f>IF(VALUE(C25)&lt;='RFPR cover'!$C$7,"Actual","Forecast")</f>
        <v>Forecast</v>
      </c>
      <c r="E25" s="502">
        <f t="shared" ref="E25:F27" si="0">E24*(1+INDEX($D$43:$J$43,0,MATCH($C25,$D$42:$J$42,0)))</f>
        <v>295.58291399999996</v>
      </c>
      <c r="F25" s="502">
        <f t="shared" si="0"/>
        <v>297.57420000000002</v>
      </c>
      <c r="G25" s="168">
        <v>0.19</v>
      </c>
      <c r="H25" s="849"/>
      <c r="J25" s="850"/>
    </row>
    <row r="26" spans="2:10">
      <c r="B26" s="503" t="s">
        <v>67</v>
      </c>
      <c r="C26" s="504">
        <v>2022</v>
      </c>
      <c r="D26" s="167" t="str">
        <f>IF(VALUE(C26)&lt;='RFPR cover'!$C$7,"Actual","Forecast")</f>
        <v>Forecast</v>
      </c>
      <c r="E26" s="502">
        <f t="shared" si="0"/>
        <v>301.86405092249998</v>
      </c>
      <c r="F26" s="502">
        <f t="shared" si="0"/>
        <v>303.89765175000002</v>
      </c>
      <c r="G26" s="168">
        <v>0.19</v>
      </c>
      <c r="H26" s="849"/>
      <c r="J26" s="850"/>
    </row>
    <row r="27" spans="2:10">
      <c r="B27" s="503" t="s">
        <v>68</v>
      </c>
      <c r="C27" s="504">
        <v>2023</v>
      </c>
      <c r="D27" s="167" t="str">
        <f>IF(VALUE(C27)&lt;='RFPR cover'!$C$7,"Actual","Forecast")</f>
        <v>Forecast</v>
      </c>
      <c r="E27" s="502">
        <f t="shared" si="0"/>
        <v>309.63705023375434</v>
      </c>
      <c r="F27" s="502">
        <f t="shared" si="0"/>
        <v>311.72301628256253</v>
      </c>
      <c r="G27" s="168">
        <v>0.19</v>
      </c>
      <c r="H27" s="849"/>
      <c r="J27" s="850"/>
    </row>
    <row r="28" spans="2:10">
      <c r="B28" s="503" t="s">
        <v>204</v>
      </c>
      <c r="C28" s="504">
        <v>2024</v>
      </c>
      <c r="D28" s="167" t="str">
        <f>IF(VALUE(C28)&lt;='RFPR cover'!$C$7,"Actual","Forecast")</f>
        <v>Forecast</v>
      </c>
      <c r="E28" s="378"/>
      <c r="F28" s="378"/>
      <c r="G28" s="168">
        <v>0.19</v>
      </c>
    </row>
    <row r="29" spans="2:10">
      <c r="B29" s="503" t="s">
        <v>205</v>
      </c>
      <c r="C29" s="504">
        <v>2025</v>
      </c>
      <c r="D29" s="167" t="str">
        <f>IF(VALUE(C29)&lt;='RFPR cover'!$C$7,"Actual","Forecast")</f>
        <v>Forecast</v>
      </c>
      <c r="E29" s="378"/>
      <c r="F29" s="378"/>
      <c r="G29" s="168">
        <v>0.19</v>
      </c>
    </row>
    <row r="30" spans="2:10">
      <c r="B30" s="505" t="s">
        <v>206</v>
      </c>
      <c r="C30" s="506">
        <v>2026</v>
      </c>
      <c r="D30" s="169" t="str">
        <f>IF(VALUE(C30)&lt;='RFPR cover'!$C$7,"Actual","Forecast")</f>
        <v>Forecast</v>
      </c>
      <c r="E30" s="377"/>
      <c r="F30" s="377"/>
      <c r="G30" s="168">
        <v>0.19</v>
      </c>
    </row>
    <row r="31" spans="2:10">
      <c r="B31" s="89"/>
      <c r="C31" s="67"/>
      <c r="D31" s="67"/>
      <c r="E31" s="67"/>
      <c r="F31" s="67"/>
    </row>
    <row r="32" spans="2:10">
      <c r="B32" s="89"/>
      <c r="C32" s="344" t="str">
        <f>IF(C33&lt;='RFPR cover'!$C$7,"Actuals","Forecast")</f>
        <v>Actuals</v>
      </c>
      <c r="D32" s="345" t="str">
        <f>IF(D33&lt;='RFPR cover'!$C$7,"Actuals","Forecast")</f>
        <v>Actuals</v>
      </c>
      <c r="E32" s="345" t="str">
        <f>IF(E33&lt;='RFPR cover'!$C$7,"Actuals","Forecast")</f>
        <v>Actuals</v>
      </c>
      <c r="F32" s="345" t="str">
        <f>IF(F33&lt;='RFPR cover'!$C$7,"Actuals","Forecast")</f>
        <v>Actuals</v>
      </c>
      <c r="G32" s="345" t="str">
        <f>IF(G33&lt;='RFPR cover'!$C$7,"Actuals","Forecast")</f>
        <v>Actuals</v>
      </c>
      <c r="H32" s="345" t="str">
        <f>IF(H33&lt;='RFPR cover'!$C$7,"Actuals","Forecast")</f>
        <v>Forecast</v>
      </c>
      <c r="I32" s="345" t="str">
        <f>IF(I33&lt;='RFPR cover'!$C$7,"Actuals","Forecast")</f>
        <v>Forecast</v>
      </c>
      <c r="J32" s="346" t="str">
        <f>IF(J33&lt;='RFPR cover'!$C$7,"Actuals","Forecast")</f>
        <v>Forecast</v>
      </c>
    </row>
    <row r="33" spans="2:13" ht="15.75" customHeight="1">
      <c r="B33" s="290"/>
      <c r="C33" s="91">
        <f>'RFPR cover'!$C$13</f>
        <v>2016</v>
      </c>
      <c r="D33" s="92">
        <f t="shared" ref="D33:J33" si="1">C33+1</f>
        <v>2017</v>
      </c>
      <c r="E33" s="92">
        <f t="shared" si="1"/>
        <v>2018</v>
      </c>
      <c r="F33" s="92">
        <f t="shared" si="1"/>
        <v>2019</v>
      </c>
      <c r="G33" s="92">
        <f t="shared" si="1"/>
        <v>2020</v>
      </c>
      <c r="H33" s="92">
        <f t="shared" si="1"/>
        <v>2021</v>
      </c>
      <c r="I33" s="92">
        <f t="shared" si="1"/>
        <v>2022</v>
      </c>
      <c r="J33" s="317">
        <f t="shared" si="1"/>
        <v>2023</v>
      </c>
    </row>
    <row r="34" spans="2:13" ht="15.75" customHeight="1">
      <c r="B34" s="498" t="s">
        <v>367</v>
      </c>
      <c r="C34" s="496">
        <f>INDEX(Data!$E$14:$E$30,MATCH(C$33,Data!$C$14:$C$30,0),0)/IF('RFPR cover'!$C$6="ED1",Data!$E$17,Data!$E$14)</f>
        <v>1.0603167467048125</v>
      </c>
      <c r="D34" s="493">
        <f>INDEX(Data!$E$14:$E$30,MATCH(D$33,Data!$C$14:$C$30,0),0)/IF('RFPR cover'!$C$6="ED1",Data!$E$17,Data!$E$14)</f>
        <v>1.0830366813119445</v>
      </c>
      <c r="E34" s="493">
        <f>INDEX(Data!$E$14:$E$30,MATCH(E$33,Data!$C$14:$C$30,0),0)/IF('RFPR cover'!$C$6="ED1",Data!$E$17,Data!$E$14)</f>
        <v>1.1235639113109226</v>
      </c>
      <c r="F34" s="493">
        <f>INDEX(Data!$E$14:$E$30,MATCH(F$33,Data!$C$14:$C$30,0),0)/IF('RFPR cover'!$C$6="ED1",Data!$E$17,Data!$E$14)</f>
        <v>1.1578951670583426</v>
      </c>
      <c r="G34" s="493">
        <f>INDEX(Data!$E$14:$E$30,MATCH(G$33,Data!$C$14:$C$30,0),0)/IF('RFPR cover'!$C$6="ED1",Data!$E$17,Data!$E$14)</f>
        <v>1.1878696229692449</v>
      </c>
      <c r="H34" s="493">
        <f>INDEX(Data!$E$14:$E$30,MATCH(H$33,Data!$C$14:$C$30,0),0)/IF('RFPR cover'!$C$6="ED1",Data!$E$17,Data!$E$14)</f>
        <v>1.2080634065597218</v>
      </c>
      <c r="I34" s="494">
        <f>INDEX(Data!$E$14:$E$30,MATCH(I$33,Data!$C$14:$C$30,0),0)/IF('RFPR cover'!$C$6="ED1",Data!$E$17,Data!$E$14)</f>
        <v>1.2337347539491161</v>
      </c>
      <c r="J34" s="495">
        <f>INDEX(Data!$E$14:$E$30,MATCH(J$33,Data!$C$14:$C$30,0),0)/IF('RFPR cover'!$C$6="ED1",Data!$E$17,Data!$E$14)</f>
        <v>1.2655034238633056</v>
      </c>
    </row>
    <row r="35" spans="2:13" ht="15.75" customHeight="1">
      <c r="B35" s="499" t="s">
        <v>42</v>
      </c>
      <c r="C35" s="497">
        <f>INDEX(Data!$F$14:$F$30,MATCH(C$33,Data!$C$14:$C$30,0),0)/IF('RFPR cover'!$C$6="ED1",Data!$E$17,Data!$E$14)</f>
        <v>1.0677429242873198</v>
      </c>
      <c r="D35" s="497">
        <f>INDEX(Data!$F$14:$F$30,MATCH(D$33,Data!$C$14:$C$30,0),0)/IF('RFPR cover'!$C$6="ED1",Data!$E$17,Data!$E$14)</f>
        <v>1.1033002963114336</v>
      </c>
      <c r="E35" s="497">
        <f>INDEX(Data!$F$14:$F$30,MATCH(E$33,Data!$C$14:$C$30,0),0)/IF('RFPR cover'!$C$6="ED1",Data!$E$17,Data!$E$14)</f>
        <v>1.1402881373250229</v>
      </c>
      <c r="F35" s="497">
        <f>INDEX(Data!$F$14:$F$30,MATCH(F$33,Data!$C$14:$C$30,0),0)/IF('RFPR cover'!$C$6="ED1",Data!$E$17,Data!$E$14)</f>
        <v>1.171554102380709</v>
      </c>
      <c r="G35" s="497">
        <f>INDEX(Data!$F$14:$F$30,MATCH(G$33,Data!$C$14:$C$30,0),0)/IF('RFPR cover'!$C$6="ED1",Data!$E$17,Data!$E$14)</f>
        <v>1.1958720752017984</v>
      </c>
      <c r="H35" s="497">
        <f>INDEX(Data!$F$14:$F$30,MATCH(H$33,Data!$C$14:$C$30,0),0)/IF('RFPR cover'!$C$6="ED1",Data!$E$17,Data!$E$14)</f>
        <v>1.2162019004802289</v>
      </c>
      <c r="I35" s="497">
        <f>INDEX(Data!$F$14:$F$30,MATCH(I$33,Data!$C$14:$C$30,0),0)/IF('RFPR cover'!$C$6="ED1",Data!$E$17,Data!$E$14)</f>
        <v>1.2420461908654337</v>
      </c>
      <c r="J35" s="497">
        <f>INDEX(Data!$F$14:$F$30,MATCH(J$33,Data!$C$14:$C$30,0),0)/IF('RFPR cover'!$C$6="ED1",Data!$E$17,Data!$E$14)</f>
        <v>1.2740288802802187</v>
      </c>
    </row>
    <row r="36" spans="2:13">
      <c r="B36" s="499" t="s">
        <v>497</v>
      </c>
      <c r="C36" s="497">
        <f>INDEX(Data!$E$14:$E$30,MATCH(C$33,Data!$C$14:$C$30,0))/INDEX(Data!$E$14:$E$30,MATCH(C$33-1,Data!$C$14:$C$30,0))</f>
        <v>1.0107766093810269</v>
      </c>
      <c r="D36" s="497">
        <f>INDEX(Data!$E$14:$E$30,MATCH(D$33,Data!$C$14:$C$30,0))/INDEX(Data!$E$14:$E$30,MATCH(D$33-1,Data!$C$14:$C$30,0))</f>
        <v>1.0214274976583551</v>
      </c>
      <c r="E36" s="497">
        <f>INDEX(Data!$E$14:$E$30,MATCH(E$33,Data!$C$14:$C$30,0))/INDEX(Data!$E$14:$E$30,MATCH(E$33-1,Data!$C$14:$C$30,0))</f>
        <v>1.0374199975848328</v>
      </c>
      <c r="F36" s="497">
        <f>INDEX(Data!$E$14:$E$30,MATCH(F$33,Data!$C$14:$C$30,0))/INDEX(Data!$E$14:$E$30,MATCH(F$33-1,Data!$C$14:$C$30,0))</f>
        <v>1.0305556768082411</v>
      </c>
      <c r="G36" s="497">
        <f>INDEX(Data!$E$14:$E$30,MATCH(G$33,Data!$C$14:$C$30,0))/INDEX(Data!$E$14:$E$30,MATCH(G$33-1,Data!$C$14:$C$30,0))</f>
        <v>1.0258870204865376</v>
      </c>
      <c r="H36" s="497">
        <f>INDEX(Data!$E$14:$E$30,MATCH(H$33,Data!$C$14:$C$30,0))/INDEX(Data!$E$14:$E$30,MATCH(H$33-1,Data!$C$14:$C$30,0))</f>
        <v>1.0169999999999999</v>
      </c>
      <c r="I36" s="497">
        <f>INDEX(Data!$E$14:$E$30,MATCH(I$33,Data!$C$14:$C$30,0))/INDEX(Data!$E$14:$E$30,MATCH(I$33-1,Data!$C$14:$C$30,0))</f>
        <v>1.02125</v>
      </c>
      <c r="J36" s="497">
        <f>INDEX(Data!$E$14:$E$30,MATCH(J$33,Data!$C$14:$C$30,0))/INDEX(Data!$E$14:$E$30,MATCH(J$33-1,Data!$C$14:$C$30,0))</f>
        <v>1.0257499999999999</v>
      </c>
    </row>
    <row r="37" spans="2:13" ht="15.75" customHeight="1">
      <c r="B37" s="14" t="s">
        <v>274</v>
      </c>
      <c r="F37" s="520"/>
    </row>
    <row r="38" spans="2:13">
      <c r="C38" s="513" t="s">
        <v>275</v>
      </c>
      <c r="D38" s="118">
        <v>2017</v>
      </c>
      <c r="E38" s="119">
        <f t="shared" ref="E38:J38" si="2">D38+1</f>
        <v>2018</v>
      </c>
      <c r="F38" s="119">
        <f t="shared" si="2"/>
        <v>2019</v>
      </c>
      <c r="G38" s="119">
        <f t="shared" si="2"/>
        <v>2020</v>
      </c>
      <c r="H38" s="119">
        <f t="shared" si="2"/>
        <v>2021</v>
      </c>
      <c r="I38" s="119">
        <f t="shared" si="2"/>
        <v>2022</v>
      </c>
      <c r="J38" s="196">
        <f t="shared" si="2"/>
        <v>2023</v>
      </c>
      <c r="K38" s="970" t="s">
        <v>377</v>
      </c>
      <c r="L38" s="970"/>
      <c r="M38" s="970"/>
    </row>
    <row r="39" spans="2:13">
      <c r="B39" t="s">
        <v>378</v>
      </c>
      <c r="C39" s="201"/>
      <c r="D39" s="767"/>
      <c r="E39" s="767"/>
      <c r="F39" s="767"/>
      <c r="G39" s="768">
        <v>1.6E-2</v>
      </c>
      <c r="H39" s="768">
        <v>0.02</v>
      </c>
      <c r="I39" s="768">
        <v>2.5000000000000001E-2</v>
      </c>
      <c r="J39" s="769">
        <v>2.8000000000000001E-2</v>
      </c>
      <c r="K39" s="971" t="s">
        <v>570</v>
      </c>
      <c r="L39" s="971"/>
      <c r="M39" s="971"/>
    </row>
    <row r="41" spans="2:13">
      <c r="B41" s="14" t="s">
        <v>276</v>
      </c>
    </row>
    <row r="42" spans="2:13">
      <c r="C42" s="512" t="s">
        <v>277</v>
      </c>
      <c r="D42" s="118">
        <v>2017</v>
      </c>
      <c r="E42" s="119">
        <f t="shared" ref="E42:J42" si="3">D42+1</f>
        <v>2018</v>
      </c>
      <c r="F42" s="119">
        <f t="shared" si="3"/>
        <v>2019</v>
      </c>
      <c r="G42" s="119">
        <f t="shared" si="3"/>
        <v>2020</v>
      </c>
      <c r="H42" s="119">
        <f t="shared" si="3"/>
        <v>2021</v>
      </c>
      <c r="I42" s="119">
        <f t="shared" si="3"/>
        <v>2022</v>
      </c>
      <c r="J42" s="196">
        <f t="shared" si="3"/>
        <v>2023</v>
      </c>
    </row>
    <row r="43" spans="2:13">
      <c r="B43" t="s">
        <v>278</v>
      </c>
      <c r="D43" s="573"/>
      <c r="E43" s="574"/>
      <c r="F43" s="574"/>
      <c r="G43" s="574"/>
      <c r="H43" s="770">
        <f>(G39*0.75)+(H39*0.25)</f>
        <v>1.7000000000000001E-2</v>
      </c>
      <c r="I43" s="770">
        <f>(H39*0.75)+(I39*0.25)</f>
        <v>2.1249999999999998E-2</v>
      </c>
      <c r="J43" s="771">
        <f>(I39*0.75)+(J39*0.25)</f>
        <v>2.5750000000000002E-2</v>
      </c>
    </row>
    <row r="45" spans="2:13">
      <c r="B45" s="316" t="str">
        <f>"Selected Capitalisation rates for "&amp;'RFPR cover'!C5</f>
        <v>Selected Capitalisation rates for ENWL</v>
      </c>
      <c r="C45" s="272"/>
      <c r="D45" s="272"/>
      <c r="E45" s="272"/>
      <c r="F45" s="272"/>
      <c r="G45" s="272"/>
      <c r="H45" s="272"/>
      <c r="I45" s="272"/>
      <c r="J45" s="272"/>
      <c r="K45" s="272"/>
      <c r="L45" s="272"/>
      <c r="M45" s="285"/>
    </row>
    <row r="46" spans="2:13">
      <c r="B46" s="202"/>
      <c r="C46" s="42"/>
      <c r="D46" s="42"/>
      <c r="E46" s="42"/>
      <c r="F46" s="42"/>
      <c r="G46" s="42"/>
      <c r="H46" s="42"/>
      <c r="I46" s="42"/>
      <c r="J46" s="42"/>
      <c r="K46" s="42"/>
      <c r="L46" s="42"/>
      <c r="M46" s="203"/>
    </row>
    <row r="47" spans="2:13">
      <c r="B47" s="202"/>
      <c r="C47" s="315" t="s">
        <v>251</v>
      </c>
      <c r="D47" s="42"/>
      <c r="E47" s="42"/>
      <c r="F47" s="42"/>
      <c r="G47" s="42"/>
      <c r="H47" s="42"/>
      <c r="I47" s="42"/>
      <c r="J47" s="42"/>
      <c r="K47" s="42"/>
      <c r="L47" s="42"/>
      <c r="M47" s="203"/>
    </row>
    <row r="48" spans="2:13">
      <c r="B48" s="318" t="str">
        <f>INDEX($G$54:$G$57,MATCH(LEFT('RFPR cover'!$C$6,2),Data!$E$54:$E$57,0),0)</f>
        <v>Totex</v>
      </c>
      <c r="C48" s="314">
        <f>INDEX($F$73:$F$100,MATCH('RFPR cover'!$C$5,Data!$B$73:$B$100,0),0)</f>
        <v>0.68</v>
      </c>
      <c r="D48" s="42"/>
      <c r="E48" s="42"/>
      <c r="F48" s="42"/>
      <c r="G48" s="42"/>
      <c r="H48" s="42"/>
      <c r="I48" s="42"/>
      <c r="J48" s="42"/>
      <c r="K48" s="42"/>
      <c r="L48" s="42"/>
      <c r="M48" s="203"/>
    </row>
    <row r="49" spans="2:20">
      <c r="B49" s="319"/>
      <c r="C49" s="42"/>
      <c r="D49" s="42"/>
      <c r="E49" s="42"/>
      <c r="F49" s="42"/>
      <c r="G49" s="42"/>
      <c r="H49" s="42"/>
      <c r="I49" s="42"/>
      <c r="J49" s="42"/>
      <c r="K49" s="42"/>
      <c r="L49" s="42"/>
      <c r="M49" s="203"/>
    </row>
    <row r="50" spans="2:20">
      <c r="B50" s="319"/>
      <c r="C50" s="91">
        <v>2014</v>
      </c>
      <c r="D50" s="92">
        <f t="shared" ref="D50:J50" si="4">C50+1</f>
        <v>2015</v>
      </c>
      <c r="E50" s="92">
        <f t="shared" si="4"/>
        <v>2016</v>
      </c>
      <c r="F50" s="92">
        <f t="shared" si="4"/>
        <v>2017</v>
      </c>
      <c r="G50" s="92">
        <f t="shared" si="4"/>
        <v>2018</v>
      </c>
      <c r="H50" s="92">
        <f t="shared" si="4"/>
        <v>2019</v>
      </c>
      <c r="I50" s="92">
        <f t="shared" si="4"/>
        <v>2020</v>
      </c>
      <c r="J50" s="92">
        <f t="shared" si="4"/>
        <v>2021</v>
      </c>
      <c r="K50" s="42"/>
      <c r="L50" s="42"/>
      <c r="M50" s="203"/>
    </row>
    <row r="51" spans="2:20">
      <c r="B51" s="318" t="str">
        <f>INDEX($J$54:$J$57,MATCH(LEFT('RFPR cover'!$C$6,2),Data!$E$54:$E$57,0),0)</f>
        <v>n/a</v>
      </c>
      <c r="C51" s="320">
        <f>IFERROR(INDEX(C$106:C$115,MATCH('RFPR cover'!$C$5,Data!$B$106:$B$115,0),0),0)</f>
        <v>0</v>
      </c>
      <c r="D51" s="302">
        <f>IFERROR(INDEX(D$106:D$115,MATCH('RFPR cover'!$C$5,Data!$B$106:$B$115,0),0),0)</f>
        <v>0</v>
      </c>
      <c r="E51" s="302">
        <f>IFERROR(INDEX(E$106:E$115,MATCH('RFPR cover'!$C$5,Data!$B$106:$B$115,0),0),0)</f>
        <v>0</v>
      </c>
      <c r="F51" s="302">
        <f>IFERROR(INDEX(F$106:F$115,MATCH('RFPR cover'!$C$5,Data!$B$106:$B$115,0),0),0)</f>
        <v>0</v>
      </c>
      <c r="G51" s="302">
        <f>IFERROR(INDEX(G$106:G$115,MATCH('RFPR cover'!$C$5,Data!$B$106:$B$115,0),0),0)</f>
        <v>0</v>
      </c>
      <c r="H51" s="302">
        <f>IFERROR(INDEX(H$106:H$115,MATCH('RFPR cover'!$C$5,Data!$B$106:$B$115,0),0),0)</f>
        <v>0</v>
      </c>
      <c r="I51" s="302">
        <f>IFERROR(INDEX(I$106:I$115,MATCH('RFPR cover'!$C$5,Data!$B$106:$B$115,0),0),0)</f>
        <v>0</v>
      </c>
      <c r="J51" s="302">
        <f>IFERROR(INDEX(J$106:J$115,MATCH('RFPR cover'!$C$5,Data!$B$106:$B$115,0),0),0)</f>
        <v>0</v>
      </c>
      <c r="K51" s="42"/>
      <c r="L51" s="42"/>
      <c r="M51" s="203"/>
    </row>
    <row r="52" spans="2:20">
      <c r="B52" s="296"/>
      <c r="C52" s="297"/>
      <c r="D52" s="297"/>
      <c r="E52" s="297"/>
      <c r="F52" s="297"/>
      <c r="G52" s="297"/>
      <c r="H52" s="297"/>
      <c r="I52" s="297"/>
      <c r="J52" s="297"/>
      <c r="K52" s="297"/>
      <c r="L52" s="297"/>
      <c r="M52" s="298"/>
    </row>
    <row r="53" spans="2:20">
      <c r="B53" s="42"/>
      <c r="C53" s="42"/>
      <c r="D53" s="42"/>
      <c r="E53" s="42"/>
      <c r="F53" s="42"/>
      <c r="G53" s="42"/>
      <c r="H53" s="42"/>
      <c r="I53" s="42"/>
      <c r="J53" s="42"/>
      <c r="K53" s="42"/>
    </row>
    <row r="54" spans="2:20">
      <c r="B54" s="306"/>
      <c r="C54" s="306"/>
      <c r="E54" s="303" t="s">
        <v>171</v>
      </c>
      <c r="F54" s="332" t="s">
        <v>158</v>
      </c>
      <c r="G54" s="975" t="s">
        <v>252</v>
      </c>
      <c r="H54" s="976"/>
      <c r="I54" s="977"/>
      <c r="J54" s="984" t="s">
        <v>254</v>
      </c>
      <c r="K54" s="985"/>
    </row>
    <row r="55" spans="2:20">
      <c r="B55" s="306"/>
      <c r="C55" s="306"/>
      <c r="E55" s="304" t="s">
        <v>173</v>
      </c>
      <c r="F55" s="333" t="s">
        <v>183</v>
      </c>
      <c r="G55" s="978" t="s">
        <v>252</v>
      </c>
      <c r="H55" s="979"/>
      <c r="I55" s="980"/>
      <c r="J55" s="986" t="s">
        <v>254</v>
      </c>
      <c r="K55" s="987"/>
    </row>
    <row r="56" spans="2:20">
      <c r="B56" s="306"/>
      <c r="C56" s="306"/>
      <c r="E56" s="304" t="s">
        <v>172</v>
      </c>
      <c r="F56" s="333" t="s">
        <v>183</v>
      </c>
      <c r="G56" s="978" t="s">
        <v>243</v>
      </c>
      <c r="H56" s="979"/>
      <c r="I56" s="980"/>
      <c r="J56" s="986" t="s">
        <v>244</v>
      </c>
      <c r="K56" s="987"/>
    </row>
    <row r="57" spans="2:20">
      <c r="B57" s="306"/>
      <c r="C57" s="306"/>
      <c r="E57" s="305" t="s">
        <v>174</v>
      </c>
      <c r="F57" s="334" t="s">
        <v>183</v>
      </c>
      <c r="G57" s="981" t="s">
        <v>253</v>
      </c>
      <c r="H57" s="982"/>
      <c r="I57" s="983"/>
      <c r="J57" s="988" t="s">
        <v>255</v>
      </c>
      <c r="K57" s="989"/>
    </row>
    <row r="58" spans="2:20">
      <c r="B58" s="306"/>
      <c r="C58" s="306"/>
      <c r="E58" s="306"/>
      <c r="F58" s="447"/>
      <c r="G58" s="448"/>
      <c r="H58" s="448"/>
      <c r="I58" s="448"/>
      <c r="J58" s="449"/>
      <c r="K58" s="449"/>
    </row>
    <row r="59" spans="2:20">
      <c r="B59" s="450"/>
      <c r="C59" s="450"/>
      <c r="D59" s="218"/>
      <c r="E59" s="450"/>
      <c r="F59" s="451"/>
      <c r="G59" s="452"/>
      <c r="H59" s="452"/>
      <c r="I59" s="452"/>
      <c r="J59" s="453"/>
      <c r="K59" s="453"/>
      <c r="L59" s="218"/>
      <c r="M59" s="218"/>
      <c r="N59" s="218"/>
      <c r="O59" s="218"/>
      <c r="P59" s="218"/>
      <c r="Q59" s="218"/>
      <c r="R59" s="218"/>
      <c r="S59" s="218"/>
      <c r="T59" s="218"/>
    </row>
    <row r="60" spans="2:20" s="31" customFormat="1">
      <c r="B60" s="401"/>
      <c r="C60" s="401"/>
      <c r="E60" s="401"/>
      <c r="F60" s="454"/>
      <c r="G60" s="455"/>
      <c r="H60" s="455"/>
      <c r="I60" s="455"/>
      <c r="J60" s="456"/>
      <c r="K60" s="456"/>
    </row>
    <row r="61" spans="2:20">
      <c r="B61" s="446" t="s">
        <v>350</v>
      </c>
      <c r="C61" s="911" t="s">
        <v>535</v>
      </c>
      <c r="I61" s="67"/>
    </row>
    <row r="62" spans="2:20">
      <c r="C62" s="118">
        <v>2014</v>
      </c>
      <c r="D62" s="119">
        <f t="shared" ref="D62:L62" si="5">C62+1</f>
        <v>2015</v>
      </c>
      <c r="E62" s="119">
        <f t="shared" si="5"/>
        <v>2016</v>
      </c>
      <c r="F62" s="119">
        <f t="shared" si="5"/>
        <v>2017</v>
      </c>
      <c r="G62" s="119">
        <f t="shared" si="5"/>
        <v>2018</v>
      </c>
      <c r="H62" s="119">
        <f t="shared" si="5"/>
        <v>2019</v>
      </c>
      <c r="I62" s="119">
        <f t="shared" si="5"/>
        <v>2020</v>
      </c>
      <c r="J62" s="119">
        <f t="shared" si="5"/>
        <v>2021</v>
      </c>
      <c r="K62" s="119">
        <f t="shared" si="5"/>
        <v>2022</v>
      </c>
      <c r="L62" s="196">
        <f t="shared" si="5"/>
        <v>2023</v>
      </c>
    </row>
    <row r="63" spans="2:20">
      <c r="B63" s="443" t="s">
        <v>348</v>
      </c>
      <c r="C63" s="569"/>
      <c r="D63" s="570"/>
      <c r="E63" s="441">
        <v>2.5499999999999998E-2</v>
      </c>
      <c r="F63" s="441">
        <v>2.3799999999999998E-2</v>
      </c>
      <c r="G63" s="441">
        <v>2.2200000000000001E-2</v>
      </c>
      <c r="H63" s="441">
        <v>1.9099999999999999E-2</v>
      </c>
      <c r="I63" s="441">
        <v>1.5800000000000002E-2</v>
      </c>
      <c r="J63" s="441">
        <v>1.09E-2</v>
      </c>
      <c r="K63" s="441">
        <v>1.09E-2</v>
      </c>
      <c r="L63" s="442">
        <v>1.09E-2</v>
      </c>
    </row>
    <row r="64" spans="2:20">
      <c r="B64" s="444" t="s">
        <v>335</v>
      </c>
      <c r="C64" s="557"/>
      <c r="D64" s="558"/>
      <c r="E64" s="403">
        <v>2.5499999999999998E-2</v>
      </c>
      <c r="F64" s="403">
        <v>2.4199999999999999E-2</v>
      </c>
      <c r="G64" s="403">
        <v>2.29E-2</v>
      </c>
      <c r="H64" s="403">
        <v>2.0899999999999998E-2</v>
      </c>
      <c r="I64" s="403">
        <v>1.9400000000000001E-2</v>
      </c>
      <c r="J64" s="403">
        <v>1.78E-2</v>
      </c>
      <c r="K64" s="403">
        <v>1.6299999999999999E-2</v>
      </c>
      <c r="L64" s="406">
        <v>1.4800000000000001E-2</v>
      </c>
    </row>
    <row r="65" spans="1:20">
      <c r="B65" s="444" t="s">
        <v>61</v>
      </c>
      <c r="C65" s="402">
        <v>2.92E-2</v>
      </c>
      <c r="D65" s="403">
        <v>2.5000000000000001E-2</v>
      </c>
      <c r="E65" s="403">
        <v>2.1499999999999998E-2</v>
      </c>
      <c r="F65" s="403">
        <v>1.7899999999999999E-2</v>
      </c>
      <c r="G65" s="403">
        <v>1.5100000000000001E-2</v>
      </c>
      <c r="H65" s="403">
        <v>1.1599999999999999E-2</v>
      </c>
      <c r="I65" s="403">
        <v>1.0200000000000001E-2</v>
      </c>
      <c r="J65" s="403">
        <v>1.01E-2</v>
      </c>
      <c r="K65" s="571"/>
      <c r="L65" s="572"/>
    </row>
    <row r="66" spans="1:20">
      <c r="B66" s="444" t="s">
        <v>349</v>
      </c>
      <c r="C66" s="439">
        <v>2.92E-2</v>
      </c>
      <c r="D66" s="440">
        <v>2.7199999999999998E-2</v>
      </c>
      <c r="E66" s="440">
        <v>2.5499999999999998E-2</v>
      </c>
      <c r="F66" s="440">
        <v>2.3800000000000002E-2</v>
      </c>
      <c r="G66" s="440">
        <v>2.2200000000000001E-2</v>
      </c>
      <c r="H66" s="440">
        <v>1.9099999999999999E-2</v>
      </c>
      <c r="I66" s="440">
        <v>1.5800000000000002E-2</v>
      </c>
      <c r="J66" s="440">
        <v>1.01E-2</v>
      </c>
      <c r="K66" s="558"/>
      <c r="L66" s="559"/>
    </row>
    <row r="67" spans="1:20">
      <c r="B67" s="444" t="s">
        <v>172</v>
      </c>
      <c r="C67" s="402">
        <v>2.92E-2</v>
      </c>
      <c r="D67" s="403">
        <v>2.7199999999999998E-2</v>
      </c>
      <c r="E67" s="403">
        <v>2.5499999999999998E-2</v>
      </c>
      <c r="F67" s="403">
        <v>2.3800000000000002E-2</v>
      </c>
      <c r="G67" s="403">
        <v>2.2200000000000001E-2</v>
      </c>
      <c r="H67" s="440">
        <v>1.9099999999999999E-2</v>
      </c>
      <c r="I67" s="440">
        <v>1.5800000000000002E-2</v>
      </c>
      <c r="J67" s="440">
        <v>1.5800000000000002E-2</v>
      </c>
      <c r="K67" s="558"/>
      <c r="L67" s="559"/>
    </row>
    <row r="68" spans="1:20">
      <c r="B68" s="445" t="s">
        <v>174</v>
      </c>
      <c r="C68" s="404">
        <v>2.92E-2</v>
      </c>
      <c r="D68" s="405">
        <v>2.7199999999999998E-2</v>
      </c>
      <c r="E68" s="405">
        <v>2.5499999999999998E-2</v>
      </c>
      <c r="F68" s="405">
        <v>2.3800000000000002E-2</v>
      </c>
      <c r="G68" s="405">
        <v>2.2200000000000001E-2</v>
      </c>
      <c r="H68" s="405">
        <v>1.9099999999999999E-2</v>
      </c>
      <c r="I68" s="405">
        <v>1.5800000000000002E-2</v>
      </c>
      <c r="J68" s="405">
        <v>1.5800000000000002E-2</v>
      </c>
      <c r="K68" s="560"/>
      <c r="L68" s="561"/>
    </row>
    <row r="69" spans="1:20">
      <c r="I69" s="67"/>
    </row>
    <row r="70" spans="1:20">
      <c r="H70" s="67"/>
      <c r="K70" s="42"/>
      <c r="L70" s="42"/>
      <c r="M70" s="42"/>
      <c r="N70" s="42"/>
      <c r="O70" s="42"/>
      <c r="P70" s="42"/>
      <c r="Q70" s="42"/>
      <c r="R70" s="42"/>
      <c r="S70" s="42"/>
      <c r="T70" s="42"/>
    </row>
    <row r="71" spans="1:20" ht="38.25">
      <c r="B71" s="22"/>
      <c r="C71" s="74" t="s">
        <v>250</v>
      </c>
      <c r="D71" s="75" t="s">
        <v>211</v>
      </c>
      <c r="E71" s="75" t="s">
        <v>72</v>
      </c>
      <c r="F71" s="75" t="s">
        <v>273</v>
      </c>
      <c r="G71" s="75" t="s">
        <v>116</v>
      </c>
      <c r="H71" s="76" t="s">
        <v>185</v>
      </c>
      <c r="I71" s="331" t="s">
        <v>268</v>
      </c>
      <c r="J71" s="331" t="s">
        <v>474</v>
      </c>
      <c r="K71" s="972" t="s">
        <v>344</v>
      </c>
      <c r="L71" s="973"/>
      <c r="M71" s="973"/>
      <c r="N71" s="973"/>
      <c r="O71" s="973"/>
      <c r="P71" s="973"/>
      <c r="Q71" s="973"/>
      <c r="R71" s="973"/>
      <c r="S71" s="973"/>
      <c r="T71" s="974"/>
    </row>
    <row r="72" spans="1:20">
      <c r="A72" s="335" t="s">
        <v>188</v>
      </c>
      <c r="B72" s="68" t="s">
        <v>69</v>
      </c>
      <c r="C72" s="307"/>
      <c r="D72" s="70"/>
      <c r="E72" s="69"/>
      <c r="F72" s="69"/>
      <c r="G72" s="70"/>
      <c r="H72" s="71"/>
      <c r="I72" s="71"/>
      <c r="J72" s="426"/>
      <c r="K72" s="427">
        <v>2014</v>
      </c>
      <c r="L72" s="428">
        <f t="shared" ref="L72:T72" si="6">K72+1</f>
        <v>2015</v>
      </c>
      <c r="M72" s="428">
        <f t="shared" si="6"/>
        <v>2016</v>
      </c>
      <c r="N72" s="428">
        <f t="shared" si="6"/>
        <v>2017</v>
      </c>
      <c r="O72" s="428">
        <f t="shared" si="6"/>
        <v>2018</v>
      </c>
      <c r="P72" s="428">
        <f t="shared" si="6"/>
        <v>2019</v>
      </c>
      <c r="Q72" s="428">
        <f t="shared" si="6"/>
        <v>2020</v>
      </c>
      <c r="R72" s="428">
        <f t="shared" si="6"/>
        <v>2021</v>
      </c>
      <c r="S72" s="428">
        <f t="shared" si="6"/>
        <v>2022</v>
      </c>
      <c r="T72" s="429">
        <f t="shared" si="6"/>
        <v>2023</v>
      </c>
    </row>
    <row r="73" spans="1:20">
      <c r="A73" s="60" t="s">
        <v>171</v>
      </c>
      <c r="B73" s="72" t="s">
        <v>43</v>
      </c>
      <c r="C73" s="308">
        <v>0.06</v>
      </c>
      <c r="D73" s="309">
        <v>0.58109999999999995</v>
      </c>
      <c r="E73" s="310">
        <v>0.65</v>
      </c>
      <c r="F73" s="310">
        <v>0.68</v>
      </c>
      <c r="G73" s="341">
        <v>2016</v>
      </c>
      <c r="H73" s="342" t="str">
        <f t="shared" ref="H73:H97" si="7">VLOOKUP($A73,$E$54:$F$57,2,FALSE)</f>
        <v>£m 12/13</v>
      </c>
      <c r="I73" s="342" t="s">
        <v>269</v>
      </c>
      <c r="J73" s="426" t="s">
        <v>475</v>
      </c>
      <c r="K73" s="557"/>
      <c r="L73" s="558"/>
      <c r="M73" s="434">
        <f t="shared" ref="M73:M82" si="8">E$64</f>
        <v>2.5499999999999998E-2</v>
      </c>
      <c r="N73" s="434">
        <f t="shared" ref="N73:N82" si="9">F$64</f>
        <v>2.4199999999999999E-2</v>
      </c>
      <c r="O73" s="434">
        <f t="shared" ref="O73:O82" si="10">G$64</f>
        <v>2.29E-2</v>
      </c>
      <c r="P73" s="434">
        <f t="shared" ref="P73:P82" si="11">H$64</f>
        <v>2.0899999999999998E-2</v>
      </c>
      <c r="Q73" s="434">
        <f t="shared" ref="Q73:Q82" si="12">I$64</f>
        <v>1.9400000000000001E-2</v>
      </c>
      <c r="R73" s="434">
        <f t="shared" ref="R73:R82" si="13">J$64</f>
        <v>1.78E-2</v>
      </c>
      <c r="S73" s="434">
        <f t="shared" ref="S73:S82" si="14">K$64</f>
        <v>1.6299999999999999E-2</v>
      </c>
      <c r="T73" s="438">
        <f t="shared" ref="T73:T82" si="15">L$64</f>
        <v>1.4800000000000001E-2</v>
      </c>
    </row>
    <row r="74" spans="1:20">
      <c r="A74" s="60" t="s">
        <v>171</v>
      </c>
      <c r="B74" s="72" t="s">
        <v>44</v>
      </c>
      <c r="C74" s="308">
        <v>0.06</v>
      </c>
      <c r="D74" s="309">
        <v>0.55843703457782867</v>
      </c>
      <c r="E74" s="310">
        <v>0.65</v>
      </c>
      <c r="F74" s="310">
        <v>0.7</v>
      </c>
      <c r="G74" s="341">
        <v>2016</v>
      </c>
      <c r="H74" s="342" t="str">
        <f t="shared" si="7"/>
        <v>£m 12/13</v>
      </c>
      <c r="I74" s="342" t="s">
        <v>269</v>
      </c>
      <c r="J74" s="426" t="s">
        <v>475</v>
      </c>
      <c r="K74" s="557"/>
      <c r="L74" s="558"/>
      <c r="M74" s="434">
        <f t="shared" si="8"/>
        <v>2.5499999999999998E-2</v>
      </c>
      <c r="N74" s="434">
        <f t="shared" si="9"/>
        <v>2.4199999999999999E-2</v>
      </c>
      <c r="O74" s="434">
        <f t="shared" si="10"/>
        <v>2.29E-2</v>
      </c>
      <c r="P74" s="434">
        <f t="shared" si="11"/>
        <v>2.0899999999999998E-2</v>
      </c>
      <c r="Q74" s="434">
        <f t="shared" si="12"/>
        <v>1.9400000000000001E-2</v>
      </c>
      <c r="R74" s="434">
        <f t="shared" si="13"/>
        <v>1.78E-2</v>
      </c>
      <c r="S74" s="434">
        <f t="shared" si="14"/>
        <v>1.6299999999999999E-2</v>
      </c>
      <c r="T74" s="438">
        <f t="shared" si="15"/>
        <v>1.4800000000000001E-2</v>
      </c>
    </row>
    <row r="75" spans="1:20">
      <c r="A75" s="60" t="s">
        <v>171</v>
      </c>
      <c r="B75" s="72" t="s">
        <v>73</v>
      </c>
      <c r="C75" s="308">
        <v>0.06</v>
      </c>
      <c r="D75" s="309">
        <v>0.55843703457782867</v>
      </c>
      <c r="E75" s="310">
        <v>0.65</v>
      </c>
      <c r="F75" s="310">
        <v>0.72</v>
      </c>
      <c r="G75" s="341">
        <v>2016</v>
      </c>
      <c r="H75" s="342" t="str">
        <f t="shared" si="7"/>
        <v>£m 12/13</v>
      </c>
      <c r="I75" s="342" t="s">
        <v>269</v>
      </c>
      <c r="J75" s="426" t="s">
        <v>475</v>
      </c>
      <c r="K75" s="557"/>
      <c r="L75" s="558"/>
      <c r="M75" s="434">
        <f t="shared" si="8"/>
        <v>2.5499999999999998E-2</v>
      </c>
      <c r="N75" s="434">
        <f t="shared" si="9"/>
        <v>2.4199999999999999E-2</v>
      </c>
      <c r="O75" s="434">
        <f t="shared" si="10"/>
        <v>2.29E-2</v>
      </c>
      <c r="P75" s="434">
        <f t="shared" si="11"/>
        <v>2.0899999999999998E-2</v>
      </c>
      <c r="Q75" s="434">
        <f t="shared" si="12"/>
        <v>1.9400000000000001E-2</v>
      </c>
      <c r="R75" s="434">
        <f t="shared" si="13"/>
        <v>1.78E-2</v>
      </c>
      <c r="S75" s="434">
        <f t="shared" si="14"/>
        <v>1.6299999999999999E-2</v>
      </c>
      <c r="T75" s="438">
        <f t="shared" si="15"/>
        <v>1.4800000000000001E-2</v>
      </c>
    </row>
    <row r="76" spans="1:20">
      <c r="A76" s="60" t="s">
        <v>171</v>
      </c>
      <c r="B76" s="72" t="s">
        <v>59</v>
      </c>
      <c r="C76" s="308">
        <v>0.06</v>
      </c>
      <c r="D76" s="309">
        <v>0.53280000000000005</v>
      </c>
      <c r="E76" s="310">
        <v>0.65</v>
      </c>
      <c r="F76" s="310">
        <v>0.68</v>
      </c>
      <c r="G76" s="341">
        <v>2016</v>
      </c>
      <c r="H76" s="342" t="str">
        <f t="shared" si="7"/>
        <v>£m 12/13</v>
      </c>
      <c r="I76" s="342" t="s">
        <v>269</v>
      </c>
      <c r="J76" s="426" t="s">
        <v>475</v>
      </c>
      <c r="K76" s="557"/>
      <c r="L76" s="558"/>
      <c r="M76" s="434">
        <f t="shared" si="8"/>
        <v>2.5499999999999998E-2</v>
      </c>
      <c r="N76" s="434">
        <f t="shared" si="9"/>
        <v>2.4199999999999999E-2</v>
      </c>
      <c r="O76" s="434">
        <f t="shared" si="10"/>
        <v>2.29E-2</v>
      </c>
      <c r="P76" s="434">
        <f t="shared" si="11"/>
        <v>2.0899999999999998E-2</v>
      </c>
      <c r="Q76" s="434">
        <f t="shared" si="12"/>
        <v>1.9400000000000001E-2</v>
      </c>
      <c r="R76" s="434">
        <f t="shared" si="13"/>
        <v>1.78E-2</v>
      </c>
      <c r="S76" s="434">
        <f t="shared" si="14"/>
        <v>1.6299999999999999E-2</v>
      </c>
      <c r="T76" s="438">
        <f t="shared" si="15"/>
        <v>1.4800000000000001E-2</v>
      </c>
    </row>
    <row r="77" spans="1:20">
      <c r="A77" s="60" t="s">
        <v>171</v>
      </c>
      <c r="B77" s="72" t="s">
        <v>57</v>
      </c>
      <c r="C77" s="308">
        <v>0.06</v>
      </c>
      <c r="D77" s="309">
        <v>0.53280000000000005</v>
      </c>
      <c r="E77" s="310">
        <v>0.65</v>
      </c>
      <c r="F77" s="310">
        <v>0.68</v>
      </c>
      <c r="G77" s="341">
        <v>2016</v>
      </c>
      <c r="H77" s="342" t="str">
        <f t="shared" si="7"/>
        <v>£m 12/13</v>
      </c>
      <c r="I77" s="342" t="s">
        <v>269</v>
      </c>
      <c r="J77" s="426" t="s">
        <v>475</v>
      </c>
      <c r="K77" s="557"/>
      <c r="L77" s="558"/>
      <c r="M77" s="434">
        <f t="shared" si="8"/>
        <v>2.5499999999999998E-2</v>
      </c>
      <c r="N77" s="434">
        <f t="shared" si="9"/>
        <v>2.4199999999999999E-2</v>
      </c>
      <c r="O77" s="434">
        <f t="shared" si="10"/>
        <v>2.29E-2</v>
      </c>
      <c r="P77" s="434">
        <f t="shared" si="11"/>
        <v>2.0899999999999998E-2</v>
      </c>
      <c r="Q77" s="434">
        <f t="shared" si="12"/>
        <v>1.9400000000000001E-2</v>
      </c>
      <c r="R77" s="434">
        <f t="shared" si="13"/>
        <v>1.78E-2</v>
      </c>
      <c r="S77" s="434">
        <f t="shared" si="14"/>
        <v>1.6299999999999999E-2</v>
      </c>
      <c r="T77" s="438">
        <f t="shared" si="15"/>
        <v>1.4800000000000001E-2</v>
      </c>
    </row>
    <row r="78" spans="1:20">
      <c r="A78" s="60" t="s">
        <v>171</v>
      </c>
      <c r="B78" s="72" t="s">
        <v>58</v>
      </c>
      <c r="C78" s="308">
        <v>0.06</v>
      </c>
      <c r="D78" s="309">
        <v>0.53280000000000005</v>
      </c>
      <c r="E78" s="310">
        <v>0.65</v>
      </c>
      <c r="F78" s="310">
        <v>0.68</v>
      </c>
      <c r="G78" s="341">
        <v>2016</v>
      </c>
      <c r="H78" s="342" t="str">
        <f t="shared" si="7"/>
        <v>£m 12/13</v>
      </c>
      <c r="I78" s="342" t="s">
        <v>269</v>
      </c>
      <c r="J78" s="426" t="s">
        <v>475</v>
      </c>
      <c r="K78" s="557"/>
      <c r="L78" s="558"/>
      <c r="M78" s="434">
        <f t="shared" si="8"/>
        <v>2.5499999999999998E-2</v>
      </c>
      <c r="N78" s="434">
        <f t="shared" si="9"/>
        <v>2.4199999999999999E-2</v>
      </c>
      <c r="O78" s="434">
        <f t="shared" si="10"/>
        <v>2.29E-2</v>
      </c>
      <c r="P78" s="434">
        <f t="shared" si="11"/>
        <v>2.0899999999999998E-2</v>
      </c>
      <c r="Q78" s="434">
        <f t="shared" si="12"/>
        <v>1.9400000000000001E-2</v>
      </c>
      <c r="R78" s="434">
        <f t="shared" si="13"/>
        <v>1.78E-2</v>
      </c>
      <c r="S78" s="434">
        <f t="shared" si="14"/>
        <v>1.6299999999999999E-2</v>
      </c>
      <c r="T78" s="438">
        <f t="shared" si="15"/>
        <v>1.4800000000000001E-2</v>
      </c>
    </row>
    <row r="79" spans="1:20">
      <c r="A79" s="60" t="s">
        <v>171</v>
      </c>
      <c r="B79" s="72" t="s">
        <v>45</v>
      </c>
      <c r="C79" s="308">
        <v>0.06</v>
      </c>
      <c r="D79" s="309">
        <v>0.53500000000000003</v>
      </c>
      <c r="E79" s="310">
        <v>0.65</v>
      </c>
      <c r="F79" s="310">
        <v>0.8</v>
      </c>
      <c r="G79" s="341">
        <v>2016</v>
      </c>
      <c r="H79" s="342" t="str">
        <f t="shared" si="7"/>
        <v>£m 12/13</v>
      </c>
      <c r="I79" s="342" t="s">
        <v>269</v>
      </c>
      <c r="J79" s="426" t="s">
        <v>475</v>
      </c>
      <c r="K79" s="557"/>
      <c r="L79" s="558"/>
      <c r="M79" s="434">
        <f t="shared" si="8"/>
        <v>2.5499999999999998E-2</v>
      </c>
      <c r="N79" s="434">
        <f t="shared" si="9"/>
        <v>2.4199999999999999E-2</v>
      </c>
      <c r="O79" s="434">
        <f t="shared" si="10"/>
        <v>2.29E-2</v>
      </c>
      <c r="P79" s="434">
        <f t="shared" si="11"/>
        <v>2.0899999999999998E-2</v>
      </c>
      <c r="Q79" s="434">
        <f t="shared" si="12"/>
        <v>1.9400000000000001E-2</v>
      </c>
      <c r="R79" s="434">
        <f t="shared" si="13"/>
        <v>1.78E-2</v>
      </c>
      <c r="S79" s="434">
        <f t="shared" si="14"/>
        <v>1.6299999999999999E-2</v>
      </c>
      <c r="T79" s="438">
        <f t="shared" si="15"/>
        <v>1.4800000000000001E-2</v>
      </c>
    </row>
    <row r="80" spans="1:20">
      <c r="A80" s="60" t="s">
        <v>171</v>
      </c>
      <c r="B80" s="72" t="s">
        <v>46</v>
      </c>
      <c r="C80" s="308">
        <v>0.06</v>
      </c>
      <c r="D80" s="309">
        <v>0.53500000000000003</v>
      </c>
      <c r="E80" s="310">
        <v>0.65</v>
      </c>
      <c r="F80" s="310">
        <v>0.8</v>
      </c>
      <c r="G80" s="341">
        <v>2016</v>
      </c>
      <c r="H80" s="342" t="str">
        <f t="shared" si="7"/>
        <v>£m 12/13</v>
      </c>
      <c r="I80" s="342" t="s">
        <v>269</v>
      </c>
      <c r="J80" s="426" t="s">
        <v>475</v>
      </c>
      <c r="K80" s="557"/>
      <c r="L80" s="558"/>
      <c r="M80" s="434">
        <f t="shared" si="8"/>
        <v>2.5499999999999998E-2</v>
      </c>
      <c r="N80" s="434">
        <f t="shared" si="9"/>
        <v>2.4199999999999999E-2</v>
      </c>
      <c r="O80" s="434">
        <f t="shared" si="10"/>
        <v>2.29E-2</v>
      </c>
      <c r="P80" s="434">
        <f t="shared" si="11"/>
        <v>2.0899999999999998E-2</v>
      </c>
      <c r="Q80" s="434">
        <f t="shared" si="12"/>
        <v>1.9400000000000001E-2</v>
      </c>
      <c r="R80" s="434">
        <f t="shared" si="13"/>
        <v>1.78E-2</v>
      </c>
      <c r="S80" s="434">
        <f t="shared" si="14"/>
        <v>1.6299999999999999E-2</v>
      </c>
      <c r="T80" s="438">
        <f t="shared" si="15"/>
        <v>1.4800000000000001E-2</v>
      </c>
    </row>
    <row r="81" spans="1:20">
      <c r="A81" s="60" t="s">
        <v>171</v>
      </c>
      <c r="B81" s="72" t="s">
        <v>47</v>
      </c>
      <c r="C81" s="308">
        <v>0.06</v>
      </c>
      <c r="D81" s="309">
        <v>0.56469999999999998</v>
      </c>
      <c r="E81" s="310">
        <v>0.65</v>
      </c>
      <c r="F81" s="310">
        <v>0.62</v>
      </c>
      <c r="G81" s="341">
        <v>2016</v>
      </c>
      <c r="H81" s="342" t="str">
        <f t="shared" si="7"/>
        <v>£m 12/13</v>
      </c>
      <c r="I81" s="342" t="s">
        <v>269</v>
      </c>
      <c r="J81" s="426" t="s">
        <v>475</v>
      </c>
      <c r="K81" s="557"/>
      <c r="L81" s="558"/>
      <c r="M81" s="434">
        <f t="shared" si="8"/>
        <v>2.5499999999999998E-2</v>
      </c>
      <c r="N81" s="434">
        <f t="shared" si="9"/>
        <v>2.4199999999999999E-2</v>
      </c>
      <c r="O81" s="434">
        <f t="shared" si="10"/>
        <v>2.29E-2</v>
      </c>
      <c r="P81" s="434">
        <f t="shared" si="11"/>
        <v>2.0899999999999998E-2</v>
      </c>
      <c r="Q81" s="434">
        <f t="shared" si="12"/>
        <v>1.9400000000000001E-2</v>
      </c>
      <c r="R81" s="434">
        <f t="shared" si="13"/>
        <v>1.78E-2</v>
      </c>
      <c r="S81" s="434">
        <f t="shared" si="14"/>
        <v>1.6299999999999999E-2</v>
      </c>
      <c r="T81" s="438">
        <f t="shared" si="15"/>
        <v>1.4800000000000001E-2</v>
      </c>
    </row>
    <row r="82" spans="1:20">
      <c r="A82" s="60" t="s">
        <v>171</v>
      </c>
      <c r="B82" s="72" t="s">
        <v>48</v>
      </c>
      <c r="C82" s="308">
        <v>0.06</v>
      </c>
      <c r="D82" s="309">
        <v>0.56469999999999998</v>
      </c>
      <c r="E82" s="310">
        <v>0.65</v>
      </c>
      <c r="F82" s="310">
        <v>0.7</v>
      </c>
      <c r="G82" s="341">
        <v>2016</v>
      </c>
      <c r="H82" s="342" t="str">
        <f t="shared" si="7"/>
        <v>£m 12/13</v>
      </c>
      <c r="I82" s="342" t="s">
        <v>269</v>
      </c>
      <c r="J82" s="426" t="s">
        <v>475</v>
      </c>
      <c r="K82" s="557"/>
      <c r="L82" s="558"/>
      <c r="M82" s="434">
        <f t="shared" si="8"/>
        <v>2.5499999999999998E-2</v>
      </c>
      <c r="N82" s="434">
        <f t="shared" si="9"/>
        <v>2.4199999999999999E-2</v>
      </c>
      <c r="O82" s="434">
        <f t="shared" si="10"/>
        <v>2.29E-2</v>
      </c>
      <c r="P82" s="434">
        <f t="shared" si="11"/>
        <v>2.0899999999999998E-2</v>
      </c>
      <c r="Q82" s="434">
        <f t="shared" si="12"/>
        <v>1.9400000000000001E-2</v>
      </c>
      <c r="R82" s="434">
        <f t="shared" si="13"/>
        <v>1.78E-2</v>
      </c>
      <c r="S82" s="434">
        <f t="shared" si="14"/>
        <v>1.6299999999999999E-2</v>
      </c>
      <c r="T82" s="438">
        <f t="shared" si="15"/>
        <v>1.4800000000000001E-2</v>
      </c>
    </row>
    <row r="83" spans="1:20">
      <c r="A83" s="60" t="s">
        <v>171</v>
      </c>
      <c r="B83" s="72" t="s">
        <v>245</v>
      </c>
      <c r="C83" s="308">
        <v>6.4000000000000001E-2</v>
      </c>
      <c r="D83" s="309">
        <v>0.7</v>
      </c>
      <c r="E83" s="310">
        <v>0.65</v>
      </c>
      <c r="F83" s="310">
        <v>0.8</v>
      </c>
      <c r="G83" s="341">
        <v>2016</v>
      </c>
      <c r="H83" s="342" t="str">
        <f t="shared" si="7"/>
        <v>£m 12/13</v>
      </c>
      <c r="I83" s="342" t="s">
        <v>270</v>
      </c>
      <c r="J83" s="426" t="s">
        <v>476</v>
      </c>
      <c r="K83" s="557"/>
      <c r="L83" s="558"/>
      <c r="M83" s="434">
        <f t="shared" ref="M83:T86" si="16">E$63</f>
        <v>2.5499999999999998E-2</v>
      </c>
      <c r="N83" s="434">
        <f t="shared" si="16"/>
        <v>2.3799999999999998E-2</v>
      </c>
      <c r="O83" s="434">
        <f t="shared" si="16"/>
        <v>2.2200000000000001E-2</v>
      </c>
      <c r="P83" s="434">
        <f t="shared" si="16"/>
        <v>1.9099999999999999E-2</v>
      </c>
      <c r="Q83" s="434">
        <f t="shared" si="16"/>
        <v>1.5800000000000002E-2</v>
      </c>
      <c r="R83" s="434">
        <f t="shared" si="16"/>
        <v>1.09E-2</v>
      </c>
      <c r="S83" s="434">
        <f t="shared" si="16"/>
        <v>1.09E-2</v>
      </c>
      <c r="T83" s="438">
        <f t="shared" si="16"/>
        <v>1.09E-2</v>
      </c>
    </row>
    <row r="84" spans="1:20">
      <c r="A84" s="60" t="s">
        <v>171</v>
      </c>
      <c r="B84" s="72" t="s">
        <v>246</v>
      </c>
      <c r="C84" s="308">
        <v>6.4000000000000001E-2</v>
      </c>
      <c r="D84" s="309">
        <v>0.7</v>
      </c>
      <c r="E84" s="310">
        <v>0.65</v>
      </c>
      <c r="F84" s="310">
        <v>0.8</v>
      </c>
      <c r="G84" s="341">
        <v>2016</v>
      </c>
      <c r="H84" s="342" t="str">
        <f t="shared" si="7"/>
        <v>£m 12/13</v>
      </c>
      <c r="I84" s="342" t="s">
        <v>270</v>
      </c>
      <c r="J84" s="426" t="s">
        <v>476</v>
      </c>
      <c r="K84" s="557"/>
      <c r="L84" s="558"/>
      <c r="M84" s="434">
        <f t="shared" si="16"/>
        <v>2.5499999999999998E-2</v>
      </c>
      <c r="N84" s="434">
        <f t="shared" si="16"/>
        <v>2.3799999999999998E-2</v>
      </c>
      <c r="O84" s="434">
        <f t="shared" si="16"/>
        <v>2.2200000000000001E-2</v>
      </c>
      <c r="P84" s="434">
        <f t="shared" si="16"/>
        <v>1.9099999999999999E-2</v>
      </c>
      <c r="Q84" s="434">
        <f t="shared" si="16"/>
        <v>1.5800000000000002E-2</v>
      </c>
      <c r="R84" s="434">
        <f t="shared" si="16"/>
        <v>1.09E-2</v>
      </c>
      <c r="S84" s="434">
        <f t="shared" si="16"/>
        <v>1.09E-2</v>
      </c>
      <c r="T84" s="438">
        <f t="shared" si="16"/>
        <v>1.09E-2</v>
      </c>
    </row>
    <row r="85" spans="1:20">
      <c r="A85" s="60" t="s">
        <v>171</v>
      </c>
      <c r="B85" s="72" t="s">
        <v>247</v>
      </c>
      <c r="C85" s="308">
        <v>6.4000000000000001E-2</v>
      </c>
      <c r="D85" s="309">
        <v>0.7</v>
      </c>
      <c r="E85" s="310">
        <v>0.65</v>
      </c>
      <c r="F85" s="310">
        <v>0.8</v>
      </c>
      <c r="G85" s="341">
        <v>2016</v>
      </c>
      <c r="H85" s="342" t="str">
        <f t="shared" si="7"/>
        <v>£m 12/13</v>
      </c>
      <c r="I85" s="342" t="s">
        <v>270</v>
      </c>
      <c r="J85" s="426" t="s">
        <v>476</v>
      </c>
      <c r="K85" s="557"/>
      <c r="L85" s="558"/>
      <c r="M85" s="434">
        <f t="shared" si="16"/>
        <v>2.5499999999999998E-2</v>
      </c>
      <c r="N85" s="434">
        <f t="shared" si="16"/>
        <v>2.3799999999999998E-2</v>
      </c>
      <c r="O85" s="434">
        <f t="shared" si="16"/>
        <v>2.2200000000000001E-2</v>
      </c>
      <c r="P85" s="434">
        <f t="shared" si="16"/>
        <v>1.9099999999999999E-2</v>
      </c>
      <c r="Q85" s="434">
        <f t="shared" si="16"/>
        <v>1.5800000000000002E-2</v>
      </c>
      <c r="R85" s="434">
        <f t="shared" si="16"/>
        <v>1.09E-2</v>
      </c>
      <c r="S85" s="434">
        <f t="shared" si="16"/>
        <v>1.09E-2</v>
      </c>
      <c r="T85" s="438">
        <f t="shared" si="16"/>
        <v>1.09E-2</v>
      </c>
    </row>
    <row r="86" spans="1:20">
      <c r="A86" s="60" t="s">
        <v>171</v>
      </c>
      <c r="B86" s="72" t="s">
        <v>248</v>
      </c>
      <c r="C86" s="308">
        <v>6.4000000000000001E-2</v>
      </c>
      <c r="D86" s="309">
        <v>0.7</v>
      </c>
      <c r="E86" s="310">
        <v>0.65</v>
      </c>
      <c r="F86" s="310">
        <v>0.8</v>
      </c>
      <c r="G86" s="341">
        <v>2016</v>
      </c>
      <c r="H86" s="342" t="str">
        <f t="shared" si="7"/>
        <v>£m 12/13</v>
      </c>
      <c r="I86" s="342" t="s">
        <v>270</v>
      </c>
      <c r="J86" s="426" t="s">
        <v>476</v>
      </c>
      <c r="K86" s="557"/>
      <c r="L86" s="558"/>
      <c r="M86" s="434">
        <f t="shared" si="16"/>
        <v>2.5499999999999998E-2</v>
      </c>
      <c r="N86" s="434">
        <f t="shared" si="16"/>
        <v>2.3799999999999998E-2</v>
      </c>
      <c r="O86" s="434">
        <f t="shared" si="16"/>
        <v>2.2200000000000001E-2</v>
      </c>
      <c r="P86" s="434">
        <f t="shared" si="16"/>
        <v>1.9099999999999999E-2</v>
      </c>
      <c r="Q86" s="434">
        <f t="shared" si="16"/>
        <v>1.5800000000000002E-2</v>
      </c>
      <c r="R86" s="434">
        <f t="shared" si="16"/>
        <v>1.09E-2</v>
      </c>
      <c r="S86" s="434">
        <f t="shared" si="16"/>
        <v>1.09E-2</v>
      </c>
      <c r="T86" s="438">
        <f t="shared" si="16"/>
        <v>1.09E-2</v>
      </c>
    </row>
    <row r="87" spans="1:20">
      <c r="A87" s="60" t="s">
        <v>172</v>
      </c>
      <c r="B87" s="72" t="s">
        <v>53</v>
      </c>
      <c r="C87" s="308">
        <v>6.7000000000000004E-2</v>
      </c>
      <c r="D87" s="309">
        <v>0.63039999999999996</v>
      </c>
      <c r="E87" s="310">
        <v>0.65</v>
      </c>
      <c r="F87" s="310">
        <v>0.26634501855794862</v>
      </c>
      <c r="G87" s="341">
        <v>2014</v>
      </c>
      <c r="H87" s="342" t="str">
        <f t="shared" si="7"/>
        <v>£m 09/10</v>
      </c>
      <c r="I87" s="342" t="s">
        <v>269</v>
      </c>
      <c r="J87" s="426" t="s">
        <v>476</v>
      </c>
      <c r="K87" s="436">
        <f t="shared" ref="K87:R94" si="17">C$67</f>
        <v>2.92E-2</v>
      </c>
      <c r="L87" s="434">
        <f t="shared" si="17"/>
        <v>2.7199999999999998E-2</v>
      </c>
      <c r="M87" s="434">
        <f t="shared" si="17"/>
        <v>2.5499999999999998E-2</v>
      </c>
      <c r="N87" s="434">
        <f t="shared" si="17"/>
        <v>2.3800000000000002E-2</v>
      </c>
      <c r="O87" s="434">
        <f t="shared" si="17"/>
        <v>2.2200000000000001E-2</v>
      </c>
      <c r="P87" s="434">
        <f t="shared" si="17"/>
        <v>1.9099999999999999E-2</v>
      </c>
      <c r="Q87" s="434">
        <f t="shared" si="17"/>
        <v>1.5800000000000002E-2</v>
      </c>
      <c r="R87" s="434">
        <f t="shared" si="17"/>
        <v>1.5800000000000002E-2</v>
      </c>
      <c r="S87" s="558"/>
      <c r="T87" s="559"/>
    </row>
    <row r="88" spans="1:20">
      <c r="A88" s="60" t="s">
        <v>172</v>
      </c>
      <c r="B88" s="72" t="s">
        <v>54</v>
      </c>
      <c r="C88" s="308">
        <v>6.7000000000000004E-2</v>
      </c>
      <c r="D88" s="309">
        <v>0.63039999999999996</v>
      </c>
      <c r="E88" s="310">
        <v>0.65</v>
      </c>
      <c r="F88" s="310">
        <v>0.23469337831705597</v>
      </c>
      <c r="G88" s="341">
        <v>2014</v>
      </c>
      <c r="H88" s="342" t="str">
        <f t="shared" si="7"/>
        <v>£m 09/10</v>
      </c>
      <c r="I88" s="342" t="s">
        <v>269</v>
      </c>
      <c r="J88" s="426" t="s">
        <v>476</v>
      </c>
      <c r="K88" s="436">
        <f t="shared" si="17"/>
        <v>2.92E-2</v>
      </c>
      <c r="L88" s="434">
        <f t="shared" si="17"/>
        <v>2.7199999999999998E-2</v>
      </c>
      <c r="M88" s="434">
        <f t="shared" si="17"/>
        <v>2.5499999999999998E-2</v>
      </c>
      <c r="N88" s="434">
        <f t="shared" si="17"/>
        <v>2.3800000000000002E-2</v>
      </c>
      <c r="O88" s="434">
        <f t="shared" si="17"/>
        <v>2.2200000000000001E-2</v>
      </c>
      <c r="P88" s="434">
        <f t="shared" si="17"/>
        <v>1.9099999999999999E-2</v>
      </c>
      <c r="Q88" s="434">
        <f t="shared" si="17"/>
        <v>1.5800000000000002E-2</v>
      </c>
      <c r="R88" s="434">
        <f t="shared" si="17"/>
        <v>1.5800000000000002E-2</v>
      </c>
      <c r="S88" s="558"/>
      <c r="T88" s="559"/>
    </row>
    <row r="89" spans="1:20">
      <c r="A89" s="60" t="s">
        <v>172</v>
      </c>
      <c r="B89" s="72" t="s">
        <v>55</v>
      </c>
      <c r="C89" s="308">
        <v>6.7000000000000004E-2</v>
      </c>
      <c r="D89" s="309">
        <v>0.63039999999999996</v>
      </c>
      <c r="E89" s="310">
        <v>0.65</v>
      </c>
      <c r="F89" s="310">
        <v>0.24946223864843597</v>
      </c>
      <c r="G89" s="341">
        <v>2014</v>
      </c>
      <c r="H89" s="342" t="str">
        <f t="shared" si="7"/>
        <v>£m 09/10</v>
      </c>
      <c r="I89" s="342" t="s">
        <v>269</v>
      </c>
      <c r="J89" s="426" t="s">
        <v>476</v>
      </c>
      <c r="K89" s="436">
        <f t="shared" si="17"/>
        <v>2.92E-2</v>
      </c>
      <c r="L89" s="434">
        <f t="shared" si="17"/>
        <v>2.7199999999999998E-2</v>
      </c>
      <c r="M89" s="434">
        <f t="shared" si="17"/>
        <v>2.5499999999999998E-2</v>
      </c>
      <c r="N89" s="434">
        <f t="shared" si="17"/>
        <v>2.3800000000000002E-2</v>
      </c>
      <c r="O89" s="434">
        <f t="shared" si="17"/>
        <v>2.2200000000000001E-2</v>
      </c>
      <c r="P89" s="434">
        <f t="shared" si="17"/>
        <v>1.9099999999999999E-2</v>
      </c>
      <c r="Q89" s="434">
        <f t="shared" si="17"/>
        <v>1.5800000000000002E-2</v>
      </c>
      <c r="R89" s="434">
        <f t="shared" si="17"/>
        <v>1.5800000000000002E-2</v>
      </c>
      <c r="S89" s="558"/>
      <c r="T89" s="559"/>
    </row>
    <row r="90" spans="1:20">
      <c r="A90" s="60" t="s">
        <v>172</v>
      </c>
      <c r="B90" s="72" t="s">
        <v>56</v>
      </c>
      <c r="C90" s="308">
        <v>6.7000000000000004E-2</v>
      </c>
      <c r="D90" s="309">
        <v>0.63039999999999996</v>
      </c>
      <c r="E90" s="310">
        <v>0.65</v>
      </c>
      <c r="F90" s="310">
        <v>0.26095352485819256</v>
      </c>
      <c r="G90" s="341">
        <v>2014</v>
      </c>
      <c r="H90" s="342" t="str">
        <f t="shared" si="7"/>
        <v>£m 09/10</v>
      </c>
      <c r="I90" s="342" t="s">
        <v>269</v>
      </c>
      <c r="J90" s="426" t="s">
        <v>476</v>
      </c>
      <c r="K90" s="436">
        <f t="shared" si="17"/>
        <v>2.92E-2</v>
      </c>
      <c r="L90" s="434">
        <f t="shared" si="17"/>
        <v>2.7199999999999998E-2</v>
      </c>
      <c r="M90" s="434">
        <f t="shared" si="17"/>
        <v>2.5499999999999998E-2</v>
      </c>
      <c r="N90" s="434">
        <f t="shared" si="17"/>
        <v>2.3800000000000002E-2</v>
      </c>
      <c r="O90" s="434">
        <f t="shared" si="17"/>
        <v>2.2200000000000001E-2</v>
      </c>
      <c r="P90" s="434">
        <f t="shared" si="17"/>
        <v>1.9099999999999999E-2</v>
      </c>
      <c r="Q90" s="434">
        <f t="shared" si="17"/>
        <v>1.5800000000000002E-2</v>
      </c>
      <c r="R90" s="434">
        <f t="shared" si="17"/>
        <v>1.5800000000000002E-2</v>
      </c>
      <c r="S90" s="558"/>
      <c r="T90" s="559"/>
    </row>
    <row r="91" spans="1:20">
      <c r="A91" s="60" t="s">
        <v>172</v>
      </c>
      <c r="B91" s="72" t="s">
        <v>50</v>
      </c>
      <c r="C91" s="308">
        <v>6.7000000000000004E-2</v>
      </c>
      <c r="D91" s="309">
        <v>0.63980000000000004</v>
      </c>
      <c r="E91" s="310">
        <v>0.65</v>
      </c>
      <c r="F91" s="310">
        <v>0.34984411379298247</v>
      </c>
      <c r="G91" s="341">
        <v>2014</v>
      </c>
      <c r="H91" s="342" t="str">
        <f t="shared" si="7"/>
        <v>£m 09/10</v>
      </c>
      <c r="I91" s="342" t="s">
        <v>269</v>
      </c>
      <c r="J91" s="426" t="s">
        <v>476</v>
      </c>
      <c r="K91" s="436">
        <f t="shared" si="17"/>
        <v>2.92E-2</v>
      </c>
      <c r="L91" s="434">
        <f t="shared" si="17"/>
        <v>2.7199999999999998E-2</v>
      </c>
      <c r="M91" s="434">
        <f t="shared" si="17"/>
        <v>2.5499999999999998E-2</v>
      </c>
      <c r="N91" s="434">
        <f t="shared" si="17"/>
        <v>2.3800000000000002E-2</v>
      </c>
      <c r="O91" s="434">
        <f t="shared" si="17"/>
        <v>2.2200000000000001E-2</v>
      </c>
      <c r="P91" s="434">
        <f t="shared" si="17"/>
        <v>1.9099999999999999E-2</v>
      </c>
      <c r="Q91" s="434">
        <f t="shared" si="17"/>
        <v>1.5800000000000002E-2</v>
      </c>
      <c r="R91" s="434">
        <f t="shared" si="17"/>
        <v>1.5800000000000002E-2</v>
      </c>
      <c r="S91" s="558"/>
      <c r="T91" s="559"/>
    </row>
    <row r="92" spans="1:20">
      <c r="A92" s="60" t="s">
        <v>172</v>
      </c>
      <c r="B92" s="72" t="s">
        <v>52</v>
      </c>
      <c r="C92" s="308">
        <v>6.7000000000000004E-2</v>
      </c>
      <c r="D92" s="309">
        <v>0.63729999999999998</v>
      </c>
      <c r="E92" s="310">
        <v>0.65</v>
      </c>
      <c r="F92" s="310">
        <v>0.35129049661183626</v>
      </c>
      <c r="G92" s="341">
        <v>2014</v>
      </c>
      <c r="H92" s="342" t="str">
        <f t="shared" si="7"/>
        <v>£m 09/10</v>
      </c>
      <c r="I92" s="342" t="s">
        <v>269</v>
      </c>
      <c r="J92" s="426" t="s">
        <v>476</v>
      </c>
      <c r="K92" s="436">
        <f t="shared" si="17"/>
        <v>2.92E-2</v>
      </c>
      <c r="L92" s="434">
        <f t="shared" si="17"/>
        <v>2.7199999999999998E-2</v>
      </c>
      <c r="M92" s="434">
        <f t="shared" si="17"/>
        <v>2.5499999999999998E-2</v>
      </c>
      <c r="N92" s="434">
        <f t="shared" si="17"/>
        <v>2.3800000000000002E-2</v>
      </c>
      <c r="O92" s="434">
        <f t="shared" si="17"/>
        <v>2.2200000000000001E-2</v>
      </c>
      <c r="P92" s="434">
        <f t="shared" si="17"/>
        <v>1.9099999999999999E-2</v>
      </c>
      <c r="Q92" s="434">
        <f t="shared" si="17"/>
        <v>1.5800000000000002E-2</v>
      </c>
      <c r="R92" s="434">
        <f t="shared" si="17"/>
        <v>1.5800000000000002E-2</v>
      </c>
      <c r="S92" s="558"/>
      <c r="T92" s="559"/>
    </row>
    <row r="93" spans="1:20">
      <c r="A93" s="60" t="s">
        <v>172</v>
      </c>
      <c r="B93" s="72" t="s">
        <v>51</v>
      </c>
      <c r="C93" s="308">
        <v>6.7000000000000004E-2</v>
      </c>
      <c r="D93" s="309">
        <v>0.63729999999999998</v>
      </c>
      <c r="E93" s="310">
        <v>0.65</v>
      </c>
      <c r="F93" s="310">
        <v>0.32230855902021693</v>
      </c>
      <c r="G93" s="341">
        <v>2014</v>
      </c>
      <c r="H93" s="342" t="str">
        <f t="shared" si="7"/>
        <v>£m 09/10</v>
      </c>
      <c r="I93" s="342" t="s">
        <v>269</v>
      </c>
      <c r="J93" s="426" t="s">
        <v>476</v>
      </c>
      <c r="K93" s="436">
        <f t="shared" si="17"/>
        <v>2.92E-2</v>
      </c>
      <c r="L93" s="434">
        <f t="shared" si="17"/>
        <v>2.7199999999999998E-2</v>
      </c>
      <c r="M93" s="434">
        <f t="shared" si="17"/>
        <v>2.5499999999999998E-2</v>
      </c>
      <c r="N93" s="434">
        <f t="shared" si="17"/>
        <v>2.3800000000000002E-2</v>
      </c>
      <c r="O93" s="434">
        <f t="shared" si="17"/>
        <v>2.2200000000000001E-2</v>
      </c>
      <c r="P93" s="434">
        <f t="shared" si="17"/>
        <v>1.9099999999999999E-2</v>
      </c>
      <c r="Q93" s="434">
        <f t="shared" si="17"/>
        <v>1.5800000000000002E-2</v>
      </c>
      <c r="R93" s="434">
        <f t="shared" si="17"/>
        <v>1.5800000000000002E-2</v>
      </c>
      <c r="S93" s="558"/>
      <c r="T93" s="559"/>
    </row>
    <row r="94" spans="1:20">
      <c r="A94" s="60" t="s">
        <v>172</v>
      </c>
      <c r="B94" s="72" t="s">
        <v>49</v>
      </c>
      <c r="C94" s="308">
        <v>6.7000000000000004E-2</v>
      </c>
      <c r="D94" s="309">
        <v>0.63170000000000004</v>
      </c>
      <c r="E94" s="310">
        <v>0.65</v>
      </c>
      <c r="F94" s="310">
        <v>0.35781904469402892</v>
      </c>
      <c r="G94" s="341">
        <v>2014</v>
      </c>
      <c r="H94" s="342" t="str">
        <f t="shared" si="7"/>
        <v>£m 09/10</v>
      </c>
      <c r="I94" s="342" t="s">
        <v>269</v>
      </c>
      <c r="J94" s="426" t="s">
        <v>476</v>
      </c>
      <c r="K94" s="436">
        <f t="shared" si="17"/>
        <v>2.92E-2</v>
      </c>
      <c r="L94" s="434">
        <f t="shared" si="17"/>
        <v>2.7199999999999998E-2</v>
      </c>
      <c r="M94" s="434">
        <f t="shared" si="17"/>
        <v>2.5499999999999998E-2</v>
      </c>
      <c r="N94" s="434">
        <f t="shared" si="17"/>
        <v>2.3800000000000002E-2</v>
      </c>
      <c r="O94" s="434">
        <f t="shared" si="17"/>
        <v>2.2200000000000001E-2</v>
      </c>
      <c r="P94" s="434">
        <f t="shared" si="17"/>
        <v>1.9099999999999999E-2</v>
      </c>
      <c r="Q94" s="434">
        <f t="shared" si="17"/>
        <v>1.5800000000000002E-2</v>
      </c>
      <c r="R94" s="434">
        <f t="shared" si="17"/>
        <v>1.5800000000000002E-2</v>
      </c>
      <c r="S94" s="558"/>
      <c r="T94" s="559"/>
    </row>
    <row r="95" spans="1:20">
      <c r="A95" s="60" t="s">
        <v>174</v>
      </c>
      <c r="B95" s="72" t="s">
        <v>113</v>
      </c>
      <c r="C95" s="308">
        <v>6.8000000000000005E-2</v>
      </c>
      <c r="D95" s="309">
        <v>0.44359999999999999</v>
      </c>
      <c r="E95" s="310">
        <v>0.625</v>
      </c>
      <c r="F95" s="310">
        <v>0.64400000000000002</v>
      </c>
      <c r="G95" s="341">
        <v>2014</v>
      </c>
      <c r="H95" s="342" t="str">
        <f t="shared" si="7"/>
        <v>£m 09/10</v>
      </c>
      <c r="I95" s="342" t="s">
        <v>269</v>
      </c>
      <c r="J95" s="426" t="s">
        <v>476</v>
      </c>
      <c r="K95" s="436">
        <f t="shared" ref="K95:R96" si="18">C$68</f>
        <v>2.92E-2</v>
      </c>
      <c r="L95" s="434">
        <f t="shared" si="18"/>
        <v>2.7199999999999998E-2</v>
      </c>
      <c r="M95" s="434">
        <f t="shared" si="18"/>
        <v>2.5499999999999998E-2</v>
      </c>
      <c r="N95" s="434">
        <f t="shared" si="18"/>
        <v>2.3800000000000002E-2</v>
      </c>
      <c r="O95" s="434">
        <f t="shared" si="18"/>
        <v>2.2200000000000001E-2</v>
      </c>
      <c r="P95" s="434">
        <f t="shared" si="18"/>
        <v>1.9099999999999999E-2</v>
      </c>
      <c r="Q95" s="434">
        <f t="shared" si="18"/>
        <v>1.5800000000000002E-2</v>
      </c>
      <c r="R95" s="434">
        <f t="shared" si="18"/>
        <v>1.5800000000000002E-2</v>
      </c>
      <c r="S95" s="558"/>
      <c r="T95" s="559"/>
    </row>
    <row r="96" spans="1:20">
      <c r="A96" s="60" t="s">
        <v>174</v>
      </c>
      <c r="B96" s="72" t="s">
        <v>114</v>
      </c>
      <c r="C96" s="308">
        <v>6.8000000000000005E-2</v>
      </c>
      <c r="D96" s="309">
        <v>0.44359999999999999</v>
      </c>
      <c r="E96" s="310">
        <v>0.625</v>
      </c>
      <c r="F96" s="310">
        <v>0.374</v>
      </c>
      <c r="G96" s="341">
        <v>2014</v>
      </c>
      <c r="H96" s="342" t="str">
        <f t="shared" si="7"/>
        <v>£m 09/10</v>
      </c>
      <c r="I96" s="342" t="s">
        <v>269</v>
      </c>
      <c r="J96" s="426" t="s">
        <v>476</v>
      </c>
      <c r="K96" s="436">
        <f t="shared" si="18"/>
        <v>2.92E-2</v>
      </c>
      <c r="L96" s="434">
        <f t="shared" si="18"/>
        <v>2.7199999999999998E-2</v>
      </c>
      <c r="M96" s="434">
        <f t="shared" si="18"/>
        <v>2.5499999999999998E-2</v>
      </c>
      <c r="N96" s="434">
        <f t="shared" si="18"/>
        <v>2.3800000000000002E-2</v>
      </c>
      <c r="O96" s="434">
        <f t="shared" si="18"/>
        <v>2.2200000000000001E-2</v>
      </c>
      <c r="P96" s="434">
        <f t="shared" si="18"/>
        <v>1.9099999999999999E-2</v>
      </c>
      <c r="Q96" s="434">
        <f t="shared" si="18"/>
        <v>1.5800000000000002E-2</v>
      </c>
      <c r="R96" s="434">
        <f t="shared" si="18"/>
        <v>1.5800000000000002E-2</v>
      </c>
      <c r="S96" s="558"/>
      <c r="T96" s="559"/>
    </row>
    <row r="97" spans="1:20">
      <c r="A97" s="60" t="s">
        <v>173</v>
      </c>
      <c r="B97" s="72" t="s">
        <v>111</v>
      </c>
      <c r="C97" s="308">
        <v>7.0000000000000007E-2</v>
      </c>
      <c r="D97" s="309">
        <v>0.46889999999999998</v>
      </c>
      <c r="E97" s="310">
        <v>0.6</v>
      </c>
      <c r="F97" s="310">
        <v>0.85</v>
      </c>
      <c r="G97" s="341">
        <v>2014</v>
      </c>
      <c r="H97" s="342" t="str">
        <f t="shared" si="7"/>
        <v>£m 09/10</v>
      </c>
      <c r="I97" s="342" t="s">
        <v>269</v>
      </c>
      <c r="J97" s="426" t="s">
        <v>476</v>
      </c>
      <c r="K97" s="436">
        <f t="shared" ref="K97:R99" si="19">C$66</f>
        <v>2.92E-2</v>
      </c>
      <c r="L97" s="434">
        <f t="shared" si="19"/>
        <v>2.7199999999999998E-2</v>
      </c>
      <c r="M97" s="434">
        <f t="shared" si="19"/>
        <v>2.5499999999999998E-2</v>
      </c>
      <c r="N97" s="434">
        <f t="shared" si="19"/>
        <v>2.3800000000000002E-2</v>
      </c>
      <c r="O97" s="434">
        <f t="shared" si="19"/>
        <v>2.2200000000000001E-2</v>
      </c>
      <c r="P97" s="434">
        <f t="shared" si="19"/>
        <v>1.9099999999999999E-2</v>
      </c>
      <c r="Q97" s="434">
        <f t="shared" si="19"/>
        <v>1.5800000000000002E-2</v>
      </c>
      <c r="R97" s="434">
        <f t="shared" si="19"/>
        <v>1.01E-2</v>
      </c>
      <c r="S97" s="558"/>
      <c r="T97" s="559"/>
    </row>
    <row r="98" spans="1:20">
      <c r="A98" s="60" t="s">
        <v>173</v>
      </c>
      <c r="B98" s="72" t="s">
        <v>112</v>
      </c>
      <c r="C98" s="308">
        <v>7.0000000000000007E-2</v>
      </c>
      <c r="D98" s="309">
        <v>0.46889999999999998</v>
      </c>
      <c r="E98" s="310">
        <v>0.6</v>
      </c>
      <c r="F98" s="310">
        <v>0.27900000000000003</v>
      </c>
      <c r="G98" s="327">
        <v>2014</v>
      </c>
      <c r="H98" s="328" t="str">
        <f>VLOOKUP($A98,$E$54:$F$57,2,FALSE)</f>
        <v>£m 09/10</v>
      </c>
      <c r="I98" s="325" t="s">
        <v>269</v>
      </c>
      <c r="J98" s="426" t="s">
        <v>476</v>
      </c>
      <c r="K98" s="436">
        <f t="shared" si="19"/>
        <v>2.92E-2</v>
      </c>
      <c r="L98" s="434">
        <f t="shared" si="19"/>
        <v>2.7199999999999998E-2</v>
      </c>
      <c r="M98" s="434">
        <f t="shared" si="19"/>
        <v>2.5499999999999998E-2</v>
      </c>
      <c r="N98" s="434">
        <f t="shared" si="19"/>
        <v>2.3800000000000002E-2</v>
      </c>
      <c r="O98" s="434">
        <f t="shared" si="19"/>
        <v>2.2200000000000001E-2</v>
      </c>
      <c r="P98" s="434">
        <f t="shared" si="19"/>
        <v>1.9099999999999999E-2</v>
      </c>
      <c r="Q98" s="434">
        <f t="shared" si="19"/>
        <v>1.5800000000000002E-2</v>
      </c>
      <c r="R98" s="434">
        <f t="shared" si="19"/>
        <v>1.01E-2</v>
      </c>
      <c r="S98" s="558"/>
      <c r="T98" s="559"/>
    </row>
    <row r="99" spans="1:20">
      <c r="A99" s="60" t="s">
        <v>173</v>
      </c>
      <c r="B99" s="72" t="s">
        <v>60</v>
      </c>
      <c r="C99" s="308">
        <v>7.0000000000000007E-2</v>
      </c>
      <c r="D99" s="309">
        <v>0.5</v>
      </c>
      <c r="E99" s="310">
        <v>0.55000000000000004</v>
      </c>
      <c r="F99" s="310">
        <v>0.9</v>
      </c>
      <c r="G99" s="327">
        <v>2014</v>
      </c>
      <c r="H99" s="328" t="str">
        <f>VLOOKUP($A99,$E$54:$F$57,2,FALSE)</f>
        <v>£m 09/10</v>
      </c>
      <c r="I99" s="325" t="s">
        <v>270</v>
      </c>
      <c r="J99" s="426" t="s">
        <v>476</v>
      </c>
      <c r="K99" s="436">
        <f t="shared" si="19"/>
        <v>2.92E-2</v>
      </c>
      <c r="L99" s="434">
        <f t="shared" si="19"/>
        <v>2.7199999999999998E-2</v>
      </c>
      <c r="M99" s="434">
        <f t="shared" si="19"/>
        <v>2.5499999999999998E-2</v>
      </c>
      <c r="N99" s="434">
        <f t="shared" si="19"/>
        <v>2.3800000000000002E-2</v>
      </c>
      <c r="O99" s="434">
        <f t="shared" si="19"/>
        <v>2.2200000000000001E-2</v>
      </c>
      <c r="P99" s="434">
        <f t="shared" si="19"/>
        <v>1.9099999999999999E-2</v>
      </c>
      <c r="Q99" s="434">
        <f t="shared" si="19"/>
        <v>1.5800000000000002E-2</v>
      </c>
      <c r="R99" s="434">
        <f t="shared" si="19"/>
        <v>1.01E-2</v>
      </c>
      <c r="S99" s="558"/>
      <c r="T99" s="559"/>
    </row>
    <row r="100" spans="1:20">
      <c r="A100" s="60" t="s">
        <v>173</v>
      </c>
      <c r="B100" s="73" t="s">
        <v>61</v>
      </c>
      <c r="C100" s="311">
        <v>7.0000000000000007E-2</v>
      </c>
      <c r="D100" s="312">
        <v>0.5</v>
      </c>
      <c r="E100" s="313">
        <v>0.55000000000000004</v>
      </c>
      <c r="F100" s="313">
        <v>0.9</v>
      </c>
      <c r="G100" s="329">
        <v>2014</v>
      </c>
      <c r="H100" s="330" t="str">
        <f>VLOOKUP($A100,$E$54:$F$57,2,FALSE)</f>
        <v>£m 09/10</v>
      </c>
      <c r="I100" s="326" t="s">
        <v>270</v>
      </c>
      <c r="J100" s="426" t="s">
        <v>476</v>
      </c>
      <c r="K100" s="437">
        <f t="shared" ref="K100:R100" si="20">C$65</f>
        <v>2.92E-2</v>
      </c>
      <c r="L100" s="435">
        <f t="shared" si="20"/>
        <v>2.5000000000000001E-2</v>
      </c>
      <c r="M100" s="435">
        <f t="shared" si="20"/>
        <v>2.1499999999999998E-2</v>
      </c>
      <c r="N100" s="435">
        <f t="shared" si="20"/>
        <v>1.7899999999999999E-2</v>
      </c>
      <c r="O100" s="435">
        <f t="shared" si="20"/>
        <v>1.5100000000000001E-2</v>
      </c>
      <c r="P100" s="435">
        <f t="shared" si="20"/>
        <v>1.1599999999999999E-2</v>
      </c>
      <c r="Q100" s="435">
        <f t="shared" si="20"/>
        <v>1.0200000000000001E-2</v>
      </c>
      <c r="R100" s="435">
        <f t="shared" si="20"/>
        <v>1.01E-2</v>
      </c>
      <c r="S100" s="560"/>
      <c r="T100" s="561"/>
    </row>
    <row r="101" spans="1:20">
      <c r="I101" s="67"/>
    </row>
    <row r="102" spans="1:20">
      <c r="I102" s="67"/>
    </row>
    <row r="103" spans="1:20">
      <c r="I103" s="67"/>
    </row>
    <row r="104" spans="1:20" ht="13.5">
      <c r="B104" s="14" t="s">
        <v>249</v>
      </c>
      <c r="D104" s="299"/>
      <c r="E104" s="299"/>
      <c r="F104" s="299"/>
      <c r="G104" s="299"/>
      <c r="H104" s="299"/>
      <c r="I104" s="299"/>
      <c r="J104" s="299"/>
    </row>
    <row r="105" spans="1:20">
      <c r="B105" s="14"/>
      <c r="C105" s="118">
        <v>2014</v>
      </c>
      <c r="D105" s="119">
        <f>C105+1</f>
        <v>2015</v>
      </c>
      <c r="E105" s="119">
        <f t="shared" ref="E105:J105" si="21">D105+1</f>
        <v>2016</v>
      </c>
      <c r="F105" s="119">
        <f>E105+1</f>
        <v>2017</v>
      </c>
      <c r="G105" s="119">
        <f t="shared" si="21"/>
        <v>2018</v>
      </c>
      <c r="H105" s="119">
        <f t="shared" si="21"/>
        <v>2019</v>
      </c>
      <c r="I105" s="119">
        <f t="shared" si="21"/>
        <v>2020</v>
      </c>
      <c r="J105" s="119">
        <f t="shared" si="21"/>
        <v>2021</v>
      </c>
    </row>
    <row r="106" spans="1:20">
      <c r="B106" s="303" t="s">
        <v>53</v>
      </c>
      <c r="C106" s="300">
        <v>0.5</v>
      </c>
      <c r="D106" s="300">
        <v>0.5714285714285714</v>
      </c>
      <c r="E106" s="300">
        <v>0.64285714285714279</v>
      </c>
      <c r="F106" s="300">
        <v>0.71428571428571419</v>
      </c>
      <c r="G106" s="300">
        <v>0.78571428571428559</v>
      </c>
      <c r="H106" s="300">
        <v>0.85714285714285698</v>
      </c>
      <c r="I106" s="300">
        <v>0.92857142857142838</v>
      </c>
      <c r="J106" s="301">
        <v>1</v>
      </c>
    </row>
    <row r="107" spans="1:20">
      <c r="B107" s="304" t="s">
        <v>54</v>
      </c>
      <c r="C107" s="220">
        <v>0.5</v>
      </c>
      <c r="D107" s="220">
        <v>0.5714285714285714</v>
      </c>
      <c r="E107" s="220">
        <v>0.64285714285714279</v>
      </c>
      <c r="F107" s="220">
        <v>0.71428571428571419</v>
      </c>
      <c r="G107" s="220">
        <v>0.78571428571428559</v>
      </c>
      <c r="H107" s="220">
        <v>0.85714285714285698</v>
      </c>
      <c r="I107" s="220">
        <v>0.92857142857142838</v>
      </c>
      <c r="J107" s="221">
        <v>1</v>
      </c>
    </row>
    <row r="108" spans="1:20">
      <c r="B108" s="304" t="s">
        <v>55</v>
      </c>
      <c r="C108" s="220">
        <v>0.5</v>
      </c>
      <c r="D108" s="220">
        <v>0.5714285714285714</v>
      </c>
      <c r="E108" s="220">
        <v>0.64285714285714279</v>
      </c>
      <c r="F108" s="220">
        <v>0.71428571428571419</v>
      </c>
      <c r="G108" s="220">
        <v>0.78571428571428559</v>
      </c>
      <c r="H108" s="220">
        <v>0.85714285714285698</v>
      </c>
      <c r="I108" s="220">
        <v>0.92857142857142838</v>
      </c>
      <c r="J108" s="221">
        <v>1</v>
      </c>
    </row>
    <row r="109" spans="1:20">
      <c r="B109" s="304" t="s">
        <v>56</v>
      </c>
      <c r="C109" s="220">
        <v>0.5</v>
      </c>
      <c r="D109" s="220">
        <v>0.5714285714285714</v>
      </c>
      <c r="E109" s="220">
        <v>0.64285714285714279</v>
      </c>
      <c r="F109" s="220">
        <v>0.71428571428571419</v>
      </c>
      <c r="G109" s="220">
        <v>0.78571428571428559</v>
      </c>
      <c r="H109" s="220">
        <v>0.85714285714285698</v>
      </c>
      <c r="I109" s="220">
        <v>0.92857142857142838</v>
      </c>
      <c r="J109" s="221">
        <v>1</v>
      </c>
    </row>
    <row r="110" spans="1:20">
      <c r="B110" s="304" t="s">
        <v>50</v>
      </c>
      <c r="C110" s="220">
        <v>0.5</v>
      </c>
      <c r="D110" s="220">
        <v>0.5714285714285714</v>
      </c>
      <c r="E110" s="220">
        <v>0.64285714285714279</v>
      </c>
      <c r="F110" s="220">
        <v>0.71428571428571419</v>
      </c>
      <c r="G110" s="220">
        <v>0.78571428571428559</v>
      </c>
      <c r="H110" s="220">
        <v>0.85714285714285698</v>
      </c>
      <c r="I110" s="220">
        <v>0.92857142857142838</v>
      </c>
      <c r="J110" s="221">
        <v>1</v>
      </c>
    </row>
    <row r="111" spans="1:20">
      <c r="B111" s="304" t="s">
        <v>52</v>
      </c>
      <c r="C111" s="220">
        <v>0.5</v>
      </c>
      <c r="D111" s="220">
        <v>0.5714285714285714</v>
      </c>
      <c r="E111" s="220">
        <v>0.64285714285714279</v>
      </c>
      <c r="F111" s="220">
        <v>0.71428571428571419</v>
      </c>
      <c r="G111" s="220">
        <v>0.78571428571428559</v>
      </c>
      <c r="H111" s="220">
        <v>0.85714285714285698</v>
      </c>
      <c r="I111" s="220">
        <v>0.92857142857142838</v>
      </c>
      <c r="J111" s="221">
        <v>1</v>
      </c>
    </row>
    <row r="112" spans="1:20">
      <c r="B112" s="304" t="s">
        <v>51</v>
      </c>
      <c r="C112" s="220">
        <v>0.5</v>
      </c>
      <c r="D112" s="220">
        <v>0.5714285714285714</v>
      </c>
      <c r="E112" s="220">
        <v>0.64285714285714279</v>
      </c>
      <c r="F112" s="220">
        <v>0.71428571428571419</v>
      </c>
      <c r="G112" s="220">
        <v>0.78571428571428559</v>
      </c>
      <c r="H112" s="220">
        <v>0.85714285714285698</v>
      </c>
      <c r="I112" s="220">
        <v>0.92857142857142838</v>
      </c>
      <c r="J112" s="221">
        <v>1</v>
      </c>
    </row>
    <row r="113" spans="2:15">
      <c r="B113" s="419" t="s">
        <v>49</v>
      </c>
      <c r="C113" s="420">
        <v>0.5</v>
      </c>
      <c r="D113" s="420">
        <v>0.5714285714285714</v>
      </c>
      <c r="E113" s="420">
        <v>0.64285714285714279</v>
      </c>
      <c r="F113" s="420">
        <v>0.71428571428571419</v>
      </c>
      <c r="G113" s="420">
        <v>0.78571428571428559</v>
      </c>
      <c r="H113" s="420">
        <v>0.85714285714285698</v>
      </c>
      <c r="I113" s="420">
        <v>0.92857142857142838</v>
      </c>
      <c r="J113" s="421">
        <v>1</v>
      </c>
    </row>
    <row r="114" spans="2:15">
      <c r="B114" s="304" t="s">
        <v>113</v>
      </c>
      <c r="C114" s="220">
        <v>0.9</v>
      </c>
      <c r="D114" s="220">
        <v>0.9</v>
      </c>
      <c r="E114" s="220">
        <v>0.9</v>
      </c>
      <c r="F114" s="220">
        <v>0.9</v>
      </c>
      <c r="G114" s="220">
        <v>0.9</v>
      </c>
      <c r="H114" s="220">
        <v>0.9</v>
      </c>
      <c r="I114" s="220">
        <v>0.9</v>
      </c>
      <c r="J114" s="221">
        <v>0.9</v>
      </c>
    </row>
    <row r="115" spans="2:15">
      <c r="B115" s="305" t="s">
        <v>114</v>
      </c>
      <c r="C115" s="565"/>
      <c r="D115" s="565"/>
      <c r="E115" s="565"/>
      <c r="F115" s="565"/>
      <c r="G115" s="565"/>
      <c r="H115" s="565"/>
      <c r="I115" s="565"/>
      <c r="J115" s="565"/>
    </row>
    <row r="116" spans="2:15">
      <c r="B116" s="401"/>
      <c r="C116" s="460"/>
      <c r="D116" s="460"/>
      <c r="E116" s="460"/>
      <c r="F116" s="460"/>
      <c r="G116" s="460"/>
      <c r="H116" s="460"/>
      <c r="I116" s="460"/>
      <c r="J116" s="460"/>
      <c r="M116" s="31"/>
      <c r="N116" s="31"/>
      <c r="O116" s="31"/>
    </row>
    <row r="117" spans="2:15">
      <c r="B117" s="401"/>
      <c r="C117" s="460"/>
      <c r="D117" s="460"/>
      <c r="E117" s="460"/>
      <c r="F117" s="460"/>
      <c r="G117" s="460"/>
      <c r="H117" s="460"/>
      <c r="I117" s="460"/>
      <c r="J117" s="460"/>
      <c r="K117" s="367"/>
      <c r="L117" s="367"/>
      <c r="M117" s="31"/>
      <c r="N117" s="31"/>
      <c r="O117" s="31"/>
    </row>
    <row r="118" spans="2:15">
      <c r="B118" s="470" t="s">
        <v>213</v>
      </c>
      <c r="C118" s="118">
        <v>2014</v>
      </c>
      <c r="D118" s="119">
        <f t="shared" ref="D118:L118" si="22">C118+1</f>
        <v>2015</v>
      </c>
      <c r="E118" s="119">
        <f t="shared" si="22"/>
        <v>2016</v>
      </c>
      <c r="F118" s="119">
        <f t="shared" si="22"/>
        <v>2017</v>
      </c>
      <c r="G118" s="119">
        <f t="shared" si="22"/>
        <v>2018</v>
      </c>
      <c r="H118" s="119">
        <f t="shared" si="22"/>
        <v>2019</v>
      </c>
      <c r="I118" s="119">
        <f t="shared" si="22"/>
        <v>2020</v>
      </c>
      <c r="J118" s="119">
        <f t="shared" si="22"/>
        <v>2021</v>
      </c>
      <c r="K118" s="119">
        <f t="shared" si="22"/>
        <v>2022</v>
      </c>
      <c r="L118" s="196">
        <f t="shared" si="22"/>
        <v>2023</v>
      </c>
      <c r="M118" s="31"/>
      <c r="N118" s="31"/>
      <c r="O118" s="31"/>
    </row>
    <row r="119" spans="2:15">
      <c r="B119" s="461" t="s">
        <v>43</v>
      </c>
      <c r="C119" s="562"/>
      <c r="D119" s="563"/>
      <c r="E119" s="463">
        <v>1.5575632164737283</v>
      </c>
      <c r="F119" s="463">
        <v>1.4734141240658321</v>
      </c>
      <c r="G119" s="463">
        <v>1.4689588897025405</v>
      </c>
      <c r="H119" s="463">
        <v>1.4707200530126929</v>
      </c>
      <c r="I119" s="463">
        <v>1.4674716260161711</v>
      </c>
      <c r="J119" s="463">
        <v>1.4486206224386007</v>
      </c>
      <c r="K119" s="463">
        <v>1.4956798325868756</v>
      </c>
      <c r="L119" s="464">
        <v>1.4397148718051931</v>
      </c>
      <c r="M119" s="31"/>
      <c r="N119" s="31"/>
      <c r="O119" s="31"/>
    </row>
    <row r="120" spans="2:15">
      <c r="B120" s="461" t="s">
        <v>44</v>
      </c>
      <c r="C120" s="564"/>
      <c r="D120" s="565"/>
      <c r="E120" s="465">
        <v>-0.65871781800535345</v>
      </c>
      <c r="F120" s="465">
        <v>-0.63543772576063684</v>
      </c>
      <c r="G120" s="465">
        <v>-0.58907862874233818</v>
      </c>
      <c r="H120" s="465">
        <v>-0.58178188190178026</v>
      </c>
      <c r="I120" s="465">
        <v>-0.56823918867341305</v>
      </c>
      <c r="J120" s="465">
        <v>-0.51933170333654122</v>
      </c>
      <c r="K120" s="465">
        <v>-0.47962665852661612</v>
      </c>
      <c r="L120" s="466">
        <v>-0.4656874701170608</v>
      </c>
      <c r="M120" s="31"/>
      <c r="N120" s="31"/>
      <c r="O120" s="31"/>
    </row>
    <row r="121" spans="2:15">
      <c r="B121" s="461" t="s">
        <v>73</v>
      </c>
      <c r="C121" s="564"/>
      <c r="D121" s="565"/>
      <c r="E121" s="465">
        <v>-0.86626036283610952</v>
      </c>
      <c r="F121" s="465">
        <v>-0.81019773780890636</v>
      </c>
      <c r="G121" s="465">
        <v>-0.78919084241395188</v>
      </c>
      <c r="H121" s="465">
        <v>-0.79061873066036981</v>
      </c>
      <c r="I121" s="465">
        <v>-0.74432653414361061</v>
      </c>
      <c r="J121" s="465">
        <v>-0.70697274816976396</v>
      </c>
      <c r="K121" s="465">
        <v>-0.65350946162011747</v>
      </c>
      <c r="L121" s="466">
        <v>-0.66429758885743451</v>
      </c>
      <c r="M121" s="31"/>
      <c r="N121" s="31"/>
      <c r="O121" s="31"/>
    </row>
    <row r="122" spans="2:15">
      <c r="B122" s="461" t="s">
        <v>59</v>
      </c>
      <c r="C122" s="564"/>
      <c r="D122" s="565"/>
      <c r="E122" s="465">
        <v>-3.2612134183503572</v>
      </c>
      <c r="F122" s="465">
        <v>-3.3462554451402173</v>
      </c>
      <c r="G122" s="465">
        <v>-3.1732919768141143</v>
      </c>
      <c r="H122" s="465">
        <v>-3.1232404745251841</v>
      </c>
      <c r="I122" s="465">
        <v>-3.0767551306224106</v>
      </c>
      <c r="J122" s="465">
        <v>-2.9342177182087767</v>
      </c>
      <c r="K122" s="465">
        <v>-2.8825938479182072</v>
      </c>
      <c r="L122" s="466">
        <v>-2.7237011003750218</v>
      </c>
      <c r="M122" s="31"/>
      <c r="N122" s="31"/>
      <c r="O122" s="31"/>
    </row>
    <row r="123" spans="2:15">
      <c r="B123" s="461" t="s">
        <v>57</v>
      </c>
      <c r="C123" s="564"/>
      <c r="D123" s="565"/>
      <c r="E123" s="465">
        <v>-2.4260972367898193</v>
      </c>
      <c r="F123" s="465">
        <v>-2.3690383662844163</v>
      </c>
      <c r="G123" s="465">
        <v>-2.2433276600060932</v>
      </c>
      <c r="H123" s="465">
        <v>-2.1466020621213828</v>
      </c>
      <c r="I123" s="465">
        <v>-2.174009678716605</v>
      </c>
      <c r="J123" s="465">
        <v>-2.0538927838998693</v>
      </c>
      <c r="K123" s="465">
        <v>-1.9044581231060691</v>
      </c>
      <c r="L123" s="466">
        <v>-1.8008611131009082</v>
      </c>
      <c r="M123" s="31"/>
      <c r="N123" s="31"/>
      <c r="O123" s="31"/>
    </row>
    <row r="124" spans="2:15">
      <c r="B124" s="461" t="s">
        <v>58</v>
      </c>
      <c r="C124" s="564"/>
      <c r="D124" s="565"/>
      <c r="E124" s="465">
        <v>-2.1861012409352765</v>
      </c>
      <c r="F124" s="465">
        <v>-2.3820447425774849</v>
      </c>
      <c r="G124" s="465">
        <v>-2.2418672366929897</v>
      </c>
      <c r="H124" s="465">
        <v>-2.1147812646907029</v>
      </c>
      <c r="I124" s="465">
        <v>-2.0146177086326591</v>
      </c>
      <c r="J124" s="465">
        <v>-1.9421313262105093</v>
      </c>
      <c r="K124" s="465">
        <v>-1.9248856430948595</v>
      </c>
      <c r="L124" s="466">
        <v>-1.8464451304225615</v>
      </c>
      <c r="M124" s="31"/>
      <c r="N124" s="31"/>
      <c r="O124" s="31"/>
    </row>
    <row r="125" spans="2:15">
      <c r="B125" s="461" t="s">
        <v>45</v>
      </c>
      <c r="C125" s="564"/>
      <c r="D125" s="565"/>
      <c r="E125" s="465">
        <v>-1.8633532543800757</v>
      </c>
      <c r="F125" s="465">
        <v>-1.8182980405067262</v>
      </c>
      <c r="G125" s="465">
        <v>-1.83946756302578</v>
      </c>
      <c r="H125" s="465">
        <v>-1.7415973428180247</v>
      </c>
      <c r="I125" s="465">
        <v>-1.6798002111470465</v>
      </c>
      <c r="J125" s="465">
        <v>-1.5974456358596774</v>
      </c>
      <c r="K125" s="465">
        <v>-1.5016396120831343</v>
      </c>
      <c r="L125" s="466">
        <v>-1.4453638876860204</v>
      </c>
      <c r="M125" s="31"/>
      <c r="N125" s="31"/>
      <c r="O125" s="31"/>
    </row>
    <row r="126" spans="2:15">
      <c r="B126" s="461" t="s">
        <v>46</v>
      </c>
      <c r="C126" s="564"/>
      <c r="D126" s="565"/>
      <c r="E126" s="465">
        <v>-2.1317145269512103</v>
      </c>
      <c r="F126" s="465">
        <v>-2.193973633026753</v>
      </c>
      <c r="G126" s="465">
        <v>-1.9869010217130036</v>
      </c>
      <c r="H126" s="465">
        <v>-1.8037552784318813</v>
      </c>
      <c r="I126" s="465">
        <v>-1.7767942495618843</v>
      </c>
      <c r="J126" s="465">
        <v>-1.7901472583807538</v>
      </c>
      <c r="K126" s="465">
        <v>-1.6444113686346382</v>
      </c>
      <c r="L126" s="466">
        <v>-1.467384504290556</v>
      </c>
      <c r="M126" s="31"/>
      <c r="N126" s="31"/>
      <c r="O126" s="31"/>
    </row>
    <row r="127" spans="2:15">
      <c r="B127" s="461" t="s">
        <v>47</v>
      </c>
      <c r="C127" s="564"/>
      <c r="D127" s="565"/>
      <c r="E127" s="465">
        <v>0.16599721814464838</v>
      </c>
      <c r="F127" s="465">
        <v>0.16631900606776751</v>
      </c>
      <c r="G127" s="465">
        <v>0.16554337895881124</v>
      </c>
      <c r="H127" s="465">
        <v>0.16569741136821181</v>
      </c>
      <c r="I127" s="465">
        <v>0.16622630759870036</v>
      </c>
      <c r="J127" s="465">
        <v>0.16380302414374548</v>
      </c>
      <c r="K127" s="465">
        <v>0.16593344617950709</v>
      </c>
      <c r="L127" s="466">
        <v>0.16036688822048883</v>
      </c>
      <c r="M127" s="31"/>
      <c r="N127" s="31"/>
      <c r="O127" s="31"/>
    </row>
    <row r="128" spans="2:15">
      <c r="B128" s="461" t="s">
        <v>48</v>
      </c>
      <c r="C128" s="564"/>
      <c r="D128" s="565"/>
      <c r="E128" s="465">
        <v>0.3648271976377423</v>
      </c>
      <c r="F128" s="465">
        <v>0.37109083837102003</v>
      </c>
      <c r="G128" s="465">
        <v>0.36071859106606846</v>
      </c>
      <c r="H128" s="465">
        <v>0.35927814835295946</v>
      </c>
      <c r="I128" s="465">
        <v>0.3227419487574148</v>
      </c>
      <c r="J128" s="465">
        <v>0.32139075529498529</v>
      </c>
      <c r="K128" s="465">
        <v>0.32876178406363676</v>
      </c>
      <c r="L128" s="466">
        <v>0.31920430794598709</v>
      </c>
      <c r="M128" s="31"/>
      <c r="N128" s="31"/>
      <c r="O128" s="31"/>
    </row>
    <row r="129" spans="2:15">
      <c r="B129" s="461" t="s">
        <v>245</v>
      </c>
      <c r="C129" s="564"/>
      <c r="D129" s="565"/>
      <c r="E129" s="465">
        <v>7.1281196754416492</v>
      </c>
      <c r="F129" s="465">
        <v>6.9674138399666772</v>
      </c>
      <c r="G129" s="465">
        <v>6.2034025893135132</v>
      </c>
      <c r="H129" s="465">
        <v>6.3085978915797085</v>
      </c>
      <c r="I129" s="465">
        <v>6.2376648400128394</v>
      </c>
      <c r="J129" s="465">
        <v>6.4865819943041139</v>
      </c>
      <c r="K129" s="465">
        <v>6.8152516624832584</v>
      </c>
      <c r="L129" s="466">
        <v>6.6271056201039169</v>
      </c>
      <c r="M129" s="31"/>
      <c r="N129" s="31"/>
      <c r="O129" s="31"/>
    </row>
    <row r="130" spans="2:15">
      <c r="B130" s="461" t="s">
        <v>246</v>
      </c>
      <c r="C130" s="564"/>
      <c r="D130" s="565"/>
      <c r="E130" s="465">
        <v>6.5079014730517413</v>
      </c>
      <c r="F130" s="465">
        <v>6.5166167406950333</v>
      </c>
      <c r="G130" s="465">
        <v>6.3292456496722922</v>
      </c>
      <c r="H130" s="465">
        <v>6.4407397408462082</v>
      </c>
      <c r="I130" s="465">
        <v>6.6367331985058957</v>
      </c>
      <c r="J130" s="465">
        <v>6.7568163761394304</v>
      </c>
      <c r="K130" s="465">
        <v>6.6961234445143969</v>
      </c>
      <c r="L130" s="466">
        <v>6.7647427548792596</v>
      </c>
      <c r="M130" s="31"/>
      <c r="N130" s="31"/>
      <c r="O130" s="31"/>
    </row>
    <row r="131" spans="2:15">
      <c r="B131" s="461" t="s">
        <v>247</v>
      </c>
      <c r="C131" s="564"/>
      <c r="D131" s="565"/>
      <c r="E131" s="465">
        <v>3.6763138465229663</v>
      </c>
      <c r="F131" s="465">
        <v>3.6748350873956013</v>
      </c>
      <c r="G131" s="465">
        <v>3.4998529635433906</v>
      </c>
      <c r="H131" s="465">
        <v>3.724685546648324</v>
      </c>
      <c r="I131" s="465">
        <v>3.4121739487309477</v>
      </c>
      <c r="J131" s="465">
        <v>3.4202241027689042</v>
      </c>
      <c r="K131" s="465">
        <v>3.3053549439575329</v>
      </c>
      <c r="L131" s="466">
        <v>3.3633285641010966</v>
      </c>
      <c r="M131" s="31"/>
      <c r="N131" s="31"/>
      <c r="O131" s="31"/>
    </row>
    <row r="132" spans="2:15">
      <c r="B132" s="461" t="s">
        <v>248</v>
      </c>
      <c r="C132" s="564"/>
      <c r="D132" s="565"/>
      <c r="E132" s="465">
        <v>5.3762701961708466</v>
      </c>
      <c r="F132" s="465">
        <v>5.3775969760840585</v>
      </c>
      <c r="G132" s="465">
        <v>5.2618102801807671</v>
      </c>
      <c r="H132" s="465">
        <v>5.360849180672294</v>
      </c>
      <c r="I132" s="465">
        <v>5.2665238228731912</v>
      </c>
      <c r="J132" s="465">
        <v>5.3271179030285305</v>
      </c>
      <c r="K132" s="465">
        <v>5.3223294006601192</v>
      </c>
      <c r="L132" s="466">
        <v>5.5699880746272257</v>
      </c>
      <c r="M132" s="31"/>
      <c r="N132" s="31"/>
      <c r="O132" s="31"/>
    </row>
    <row r="133" spans="2:15">
      <c r="B133" s="461" t="s">
        <v>53</v>
      </c>
      <c r="C133" s="467">
        <v>1.4371556068940596</v>
      </c>
      <c r="D133" s="465">
        <v>1.3718015630879741</v>
      </c>
      <c r="E133" s="465">
        <v>1.3507660107019517</v>
      </c>
      <c r="F133" s="465">
        <v>1.356812198977974</v>
      </c>
      <c r="G133" s="465">
        <v>1.3598136386487443</v>
      </c>
      <c r="H133" s="465">
        <v>1.3501475065962032</v>
      </c>
      <c r="I133" s="465">
        <v>1.3298433305384654</v>
      </c>
      <c r="J133" s="465">
        <v>1.3174540960763355</v>
      </c>
      <c r="K133" s="565"/>
      <c r="L133" s="566"/>
      <c r="M133" s="31"/>
      <c r="N133" s="31"/>
      <c r="O133" s="31"/>
    </row>
    <row r="134" spans="2:15">
      <c r="B134" s="461" t="s">
        <v>54</v>
      </c>
      <c r="C134" s="467">
        <v>1.2224510767557433</v>
      </c>
      <c r="D134" s="465">
        <v>1.2198157429394254</v>
      </c>
      <c r="E134" s="465">
        <v>1.2942164825881293</v>
      </c>
      <c r="F134" s="465">
        <v>1.2596396269108345</v>
      </c>
      <c r="G134" s="465">
        <v>1.2840112184368913</v>
      </c>
      <c r="H134" s="465">
        <v>1.2678511857965422</v>
      </c>
      <c r="I134" s="465">
        <v>1.2592019055105816</v>
      </c>
      <c r="J134" s="465">
        <v>1.257376658609527</v>
      </c>
      <c r="K134" s="565"/>
      <c r="L134" s="566"/>
      <c r="M134" s="31"/>
      <c r="N134" s="31"/>
      <c r="O134" s="31"/>
    </row>
    <row r="135" spans="2:15">
      <c r="B135" s="461" t="s">
        <v>55</v>
      </c>
      <c r="C135" s="467">
        <v>0.82325002294811445</v>
      </c>
      <c r="D135" s="465">
        <v>0.82663571281128501</v>
      </c>
      <c r="E135" s="465">
        <v>0.79640504595610451</v>
      </c>
      <c r="F135" s="465">
        <v>0.78757021450124798</v>
      </c>
      <c r="G135" s="465">
        <v>0.81133252861207505</v>
      </c>
      <c r="H135" s="465">
        <v>0.81064228783969072</v>
      </c>
      <c r="I135" s="465">
        <v>0.80900368952296353</v>
      </c>
      <c r="J135" s="465">
        <v>0.78043276967968189</v>
      </c>
      <c r="K135" s="565"/>
      <c r="L135" s="566"/>
      <c r="M135" s="31"/>
      <c r="N135" s="31"/>
      <c r="O135" s="31"/>
    </row>
    <row r="136" spans="2:15">
      <c r="B136" s="461" t="s">
        <v>56</v>
      </c>
      <c r="C136" s="467">
        <v>1.0893959849781105</v>
      </c>
      <c r="D136" s="465">
        <v>1.027913194554035</v>
      </c>
      <c r="E136" s="465">
        <v>1.0066987144123654</v>
      </c>
      <c r="F136" s="465">
        <v>1.0192350900597893</v>
      </c>
      <c r="G136" s="465">
        <v>1.0341480780318344</v>
      </c>
      <c r="H136" s="465">
        <v>1.0204240792759967</v>
      </c>
      <c r="I136" s="465">
        <v>1.0137739549704501</v>
      </c>
      <c r="J136" s="465">
        <v>0.9898055017218621</v>
      </c>
      <c r="K136" s="565"/>
      <c r="L136" s="566"/>
      <c r="M136" s="31"/>
      <c r="N136" s="31"/>
      <c r="O136" s="31"/>
    </row>
    <row r="137" spans="2:15">
      <c r="B137" s="461" t="s">
        <v>50</v>
      </c>
      <c r="C137" s="467">
        <v>3.0675250143183739</v>
      </c>
      <c r="D137" s="465">
        <v>3.1629219417602221</v>
      </c>
      <c r="E137" s="465">
        <v>3.2156604222069194</v>
      </c>
      <c r="F137" s="465">
        <v>3.1773534622131239</v>
      </c>
      <c r="G137" s="465">
        <v>2.9925267771957293</v>
      </c>
      <c r="H137" s="465">
        <v>2.9953978987575276</v>
      </c>
      <c r="I137" s="465">
        <v>3.008780645638939</v>
      </c>
      <c r="J137" s="465">
        <v>3.0035530345258876</v>
      </c>
      <c r="K137" s="565"/>
      <c r="L137" s="566"/>
      <c r="M137" s="31"/>
      <c r="N137" s="31"/>
      <c r="O137" s="31"/>
    </row>
    <row r="138" spans="2:15">
      <c r="B138" s="461" t="s">
        <v>52</v>
      </c>
      <c r="C138" s="467">
        <v>2.1240897362733717</v>
      </c>
      <c r="D138" s="465">
        <v>2.0350723340362249</v>
      </c>
      <c r="E138" s="465">
        <v>1.9686998072928457</v>
      </c>
      <c r="F138" s="465">
        <v>2.0858456765056492</v>
      </c>
      <c r="G138" s="465">
        <v>2.1150393198028121</v>
      </c>
      <c r="H138" s="465">
        <v>2.0960407823683633</v>
      </c>
      <c r="I138" s="465">
        <v>1.9709648894580449</v>
      </c>
      <c r="J138" s="465">
        <v>1.9558237270696361</v>
      </c>
      <c r="K138" s="565"/>
      <c r="L138" s="566"/>
      <c r="M138" s="31"/>
      <c r="N138" s="31"/>
      <c r="O138" s="31"/>
    </row>
    <row r="139" spans="2:15">
      <c r="B139" s="461" t="s">
        <v>51</v>
      </c>
      <c r="C139" s="467">
        <v>4.3724011747736116</v>
      </c>
      <c r="D139" s="465">
        <v>4.1057641662653896</v>
      </c>
      <c r="E139" s="465">
        <v>4.0545669929819539</v>
      </c>
      <c r="F139" s="465">
        <v>4.1740927460581894</v>
      </c>
      <c r="G139" s="465">
        <v>4.2397101975440528</v>
      </c>
      <c r="H139" s="465">
        <v>4.2461477210751069</v>
      </c>
      <c r="I139" s="465">
        <v>4.1078523076276792</v>
      </c>
      <c r="J139" s="465">
        <v>4.0575944965475035</v>
      </c>
      <c r="K139" s="565"/>
      <c r="L139" s="566"/>
      <c r="M139" s="31"/>
      <c r="N139" s="31"/>
      <c r="O139" s="31"/>
    </row>
    <row r="140" spans="2:15">
      <c r="B140" s="461" t="s">
        <v>49</v>
      </c>
      <c r="C140" s="467">
        <v>1.3982776671905828</v>
      </c>
      <c r="D140" s="465">
        <v>1.3864649866746799</v>
      </c>
      <c r="E140" s="465">
        <v>1.3673040530931269</v>
      </c>
      <c r="F140" s="465">
        <v>1.3493453776780693</v>
      </c>
      <c r="G140" s="465">
        <v>1.3347777856873293</v>
      </c>
      <c r="H140" s="465">
        <v>1.3354887108693174</v>
      </c>
      <c r="I140" s="465">
        <v>1.3597799661606067</v>
      </c>
      <c r="J140" s="465">
        <v>1.3515240072037848</v>
      </c>
      <c r="K140" s="565"/>
      <c r="L140" s="566"/>
      <c r="M140" s="31"/>
      <c r="N140" s="31"/>
      <c r="O140" s="31"/>
    </row>
    <row r="141" spans="2:15">
      <c r="B141" s="461" t="s">
        <v>113</v>
      </c>
      <c r="C141" s="467">
        <v>-1.1295718210052885</v>
      </c>
      <c r="D141" s="465">
        <v>-1.1444007312827333</v>
      </c>
      <c r="E141" s="465">
        <v>-1.1763817360750841</v>
      </c>
      <c r="F141" s="465">
        <v>-1.5927557463957547</v>
      </c>
      <c r="G141" s="465">
        <v>-1.8565667598967899</v>
      </c>
      <c r="H141" s="465">
        <v>-1.2720416735170972</v>
      </c>
      <c r="I141" s="465">
        <v>-1.1039739947823479</v>
      </c>
      <c r="J141" s="465">
        <v>-1.018311326547777</v>
      </c>
      <c r="K141" s="565"/>
      <c r="L141" s="566"/>
      <c r="M141" s="31"/>
      <c r="N141" s="31"/>
      <c r="O141" s="31"/>
    </row>
    <row r="142" spans="2:15">
      <c r="B142" s="461" t="s">
        <v>114</v>
      </c>
      <c r="C142" s="467">
        <v>-0.43181154987245485</v>
      </c>
      <c r="D142" s="465">
        <v>-0.39947195996305995</v>
      </c>
      <c r="E142" s="465">
        <v>-0.34734317043598018</v>
      </c>
      <c r="F142" s="465">
        <v>-0.3193206524905472</v>
      </c>
      <c r="G142" s="465">
        <v>-0.31265626882301373</v>
      </c>
      <c r="H142" s="465">
        <v>-0.30799379948941219</v>
      </c>
      <c r="I142" s="465">
        <v>-0.32570922921081308</v>
      </c>
      <c r="J142" s="465">
        <v>-0.31552026220892354</v>
      </c>
      <c r="K142" s="565"/>
      <c r="L142" s="566"/>
      <c r="M142" s="31"/>
      <c r="N142" s="31"/>
      <c r="O142" s="31"/>
    </row>
    <row r="143" spans="2:15">
      <c r="B143" s="461" t="s">
        <v>111</v>
      </c>
      <c r="C143" s="467">
        <v>15.168246288518162</v>
      </c>
      <c r="D143" s="465">
        <v>16.275110005972994</v>
      </c>
      <c r="E143" s="465">
        <v>15.614702904478012</v>
      </c>
      <c r="F143" s="465">
        <v>14.911674359737152</v>
      </c>
      <c r="G143" s="465">
        <v>13.033415757853545</v>
      </c>
      <c r="H143" s="465">
        <v>12.556067765830047</v>
      </c>
      <c r="I143" s="465">
        <v>11.285100906339711</v>
      </c>
      <c r="J143" s="465">
        <v>9.8268179419485548</v>
      </c>
      <c r="K143" s="565"/>
      <c r="L143" s="566"/>
      <c r="M143" s="31"/>
      <c r="N143" s="31"/>
      <c r="O143" s="31"/>
    </row>
    <row r="144" spans="2:15">
      <c r="B144" s="461" t="s">
        <v>112</v>
      </c>
      <c r="C144" s="467">
        <v>0.93219394583370063</v>
      </c>
      <c r="D144" s="465">
        <v>0.89969793099769957</v>
      </c>
      <c r="E144" s="465">
        <v>0.87783267686821997</v>
      </c>
      <c r="F144" s="465">
        <v>0.87232109317784756</v>
      </c>
      <c r="G144" s="465">
        <v>0.89875958568159287</v>
      </c>
      <c r="H144" s="465">
        <v>0.82801710222961222</v>
      </c>
      <c r="I144" s="465">
        <v>0.88417658562860901</v>
      </c>
      <c r="J144" s="465">
        <v>0.89982415652833247</v>
      </c>
      <c r="K144" s="565"/>
      <c r="L144" s="566"/>
      <c r="M144" s="31"/>
      <c r="N144" s="31"/>
      <c r="O144" s="31"/>
    </row>
    <row r="145" spans="1:15">
      <c r="B145" s="461" t="s">
        <v>60</v>
      </c>
      <c r="C145" s="467">
        <v>10.952751093909903</v>
      </c>
      <c r="D145" s="465">
        <v>1.3412683602121493</v>
      </c>
      <c r="E145" s="465">
        <v>22.190179414419269</v>
      </c>
      <c r="F145" s="465">
        <v>7.0488483253947072</v>
      </c>
      <c r="G145" s="465">
        <v>6.9020695692988534</v>
      </c>
      <c r="H145" s="465">
        <v>6.9425238085580094</v>
      </c>
      <c r="I145" s="465">
        <v>7.0785069781779111</v>
      </c>
      <c r="J145" s="465">
        <v>5.2688524500291916</v>
      </c>
      <c r="K145" s="565"/>
      <c r="L145" s="566"/>
      <c r="M145" s="31"/>
      <c r="N145" s="31"/>
      <c r="O145" s="31"/>
    </row>
    <row r="146" spans="1:15">
      <c r="B146" s="462" t="s">
        <v>61</v>
      </c>
      <c r="C146" s="468">
        <v>4.7850556060781999</v>
      </c>
      <c r="D146" s="469">
        <v>4.9736597194598335</v>
      </c>
      <c r="E146" s="469">
        <v>5.6988662496343032</v>
      </c>
      <c r="F146" s="469">
        <v>3.7921077312788807</v>
      </c>
      <c r="G146" s="469">
        <v>2.8512563802087829</v>
      </c>
      <c r="H146" s="469">
        <v>2.8799765245720623</v>
      </c>
      <c r="I146" s="469">
        <v>2.9074703511454074</v>
      </c>
      <c r="J146" s="469">
        <v>2.8191074376225309</v>
      </c>
      <c r="K146" s="567"/>
      <c r="L146" s="568"/>
      <c r="M146" s="31"/>
      <c r="N146" s="31"/>
      <c r="O146" s="31"/>
    </row>
    <row r="147" spans="1:15">
      <c r="B147" s="31"/>
      <c r="C147" s="31"/>
      <c r="D147" s="31"/>
      <c r="E147" s="31"/>
      <c r="F147" s="31"/>
      <c r="G147" s="31"/>
      <c r="H147" s="31"/>
      <c r="I147" s="31"/>
      <c r="J147" s="31"/>
      <c r="K147" s="31"/>
      <c r="L147" s="31"/>
      <c r="M147" s="31"/>
      <c r="N147" s="31"/>
      <c r="O147" s="31"/>
    </row>
    <row r="148" spans="1:15">
      <c r="B148" s="401"/>
      <c r="C148" s="367"/>
      <c r="D148" s="367"/>
      <c r="E148" s="367"/>
      <c r="F148" s="367"/>
      <c r="G148" s="367"/>
      <c r="H148" s="367"/>
      <c r="I148" s="367"/>
      <c r="J148" s="367"/>
      <c r="K148" s="31"/>
      <c r="L148" s="31"/>
      <c r="M148" s="31"/>
    </row>
    <row r="149" spans="1:15">
      <c r="B149" s="424" t="str">
        <f>LEFT('RFPR cover'!C6,2)</f>
        <v>ED</v>
      </c>
      <c r="C149" s="422"/>
      <c r="D149" s="422"/>
      <c r="E149" s="422"/>
      <c r="F149" s="422"/>
      <c r="G149" s="422"/>
      <c r="H149" s="422"/>
      <c r="I149" s="422"/>
      <c r="J149" s="422"/>
      <c r="K149" s="422"/>
      <c r="L149" s="423"/>
    </row>
    <row r="150" spans="1:15" ht="14.25" customHeight="1">
      <c r="A150" s="206"/>
      <c r="B150" s="458" t="s">
        <v>397</v>
      </c>
      <c r="C150" s="459"/>
      <c r="D150" s="459"/>
      <c r="E150" s="459"/>
      <c r="F150" s="457"/>
      <c r="G150" s="457"/>
      <c r="H150" s="457"/>
      <c r="I150" s="457"/>
      <c r="J150" s="457"/>
      <c r="K150" s="457"/>
      <c r="L150" s="457"/>
      <c r="M150" s="457"/>
      <c r="N150" s="457"/>
    </row>
    <row r="151" spans="1:15" s="31" customFormat="1" ht="14.25" customHeight="1">
      <c r="A151" s="801"/>
      <c r="B151" s="802"/>
      <c r="C151" s="803"/>
      <c r="D151" s="803"/>
      <c r="E151" s="803"/>
      <c r="F151" s="804"/>
      <c r="G151" s="804"/>
      <c r="H151" s="804"/>
      <c r="I151" s="804"/>
      <c r="J151" s="804"/>
      <c r="K151" s="804"/>
      <c r="L151" s="804"/>
      <c r="M151" s="804"/>
      <c r="N151" s="804"/>
    </row>
    <row r="152" spans="1:15">
      <c r="A152" s="204"/>
      <c r="B152" s="805" t="s">
        <v>403</v>
      </c>
      <c r="C152" s="207"/>
      <c r="D152" s="207"/>
      <c r="E152" s="806" t="b">
        <f>OR((LEFT('RFPR cover'!$C$6,2)=Data!F152),'RFPR cover'!$C$5=Data!F152)</f>
        <v>1</v>
      </c>
      <c r="F152" s="366" t="str">
        <f>B162</f>
        <v>ED</v>
      </c>
      <c r="G152" s="807"/>
    </row>
    <row r="153" spans="1:15">
      <c r="A153" s="204"/>
      <c r="B153" s="822" t="str">
        <f>CHOOSE(MATCH(TRUE,$E$152:$E$159,0),B163,B173,B183,E183,B193,E193,B203,E203)&amp;""</f>
        <v>Broad measure of customer service</v>
      </c>
      <c r="C153" s="207"/>
      <c r="D153" s="207"/>
      <c r="E153" s="808" t="b">
        <f>OR((LEFT('RFPR cover'!$C$6,2)=Data!F153),'RFPR cover'!$C$5=Data!F153)</f>
        <v>0</v>
      </c>
      <c r="F153" s="367" t="str">
        <f>B172</f>
        <v>GD</v>
      </c>
      <c r="G153" s="203"/>
    </row>
    <row r="154" spans="1:15" ht="25.5">
      <c r="A154" s="204"/>
      <c r="B154" s="823" t="str">
        <f t="shared" ref="B154:B160" si="23">CHOOSE(MATCH(TRUE,$E$152:$E$159,0),B164,B174,B184,E184,B194,E194,B204,E204)&amp;""</f>
        <v>Interruptions-related quality of service</v>
      </c>
      <c r="C154" s="207"/>
      <c r="D154" s="207"/>
      <c r="E154" s="808" t="b">
        <f>OR((LEFT('RFPR cover'!$C$6,2)=Data!F154),'RFPR cover'!$C$5=Data!F154)</f>
        <v>0</v>
      </c>
      <c r="F154" s="821" t="str">
        <f>B182</f>
        <v>NGGT (TO)</v>
      </c>
      <c r="G154" s="203"/>
    </row>
    <row r="155" spans="1:15">
      <c r="A155" s="204"/>
      <c r="B155" s="823" t="str">
        <f t="shared" si="23"/>
        <v>Incentive on connections engagement</v>
      </c>
      <c r="C155" s="207"/>
      <c r="D155" s="207"/>
      <c r="E155" s="808" t="b">
        <f>OR((LEFT('RFPR cover'!$C$6,2)=Data!F155),'RFPR cover'!$C$5=Data!F155)</f>
        <v>0</v>
      </c>
      <c r="F155" s="809" t="str">
        <f>E182</f>
        <v>NGGT (SO)</v>
      </c>
      <c r="G155" s="203"/>
    </row>
    <row r="156" spans="1:15">
      <c r="A156" s="204"/>
      <c r="B156" s="823" t="str">
        <f t="shared" si="23"/>
        <v>Time to Connect Incentive</v>
      </c>
      <c r="C156" s="207"/>
      <c r="D156" s="207"/>
      <c r="E156" s="808" t="b">
        <f>OR((LEFT('RFPR cover'!$C$6,2)=Data!F156),'RFPR cover'!$C$5=Data!F156)</f>
        <v>0</v>
      </c>
      <c r="F156" s="809" t="str">
        <f>B192</f>
        <v>NGET (TO)</v>
      </c>
      <c r="G156" s="203"/>
    </row>
    <row r="157" spans="1:15">
      <c r="A157" s="204"/>
      <c r="B157" s="824" t="str">
        <f t="shared" si="23"/>
        <v>Losses discretionary reward scheme</v>
      </c>
      <c r="C157" s="207"/>
      <c r="D157" s="207"/>
      <c r="E157" s="808" t="b">
        <f>OR((LEFT('RFPR cover'!$C$6,2)=Data!F157),'RFPR cover'!$C$5=Data!F157)</f>
        <v>0</v>
      </c>
      <c r="F157" s="809" t="str">
        <f>E192</f>
        <v>NGET (SO)</v>
      </c>
      <c r="G157" s="203"/>
    </row>
    <row r="158" spans="1:15">
      <c r="A158" s="204"/>
      <c r="B158" s="824" t="str">
        <f t="shared" si="23"/>
        <v/>
      </c>
      <c r="C158" s="207"/>
      <c r="D158" s="207"/>
      <c r="E158" s="808" t="b">
        <f>OR((LEFT('RFPR cover'!$C$6,2)=Data!F158),'RFPR cover'!$C$5=Data!F158)</f>
        <v>0</v>
      </c>
      <c r="F158" s="809" t="str">
        <f>B202</f>
        <v>SPT</v>
      </c>
      <c r="G158" s="203"/>
    </row>
    <row r="159" spans="1:15">
      <c r="A159" s="204"/>
      <c r="B159" s="824" t="str">
        <f t="shared" si="23"/>
        <v/>
      </c>
      <c r="C159" s="207"/>
      <c r="D159" s="207"/>
      <c r="E159" s="810" t="b">
        <f>OR((LEFT('RFPR cover'!$C$6,2)=Data!F159),'RFPR cover'!$C$5=Data!F159)</f>
        <v>0</v>
      </c>
      <c r="F159" s="811" t="str">
        <f>E202</f>
        <v>SHET</v>
      </c>
      <c r="G159" s="298"/>
    </row>
    <row r="160" spans="1:15">
      <c r="A160" s="204"/>
      <c r="B160" s="207" t="str">
        <f t="shared" si="23"/>
        <v/>
      </c>
      <c r="C160" s="207"/>
      <c r="D160" s="207"/>
      <c r="E160" s="59"/>
      <c r="F160" s="809"/>
      <c r="G160" s="42"/>
    </row>
    <row r="161" spans="1:7">
      <c r="A161" s="204"/>
      <c r="B161" s="207"/>
      <c r="C161" s="207"/>
      <c r="D161" s="207"/>
      <c r="E161" s="59"/>
      <c r="F161" s="809"/>
      <c r="G161" s="42"/>
    </row>
    <row r="162" spans="1:7" ht="12" customHeight="1">
      <c r="A162" s="204"/>
      <c r="B162" s="965" t="s">
        <v>171</v>
      </c>
      <c r="C162" s="961"/>
      <c r="D162" s="207"/>
      <c r="E162" s="207"/>
    </row>
    <row r="163" spans="1:7">
      <c r="A163" s="204"/>
      <c r="B163" s="966" t="s">
        <v>398</v>
      </c>
      <c r="C163" s="967"/>
      <c r="D163" s="207"/>
      <c r="E163" s="207"/>
    </row>
    <row r="164" spans="1:7">
      <c r="A164" s="204"/>
      <c r="B164" s="966" t="s">
        <v>399</v>
      </c>
      <c r="C164" s="967"/>
      <c r="D164" s="207"/>
      <c r="E164" s="207"/>
    </row>
    <row r="165" spans="1:7">
      <c r="A165" s="204"/>
      <c r="B165" s="968" t="s">
        <v>400</v>
      </c>
      <c r="C165" s="969"/>
      <c r="D165" s="207"/>
      <c r="E165" s="207"/>
    </row>
    <row r="166" spans="1:7">
      <c r="A166" s="204"/>
      <c r="B166" s="968" t="s">
        <v>401</v>
      </c>
      <c r="C166" s="969"/>
      <c r="D166" s="207"/>
      <c r="E166" s="207"/>
    </row>
    <row r="167" spans="1:7">
      <c r="A167" s="204"/>
      <c r="B167" s="968" t="s">
        <v>402</v>
      </c>
      <c r="C167" s="969"/>
      <c r="D167" s="207"/>
      <c r="E167" s="207"/>
    </row>
    <row r="168" spans="1:7">
      <c r="A168" s="204"/>
      <c r="B168" s="968"/>
      <c r="C168" s="969"/>
      <c r="D168" s="207"/>
      <c r="E168" s="207"/>
    </row>
    <row r="169" spans="1:7">
      <c r="A169" s="204"/>
      <c r="B169" s="968"/>
      <c r="C169" s="969"/>
      <c r="D169" s="207"/>
      <c r="E169" s="207"/>
    </row>
    <row r="170" spans="1:7">
      <c r="A170" s="204"/>
      <c r="B170" s="207"/>
      <c r="C170" s="207"/>
      <c r="D170" s="207"/>
      <c r="E170" s="207"/>
    </row>
    <row r="171" spans="1:7">
      <c r="A171" s="204"/>
      <c r="B171" s="207"/>
      <c r="C171" s="207"/>
      <c r="D171" s="207"/>
      <c r="E171" s="207"/>
    </row>
    <row r="172" spans="1:7">
      <c r="A172" s="204"/>
      <c r="B172" s="965" t="s">
        <v>172</v>
      </c>
      <c r="C172" s="961"/>
      <c r="D172" s="207"/>
      <c r="E172" s="207"/>
    </row>
    <row r="173" spans="1:7" ht="12.75" customHeight="1">
      <c r="A173" s="204"/>
      <c r="B173" s="962" t="s">
        <v>222</v>
      </c>
      <c r="C173" s="964"/>
      <c r="D173" s="207"/>
      <c r="E173" s="207"/>
    </row>
    <row r="174" spans="1:7" ht="12.75" customHeight="1">
      <c r="A174" s="204"/>
      <c r="B174" s="956" t="s">
        <v>223</v>
      </c>
      <c r="C174" s="958"/>
      <c r="D174" s="207"/>
      <c r="E174" s="207"/>
    </row>
    <row r="175" spans="1:7" ht="12.75" customHeight="1">
      <c r="A175" s="204"/>
      <c r="B175" s="956" t="s">
        <v>224</v>
      </c>
      <c r="C175" s="958"/>
      <c r="D175" s="207"/>
      <c r="E175" s="207"/>
    </row>
    <row r="176" spans="1:7" ht="12.75" customHeight="1">
      <c r="A176" s="204"/>
      <c r="B176" s="956" t="s">
        <v>225</v>
      </c>
      <c r="C176" s="958"/>
      <c r="D176" s="207"/>
      <c r="E176" s="207"/>
    </row>
    <row r="177" spans="1:9" ht="12.75" customHeight="1">
      <c r="A177" s="204"/>
      <c r="B177" s="953" t="s">
        <v>307</v>
      </c>
      <c r="C177" s="955"/>
      <c r="D177" s="207"/>
      <c r="E177" s="207"/>
    </row>
    <row r="178" spans="1:9" ht="12.75" customHeight="1">
      <c r="A178" s="204"/>
      <c r="B178" s="953"/>
      <c r="C178" s="955"/>
      <c r="D178" s="207"/>
      <c r="E178" s="207"/>
    </row>
    <row r="179" spans="1:9" ht="12.75" customHeight="1">
      <c r="A179" s="204"/>
      <c r="B179" s="953"/>
      <c r="C179" s="955"/>
      <c r="D179" s="207"/>
      <c r="E179" s="207"/>
    </row>
    <row r="180" spans="1:9">
      <c r="A180" s="204"/>
      <c r="B180" s="207"/>
      <c r="C180" s="207"/>
      <c r="D180" s="207"/>
      <c r="E180" s="207"/>
    </row>
    <row r="181" spans="1:9">
      <c r="A181" s="204"/>
      <c r="B181" s="207"/>
      <c r="C181" s="207"/>
      <c r="D181" s="207"/>
      <c r="E181" s="207"/>
    </row>
    <row r="182" spans="1:9">
      <c r="A182" s="204"/>
      <c r="B182" s="959" t="str">
        <f>B95</f>
        <v>NGGT (TO)</v>
      </c>
      <c r="C182" s="991"/>
      <c r="D182" s="207"/>
      <c r="E182" s="959" t="str">
        <f>B96</f>
        <v>NGGT (SO)</v>
      </c>
      <c r="F182" s="960"/>
      <c r="G182" s="960"/>
      <c r="H182" s="960"/>
      <c r="I182" s="961"/>
    </row>
    <row r="183" spans="1:9" ht="12.4" customHeight="1">
      <c r="A183" s="204"/>
      <c r="B183" s="962" t="s">
        <v>218</v>
      </c>
      <c r="C183" s="964"/>
      <c r="D183" s="207"/>
      <c r="E183" s="956" t="s">
        <v>549</v>
      </c>
      <c r="F183" s="957" t="s">
        <v>549</v>
      </c>
      <c r="G183" s="957" t="s">
        <v>549</v>
      </c>
      <c r="H183" s="957" t="s">
        <v>549</v>
      </c>
      <c r="I183" s="958" t="s">
        <v>549</v>
      </c>
    </row>
    <row r="184" spans="1:9" ht="12.4" customHeight="1">
      <c r="A184" s="204"/>
      <c r="B184" s="956" t="s">
        <v>226</v>
      </c>
      <c r="C184" s="958"/>
      <c r="D184" s="207"/>
      <c r="E184" s="956" t="s">
        <v>550</v>
      </c>
      <c r="F184" s="957" t="s">
        <v>550</v>
      </c>
      <c r="G184" s="957" t="s">
        <v>550</v>
      </c>
      <c r="H184" s="957" t="s">
        <v>550</v>
      </c>
      <c r="I184" s="958" t="s">
        <v>550</v>
      </c>
    </row>
    <row r="185" spans="1:9" ht="12.4" customHeight="1">
      <c r="A185" s="204"/>
      <c r="B185" s="956"/>
      <c r="C185" s="958"/>
      <c r="D185" s="207"/>
      <c r="E185" s="956" t="s">
        <v>551</v>
      </c>
      <c r="F185" s="957" t="s">
        <v>551</v>
      </c>
      <c r="G185" s="957" t="s">
        <v>551</v>
      </c>
      <c r="H185" s="957" t="s">
        <v>551</v>
      </c>
      <c r="I185" s="958" t="s">
        <v>551</v>
      </c>
    </row>
    <row r="186" spans="1:9" ht="12.4" customHeight="1">
      <c r="A186" s="204"/>
      <c r="B186" s="956"/>
      <c r="C186" s="958"/>
      <c r="D186" s="207"/>
      <c r="E186" s="956" t="s">
        <v>552</v>
      </c>
      <c r="F186" s="957" t="s">
        <v>552</v>
      </c>
      <c r="G186" s="957" t="s">
        <v>552</v>
      </c>
      <c r="H186" s="957" t="s">
        <v>552</v>
      </c>
      <c r="I186" s="958" t="s">
        <v>552</v>
      </c>
    </row>
    <row r="187" spans="1:9" ht="12.4" customHeight="1">
      <c r="A187" s="204"/>
      <c r="B187" s="953"/>
      <c r="C187" s="955"/>
      <c r="D187" s="207"/>
      <c r="E187" s="956" t="s">
        <v>553</v>
      </c>
      <c r="F187" s="957" t="s">
        <v>553</v>
      </c>
      <c r="G187" s="957" t="s">
        <v>553</v>
      </c>
      <c r="H187" s="957" t="s">
        <v>553</v>
      </c>
      <c r="I187" s="958" t="s">
        <v>553</v>
      </c>
    </row>
    <row r="188" spans="1:9" ht="12.4" customHeight="1">
      <c r="A188" s="204"/>
      <c r="B188" s="953"/>
      <c r="C188" s="955"/>
      <c r="D188" s="207"/>
      <c r="E188" s="956" t="s">
        <v>554</v>
      </c>
      <c r="F188" s="957" t="s">
        <v>554</v>
      </c>
      <c r="G188" s="957" t="s">
        <v>554</v>
      </c>
      <c r="H188" s="957" t="s">
        <v>554</v>
      </c>
      <c r="I188" s="958" t="s">
        <v>554</v>
      </c>
    </row>
    <row r="189" spans="1:9" ht="12.4" customHeight="1">
      <c r="A189" s="204"/>
      <c r="B189" s="953"/>
      <c r="C189" s="955"/>
      <c r="D189" s="207"/>
      <c r="E189" s="956" t="s">
        <v>555</v>
      </c>
      <c r="F189" s="957" t="s">
        <v>555</v>
      </c>
      <c r="G189" s="957" t="s">
        <v>555</v>
      </c>
      <c r="H189" s="957" t="s">
        <v>555</v>
      </c>
      <c r="I189" s="958" t="s">
        <v>555</v>
      </c>
    </row>
    <row r="190" spans="1:9">
      <c r="A190" s="204"/>
      <c r="B190" s="207"/>
      <c r="C190" s="207"/>
      <c r="D190" s="207"/>
      <c r="E190" s="207"/>
    </row>
    <row r="191" spans="1:9">
      <c r="A191" s="204"/>
      <c r="B191" s="207"/>
      <c r="C191" s="207"/>
      <c r="D191" s="207"/>
      <c r="E191" s="207"/>
    </row>
    <row r="192" spans="1:9">
      <c r="A192" s="204"/>
      <c r="B192" s="959" t="str">
        <f>B97</f>
        <v>NGET (TO)</v>
      </c>
      <c r="C192" s="991"/>
      <c r="D192" s="207"/>
      <c r="E192" s="959" t="str">
        <f>B98</f>
        <v>NGET (SO)</v>
      </c>
      <c r="F192" s="960"/>
      <c r="G192" s="960"/>
      <c r="H192" s="960"/>
      <c r="I192" s="961"/>
    </row>
    <row r="193" spans="1:9" ht="12.75" customHeight="1">
      <c r="A193" s="204"/>
      <c r="B193" s="962" t="s">
        <v>217</v>
      </c>
      <c r="C193" s="964"/>
      <c r="D193" s="207"/>
      <c r="E193" s="956" t="s">
        <v>556</v>
      </c>
      <c r="F193" s="957" t="s">
        <v>556</v>
      </c>
      <c r="G193" s="957" t="s">
        <v>556</v>
      </c>
      <c r="H193" s="957" t="s">
        <v>556</v>
      </c>
      <c r="I193" s="958" t="s">
        <v>556</v>
      </c>
    </row>
    <row r="194" spans="1:9" ht="12.75" customHeight="1">
      <c r="A194" s="204"/>
      <c r="B194" s="956" t="s">
        <v>218</v>
      </c>
      <c r="C194" s="958"/>
      <c r="D194" s="207"/>
      <c r="E194" s="956" t="s">
        <v>557</v>
      </c>
      <c r="F194" s="957" t="s">
        <v>557</v>
      </c>
      <c r="G194" s="957" t="s">
        <v>557</v>
      </c>
      <c r="H194" s="957" t="s">
        <v>557</v>
      </c>
      <c r="I194" s="958" t="s">
        <v>557</v>
      </c>
    </row>
    <row r="195" spans="1:9" ht="12.75" customHeight="1">
      <c r="A195" s="204"/>
      <c r="B195" s="956" t="s">
        <v>219</v>
      </c>
      <c r="C195" s="958"/>
      <c r="D195" s="207"/>
      <c r="E195" s="956" t="s">
        <v>558</v>
      </c>
      <c r="F195" s="957" t="s">
        <v>558</v>
      </c>
      <c r="G195" s="957" t="s">
        <v>558</v>
      </c>
      <c r="H195" s="957" t="s">
        <v>558</v>
      </c>
      <c r="I195" s="958" t="s">
        <v>558</v>
      </c>
    </row>
    <row r="196" spans="1:9" ht="12.75" customHeight="1">
      <c r="A196" s="204"/>
      <c r="B196" s="956" t="s">
        <v>220</v>
      </c>
      <c r="C196" s="958"/>
      <c r="D196" s="207"/>
      <c r="E196" s="956"/>
      <c r="F196" s="957"/>
      <c r="G196" s="957"/>
      <c r="H196" s="957"/>
      <c r="I196" s="958"/>
    </row>
    <row r="197" spans="1:9" ht="12.75" customHeight="1">
      <c r="A197" s="204"/>
      <c r="B197" s="953"/>
      <c r="C197" s="955"/>
      <c r="D197" s="207"/>
      <c r="E197" s="953"/>
      <c r="F197" s="954"/>
      <c r="G197" s="954"/>
      <c r="H197" s="954"/>
      <c r="I197" s="955"/>
    </row>
    <row r="198" spans="1:9" ht="12.75" customHeight="1">
      <c r="A198" s="204"/>
      <c r="B198" s="953"/>
      <c r="C198" s="955"/>
      <c r="D198" s="207"/>
      <c r="E198" s="953"/>
      <c r="F198" s="954"/>
      <c r="G198" s="954"/>
      <c r="H198" s="954"/>
      <c r="I198" s="955"/>
    </row>
    <row r="199" spans="1:9" ht="12.75" customHeight="1">
      <c r="A199" s="204"/>
      <c r="B199" s="953"/>
      <c r="C199" s="955"/>
      <c r="D199" s="207"/>
      <c r="E199" s="953"/>
      <c r="F199" s="954"/>
      <c r="G199" s="954"/>
      <c r="H199" s="954"/>
      <c r="I199" s="955"/>
    </row>
    <row r="200" spans="1:9" s="31" customFormat="1" ht="12.75" customHeight="1">
      <c r="A200" s="798"/>
      <c r="B200" s="798"/>
      <c r="C200" s="798"/>
      <c r="D200" s="799"/>
      <c r="E200" s="800"/>
      <c r="F200" s="800"/>
      <c r="G200" s="800"/>
      <c r="H200" s="800"/>
      <c r="I200" s="800"/>
    </row>
    <row r="201" spans="1:9" s="31" customFormat="1" ht="12.75" customHeight="1">
      <c r="A201" s="798"/>
      <c r="B201" s="798"/>
      <c r="C201" s="798"/>
      <c r="D201" s="799"/>
      <c r="E201" s="800"/>
      <c r="F201" s="800"/>
      <c r="G201" s="800"/>
      <c r="H201" s="800"/>
      <c r="I201" s="800"/>
    </row>
    <row r="202" spans="1:9">
      <c r="A202" s="204"/>
      <c r="B202" s="959" t="str">
        <f>B145</f>
        <v>SPT</v>
      </c>
      <c r="C202" s="991"/>
      <c r="D202" s="207"/>
      <c r="E202" s="959" t="str">
        <f>B100</f>
        <v>SHET</v>
      </c>
      <c r="F202" s="960"/>
      <c r="G202" s="960"/>
      <c r="H202" s="960"/>
      <c r="I202" s="961"/>
    </row>
    <row r="203" spans="1:9" ht="12.75" customHeight="1">
      <c r="A203" s="204"/>
      <c r="B203" s="962" t="s">
        <v>217</v>
      </c>
      <c r="C203" s="964"/>
      <c r="D203" s="207"/>
      <c r="E203" s="962" t="s">
        <v>217</v>
      </c>
      <c r="F203" s="963"/>
      <c r="G203" s="963"/>
      <c r="H203" s="963"/>
      <c r="I203" s="964"/>
    </row>
    <row r="204" spans="1:9" ht="12.75" customHeight="1">
      <c r="A204" s="204"/>
      <c r="B204" s="956" t="s">
        <v>218</v>
      </c>
      <c r="C204" s="958"/>
      <c r="D204" s="207"/>
      <c r="E204" s="956" t="s">
        <v>218</v>
      </c>
      <c r="F204" s="957"/>
      <c r="G204" s="957"/>
      <c r="H204" s="957"/>
      <c r="I204" s="958"/>
    </row>
    <row r="205" spans="1:9" ht="12.75" customHeight="1">
      <c r="A205" s="204"/>
      <c r="B205" s="956" t="s">
        <v>219</v>
      </c>
      <c r="C205" s="958"/>
      <c r="D205" s="207"/>
      <c r="E205" s="956" t="s">
        <v>219</v>
      </c>
      <c r="F205" s="957"/>
      <c r="G205" s="957"/>
      <c r="H205" s="957"/>
      <c r="I205" s="958"/>
    </row>
    <row r="206" spans="1:9" ht="12.75" customHeight="1">
      <c r="A206" s="204"/>
      <c r="B206" s="956" t="s">
        <v>220</v>
      </c>
      <c r="C206" s="958"/>
      <c r="D206" s="207"/>
      <c r="E206" s="956" t="s">
        <v>220</v>
      </c>
      <c r="F206" s="957"/>
      <c r="G206" s="957"/>
      <c r="H206" s="957"/>
      <c r="I206" s="958"/>
    </row>
    <row r="207" spans="1:9" ht="12.75" customHeight="1">
      <c r="A207" s="204"/>
      <c r="B207" s="953" t="s">
        <v>221</v>
      </c>
      <c r="C207" s="955"/>
      <c r="D207" s="207"/>
      <c r="E207" s="953" t="s">
        <v>221</v>
      </c>
      <c r="F207" s="954"/>
      <c r="G207" s="954"/>
      <c r="H207" s="954"/>
      <c r="I207" s="955"/>
    </row>
    <row r="208" spans="1:9" ht="12.75" customHeight="1">
      <c r="A208" s="204"/>
      <c r="B208" s="953"/>
      <c r="C208" s="955"/>
      <c r="D208" s="207"/>
      <c r="E208" s="953"/>
      <c r="F208" s="954"/>
      <c r="G208" s="954"/>
      <c r="H208" s="954"/>
      <c r="I208" s="955"/>
    </row>
    <row r="209" spans="1:14" ht="12.75" customHeight="1">
      <c r="A209" s="204"/>
      <c r="B209" s="953"/>
      <c r="C209" s="955"/>
      <c r="D209" s="207"/>
      <c r="E209" s="953"/>
      <c r="F209" s="954"/>
      <c r="G209" s="954"/>
      <c r="H209" s="954"/>
      <c r="I209" s="955"/>
    </row>
    <row r="210" spans="1:14">
      <c r="A210" s="204"/>
      <c r="D210" s="207"/>
      <c r="E210" s="207"/>
    </row>
    <row r="211" spans="1:14">
      <c r="A211" s="204"/>
      <c r="D211" s="207"/>
      <c r="E211" s="207"/>
    </row>
    <row r="212" spans="1:14" ht="12.75" customHeight="1">
      <c r="A212" s="204"/>
      <c r="B212" s="990" t="s">
        <v>239</v>
      </c>
      <c r="C212" s="990"/>
      <c r="D212" s="990"/>
      <c r="E212" s="286"/>
      <c r="F212" s="218"/>
      <c r="G212" s="218"/>
      <c r="H212" s="218"/>
      <c r="I212" s="218"/>
      <c r="J212" s="218"/>
      <c r="K212" s="218"/>
      <c r="L212" s="218"/>
      <c r="M212" s="218"/>
      <c r="N212" s="218"/>
    </row>
    <row r="213" spans="1:14">
      <c r="A213" s="204"/>
      <c r="B213" s="207"/>
      <c r="C213" s="207"/>
      <c r="D213" s="207"/>
      <c r="E213" s="207"/>
    </row>
    <row r="214" spans="1:14" ht="25.5">
      <c r="A214" s="204"/>
      <c r="B214" s="209" t="s">
        <v>129</v>
      </c>
      <c r="C214" s="208" t="s">
        <v>207</v>
      </c>
      <c r="D214" s="207"/>
      <c r="E214" s="207"/>
    </row>
    <row r="215" spans="1:14" ht="25.5">
      <c r="A215" s="204"/>
      <c r="B215" s="210" t="s">
        <v>130</v>
      </c>
      <c r="C215" s="291" t="s">
        <v>208</v>
      </c>
      <c r="D215" s="207"/>
      <c r="E215" s="207"/>
    </row>
    <row r="216" spans="1:14">
      <c r="B216" s="306"/>
      <c r="C216" s="42"/>
      <c r="D216" s="42"/>
      <c r="E216" s="42"/>
      <c r="F216" s="42"/>
      <c r="G216" s="42"/>
      <c r="H216" s="42"/>
      <c r="I216" s="42"/>
      <c r="J216" s="42"/>
    </row>
    <row r="217" spans="1:14">
      <c r="B217" s="205"/>
      <c r="I217" s="67"/>
    </row>
    <row r="218" spans="1:14">
      <c r="B218" s="814" t="s">
        <v>405</v>
      </c>
      <c r="I218" s="67"/>
    </row>
    <row r="219" spans="1:14">
      <c r="B219" s="816" t="s">
        <v>289</v>
      </c>
    </row>
    <row r="220" spans="1:14">
      <c r="B220" s="817" t="s">
        <v>288</v>
      </c>
    </row>
    <row r="221" spans="1:14">
      <c r="B221" s="820" t="s">
        <v>286</v>
      </c>
    </row>
    <row r="222" spans="1:14">
      <c r="B222" s="818"/>
    </row>
    <row r="223" spans="1:14">
      <c r="B223" s="214"/>
    </row>
    <row r="224" spans="1:14">
      <c r="B224" s="815" t="s">
        <v>284</v>
      </c>
    </row>
    <row r="225" spans="2:2">
      <c r="B225" s="819" t="s">
        <v>406</v>
      </c>
    </row>
    <row r="226" spans="2:2">
      <c r="B226" s="817" t="s">
        <v>407</v>
      </c>
    </row>
    <row r="227" spans="2:2">
      <c r="B227" s="817" t="s">
        <v>295</v>
      </c>
    </row>
    <row r="228" spans="2:2">
      <c r="B228" s="817" t="s">
        <v>408</v>
      </c>
    </row>
    <row r="229" spans="2:2">
      <c r="B229" s="817" t="s">
        <v>409</v>
      </c>
    </row>
    <row r="230" spans="2:2">
      <c r="B230" s="817" t="s">
        <v>287</v>
      </c>
    </row>
    <row r="231" spans="2:2">
      <c r="B231" s="817" t="s">
        <v>410</v>
      </c>
    </row>
    <row r="232" spans="2:2">
      <c r="B232" s="817"/>
    </row>
    <row r="233" spans="2:2">
      <c r="B233" s="818"/>
    </row>
    <row r="234" spans="2:2">
      <c r="B234" s="214"/>
    </row>
    <row r="235" spans="2:2">
      <c r="B235" s="815" t="s">
        <v>294</v>
      </c>
    </row>
    <row r="236" spans="2:2">
      <c r="B236" s="819" t="s">
        <v>411</v>
      </c>
    </row>
    <row r="237" spans="2:2">
      <c r="B237" s="817" t="s">
        <v>412</v>
      </c>
    </row>
    <row r="238" spans="2:2">
      <c r="B238" s="817" t="s">
        <v>413</v>
      </c>
    </row>
    <row r="239" spans="2:2">
      <c r="B239" s="817" t="s">
        <v>414</v>
      </c>
    </row>
    <row r="240" spans="2:2">
      <c r="B240" s="817" t="s">
        <v>415</v>
      </c>
    </row>
    <row r="241" spans="2:2">
      <c r="B241" s="818"/>
    </row>
    <row r="242" spans="2:2">
      <c r="B242" s="214"/>
    </row>
    <row r="243" spans="2:2">
      <c r="B243" s="815" t="s">
        <v>416</v>
      </c>
    </row>
    <row r="244" spans="2:2">
      <c r="B244" s="819" t="s">
        <v>417</v>
      </c>
    </row>
    <row r="245" spans="2:2">
      <c r="B245" s="817" t="s">
        <v>418</v>
      </c>
    </row>
    <row r="246" spans="2:2">
      <c r="B246" s="818"/>
    </row>
    <row r="247" spans="2:2">
      <c r="B247" s="214"/>
    </row>
    <row r="248" spans="2:2">
      <c r="B248" s="815" t="s">
        <v>419</v>
      </c>
    </row>
    <row r="249" spans="2:2">
      <c r="B249" s="819" t="s">
        <v>460</v>
      </c>
    </row>
    <row r="250" spans="2:2">
      <c r="B250" s="817" t="s">
        <v>459</v>
      </c>
    </row>
    <row r="251" spans="2:2">
      <c r="B251" s="818" t="s">
        <v>269</v>
      </c>
    </row>
    <row r="252" spans="2:2">
      <c r="B252" s="214"/>
    </row>
    <row r="253" spans="2:2">
      <c r="B253" s="815" t="s">
        <v>285</v>
      </c>
    </row>
    <row r="254" spans="2:2">
      <c r="B254" s="819" t="s">
        <v>420</v>
      </c>
    </row>
    <row r="255" spans="2:2">
      <c r="B255" s="817" t="s">
        <v>464</v>
      </c>
    </row>
    <row r="256" spans="2:2">
      <c r="B256" s="817"/>
    </row>
    <row r="257" spans="2:2">
      <c r="B257" s="818"/>
    </row>
    <row r="258" spans="2:2">
      <c r="B258" s="214"/>
    </row>
    <row r="259" spans="2:2">
      <c r="B259" s="815" t="s">
        <v>290</v>
      </c>
    </row>
    <row r="260" spans="2:2">
      <c r="B260" s="819" t="s">
        <v>291</v>
      </c>
    </row>
    <row r="261" spans="2:2">
      <c r="B261" s="817" t="s">
        <v>296</v>
      </c>
    </row>
    <row r="262" spans="2:2">
      <c r="B262" s="817"/>
    </row>
    <row r="263" spans="2:2">
      <c r="B263" s="818"/>
    </row>
    <row r="264" spans="2:2">
      <c r="B264" s="214"/>
    </row>
    <row r="265" spans="2:2">
      <c r="B265" s="815" t="s">
        <v>421</v>
      </c>
    </row>
    <row r="266" spans="2:2">
      <c r="B266" s="819" t="s">
        <v>289</v>
      </c>
    </row>
    <row r="267" spans="2:2">
      <c r="B267" s="817" t="s">
        <v>288</v>
      </c>
    </row>
    <row r="268" spans="2:2">
      <c r="B268" s="818"/>
    </row>
  </sheetData>
  <mergeCells count="76">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 ref="B193:C193"/>
    <mergeCell ref="B188:C188"/>
    <mergeCell ref="B189:C189"/>
    <mergeCell ref="B207:C207"/>
    <mergeCell ref="B204:C204"/>
    <mergeCell ref="B203:C203"/>
    <mergeCell ref="B202:C202"/>
    <mergeCell ref="B197:C197"/>
    <mergeCell ref="B199:C199"/>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K38:M38"/>
    <mergeCell ref="K39:M39"/>
    <mergeCell ref="K71:T71"/>
    <mergeCell ref="G54:I54"/>
    <mergeCell ref="G55:I55"/>
    <mergeCell ref="G56:I56"/>
    <mergeCell ref="G57:I57"/>
    <mergeCell ref="J54:K54"/>
    <mergeCell ref="J55:K55"/>
    <mergeCell ref="J56:K56"/>
    <mergeCell ref="J57:K57"/>
    <mergeCell ref="E182:I182"/>
    <mergeCell ref="E183:I183"/>
    <mergeCell ref="E184:I184"/>
    <mergeCell ref="E185:I185"/>
    <mergeCell ref="E186:I186"/>
    <mergeCell ref="B162:C162"/>
    <mergeCell ref="B163:C163"/>
    <mergeCell ref="B167:C167"/>
    <mergeCell ref="B166:C166"/>
    <mergeCell ref="B165:C165"/>
    <mergeCell ref="B164:C164"/>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s>
  <conditionalFormatting sqref="C105:J105">
    <cfRule type="expression" dxfId="71" priority="20">
      <formula>AND(#REF!="Actuals",#REF!="Forecast")</formula>
    </cfRule>
  </conditionalFormatting>
  <conditionalFormatting sqref="C47">
    <cfRule type="expression" dxfId="70" priority="18">
      <formula>AND(#REF!="Actuals",#REF!="Forecast")</formula>
    </cfRule>
  </conditionalFormatting>
  <conditionalFormatting sqref="C50:J50">
    <cfRule type="expression" dxfId="69" priority="17">
      <formula>AND(#REF!="Actuals",#REF!="Forecast")</formula>
    </cfRule>
  </conditionalFormatting>
  <conditionalFormatting sqref="B14:D30">
    <cfRule type="cellIs" dxfId="68" priority="14" operator="equal">
      <formula>"Forecast"</formula>
    </cfRule>
  </conditionalFormatting>
  <conditionalFormatting sqref="B23:C30 E25:F27">
    <cfRule type="expression" dxfId="67" priority="111">
      <formula>$D13="Forecast"</formula>
    </cfRule>
  </conditionalFormatting>
  <conditionalFormatting sqref="K71">
    <cfRule type="expression" dxfId="66" priority="5">
      <formula>AND(#REF!="Actuals",#REF!="Forecast")</formula>
    </cfRule>
  </conditionalFormatting>
  <conditionalFormatting sqref="K72:T72">
    <cfRule type="expression" dxfId="65" priority="4">
      <formula>AND(#REF!="Actuals",#REF!="Forecast")</formula>
    </cfRule>
  </conditionalFormatting>
  <conditionalFormatting sqref="C62:L62">
    <cfRule type="expression" dxfId="64" priority="3">
      <formula>AND(#REF!="Actuals",#REF!="Forecast")</formula>
    </cfRule>
  </conditionalFormatting>
  <conditionalFormatting sqref="C118:L118">
    <cfRule type="expression" dxfId="63" priority="1">
      <formula>AND(#REF!="Actuals",#REF!="Forecast")</formula>
    </cfRule>
  </conditionalFormatting>
  <hyperlinks>
    <hyperlink ref="K39" r:id="rId1" display="August 2018 Publication" xr:uid="{00000000-0004-0000-0100-000000000000}"/>
    <hyperlink ref="K39:M39" r:id="rId2" display="December 2019 Publication" xr:uid="{00000000-0004-0000-0100-000001000000}"/>
  </hyperlinks>
  <pageMargins left="0.7" right="0.7" top="0.75" bottom="0.75" header="0.3" footer="0.3"/>
  <pageSetup paperSize="9" orientation="portrait" r:id="rId3"/>
  <extLst>
    <ext xmlns:x14="http://schemas.microsoft.com/office/spreadsheetml/2009/9/main" uri="{78C0D931-6437-407d-A8EE-F0AAD7539E65}">
      <x14:conditionalFormattings>
        <x14:conditionalFormatting xmlns:xm="http://schemas.microsoft.com/office/excel/2006/main">
          <x14:cfRule type="expression" priority="10"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8"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35"/>
  <sheetViews>
    <sheetView showGridLines="0" zoomScale="80" zoomScaleNormal="80" workbookViewId="0">
      <pane ySplit="3" topLeftCell="A4" activePane="bottomLeft" state="frozen"/>
      <selection activeCell="B75" sqref="A1:XFD1048576"/>
      <selection pane="bottomLeft" sqref="A1:H3"/>
    </sheetView>
  </sheetViews>
  <sheetFormatPr defaultRowHeight="12.75"/>
  <cols>
    <col min="1" max="1" width="8.375" customWidth="1"/>
    <col min="2" max="2" width="23.75" customWidth="1"/>
    <col min="3" max="3" width="25.75" customWidth="1"/>
    <col min="4" max="4" width="9.75" customWidth="1"/>
  </cols>
  <sheetData>
    <row r="1" spans="1:14" s="31" customFormat="1" ht="20.25">
      <c r="A1" s="912" t="s">
        <v>83</v>
      </c>
      <c r="B1" s="912"/>
      <c r="C1" s="912"/>
      <c r="D1" s="912"/>
      <c r="E1" s="912"/>
      <c r="F1" s="912"/>
      <c r="G1" s="912"/>
      <c r="H1" s="912"/>
      <c r="I1" s="32" t="s">
        <v>84</v>
      </c>
      <c r="J1" s="33"/>
      <c r="K1" s="33"/>
      <c r="L1" s="33"/>
      <c r="M1" s="33"/>
    </row>
    <row r="2" spans="1:14" s="31" customFormat="1" ht="20.25">
      <c r="A2" s="912" t="str">
        <f>'RFPR cover'!C5</f>
        <v>ENWL</v>
      </c>
      <c r="B2" s="912"/>
      <c r="C2" s="912"/>
      <c r="D2" s="912"/>
      <c r="E2" s="912"/>
      <c r="F2" s="912"/>
      <c r="G2" s="912"/>
      <c r="H2" s="912"/>
      <c r="I2" s="33"/>
      <c r="J2" s="33"/>
      <c r="K2" s="33"/>
      <c r="L2" s="33"/>
      <c r="M2" s="33"/>
      <c r="N2" s="367"/>
    </row>
    <row r="3" spans="1:14" s="31" customFormat="1" ht="20.25">
      <c r="A3" s="912">
        <f>'RFPR cover'!C7</f>
        <v>2020</v>
      </c>
      <c r="B3" s="912"/>
      <c r="C3" s="912"/>
      <c r="D3" s="912"/>
      <c r="E3" s="912"/>
      <c r="F3" s="912"/>
      <c r="G3" s="912"/>
      <c r="H3" s="912"/>
      <c r="I3" s="33"/>
      <c r="J3" s="33"/>
      <c r="K3" s="33"/>
      <c r="L3" s="33"/>
      <c r="M3" s="33"/>
      <c r="N3" s="367"/>
    </row>
    <row r="4" spans="1:14">
      <c r="A4" s="24"/>
      <c r="B4" s="24"/>
      <c r="C4" s="24"/>
      <c r="D4" s="24"/>
      <c r="E4" s="24"/>
      <c r="F4" s="24"/>
      <c r="G4" s="24"/>
      <c r="H4" s="24"/>
      <c r="I4" s="550"/>
      <c r="J4" s="550"/>
      <c r="K4" s="550"/>
      <c r="L4" s="550"/>
      <c r="M4" s="550"/>
      <c r="N4" s="42"/>
    </row>
    <row r="5" spans="1:14">
      <c r="A5" s="24"/>
      <c r="B5" s="24"/>
      <c r="C5" s="24"/>
      <c r="D5" s="24"/>
      <c r="E5" s="24"/>
      <c r="F5" s="24"/>
      <c r="G5" s="24"/>
      <c r="H5" s="24"/>
      <c r="I5" s="550"/>
      <c r="J5" s="550"/>
      <c r="K5" s="550"/>
      <c r="L5" s="550"/>
      <c r="M5" s="550"/>
      <c r="N5" s="42"/>
    </row>
    <row r="6" spans="1:14">
      <c r="A6" s="24"/>
      <c r="B6" s="25" t="s">
        <v>85</v>
      </c>
      <c r="C6" s="24"/>
      <c r="D6" s="24"/>
      <c r="E6" s="24"/>
      <c r="F6" s="24"/>
      <c r="G6" s="24"/>
      <c r="H6" s="24"/>
      <c r="I6" s="550"/>
      <c r="J6" s="550"/>
      <c r="K6" s="550"/>
      <c r="L6" s="550"/>
      <c r="M6" s="550"/>
      <c r="N6" s="42"/>
    </row>
    <row r="7" spans="1:14">
      <c r="A7" s="24"/>
      <c r="B7" s="24"/>
      <c r="C7" s="24"/>
      <c r="D7" s="24"/>
      <c r="E7" s="24"/>
      <c r="F7" s="24"/>
      <c r="G7" s="24"/>
      <c r="H7" s="24"/>
      <c r="I7" s="550"/>
      <c r="J7" s="550"/>
      <c r="K7" s="550"/>
      <c r="L7" s="550"/>
      <c r="M7" s="550"/>
      <c r="N7" s="42"/>
    </row>
    <row r="8" spans="1:14">
      <c r="A8" s="24"/>
      <c r="B8" s="47" t="s">
        <v>86</v>
      </c>
      <c r="C8" s="47" t="s">
        <v>87</v>
      </c>
      <c r="D8" s="994" t="s">
        <v>88</v>
      </c>
      <c r="E8" s="995"/>
      <c r="F8" s="995"/>
      <c r="G8" s="995"/>
      <c r="H8" s="995"/>
      <c r="I8" s="550"/>
      <c r="J8" s="550"/>
      <c r="K8" s="550"/>
      <c r="L8" s="550"/>
      <c r="M8" s="550"/>
      <c r="N8" s="42"/>
    </row>
    <row r="9" spans="1:14">
      <c r="A9" s="24"/>
      <c r="B9" s="26" t="s">
        <v>89</v>
      </c>
      <c r="C9" s="46"/>
      <c r="D9" s="992"/>
      <c r="E9" s="993"/>
      <c r="F9" s="993"/>
      <c r="G9" s="993"/>
      <c r="H9" s="993"/>
      <c r="I9" s="24"/>
      <c r="J9" s="24"/>
      <c r="K9" s="24"/>
      <c r="L9" s="24"/>
      <c r="M9" s="24"/>
    </row>
    <row r="10" spans="1:14">
      <c r="A10" s="24"/>
      <c r="B10" s="26" t="s">
        <v>90</v>
      </c>
      <c r="C10" s="46"/>
      <c r="D10" s="992"/>
      <c r="E10" s="993"/>
      <c r="F10" s="993"/>
      <c r="G10" s="993"/>
      <c r="H10" s="993"/>
      <c r="I10" s="24"/>
      <c r="J10" s="24"/>
      <c r="K10" s="24"/>
      <c r="L10" s="24"/>
      <c r="M10" s="24"/>
    </row>
    <row r="11" spans="1:14">
      <c r="A11" s="24"/>
      <c r="B11" s="26" t="s">
        <v>91</v>
      </c>
      <c r="C11" s="46"/>
      <c r="D11" s="992"/>
      <c r="E11" s="993"/>
      <c r="F11" s="993"/>
      <c r="G11" s="993"/>
      <c r="H11" s="993"/>
      <c r="I11" s="24"/>
      <c r="J11" s="24"/>
      <c r="K11" s="24"/>
      <c r="L11" s="24"/>
      <c r="M11" s="24"/>
    </row>
    <row r="12" spans="1:14">
      <c r="A12" s="24"/>
      <c r="B12" s="26" t="s">
        <v>92</v>
      </c>
      <c r="C12" s="46"/>
      <c r="D12" s="992"/>
      <c r="E12" s="993"/>
      <c r="F12" s="993"/>
      <c r="G12" s="993"/>
      <c r="H12" s="993"/>
      <c r="I12" s="24"/>
      <c r="J12" s="24"/>
      <c r="K12" s="24"/>
      <c r="L12" s="24"/>
      <c r="M12" s="24"/>
    </row>
    <row r="13" spans="1:14">
      <c r="A13" s="24"/>
      <c r="B13" s="26" t="s">
        <v>93</v>
      </c>
      <c r="C13" s="46"/>
      <c r="D13" s="992"/>
      <c r="E13" s="993"/>
      <c r="F13" s="993"/>
      <c r="G13" s="993"/>
      <c r="H13" s="993"/>
      <c r="I13" s="24"/>
      <c r="J13" s="24"/>
      <c r="K13" s="24"/>
      <c r="L13" s="24"/>
      <c r="M13" s="24"/>
    </row>
    <row r="14" spans="1:14">
      <c r="A14" s="24"/>
      <c r="B14" s="26" t="s">
        <v>94</v>
      </c>
      <c r="C14" s="46"/>
      <c r="D14" s="992"/>
      <c r="E14" s="993"/>
      <c r="F14" s="993"/>
      <c r="G14" s="993"/>
      <c r="H14" s="993"/>
      <c r="I14" s="24"/>
      <c r="J14" s="24"/>
      <c r="K14" s="24"/>
      <c r="L14" s="24"/>
      <c r="M14" s="24"/>
    </row>
    <row r="15" spans="1:14">
      <c r="A15" s="24"/>
      <c r="B15" s="26" t="s">
        <v>95</v>
      </c>
      <c r="C15" s="46"/>
      <c r="D15" s="992"/>
      <c r="E15" s="993"/>
      <c r="F15" s="993"/>
      <c r="G15" s="993"/>
      <c r="H15" s="993"/>
      <c r="I15" s="24"/>
      <c r="J15" s="24"/>
      <c r="K15" s="24"/>
      <c r="L15" s="24"/>
      <c r="M15" s="24"/>
    </row>
    <row r="16" spans="1:14">
      <c r="A16" s="24"/>
      <c r="B16" s="26" t="s">
        <v>96</v>
      </c>
      <c r="C16" s="46"/>
      <c r="D16" s="992"/>
      <c r="E16" s="993"/>
      <c r="F16" s="993"/>
      <c r="G16" s="993"/>
      <c r="H16" s="993"/>
      <c r="I16" s="24"/>
      <c r="J16" s="24"/>
      <c r="K16" s="24"/>
      <c r="L16" s="24"/>
      <c r="M16" s="24"/>
    </row>
    <row r="17" spans="1:13">
      <c r="A17" s="24"/>
      <c r="B17" s="26" t="s">
        <v>97</v>
      </c>
      <c r="C17" s="46"/>
      <c r="D17" s="992"/>
      <c r="E17" s="993"/>
      <c r="F17" s="993"/>
      <c r="G17" s="993"/>
      <c r="H17" s="993"/>
      <c r="I17" s="24"/>
      <c r="J17" s="24"/>
      <c r="K17" s="24"/>
      <c r="L17" s="24"/>
      <c r="M17" s="24"/>
    </row>
    <row r="18" spans="1:13">
      <c r="A18" s="24"/>
      <c r="B18" s="26" t="s">
        <v>98</v>
      </c>
      <c r="C18" s="46"/>
      <c r="D18" s="992"/>
      <c r="E18" s="993"/>
      <c r="F18" s="993"/>
      <c r="G18" s="993"/>
      <c r="H18" s="993"/>
      <c r="I18" s="24"/>
      <c r="J18" s="24"/>
      <c r="K18" s="24"/>
      <c r="L18" s="24"/>
      <c r="M18" s="24"/>
    </row>
    <row r="19" spans="1:13">
      <c r="A19" s="24"/>
      <c r="B19" s="24"/>
      <c r="C19" s="24"/>
      <c r="D19" s="24"/>
      <c r="E19" s="24"/>
      <c r="F19" s="24"/>
      <c r="G19" s="24"/>
      <c r="H19" s="24"/>
      <c r="I19" s="24"/>
      <c r="J19" s="24"/>
      <c r="K19" s="24"/>
      <c r="L19" s="24"/>
      <c r="M19" s="24"/>
    </row>
    <row r="20" spans="1:13">
      <c r="A20" s="24"/>
      <c r="B20" s="214"/>
      <c r="C20" s="24"/>
      <c r="D20" s="24"/>
      <c r="E20" s="24"/>
      <c r="F20" s="24"/>
      <c r="G20" s="24"/>
      <c r="H20" s="24"/>
      <c r="I20" s="24"/>
      <c r="J20" s="24"/>
      <c r="K20" s="24"/>
      <c r="L20" s="24"/>
    </row>
    <row r="21" spans="1:13">
      <c r="A21" s="24"/>
      <c r="B21" s="287" t="s">
        <v>262</v>
      </c>
      <c r="C21" s="24"/>
      <c r="D21" s="24"/>
      <c r="E21" s="24"/>
      <c r="F21" s="24"/>
      <c r="G21" s="24"/>
      <c r="H21" s="24"/>
      <c r="I21" s="24"/>
      <c r="J21" s="24"/>
      <c r="K21" s="24"/>
      <c r="L21" s="24"/>
    </row>
    <row r="22" spans="1:13">
      <c r="A22" s="24"/>
      <c r="B22" s="287" t="s">
        <v>119</v>
      </c>
      <c r="C22" s="24"/>
      <c r="D22" s="24"/>
      <c r="E22" s="24"/>
      <c r="F22" s="24"/>
      <c r="G22" s="24"/>
      <c r="H22" s="24"/>
      <c r="I22" s="24"/>
      <c r="J22" s="24"/>
      <c r="K22" s="24"/>
      <c r="L22" s="24"/>
    </row>
    <row r="23" spans="1:13">
      <c r="A23" s="24"/>
      <c r="B23" s="287" t="s">
        <v>263</v>
      </c>
      <c r="C23" s="24"/>
      <c r="D23" s="24"/>
      <c r="E23" s="24"/>
      <c r="F23" s="24"/>
      <c r="G23" s="24"/>
      <c r="H23" s="24"/>
      <c r="I23" s="24"/>
      <c r="J23" s="24"/>
      <c r="K23" s="24"/>
      <c r="L23" s="24"/>
    </row>
    <row r="24" spans="1:13">
      <c r="B24" s="287" t="s">
        <v>99</v>
      </c>
    </row>
    <row r="25" spans="1:13">
      <c r="B25" s="287" t="s">
        <v>261</v>
      </c>
    </row>
    <row r="26" spans="1:13">
      <c r="B26" s="287" t="s">
        <v>100</v>
      </c>
    </row>
    <row r="27" spans="1:13">
      <c r="B27" s="287" t="s">
        <v>264</v>
      </c>
    </row>
    <row r="28" spans="1:13">
      <c r="B28" s="287" t="s">
        <v>280</v>
      </c>
    </row>
    <row r="29" spans="1:13">
      <c r="B29" s="287" t="s">
        <v>236</v>
      </c>
    </row>
    <row r="30" spans="1:13">
      <c r="B30" s="287" t="s">
        <v>283</v>
      </c>
    </row>
    <row r="31" spans="1:13">
      <c r="B31" s="287" t="s">
        <v>101</v>
      </c>
    </row>
    <row r="32" spans="1:13">
      <c r="B32" s="287" t="s">
        <v>260</v>
      </c>
    </row>
    <row r="33" spans="2:2">
      <c r="B33" s="287" t="s">
        <v>265</v>
      </c>
    </row>
    <row r="34" spans="2:2">
      <c r="B34" s="287" t="s">
        <v>258</v>
      </c>
    </row>
    <row r="35" spans="2:2">
      <c r="B35" s="287" t="s">
        <v>266</v>
      </c>
    </row>
  </sheetData>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xr:uid="{00000000-0004-0000-0200-000000000000}"/>
    <hyperlink ref="B22" location="'R2 - Revenue'!A1" display="R2 - Revenue" xr:uid="{00000000-0004-0000-0200-000001000000}"/>
    <hyperlink ref="B23" location="'R3 - Rec to totex'!A1" display="R3 - Rec to totex" xr:uid="{00000000-0004-0000-0200-000002000000}"/>
    <hyperlink ref="B24" location="'R4 - Totex'!A1" display="R4 - Totex" xr:uid="{00000000-0004-0000-0200-000003000000}"/>
    <hyperlink ref="B25" location="'R5 - Output Incentives'!A1" display="R5 - Output Incentives" xr:uid="{00000000-0004-0000-0200-000004000000}"/>
    <hyperlink ref="B26" location="'R6 - Innovation'!A1" display="R6 - Innovation" xr:uid="{00000000-0004-0000-0200-000005000000}"/>
    <hyperlink ref="B27" location="'R7 - Financing'!A1" display="R7 - Financing" xr:uid="{00000000-0004-0000-0200-000006000000}"/>
    <hyperlink ref="B29" location="'R8 - Net Debt'!A1" display="R8 - Net Debt" xr:uid="{00000000-0004-0000-0200-000007000000}"/>
    <hyperlink ref="B31" location="'R9 - RAV'!A1" display="R9 - RAV" xr:uid="{00000000-0004-0000-0200-000008000000}"/>
    <hyperlink ref="B33" location="'R11 - Dividends'!A1" display="R11 - Dividends" xr:uid="{00000000-0004-0000-0200-000009000000}"/>
    <hyperlink ref="B34" location="'R12 - Pensions'!A1" display="R12 - Pensions" xr:uid="{00000000-0004-0000-0200-00000A000000}"/>
    <hyperlink ref="B35" location="'R13 - Other Activities '!A1" display="R13 - Other Activities" xr:uid="{00000000-0004-0000-0200-00000B000000}"/>
    <hyperlink ref="B32" location="'R10 - Tax'!A1" display="R10 - Tax" xr:uid="{00000000-0004-0000-0200-00000C000000}"/>
    <hyperlink ref="B28" location="'R7a - Financing input'!Print_Area" display="R7a - Financing input" xr:uid="{00000000-0004-0000-0200-00000D000000}"/>
    <hyperlink ref="B30" location="'R8a - Net Debt input'!Print_Area" display="R8a - Net Debt input" xr:uid="{00000000-0004-0000-0200-00000E000000}"/>
  </hyperlinks>
  <pageMargins left="0.70866141732283472" right="0.70866141732283472" top="0.74803149606299213" bottom="0.74803149606299213" header="0.31496062992125984" footer="0.31496062992125984"/>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66"/>
  <sheetViews>
    <sheetView showGridLines="0" zoomScale="80" zoomScaleNormal="80" workbookViewId="0">
      <pane ySplit="5" topLeftCell="A9" activePane="bottomLeft" state="frozen"/>
      <selection activeCell="B75" sqref="A1:XFD1048576"/>
      <selection pane="bottomLeft" activeCell="C29" sqref="C29"/>
    </sheetView>
  </sheetViews>
  <sheetFormatPr defaultRowHeight="12.75"/>
  <cols>
    <col min="1" max="1" width="19.125" bestFit="1" customWidth="1"/>
    <col min="2" max="2" width="12.125" bestFit="1" customWidth="1"/>
    <col min="3" max="3" width="104.125" customWidth="1"/>
    <col min="4" max="4" width="35.5" customWidth="1"/>
  </cols>
  <sheetData>
    <row r="1" spans="1:4" s="31" customFormat="1" ht="20.25">
      <c r="A1" s="29" t="s">
        <v>121</v>
      </c>
      <c r="B1" s="29"/>
      <c r="C1" s="29"/>
      <c r="D1" s="29"/>
    </row>
    <row r="2" spans="1:4" s="31" customFormat="1" ht="20.25">
      <c r="A2" s="29" t="str">
        <f>'RFPR cover'!C5</f>
        <v>ENWL</v>
      </c>
      <c r="B2" s="29"/>
      <c r="C2" s="29"/>
      <c r="D2" s="29"/>
    </row>
    <row r="3" spans="1:4" s="31" customFormat="1" ht="20.25">
      <c r="A3" s="29">
        <f>'RFPR cover'!C7</f>
        <v>2020</v>
      </c>
      <c r="B3" s="29"/>
      <c r="C3" s="29"/>
      <c r="D3" s="29"/>
    </row>
    <row r="4" spans="1:4" s="31" customFormat="1" ht="20.25">
      <c r="A4" s="847"/>
      <c r="B4" s="847"/>
      <c r="C4" s="847"/>
      <c r="D4" s="847"/>
    </row>
    <row r="5" spans="1:4" ht="30">
      <c r="A5" s="844" t="s">
        <v>443</v>
      </c>
      <c r="B5" s="845" t="s">
        <v>444</v>
      </c>
      <c r="C5" s="846" t="s">
        <v>445</v>
      </c>
    </row>
    <row r="6" spans="1:4">
      <c r="A6" s="336">
        <v>1.1000000000000001</v>
      </c>
      <c r="B6" s="855" t="s">
        <v>525</v>
      </c>
      <c r="C6" s="862" t="s">
        <v>526</v>
      </c>
    </row>
    <row r="7" spans="1:4">
      <c r="A7" s="336">
        <v>1.1000000000000001</v>
      </c>
      <c r="B7" s="855" t="s">
        <v>525</v>
      </c>
      <c r="C7" s="862" t="s">
        <v>527</v>
      </c>
    </row>
    <row r="8" spans="1:4">
      <c r="A8" s="336">
        <v>1.1000000000000001</v>
      </c>
      <c r="B8" s="853" t="s">
        <v>528</v>
      </c>
      <c r="C8" s="861" t="s">
        <v>529</v>
      </c>
    </row>
    <row r="9" spans="1:4" ht="25.5">
      <c r="A9" s="336">
        <v>1.1000000000000001</v>
      </c>
      <c r="B9" s="853" t="s">
        <v>531</v>
      </c>
      <c r="C9" s="861" t="s">
        <v>532</v>
      </c>
    </row>
    <row r="10" spans="1:4">
      <c r="A10" s="336">
        <v>1.1000000000000001</v>
      </c>
      <c r="B10" s="853" t="s">
        <v>531</v>
      </c>
      <c r="C10" s="861" t="s">
        <v>534</v>
      </c>
    </row>
    <row r="11" spans="1:4">
      <c r="A11" s="336">
        <v>1.1000000000000001</v>
      </c>
      <c r="B11" s="853" t="s">
        <v>537</v>
      </c>
      <c r="C11" s="861" t="s">
        <v>536</v>
      </c>
    </row>
    <row r="12" spans="1:4" ht="25.5">
      <c r="A12" s="336">
        <v>1.1000000000000001</v>
      </c>
      <c r="B12" s="853" t="s">
        <v>531</v>
      </c>
      <c r="C12" s="861" t="s">
        <v>538</v>
      </c>
    </row>
    <row r="13" spans="1:4" ht="51">
      <c r="A13" s="336">
        <v>1.1000000000000001</v>
      </c>
      <c r="B13" s="853" t="s">
        <v>531</v>
      </c>
      <c r="C13" s="861" t="s">
        <v>539</v>
      </c>
    </row>
    <row r="14" spans="1:4">
      <c r="A14" s="337">
        <v>1.1000000000000001</v>
      </c>
      <c r="B14" s="853" t="s">
        <v>540</v>
      </c>
      <c r="C14" s="861" t="s">
        <v>541</v>
      </c>
    </row>
    <row r="15" spans="1:4">
      <c r="A15" s="337">
        <v>1.1000000000000001</v>
      </c>
      <c r="B15" s="853" t="s">
        <v>528</v>
      </c>
      <c r="C15" s="861" t="s">
        <v>542</v>
      </c>
    </row>
    <row r="16" spans="1:4" ht="38.25">
      <c r="A16" s="337">
        <v>1.1000000000000001</v>
      </c>
      <c r="B16" s="853" t="s">
        <v>543</v>
      </c>
      <c r="C16" s="861" t="s">
        <v>544</v>
      </c>
    </row>
    <row r="17" spans="1:3">
      <c r="A17" s="337">
        <v>1.1000000000000001</v>
      </c>
      <c r="B17" s="853" t="s">
        <v>537</v>
      </c>
      <c r="C17" s="288" t="s">
        <v>545</v>
      </c>
    </row>
    <row r="18" spans="1:3" ht="25.5">
      <c r="A18" s="337">
        <v>1.1000000000000001</v>
      </c>
      <c r="B18" s="853" t="s">
        <v>537</v>
      </c>
      <c r="C18" s="288" t="s">
        <v>546</v>
      </c>
    </row>
    <row r="19" spans="1:3">
      <c r="A19" s="337">
        <v>1.1000000000000001</v>
      </c>
      <c r="B19" s="853" t="s">
        <v>547</v>
      </c>
      <c r="C19" s="288" t="s">
        <v>548</v>
      </c>
    </row>
    <row r="20" spans="1:3" ht="25.5">
      <c r="A20" s="337">
        <v>1.1000000000000001</v>
      </c>
      <c r="B20" s="853" t="s">
        <v>547</v>
      </c>
      <c r="C20" s="288" t="s">
        <v>559</v>
      </c>
    </row>
    <row r="21" spans="1:3">
      <c r="A21" s="337">
        <v>1.1000000000000001</v>
      </c>
      <c r="B21" s="853" t="s">
        <v>560</v>
      </c>
      <c r="C21" s="288" t="s">
        <v>561</v>
      </c>
    </row>
    <row r="22" spans="1:3">
      <c r="A22" s="337">
        <v>1.1000000000000001</v>
      </c>
      <c r="B22" s="337" t="s">
        <v>540</v>
      </c>
      <c r="C22" s="288" t="s">
        <v>562</v>
      </c>
    </row>
    <row r="23" spans="1:3" ht="25.5">
      <c r="A23" s="337">
        <v>1.1000000000000001</v>
      </c>
      <c r="B23" s="853" t="s">
        <v>540</v>
      </c>
      <c r="C23" s="288" t="s">
        <v>563</v>
      </c>
    </row>
    <row r="24" spans="1:3" ht="25.5">
      <c r="A24" s="337">
        <v>1.1000000000000001</v>
      </c>
      <c r="B24" s="853" t="s">
        <v>543</v>
      </c>
      <c r="C24" s="288" t="s">
        <v>564</v>
      </c>
    </row>
    <row r="25" spans="1:3" ht="26.25" thickBot="1">
      <c r="A25" s="950">
        <v>1.1000000000000001</v>
      </c>
      <c r="B25" s="951" t="s">
        <v>547</v>
      </c>
      <c r="C25" s="952" t="s">
        <v>566</v>
      </c>
    </row>
    <row r="26" spans="1:3">
      <c r="A26" s="947">
        <v>1.1000000000000001</v>
      </c>
      <c r="B26" s="948" t="s">
        <v>540</v>
      </c>
      <c r="C26" s="949" t="s">
        <v>567</v>
      </c>
    </row>
    <row r="27" spans="1:3">
      <c r="A27" s="947">
        <v>1.1000000000000001</v>
      </c>
      <c r="B27" s="853" t="s">
        <v>547</v>
      </c>
      <c r="C27" s="288" t="s">
        <v>568</v>
      </c>
    </row>
    <row r="28" spans="1:3">
      <c r="A28" s="337">
        <v>1.1000000000000001</v>
      </c>
      <c r="B28" s="853" t="s">
        <v>537</v>
      </c>
      <c r="C28" s="288" t="s">
        <v>569</v>
      </c>
    </row>
    <row r="29" spans="1:3">
      <c r="A29" s="337"/>
      <c r="B29" s="853"/>
      <c r="C29" s="288"/>
    </row>
    <row r="30" spans="1:3">
      <c r="A30" s="337"/>
      <c r="B30" s="853"/>
      <c r="C30" s="288"/>
    </row>
    <row r="31" spans="1:3">
      <c r="A31" s="337"/>
      <c r="B31" s="853"/>
      <c r="C31" s="875"/>
    </row>
    <row r="32" spans="1:3">
      <c r="A32" s="337"/>
      <c r="B32" s="853"/>
      <c r="C32" s="288"/>
    </row>
    <row r="33" spans="1:3">
      <c r="A33" s="337"/>
      <c r="B33" s="853"/>
      <c r="C33" s="288"/>
    </row>
    <row r="34" spans="1:3">
      <c r="A34" s="338"/>
      <c r="B34" s="853"/>
      <c r="C34" s="288"/>
    </row>
    <row r="35" spans="1:3">
      <c r="A35" s="338"/>
      <c r="B35" s="878"/>
      <c r="C35" s="288"/>
    </row>
    <row r="36" spans="1:3">
      <c r="A36" s="338"/>
      <c r="B36" s="878"/>
      <c r="C36" s="288"/>
    </row>
    <row r="37" spans="1:3">
      <c r="A37" s="338"/>
      <c r="B37" s="878"/>
      <c r="C37" s="288"/>
    </row>
    <row r="38" spans="1:3">
      <c r="A38" s="338"/>
      <c r="B38" s="878"/>
      <c r="C38" s="288"/>
    </row>
    <row r="39" spans="1:3">
      <c r="A39" s="337"/>
      <c r="B39" s="878"/>
      <c r="C39" s="288"/>
    </row>
    <row r="40" spans="1:3">
      <c r="A40" s="338"/>
      <c r="B40" s="878"/>
      <c r="C40" s="288"/>
    </row>
    <row r="41" spans="1:3">
      <c r="A41" s="338"/>
      <c r="B41" s="878"/>
      <c r="C41" s="288"/>
    </row>
    <row r="42" spans="1:3">
      <c r="A42" s="338"/>
      <c r="B42" s="878"/>
      <c r="C42" s="288"/>
    </row>
    <row r="43" spans="1:3">
      <c r="A43" s="338"/>
      <c r="B43" s="853"/>
      <c r="C43" s="288"/>
    </row>
    <row r="44" spans="1:3">
      <c r="A44" s="338"/>
      <c r="B44" s="853"/>
      <c r="C44" s="288"/>
    </row>
    <row r="45" spans="1:3">
      <c r="A45" s="338"/>
      <c r="B45" s="853"/>
      <c r="C45" s="288"/>
    </row>
    <row r="46" spans="1:3">
      <c r="A46" s="338"/>
      <c r="B46" s="853"/>
      <c r="C46" s="288"/>
    </row>
    <row r="47" spans="1:3">
      <c r="A47" s="338"/>
      <c r="B47" s="853"/>
      <c r="C47" s="288"/>
    </row>
    <row r="48" spans="1:3">
      <c r="A48" s="338"/>
      <c r="B48" s="853"/>
      <c r="C48" s="288"/>
    </row>
    <row r="49" spans="1:3">
      <c r="A49" s="338"/>
      <c r="B49" s="853"/>
      <c r="C49" s="288"/>
    </row>
    <row r="50" spans="1:3">
      <c r="A50" s="338"/>
      <c r="B50" s="853"/>
      <c r="C50" s="288"/>
    </row>
    <row r="51" spans="1:3">
      <c r="A51" s="338"/>
      <c r="B51" s="853"/>
      <c r="C51" s="288"/>
    </row>
    <row r="52" spans="1:3">
      <c r="A52" s="338"/>
      <c r="B52" s="853"/>
      <c r="C52" s="288"/>
    </row>
    <row r="53" spans="1:3">
      <c r="A53" s="338"/>
      <c r="B53" s="886"/>
      <c r="C53" s="887"/>
    </row>
    <row r="54" spans="1:3">
      <c r="A54" s="338"/>
      <c r="B54" s="853"/>
      <c r="C54" s="288"/>
    </row>
    <row r="55" spans="1:3">
      <c r="A55" s="338"/>
      <c r="B55" s="853"/>
      <c r="C55" s="288"/>
    </row>
    <row r="56" spans="1:3">
      <c r="A56" s="338"/>
      <c r="B56" s="853"/>
      <c r="C56" s="288"/>
    </row>
    <row r="57" spans="1:3">
      <c r="A57" s="338"/>
      <c r="B57" s="853"/>
      <c r="C57" s="288"/>
    </row>
    <row r="58" spans="1:3">
      <c r="A58" s="338"/>
      <c r="B58" s="853"/>
      <c r="C58" s="875"/>
    </row>
    <row r="59" spans="1:3">
      <c r="A59" s="339"/>
      <c r="B59" s="854"/>
      <c r="C59" s="289"/>
    </row>
    <row r="60" spans="1:3">
      <c r="A60" s="339"/>
      <c r="B60" s="854"/>
      <c r="C60" s="289"/>
    </row>
    <row r="61" spans="1:3">
      <c r="A61" s="339"/>
      <c r="B61" s="854"/>
      <c r="C61" s="289"/>
    </row>
    <row r="62" spans="1:3">
      <c r="A62" s="339"/>
      <c r="B62" s="854"/>
      <c r="C62" s="289"/>
    </row>
    <row r="63" spans="1:3">
      <c r="A63" s="339"/>
      <c r="B63" s="854"/>
      <c r="C63" s="289"/>
    </row>
    <row r="64" spans="1:3">
      <c r="A64" s="339"/>
      <c r="B64" s="854"/>
      <c r="C64" s="289"/>
    </row>
    <row r="65" spans="1:3">
      <c r="A65" s="339"/>
      <c r="B65" s="854"/>
      <c r="C65" s="289"/>
    </row>
    <row r="66" spans="1:3">
      <c r="A66" s="339"/>
      <c r="B66" s="854"/>
      <c r="C66" s="289"/>
    </row>
  </sheetData>
  <pageMargins left="0.70866141732283472" right="0.70866141732283472" top="0.74803149606299213" bottom="0.74803149606299213" header="0.31496062992125984" footer="0.31496062992125984"/>
  <pageSetup paperSize="8"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FFCC"/>
    <pageSetUpPr fitToPage="1"/>
  </sheetPr>
  <dimension ref="A1:P66"/>
  <sheetViews>
    <sheetView showGridLines="0" zoomScale="80" zoomScaleNormal="80" workbookViewId="0">
      <pane ySplit="6" topLeftCell="A7" activePane="bottomLeft" state="frozen"/>
      <selection activeCell="B75" sqref="A1:XFD1048576"/>
      <selection pane="bottomLeft" activeCell="M42" sqref="M42"/>
    </sheetView>
  </sheetViews>
  <sheetFormatPr defaultRowHeight="12.75"/>
  <cols>
    <col min="1" max="1" width="8.375" customWidth="1"/>
    <col min="2" max="2" width="63.375" style="197" customWidth="1"/>
    <col min="3" max="3" width="13.375" style="42" customWidth="1"/>
    <col min="4" max="11" width="9.125" customWidth="1"/>
    <col min="12" max="12" width="3.625" customWidth="1"/>
    <col min="13" max="14" width="13.75" customWidth="1"/>
    <col min="15" max="15" width="5.125" customWidth="1"/>
  </cols>
  <sheetData>
    <row r="1" spans="1:16" s="31" customFormat="1" ht="20.25">
      <c r="A1" s="917" t="s">
        <v>238</v>
      </c>
      <c r="B1" s="926"/>
      <c r="C1" s="927"/>
      <c r="D1" s="927"/>
      <c r="E1" s="927"/>
      <c r="F1" s="927"/>
      <c r="G1" s="257"/>
      <c r="H1" s="257"/>
      <c r="I1" s="258"/>
      <c r="J1" s="258"/>
      <c r="K1" s="259"/>
      <c r="L1" s="259"/>
      <c r="M1" s="259"/>
      <c r="N1" s="259"/>
      <c r="O1" s="368" t="s">
        <v>84</v>
      </c>
    </row>
    <row r="2" spans="1:16" s="31" customFormat="1" ht="20.25">
      <c r="A2" s="920" t="str">
        <f>'RFPR cover'!C5</f>
        <v>ENWL</v>
      </c>
      <c r="B2" s="928"/>
      <c r="C2" s="912"/>
      <c r="D2" s="912"/>
      <c r="E2" s="912"/>
      <c r="F2" s="912"/>
      <c r="G2" s="29"/>
      <c r="H2" s="29"/>
      <c r="I2" s="27"/>
      <c r="J2" s="27"/>
      <c r="K2" s="27"/>
      <c r="L2" s="27"/>
      <c r="M2" s="27"/>
      <c r="N2" s="27"/>
      <c r="O2" s="124"/>
    </row>
    <row r="3" spans="1:16" s="31" customFormat="1" ht="23.25">
      <c r="A3" s="923">
        <f>'RFPR cover'!C7</f>
        <v>2020</v>
      </c>
      <c r="B3" s="929" t="str">
        <f>IF('RFPR cover'!C5=Data!B98,"Not required to be completed for System Operator",(IF('RFPR cover'!C5=Data!B96,"Not required to be completed for System Operator","")))</f>
        <v/>
      </c>
      <c r="C3" s="930"/>
      <c r="D3" s="930"/>
      <c r="E3" s="930"/>
      <c r="F3" s="930"/>
      <c r="G3" s="261"/>
      <c r="H3" s="261"/>
      <c r="I3" s="256"/>
      <c r="J3" s="256"/>
      <c r="K3" s="256"/>
      <c r="L3" s="256"/>
      <c r="M3" s="256"/>
      <c r="N3" s="256"/>
      <c r="O3" s="262"/>
    </row>
    <row r="4" spans="1:16" ht="12.75" customHeight="1"/>
    <row r="5" spans="1:16">
      <c r="D5" s="391" t="str">
        <f>IF(D6&lt;='RFPR cover'!$C$7,"Actuals","Forecast")</f>
        <v>Actuals</v>
      </c>
      <c r="E5" s="392" t="str">
        <f>IF(E6&lt;='RFPR cover'!$C$7,"Actuals","Forecast")</f>
        <v>Actuals</v>
      </c>
      <c r="F5" s="392" t="str">
        <f>IF(F6&lt;='RFPR cover'!$C$7,"Actuals","Forecast")</f>
        <v>Actuals</v>
      </c>
      <c r="G5" s="392" t="str">
        <f>IF(G6&lt;='RFPR cover'!$C$7,"Actuals","Forecast")</f>
        <v>Actuals</v>
      </c>
      <c r="H5" s="392" t="str">
        <f>IF(H6&lt;='RFPR cover'!$C$7,"Actuals","Forecast")</f>
        <v>Actuals</v>
      </c>
      <c r="I5" s="392" t="str">
        <f>IF(I6&lt;='RFPR cover'!$C$7,"Actuals","Forecast")</f>
        <v>Forecast</v>
      </c>
      <c r="J5" s="392" t="str">
        <f>IF(J6&lt;='RFPR cover'!$C$7,"Actuals","Forecast")</f>
        <v>Forecast</v>
      </c>
      <c r="K5" s="393" t="str">
        <f>IF(K6&lt;='RFPR cover'!$C$7,"Actuals","Forecast")</f>
        <v>Forecast</v>
      </c>
      <c r="L5" s="2"/>
      <c r="M5" s="2"/>
    </row>
    <row r="6" spans="1:16" ht="31.5" customHeight="1">
      <c r="C6" s="173"/>
      <c r="D6" s="118">
        <f>'RFPR cover'!$C$13</f>
        <v>2016</v>
      </c>
      <c r="E6" s="119">
        <f>D6+1</f>
        <v>2017</v>
      </c>
      <c r="F6" s="119">
        <f t="shared" ref="F6:K6" si="0">E6+1</f>
        <v>2018</v>
      </c>
      <c r="G6" s="119">
        <f t="shared" si="0"/>
        <v>2019</v>
      </c>
      <c r="H6" s="119">
        <f t="shared" si="0"/>
        <v>2020</v>
      </c>
      <c r="I6" s="119">
        <f t="shared" si="0"/>
        <v>2021</v>
      </c>
      <c r="J6" s="119">
        <f t="shared" si="0"/>
        <v>2022</v>
      </c>
      <c r="K6" s="196">
        <f t="shared" si="0"/>
        <v>2023</v>
      </c>
      <c r="L6" s="49"/>
      <c r="M6" s="102" t="str">
        <f>"Cumulative to "&amp;'RFPR cover'!$C$7</f>
        <v>Cumulative to 2020</v>
      </c>
      <c r="N6" s="195" t="s">
        <v>109</v>
      </c>
    </row>
    <row r="7" spans="1:16">
      <c r="C7" s="173"/>
      <c r="D7" s="173"/>
      <c r="E7" s="173"/>
      <c r="F7" s="173"/>
      <c r="G7" s="173"/>
      <c r="H7" s="173"/>
      <c r="I7" s="173"/>
      <c r="J7" s="173"/>
      <c r="K7" s="173"/>
      <c r="L7" s="173"/>
      <c r="M7" s="173"/>
      <c r="N7" s="173"/>
      <c r="O7" s="173"/>
    </row>
    <row r="8" spans="1:16">
      <c r="B8" s="533" t="s">
        <v>108</v>
      </c>
      <c r="C8" s="425"/>
      <c r="D8" s="425"/>
      <c r="E8" s="425"/>
      <c r="F8" s="425"/>
      <c r="G8" s="425"/>
      <c r="H8" s="425"/>
      <c r="I8" s="425"/>
      <c r="J8" s="425"/>
      <c r="K8" s="425"/>
      <c r="L8" s="534"/>
      <c r="M8" s="218"/>
      <c r="N8" s="218"/>
      <c r="O8" s="218"/>
    </row>
    <row r="9" spans="1:16">
      <c r="B9" s="198"/>
      <c r="D9" s="42"/>
      <c r="E9" s="42"/>
      <c r="F9" s="42"/>
      <c r="G9" s="42"/>
      <c r="H9" s="42"/>
      <c r="I9" s="42"/>
      <c r="J9" s="42"/>
      <c r="K9" s="42"/>
      <c r="L9" s="49"/>
    </row>
    <row r="10" spans="1:16">
      <c r="B10" s="253" t="s">
        <v>214</v>
      </c>
      <c r="C10" s="255" t="s">
        <v>7</v>
      </c>
      <c r="D10" s="509">
        <f t="shared" ref="D10:K19" si="1">D48/D$65</f>
        <v>0.06</v>
      </c>
      <c r="E10" s="511">
        <f t="shared" si="1"/>
        <v>0.06</v>
      </c>
      <c r="F10" s="511">
        <f t="shared" si="1"/>
        <v>0.06</v>
      </c>
      <c r="G10" s="511">
        <f t="shared" si="1"/>
        <v>6.0000000000000005E-2</v>
      </c>
      <c r="H10" s="511">
        <f t="shared" si="1"/>
        <v>6.0000000000000005E-2</v>
      </c>
      <c r="I10" s="511">
        <f t="shared" si="1"/>
        <v>6.0000000000000005E-2</v>
      </c>
      <c r="J10" s="511">
        <f t="shared" si="1"/>
        <v>0.06</v>
      </c>
      <c r="K10" s="510">
        <f t="shared" si="1"/>
        <v>0.06</v>
      </c>
      <c r="L10" s="174"/>
      <c r="M10" s="510">
        <f>AVERAGE(D48:INDEX(D48:K48,0,MATCH('RFPR cover'!$C$7,$D$6:$K$6,0)))/AVERAGE($D$65:INDEX($D$65:$K$65,0,MATCH('RFPR cover'!$C$7,$D$6:$K$6,0)))</f>
        <v>0.06</v>
      </c>
      <c r="N10" s="510">
        <f>AVERAGE(D48:K48)/AVERAGE($D$65:$K$65)</f>
        <v>5.9999999999999984E-2</v>
      </c>
    </row>
    <row r="11" spans="1:16">
      <c r="B11" s="253" t="str">
        <f t="shared" ref="B11:B18" si="2">B49</f>
        <v>Totex outperformance</v>
      </c>
      <c r="C11" s="255" t="s">
        <v>7</v>
      </c>
      <c r="D11" s="176">
        <f t="shared" si="1"/>
        <v>3.9909557375764262E-3</v>
      </c>
      <c r="E11" s="177">
        <f t="shared" si="1"/>
        <v>1.2164869631362017E-2</v>
      </c>
      <c r="F11" s="177">
        <f t="shared" si="1"/>
        <v>4.6045665259691485E-3</v>
      </c>
      <c r="G11" s="177">
        <f t="shared" si="1"/>
        <v>2.9358834994055703E-2</v>
      </c>
      <c r="H11" s="177">
        <f t="shared" si="1"/>
        <v>1.975743732852079E-2</v>
      </c>
      <c r="I11" s="177">
        <f t="shared" si="1"/>
        <v>2.3525186713062585E-2</v>
      </c>
      <c r="J11" s="177">
        <f t="shared" si="1"/>
        <v>2.2100723463948948E-2</v>
      </c>
      <c r="K11" s="178">
        <f t="shared" si="1"/>
        <v>1.9936636297530591E-2</v>
      </c>
      <c r="L11" s="174"/>
      <c r="M11" s="178">
        <f>AVERAGE(D49:INDEX(D49:K49,0,MATCH('RFPR cover'!$C$7,$D$6:$K$6,0)))/AVERAGE($D$65:INDEX($D$65:$K$65,0,MATCH('RFPR cover'!$C$7,$D$6:$K$6,0)))</f>
        <v>1.4043987847023284E-2</v>
      </c>
      <c r="N11" s="178">
        <f t="shared" ref="N11:N19" si="3">AVERAGE(D49:K49)/AVERAGE($D$65:$K$65)</f>
        <v>1.7043659134751782E-2</v>
      </c>
      <c r="P11" s="174"/>
    </row>
    <row r="12" spans="1:16">
      <c r="B12" s="253" t="str">
        <f t="shared" si="2"/>
        <v>IQI Reward</v>
      </c>
      <c r="C12" s="255" t="s">
        <v>7</v>
      </c>
      <c r="D12" s="176">
        <f t="shared" si="1"/>
        <v>2.9574982434255864E-3</v>
      </c>
      <c r="E12" s="177">
        <f t="shared" si="1"/>
        <v>2.7830678254229069E-3</v>
      </c>
      <c r="F12" s="177">
        <f t="shared" si="1"/>
        <v>2.7597893747690568E-3</v>
      </c>
      <c r="G12" s="177">
        <f t="shared" si="1"/>
        <v>2.7401654649912379E-3</v>
      </c>
      <c r="H12" s="177">
        <f t="shared" si="1"/>
        <v>2.7101150711220322E-3</v>
      </c>
      <c r="I12" s="177">
        <f t="shared" si="1"/>
        <v>2.6438180513989979E-3</v>
      </c>
      <c r="J12" s="177">
        <f t="shared" si="1"/>
        <v>2.6883292132936017E-3</v>
      </c>
      <c r="K12" s="178">
        <f t="shared" si="1"/>
        <v>2.5492938286510746E-3</v>
      </c>
      <c r="L12" s="174"/>
      <c r="M12" s="178">
        <f>AVERAGE(D50:INDEX(D50:K50,0,MATCH('RFPR cover'!$C$7,$D$6:$K$6,0)))/AVERAGE($D$65:INDEX($D$65:$K$65,0,MATCH('RFPR cover'!$C$7,$D$6:$K$6,0)))</f>
        <v>2.7894220548174619E-3</v>
      </c>
      <c r="N12" s="178">
        <f t="shared" si="3"/>
        <v>2.7267691649388763E-3</v>
      </c>
    </row>
    <row r="13" spans="1:16">
      <c r="B13" s="253" t="str">
        <f t="shared" si="2"/>
        <v>Broad measure of customer service</v>
      </c>
      <c r="C13" s="255" t="s">
        <v>7</v>
      </c>
      <c r="D13" s="176">
        <f t="shared" si="1"/>
        <v>-3.1819661599466736E-4</v>
      </c>
      <c r="E13" s="177">
        <f t="shared" si="1"/>
        <v>1.018049325622903E-3</v>
      </c>
      <c r="F13" s="177">
        <f t="shared" si="1"/>
        <v>2.7965033793257228E-3</v>
      </c>
      <c r="G13" s="177">
        <f t="shared" si="1"/>
        <v>3.6518338416450897E-3</v>
      </c>
      <c r="H13" s="177">
        <f t="shared" si="1"/>
        <v>4.5393474705376349E-3</v>
      </c>
      <c r="I13" s="177">
        <f t="shared" si="1"/>
        <v>4.7261179395860038E-3</v>
      </c>
      <c r="J13" s="177">
        <f t="shared" si="1"/>
        <v>5.1028976166648237E-3</v>
      </c>
      <c r="K13" s="178">
        <f t="shared" si="1"/>
        <v>5.531947649238771E-3</v>
      </c>
      <c r="L13" s="174"/>
      <c r="M13" s="178">
        <f>AVERAGE(D51:INDEX(D51:K51,0,MATCH('RFPR cover'!$C$7,$D$6:$K$6,0)))/AVERAGE($D$65:INDEX($D$65:$K$65,0,MATCH('RFPR cover'!$C$7,$D$6:$K$6,0)))</f>
        <v>2.3543170798087519E-3</v>
      </c>
      <c r="N13" s="178">
        <f t="shared" si="3"/>
        <v>3.420688302060642E-3</v>
      </c>
    </row>
    <row r="14" spans="1:16">
      <c r="B14" s="253" t="str">
        <f t="shared" si="2"/>
        <v>Interruptions-related quality of service</v>
      </c>
      <c r="C14" s="255" t="s">
        <v>7</v>
      </c>
      <c r="D14" s="176">
        <f t="shared" si="1"/>
        <v>1.9634226191846509E-2</v>
      </c>
      <c r="E14" s="177">
        <f t="shared" si="1"/>
        <v>1.8065297356129904E-2</v>
      </c>
      <c r="F14" s="177">
        <f t="shared" si="1"/>
        <v>1.4719693384257417E-2</v>
      </c>
      <c r="G14" s="177">
        <f t="shared" si="1"/>
        <v>1.4893076049050618E-2</v>
      </c>
      <c r="H14" s="177">
        <f t="shared" si="1"/>
        <v>2.0236979189599515E-2</v>
      </c>
      <c r="I14" s="177">
        <f t="shared" si="1"/>
        <v>2.0104849539683941E-2</v>
      </c>
      <c r="J14" s="177">
        <f t="shared" si="1"/>
        <v>1.9800116287201571E-2</v>
      </c>
      <c r="K14" s="178">
        <f t="shared" si="1"/>
        <v>1.9505960080281878E-2</v>
      </c>
      <c r="L14" s="174"/>
      <c r="M14" s="178">
        <f>AVERAGE(D52:INDEX(D52:K52,0,MATCH('RFPR cover'!$C$7,$D$6:$K$6,0)))/AVERAGE($D$65:INDEX($D$65:$K$65,0,MATCH('RFPR cover'!$C$7,$D$6:$K$6,0)))</f>
        <v>1.7509825689931372E-2</v>
      </c>
      <c r="N14" s="178">
        <f t="shared" si="3"/>
        <v>1.8391697102842861E-2</v>
      </c>
    </row>
    <row r="15" spans="1:16">
      <c r="B15" s="253" t="str">
        <f t="shared" si="2"/>
        <v>Incentive on connections engagement</v>
      </c>
      <c r="C15" s="255" t="s">
        <v>7</v>
      </c>
      <c r="D15" s="176">
        <f t="shared" si="1"/>
        <v>0</v>
      </c>
      <c r="E15" s="177">
        <f t="shared" si="1"/>
        <v>0</v>
      </c>
      <c r="F15" s="177">
        <f t="shared" si="1"/>
        <v>0</v>
      </c>
      <c r="G15" s="177">
        <f t="shared" si="1"/>
        <v>0</v>
      </c>
      <c r="H15" s="177">
        <f t="shared" si="1"/>
        <v>0</v>
      </c>
      <c r="I15" s="177">
        <f t="shared" si="1"/>
        <v>0</v>
      </c>
      <c r="J15" s="177">
        <f t="shared" si="1"/>
        <v>0</v>
      </c>
      <c r="K15" s="178">
        <f t="shared" si="1"/>
        <v>0</v>
      </c>
      <c r="L15" s="174"/>
      <c r="M15" s="178">
        <f>AVERAGE(D53:INDEX(D53:K53,0,MATCH('RFPR cover'!$C$7,$D$6:$K$6,0)))/AVERAGE($D$65:INDEX($D$65:$K$65,0,MATCH('RFPR cover'!$C$7,$D$6:$K$6,0)))</f>
        <v>0</v>
      </c>
      <c r="N15" s="178">
        <f t="shared" si="3"/>
        <v>0</v>
      </c>
    </row>
    <row r="16" spans="1:16">
      <c r="B16" s="253" t="str">
        <f t="shared" si="2"/>
        <v>Time to Connect Incentive</v>
      </c>
      <c r="C16" s="255" t="s">
        <v>7</v>
      </c>
      <c r="D16" s="176">
        <f t="shared" si="1"/>
        <v>1.8456318576384138E-3</v>
      </c>
      <c r="E16" s="177">
        <f t="shared" si="1"/>
        <v>1.8359685047991299E-3</v>
      </c>
      <c r="F16" s="177">
        <f t="shared" si="1"/>
        <v>1.8261336590697404E-3</v>
      </c>
      <c r="G16" s="177">
        <f t="shared" si="1"/>
        <v>1.7752106325006462E-3</v>
      </c>
      <c r="H16" s="177">
        <f t="shared" si="1"/>
        <v>1.7850162386218828E-3</v>
      </c>
      <c r="I16" s="177">
        <f t="shared" si="1"/>
        <v>1.7739082328394123E-3</v>
      </c>
      <c r="J16" s="177">
        <f t="shared" si="1"/>
        <v>1.7470207485868491E-3</v>
      </c>
      <c r="K16" s="178">
        <f t="shared" si="1"/>
        <v>1.7210665072399695E-3</v>
      </c>
      <c r="L16" s="174"/>
      <c r="M16" s="178">
        <f>AVERAGE(D54:INDEX(D54:K54,0,MATCH('RFPR cover'!$C$7,$D$6:$K$6,0)))/AVERAGE($D$65:INDEX($D$65:$K$65,0,MATCH('RFPR cover'!$C$7,$D$6:$K$6,0)))</f>
        <v>1.8133378983641853E-3</v>
      </c>
      <c r="N16" s="178">
        <f t="shared" si="3"/>
        <v>1.7878255146965769E-3</v>
      </c>
    </row>
    <row r="17" spans="2:16">
      <c r="B17" s="253" t="str">
        <f t="shared" si="2"/>
        <v>Losses discretionary reward scheme</v>
      </c>
      <c r="C17" s="255" t="s">
        <v>7</v>
      </c>
      <c r="D17" s="176">
        <f t="shared" si="1"/>
        <v>0</v>
      </c>
      <c r="E17" s="177">
        <f t="shared" si="1"/>
        <v>1.063331759029496E-3</v>
      </c>
      <c r="F17" s="177">
        <f t="shared" si="1"/>
        <v>0</v>
      </c>
      <c r="G17" s="177">
        <f t="shared" si="1"/>
        <v>0</v>
      </c>
      <c r="H17" s="177">
        <f t="shared" si="1"/>
        <v>0</v>
      </c>
      <c r="I17" s="177">
        <f t="shared" si="1"/>
        <v>0</v>
      </c>
      <c r="J17" s="177">
        <f t="shared" si="1"/>
        <v>0</v>
      </c>
      <c r="K17" s="178">
        <f t="shared" si="1"/>
        <v>0</v>
      </c>
      <c r="L17" s="174"/>
      <c r="M17" s="178">
        <f>AVERAGE(D55:INDEX(D55:K55,0,MATCH('RFPR cover'!$C$7,$D$6:$K$6,0)))/AVERAGE($D$65:INDEX($D$65:$K$65,0,MATCH('RFPR cover'!$C$7,$D$6:$K$6,0)))</f>
        <v>2.1111564158533014E-4</v>
      </c>
      <c r="N17" s="178">
        <f t="shared" si="3"/>
        <v>1.2984402834121978E-4</v>
      </c>
    </row>
    <row r="18" spans="2:16">
      <c r="B18" s="253" t="str">
        <f t="shared" si="2"/>
        <v xml:space="preserve">Network Innovation </v>
      </c>
      <c r="C18" s="255" t="s">
        <v>7</v>
      </c>
      <c r="D18" s="176">
        <f t="shared" si="1"/>
        <v>2.4804942206428622E-3</v>
      </c>
      <c r="E18" s="177">
        <f t="shared" si="1"/>
        <v>-7.7984318017306083E-4</v>
      </c>
      <c r="F18" s="177">
        <f t="shared" si="1"/>
        <v>-6.9508261637715675E-4</v>
      </c>
      <c r="G18" s="177">
        <f t="shared" si="1"/>
        <v>-7.0468774021460517E-4</v>
      </c>
      <c r="H18" s="177">
        <f t="shared" si="1"/>
        <v>1.2209291349190403E-3</v>
      </c>
      <c r="I18" s="177">
        <f t="shared" si="1"/>
        <v>-5.729779246585495E-4</v>
      </c>
      <c r="J18" s="177">
        <f t="shared" si="1"/>
        <v>-8.2668128259238288E-4</v>
      </c>
      <c r="K18" s="178">
        <f t="shared" si="1"/>
        <v>-1.0498725602338355E-3</v>
      </c>
      <c r="L18" s="174"/>
      <c r="M18" s="178">
        <f>AVERAGE(D56:INDEX(D56:K56,0,MATCH('RFPR cover'!$C$7,$D$6:$K$6,0)))/AVERAGE($D$65:INDEX($D$65:$K$65,0,MATCH('RFPR cover'!$C$7,$D$6:$K$6,0)))</f>
        <v>3.0241140566661596E-4</v>
      </c>
      <c r="N18" s="178">
        <f t="shared" si="3"/>
        <v>-1.2925692002252194E-4</v>
      </c>
    </row>
    <row r="19" spans="2:16">
      <c r="B19" s="253" t="str">
        <f>B57</f>
        <v>Penalties and fines</v>
      </c>
      <c r="C19" s="255" t="s">
        <v>7</v>
      </c>
      <c r="D19" s="186">
        <f t="shared" si="1"/>
        <v>-4.3640688445224415E-5</v>
      </c>
      <c r="E19" s="187">
        <f t="shared" si="1"/>
        <v>-1.5181496828954672E-5</v>
      </c>
      <c r="F19" s="187">
        <f t="shared" si="1"/>
        <v>-3.4249232414246028E-5</v>
      </c>
      <c r="G19" s="187">
        <f t="shared" si="1"/>
        <v>-6.9416660097430601E-5</v>
      </c>
      <c r="H19" s="187">
        <f t="shared" si="1"/>
        <v>-7.4911679089302818E-5</v>
      </c>
      <c r="I19" s="187">
        <f t="shared" si="1"/>
        <v>-1.2141730138210102E-4</v>
      </c>
      <c r="J19" s="187">
        <f t="shared" si="1"/>
        <v>-1.2001603796401732E-4</v>
      </c>
      <c r="K19" s="188">
        <f t="shared" si="1"/>
        <v>-1.1806591096981411E-4</v>
      </c>
      <c r="L19" s="174"/>
      <c r="M19" s="188">
        <f>AVERAGE(D57:INDEX(D57:K57,0,MATCH('RFPR cover'!$C$7,$D$6:$K$6,0)))/AVERAGE($D$65:INDEX($D$65:$K$65,0,MATCH('RFPR cover'!$C$7,$D$6:$K$6,0)))</f>
        <v>-4.765394918774169E-5</v>
      </c>
      <c r="N19" s="188">
        <f t="shared" si="3"/>
        <v>-7.543371077864431E-5</v>
      </c>
    </row>
    <row r="20" spans="2:16">
      <c r="B20" s="254" t="str">
        <f>B58</f>
        <v>RoRE - Operational performance</v>
      </c>
      <c r="C20" s="255" t="s">
        <v>7</v>
      </c>
      <c r="D20" s="189">
        <f t="shared" ref="D20:K20" si="4">SUM(D10:D19)</f>
        <v>9.0546968946689899E-2</v>
      </c>
      <c r="E20" s="190">
        <f t="shared" si="4"/>
        <v>9.6135559725364333E-2</v>
      </c>
      <c r="F20" s="190">
        <f t="shared" si="4"/>
        <v>8.5977354474599685E-2</v>
      </c>
      <c r="G20" s="190">
        <f t="shared" si="4"/>
        <v>0.11164501658193128</v>
      </c>
      <c r="H20" s="190">
        <f t="shared" si="4"/>
        <v>0.11017491275423161</v>
      </c>
      <c r="I20" s="190">
        <f t="shared" si="4"/>
        <v>0.11207948525053031</v>
      </c>
      <c r="J20" s="190">
        <f t="shared" si="4"/>
        <v>0.11049239000913939</v>
      </c>
      <c r="K20" s="191">
        <f t="shared" si="4"/>
        <v>0.10807696589173862</v>
      </c>
      <c r="L20" s="175"/>
      <c r="M20" s="191">
        <f>SUM(M10:M19)</f>
        <v>9.8976763668009241E-2</v>
      </c>
      <c r="N20" s="191">
        <f>SUM(N10:N19)</f>
        <v>0.10329579261683076</v>
      </c>
    </row>
    <row r="21" spans="2:16">
      <c r="B21" s="253" t="str">
        <f>B59</f>
        <v>Debt performance - at notional gearing</v>
      </c>
      <c r="C21" s="255" t="s">
        <v>7</v>
      </c>
      <c r="D21" s="176">
        <f>(D59)/D$65</f>
        <v>-1.9374149431363206E-2</v>
      </c>
      <c r="E21" s="177">
        <f t="shared" ref="E21:K21" si="5">(E59)/E$65</f>
        <v>-1.6929808310433187E-2</v>
      </c>
      <c r="F21" s="177">
        <f t="shared" si="5"/>
        <v>-6.9188720902845138E-3</v>
      </c>
      <c r="G21" s="177">
        <f t="shared" si="5"/>
        <v>-1.0398967849661666E-2</v>
      </c>
      <c r="H21" s="177">
        <f t="shared" si="5"/>
        <v>-1.5024868320488362E-2</v>
      </c>
      <c r="I21" s="177">
        <f t="shared" si="5"/>
        <v>-2.7694652187724805E-2</v>
      </c>
      <c r="J21" s="177">
        <f t="shared" si="5"/>
        <v>-2.0812404138216906E-2</v>
      </c>
      <c r="K21" s="178">
        <f t="shared" si="5"/>
        <v>-2.4709177701021847E-2</v>
      </c>
      <c r="L21" s="174"/>
      <c r="M21" s="178">
        <f>AVERAGE(D59:INDEX(D59:K59,0,MATCH('RFPR cover'!$C$7,$D$6:$K$6,0)))/AVERAGE($D$65:INDEX($D$65:$K$65,0,MATCH('RFPR cover'!$C$7,$D$6:$K$6,0)))</f>
        <v>-1.3712917082183116E-2</v>
      </c>
      <c r="N21" s="178">
        <f>AVERAGE(D59:K59)/AVERAGE($D$65:$K$65)</f>
        <v>-1.7823316964237518E-2</v>
      </c>
    </row>
    <row r="22" spans="2:16">
      <c r="B22" s="253" t="str">
        <f>B61</f>
        <v>Tax performance - at notional gearing</v>
      </c>
      <c r="C22" s="255" t="s">
        <v>7</v>
      </c>
      <c r="D22" s="176">
        <f>(D61)/D$65</f>
        <v>-1.1237869258012687E-2</v>
      </c>
      <c r="E22" s="177">
        <f t="shared" ref="E22:K22" si="6">(E61)/E$65</f>
        <v>-2.7108936498387915E-3</v>
      </c>
      <c r="F22" s="177">
        <f t="shared" si="6"/>
        <v>8.2304309873352539E-3</v>
      </c>
      <c r="G22" s="177">
        <f t="shared" si="6"/>
        <v>-2.8027918640850563E-3</v>
      </c>
      <c r="H22" s="177">
        <f t="shared" si="6"/>
        <v>-8.9498957343870662E-3</v>
      </c>
      <c r="I22" s="177">
        <f t="shared" si="6"/>
        <v>2.1046739928709465E-3</v>
      </c>
      <c r="J22" s="177">
        <f t="shared" si="6"/>
        <v>3.4041209271712929E-3</v>
      </c>
      <c r="K22" s="178">
        <f t="shared" si="6"/>
        <v>-3.3886178727297296E-3</v>
      </c>
      <c r="L22" s="174"/>
      <c r="M22" s="178">
        <f>AVERAGE(D61:INDEX(D61:K61,0,MATCH('RFPR cover'!$C$7,$D$6:$K$6,0)))/AVERAGE($D$65:INDEX($D$65:$K$65,0,MATCH('RFPR cover'!$C$7,$D$6:$K$6,0)))</f>
        <v>-3.4963946642086658E-3</v>
      </c>
      <c r="N22" s="178">
        <f>AVERAGE(D61:K61)/AVERAGE($D$65:$K$65)</f>
        <v>-1.8889950294066192E-3</v>
      </c>
    </row>
    <row r="23" spans="2:16">
      <c r="B23" s="254" t="str">
        <f>B63</f>
        <v>RoRE - including financing and tax</v>
      </c>
      <c r="C23" s="255" t="s">
        <v>7</v>
      </c>
      <c r="D23" s="192">
        <f>SUM(D20:D22)</f>
        <v>5.9934950257314011E-2</v>
      </c>
      <c r="E23" s="193">
        <f t="shared" ref="E23:K23" si="7">SUM(E20:E22)</f>
        <v>7.6494857765092364E-2</v>
      </c>
      <c r="F23" s="193">
        <f t="shared" si="7"/>
        <v>8.7288913371650428E-2</v>
      </c>
      <c r="G23" s="193">
        <f t="shared" si="7"/>
        <v>9.8443256868184559E-2</v>
      </c>
      <c r="H23" s="193">
        <f t="shared" si="7"/>
        <v>8.6200148699356188E-2</v>
      </c>
      <c r="I23" s="193">
        <f t="shared" si="7"/>
        <v>8.6489507055676457E-2</v>
      </c>
      <c r="J23" s="193">
        <f t="shared" si="7"/>
        <v>9.3084106798093785E-2</v>
      </c>
      <c r="K23" s="194">
        <f t="shared" si="7"/>
        <v>7.9979170317987042E-2</v>
      </c>
      <c r="L23" s="175"/>
      <c r="M23" s="194">
        <f>SUM(M20:M22)</f>
        <v>8.1767451921617468E-2</v>
      </c>
      <c r="N23" s="194">
        <f>SUM(N20:N22)</f>
        <v>8.3583480623186629E-2</v>
      </c>
    </row>
    <row r="26" spans="2:16" s="31" customFormat="1">
      <c r="B26" s="471"/>
      <c r="C26" s="367"/>
    </row>
    <row r="27" spans="2:16">
      <c r="B27" s="533" t="s">
        <v>215</v>
      </c>
      <c r="C27" s="425"/>
      <c r="D27" s="218"/>
      <c r="E27" s="218"/>
      <c r="F27" s="218"/>
      <c r="G27" s="218"/>
      <c r="H27" s="218"/>
      <c r="I27" s="218"/>
      <c r="J27" s="218"/>
      <c r="K27" s="218"/>
      <c r="L27" s="534"/>
      <c r="M27" s="218"/>
      <c r="N27" s="218"/>
      <c r="O27" s="218"/>
    </row>
    <row r="28" spans="2:16">
      <c r="B28" s="198"/>
      <c r="L28" s="49"/>
    </row>
    <row r="29" spans="2:16">
      <c r="B29" s="253" t="s">
        <v>214</v>
      </c>
      <c r="C29" s="255" t="s">
        <v>7</v>
      </c>
      <c r="D29" s="176">
        <f t="shared" ref="D29:K38" si="8">D48/D$66</f>
        <v>5.4126546742749831E-2</v>
      </c>
      <c r="E29" s="177">
        <f t="shared" si="8"/>
        <v>5.3830935222133419E-2</v>
      </c>
      <c r="F29" s="177">
        <f t="shared" si="8"/>
        <v>5.3534235664673524E-2</v>
      </c>
      <c r="G29" s="177">
        <f t="shared" si="8"/>
        <v>5.5711736444605413E-2</v>
      </c>
      <c r="H29" s="177">
        <f t="shared" si="8"/>
        <v>5.4993659825448217E-2</v>
      </c>
      <c r="I29" s="177">
        <f t="shared" si="8"/>
        <v>5.3619532248989174E-2</v>
      </c>
      <c r="J29" s="177">
        <f t="shared" si="8"/>
        <v>5.3518186969625563E-2</v>
      </c>
      <c r="K29" s="178">
        <f t="shared" si="8"/>
        <v>5.2524321405662357E-2</v>
      </c>
      <c r="L29" s="174"/>
      <c r="M29" s="510">
        <f>AVERAGE(D48:INDEX(D48:K48,0,MATCH('RFPR cover'!$C$7,$D$6:$K$6,0)))/AVERAGE($D$66:INDEX($D$66:$K$66,0,MATCH('RFPR cover'!$C$7,$D$6:$K$6,0)))</f>
        <v>5.4433012477686102E-2</v>
      </c>
      <c r="N29" s="510">
        <f>AVERAGE(D48:K48)/AVERAGE($D$66:$K$66)</f>
        <v>5.3955805974690726E-2</v>
      </c>
      <c r="P29" s="323"/>
    </row>
    <row r="30" spans="2:16">
      <c r="B30" s="253" t="str">
        <f t="shared" ref="B30:B37" si="9">B49</f>
        <v>Totex outperformance</v>
      </c>
      <c r="C30" s="255" t="s">
        <v>7</v>
      </c>
      <c r="D30" s="176">
        <f t="shared" si="8"/>
        <v>3.600277537969601E-3</v>
      </c>
      <c r="E30" s="177">
        <f t="shared" si="8"/>
        <v>1.0914105151859112E-2</v>
      </c>
      <c r="F30" s="177">
        <f t="shared" si="8"/>
        <v>4.1083658255816578E-3</v>
      </c>
      <c r="G30" s="177">
        <f t="shared" si="8"/>
        <v>2.7260527958491498E-2</v>
      </c>
      <c r="H30" s="177">
        <f t="shared" si="8"/>
        <v>1.8108896457788078E-2</v>
      </c>
      <c r="I30" s="177">
        <f t="shared" si="8"/>
        <v>2.1023491793742514E-2</v>
      </c>
      <c r="J30" s="177">
        <f t="shared" si="8"/>
        <v>1.9713177508460179E-2</v>
      </c>
      <c r="K30" s="178">
        <f t="shared" si="8"/>
        <v>1.7452638210654854E-2</v>
      </c>
      <c r="L30" s="174"/>
      <c r="M30" s="178">
        <f>AVERAGE(D49:INDEX(D49:K49,0,MATCH('RFPR cover'!$C$7,$D$6:$K$6,0)))/AVERAGE($D$66:INDEX($D$66:$K$66,0,MATCH('RFPR cover'!$C$7,$D$6:$K$6,0)))</f>
        <v>1.2740942761891506E-2</v>
      </c>
      <c r="N30" s="178">
        <f t="shared" ref="N30:N38" si="10">AVERAGE(D49:K49)/AVERAGE($D$66:$K$66)</f>
        <v>1.5326739422890543E-2</v>
      </c>
    </row>
    <row r="31" spans="2:16">
      <c r="B31" s="253" t="str">
        <f t="shared" si="9"/>
        <v>IQI Reward</v>
      </c>
      <c r="C31" s="255" t="s">
        <v>7</v>
      </c>
      <c r="D31" s="176">
        <f t="shared" si="8"/>
        <v>2.667986115239592E-3</v>
      </c>
      <c r="E31" s="177">
        <f t="shared" si="8"/>
        <v>2.4969190638190705E-3</v>
      </c>
      <c r="F31" s="177">
        <f t="shared" si="8"/>
        <v>2.4623869128958119E-3</v>
      </c>
      <c r="G31" s="177">
        <f t="shared" si="8"/>
        <v>2.5443229366700249E-3</v>
      </c>
      <c r="H31" s="177">
        <f t="shared" si="8"/>
        <v>2.483985771818424E-3</v>
      </c>
      <c r="I31" s="177">
        <f t="shared" si="8"/>
        <v>2.3626714544574714E-3</v>
      </c>
      <c r="J31" s="177">
        <f t="shared" si="8"/>
        <v>2.3979084245492233E-3</v>
      </c>
      <c r="K31" s="178">
        <f t="shared" si="8"/>
        <v>2.2316654735590096E-3</v>
      </c>
      <c r="L31" s="174"/>
      <c r="M31" s="178">
        <f>AVERAGE(D50:INDEX(D50:K50,0,MATCH('RFPR cover'!$C$7,$D$6:$K$6,0)))/AVERAGE($D$66:INDEX($D$66:$K$66,0,MATCH('RFPR cover'!$C$7,$D$6:$K$6,0)))</f>
        <v>2.5306107585901954E-3</v>
      </c>
      <c r="N31" s="178">
        <f t="shared" si="10"/>
        <v>2.4520838000201919E-3</v>
      </c>
    </row>
    <row r="32" spans="2:16">
      <c r="B32" s="253" t="str">
        <f t="shared" si="9"/>
        <v>Broad measure of customer service</v>
      </c>
      <c r="C32" s="255" t="s">
        <v>7</v>
      </c>
      <c r="D32" s="176">
        <f t="shared" si="8"/>
        <v>-2.8704806681700303E-4</v>
      </c>
      <c r="E32" s="177">
        <f t="shared" si="8"/>
        <v>9.1337578834238499E-4</v>
      </c>
      <c r="F32" s="177">
        <f t="shared" si="8"/>
        <v>2.4951445157646527E-3</v>
      </c>
      <c r="G32" s="177">
        <f t="shared" si="8"/>
        <v>3.3908334087537021E-3</v>
      </c>
      <c r="H32" s="177">
        <f t="shared" si="8"/>
        <v>4.1605888437375917E-3</v>
      </c>
      <c r="I32" s="177">
        <f t="shared" si="8"/>
        <v>4.2235372212359665E-3</v>
      </c>
      <c r="J32" s="177">
        <f t="shared" si="8"/>
        <v>4.5516304789254124E-3</v>
      </c>
      <c r="K32" s="178">
        <f t="shared" si="8"/>
        <v>4.8426966054652592E-3</v>
      </c>
      <c r="L32" s="174"/>
      <c r="M32" s="178">
        <f>AVERAGE(D51:INDEX(D51:K51,0,MATCH('RFPR cover'!$C$7,$D$6:$K$6,0)))/AVERAGE($D$66:INDEX($D$66:$K$66,0,MATCH('RFPR cover'!$C$7,$D$6:$K$6,0)))</f>
        <v>2.1358761830276552E-3</v>
      </c>
      <c r="N32" s="178">
        <f t="shared" si="10"/>
        <v>3.0760999054313056E-3</v>
      </c>
    </row>
    <row r="33" spans="2:15">
      <c r="B33" s="253" t="str">
        <f t="shared" si="9"/>
        <v>Interruptions-related quality of service</v>
      </c>
      <c r="C33" s="255" t="s">
        <v>7</v>
      </c>
      <c r="D33" s="176">
        <f t="shared" si="8"/>
        <v>1.7712214362178385E-2</v>
      </c>
      <c r="E33" s="177">
        <f t="shared" si="8"/>
        <v>1.6207864195773448E-2</v>
      </c>
      <c r="F33" s="177">
        <f t="shared" si="8"/>
        <v>1.3133458909076206E-2</v>
      </c>
      <c r="G33" s="177">
        <f t="shared" si="8"/>
        <v>1.3828652128236221E-2</v>
      </c>
      <c r="H33" s="177">
        <f t="shared" si="8"/>
        <v>1.8548425824125175E-2</v>
      </c>
      <c r="I33" s="177">
        <f t="shared" si="8"/>
        <v>1.7966877137569302E-2</v>
      </c>
      <c r="J33" s="177">
        <f t="shared" si="8"/>
        <v>1.766110542464637E-2</v>
      </c>
      <c r="K33" s="178">
        <f t="shared" si="8"/>
        <v>1.7075621943045748E-2</v>
      </c>
      <c r="L33" s="174"/>
      <c r="M33" s="178">
        <f>AVERAGE(D52:INDEX(D52:K52,0,MATCH('RFPR cover'!$C$7,$D$6:$K$6,0)))/AVERAGE($D$66:INDEX($D$66:$K$66,0,MATCH('RFPR cover'!$C$7,$D$6:$K$6,0)))</f>
        <v>1.5885209337702384E-2</v>
      </c>
      <c r="N33" s="178">
        <f t="shared" si="10"/>
        <v>1.653898067377119E-2</v>
      </c>
    </row>
    <row r="34" spans="2:15">
      <c r="B34" s="253" t="str">
        <f t="shared" si="9"/>
        <v>Incentive on connections engagement</v>
      </c>
      <c r="C34" s="255" t="s">
        <v>7</v>
      </c>
      <c r="D34" s="176">
        <f t="shared" si="8"/>
        <v>0</v>
      </c>
      <c r="E34" s="177">
        <f t="shared" si="8"/>
        <v>0</v>
      </c>
      <c r="F34" s="177">
        <f t="shared" si="8"/>
        <v>0</v>
      </c>
      <c r="G34" s="177">
        <f t="shared" si="8"/>
        <v>0</v>
      </c>
      <c r="H34" s="177">
        <f t="shared" si="8"/>
        <v>0</v>
      </c>
      <c r="I34" s="177">
        <f t="shared" si="8"/>
        <v>0</v>
      </c>
      <c r="J34" s="177">
        <f t="shared" si="8"/>
        <v>0</v>
      </c>
      <c r="K34" s="178">
        <f t="shared" si="8"/>
        <v>0</v>
      </c>
      <c r="L34" s="174"/>
      <c r="M34" s="178">
        <f>AVERAGE(D53:INDEX(D53:K53,0,MATCH('RFPR cover'!$C$7,$D$6:$K$6,0)))/AVERAGE($D$66:INDEX($D$66:$K$66,0,MATCH('RFPR cover'!$C$7,$D$6:$K$6,0)))</f>
        <v>0</v>
      </c>
      <c r="N34" s="178">
        <f t="shared" si="10"/>
        <v>0</v>
      </c>
    </row>
    <row r="35" spans="2:15">
      <c r="B35" s="253" t="str">
        <f t="shared" si="9"/>
        <v>Time to Connect Incentive</v>
      </c>
      <c r="C35" s="255" t="s">
        <v>7</v>
      </c>
      <c r="D35" s="176">
        <f t="shared" si="8"/>
        <v>1.6649613168728968E-3</v>
      </c>
      <c r="E35" s="177">
        <f t="shared" si="8"/>
        <v>1.6471983608619854E-3</v>
      </c>
      <c r="F35" s="177">
        <f t="shared" si="8"/>
        <v>1.6293444943305342E-3</v>
      </c>
      <c r="G35" s="177">
        <f t="shared" si="8"/>
        <v>1.648334448192288E-3</v>
      </c>
      <c r="H35" s="177">
        <f t="shared" si="8"/>
        <v>1.6360762634945486E-3</v>
      </c>
      <c r="I35" s="177">
        <f t="shared" si="8"/>
        <v>1.5852688282913378E-3</v>
      </c>
      <c r="J35" s="177">
        <f t="shared" si="8"/>
        <v>1.558289717711437E-3</v>
      </c>
      <c r="K35" s="178">
        <f t="shared" si="8"/>
        <v>1.5066308397798814E-3</v>
      </c>
      <c r="L35" s="174"/>
      <c r="M35" s="178">
        <f>AVERAGE(D54:INDEX(D54:K54,0,MATCH('RFPR cover'!$C$7,$D$6:$K$6,0)))/AVERAGE($D$66:INDEX($D$66:$K$66,0,MATCH('RFPR cover'!$C$7,$D$6:$K$6,0)))</f>
        <v>1.6450907407986467E-3</v>
      </c>
      <c r="N35" s="178">
        <f t="shared" si="10"/>
        <v>1.6077261097928353E-3</v>
      </c>
    </row>
    <row r="36" spans="2:15">
      <c r="B36" s="253" t="str">
        <f t="shared" si="9"/>
        <v>Losses discretionary reward scheme</v>
      </c>
      <c r="C36" s="255" t="s">
        <v>7</v>
      </c>
      <c r="D36" s="176">
        <f t="shared" si="8"/>
        <v>0</v>
      </c>
      <c r="E36" s="177">
        <f t="shared" si="8"/>
        <v>9.5400238399923304E-4</v>
      </c>
      <c r="F36" s="177">
        <f t="shared" si="8"/>
        <v>0</v>
      </c>
      <c r="G36" s="177">
        <f t="shared" si="8"/>
        <v>0</v>
      </c>
      <c r="H36" s="177">
        <f t="shared" si="8"/>
        <v>0</v>
      </c>
      <c r="I36" s="177">
        <f t="shared" si="8"/>
        <v>0</v>
      </c>
      <c r="J36" s="177">
        <f t="shared" si="8"/>
        <v>0</v>
      </c>
      <c r="K36" s="178">
        <f t="shared" si="8"/>
        <v>0</v>
      </c>
      <c r="L36" s="174"/>
      <c r="M36" s="178">
        <f>AVERAGE(D55:INDEX(D55:K55,0,MATCH('RFPR cover'!$C$7,$D$6:$K$6,0)))/AVERAGE($D$66:INDEX($D$66:$K$66,0,MATCH('RFPR cover'!$C$7,$D$6:$K$6,0)))</f>
        <v>1.9152767254414972E-4</v>
      </c>
      <c r="N36" s="178">
        <f t="shared" si="10"/>
        <v>1.16763986669185E-4</v>
      </c>
    </row>
    <row r="37" spans="2:15">
      <c r="B37" s="253" t="str">
        <f t="shared" si="9"/>
        <v xml:space="preserve">Network Innovation </v>
      </c>
      <c r="C37" s="255" t="s">
        <v>7</v>
      </c>
      <c r="D37" s="176">
        <f t="shared" si="8"/>
        <v>2.2376764396457782E-3</v>
      </c>
      <c r="E37" s="177">
        <f t="shared" si="8"/>
        <v>-6.996614619219759E-4</v>
      </c>
      <c r="F37" s="177">
        <f t="shared" si="8"/>
        <v>-6.2017860985920956E-4</v>
      </c>
      <c r="G37" s="177">
        <f t="shared" si="8"/>
        <v>-6.5432296097634411E-4</v>
      </c>
      <c r="H37" s="177">
        <f t="shared" si="8"/>
        <v>1.1190560252786078E-3</v>
      </c>
      <c r="I37" s="177">
        <f t="shared" si="8"/>
        <v>-5.1204680515313302E-4</v>
      </c>
      <c r="J37" s="177">
        <f t="shared" si="8"/>
        <v>-7.3737472410115019E-4</v>
      </c>
      <c r="K37" s="178">
        <f t="shared" si="8"/>
        <v>-9.1906406314512642E-4</v>
      </c>
      <c r="L37" s="174"/>
      <c r="M37" s="178">
        <f>AVERAGE(D56:INDEX(D56:K56,0,MATCH('RFPR cover'!$C$7,$D$6:$K$6,0)))/AVERAGE($D$66:INDEX($D$66:$K$66,0,MATCH('RFPR cover'!$C$7,$D$6:$K$6,0)))</f>
        <v>2.7435273030075835E-4</v>
      </c>
      <c r="N37" s="178">
        <f t="shared" si="10"/>
        <v>-1.1623602162702187E-4</v>
      </c>
    </row>
    <row r="38" spans="2:15">
      <c r="B38" s="253" t="str">
        <f>B57</f>
        <v>Penalties and fines</v>
      </c>
      <c r="C38" s="255" t="s">
        <v>7</v>
      </c>
      <c r="D38" s="186">
        <f t="shared" si="8"/>
        <v>-3.9368662716937025E-5</v>
      </c>
      <c r="E38" s="187">
        <f t="shared" si="8"/>
        <v>-1.3620569539574714E-5</v>
      </c>
      <c r="F38" s="187">
        <f t="shared" si="8"/>
        <v>-3.0558441323307035E-5</v>
      </c>
      <c r="G38" s="187">
        <f t="shared" si="8"/>
        <v>-6.4455377870213505E-5</v>
      </c>
      <c r="H38" s="187">
        <f t="shared" si="8"/>
        <v>-6.8661123279837699E-5</v>
      </c>
      <c r="I38" s="187">
        <f t="shared" si="8"/>
        <v>-1.0850564845071338E-4</v>
      </c>
      <c r="J38" s="187">
        <f t="shared" si="8"/>
        <v>-1.0705067931853265E-4</v>
      </c>
      <c r="K38" s="188">
        <f t="shared" si="8"/>
        <v>-1.0335553091384723E-4</v>
      </c>
      <c r="L38" s="174"/>
      <c r="M38" s="188">
        <f>AVERAGE(D57:INDEX(D57:K57,0,MATCH('RFPR cover'!$C$7,$D$6:$K$6,0)))/AVERAGE($D$66:INDEX($D$66:$K$66,0,MATCH('RFPR cover'!$C$7,$D$6:$K$6,0)))</f>
        <v>-4.3232466845789384E-5</v>
      </c>
      <c r="N38" s="188">
        <f t="shared" si="10"/>
        <v>-6.7834777712057841E-5</v>
      </c>
    </row>
    <row r="39" spans="2:15">
      <c r="B39" s="254" t="str">
        <f>B58</f>
        <v>RoRE - Operational performance</v>
      </c>
      <c r="C39" s="255" t="s">
        <v>7</v>
      </c>
      <c r="D39" s="189">
        <f t="shared" ref="D39:K39" si="11">SUM(D29:D38)</f>
        <v>8.1683245785122136E-2</v>
      </c>
      <c r="E39" s="190">
        <f t="shared" si="11"/>
        <v>8.6251118135327098E-2</v>
      </c>
      <c r="F39" s="190">
        <f t="shared" si="11"/>
        <v>7.6712199271139883E-2</v>
      </c>
      <c r="G39" s="190">
        <f t="shared" si="11"/>
        <v>0.1036656289861026</v>
      </c>
      <c r="H39" s="190">
        <f t="shared" si="11"/>
        <v>0.10098202788841079</v>
      </c>
      <c r="I39" s="190">
        <f t="shared" si="11"/>
        <v>0.10016082623068191</v>
      </c>
      <c r="J39" s="190">
        <f t="shared" si="11"/>
        <v>9.8555873120498502E-2</v>
      </c>
      <c r="K39" s="191">
        <f t="shared" si="11"/>
        <v>9.4611154884108123E-2</v>
      </c>
      <c r="L39" s="175"/>
      <c r="M39" s="191">
        <f>SUM(M29:M38)</f>
        <v>8.9793390195695627E-2</v>
      </c>
      <c r="N39" s="191">
        <f>SUM(N29:N38)</f>
        <v>9.2890129073926894E-2</v>
      </c>
    </row>
    <row r="40" spans="2:15">
      <c r="B40" s="253" t="s">
        <v>450</v>
      </c>
      <c r="C40" s="255" t="s">
        <v>7</v>
      </c>
      <c r="D40" s="176">
        <f>(D59+D60)/D$66</f>
        <v>-1.4670388334337949E-2</v>
      </c>
      <c r="E40" s="177">
        <f t="shared" ref="E40:K40" si="12">(E59+E60)/E$66</f>
        <v>-1.2701905629203897E-2</v>
      </c>
      <c r="F40" s="177">
        <f t="shared" si="12"/>
        <v>-4.5390808151397838E-3</v>
      </c>
      <c r="G40" s="177">
        <f t="shared" si="12"/>
        <v>-8.4605416816628393E-3</v>
      </c>
      <c r="H40" s="177">
        <f t="shared" si="12"/>
        <v>-1.219539765175906E-2</v>
      </c>
      <c r="I40" s="177">
        <f t="shared" si="12"/>
        <v>-2.2153575025995315E-2</v>
      </c>
      <c r="J40" s="177">
        <f t="shared" si="12"/>
        <v>-1.645840294400679E-2</v>
      </c>
      <c r="K40" s="178">
        <f t="shared" si="12"/>
        <v>-1.9092004431327057E-2</v>
      </c>
      <c r="L40" s="174"/>
      <c r="M40" s="178">
        <f>(AVERAGE(D59:INDEX(D59:K59,0,MATCH('RFPR cover'!$C$7,$D$6:$K$6,0)))+AVERAGE(D60:INDEX(D60:K60,0,MATCH('RFPR cover'!$C$7,$D$6:$K$6,0))))/AVERAGE($D$66:INDEX($D$66:$K$66,0,MATCH('RFPR cover'!$C$7,$D$6:$K$6,0)))</f>
        <v>-1.0500223801492984E-2</v>
      </c>
      <c r="N40" s="178">
        <f>(AVERAGE(D59:K59)+AVERAGE(D60:K60))/AVERAGE($D$66:$K$66)</f>
        <v>-1.3902690895044829E-2</v>
      </c>
    </row>
    <row r="41" spans="2:15">
      <c r="B41" s="253" t="s">
        <v>451</v>
      </c>
      <c r="C41" s="255" t="s">
        <v>7</v>
      </c>
      <c r="D41" s="176">
        <f>(D61+D62)/D$66</f>
        <v>-1.0137784261378919E-2</v>
      </c>
      <c r="E41" s="177">
        <f t="shared" ref="E41:K41" si="13">(E61+E62)/E$66</f>
        <v>-2.4321656743094121E-3</v>
      </c>
      <c r="F41" s="177">
        <f t="shared" si="13"/>
        <v>7.3434972016306176E-3</v>
      </c>
      <c r="G41" s="177">
        <f t="shared" si="13"/>
        <v>-2.6024733606831809E-3</v>
      </c>
      <c r="H41" s="177">
        <f t="shared" si="13"/>
        <v>-8.2031253581685403E-3</v>
      </c>
      <c r="I41" s="177">
        <f t="shared" si="13"/>
        <v>1.8808605839058723E-3</v>
      </c>
      <c r="J41" s="177">
        <f t="shared" si="13"/>
        <v>3.0363730041261415E-3</v>
      </c>
      <c r="K41" s="178">
        <f t="shared" si="13"/>
        <v>-2.9664142378038002E-3</v>
      </c>
      <c r="L41" s="174"/>
      <c r="M41" s="178">
        <f>(AVERAGE(D61:INDEX(D61:K61,0,MATCH('RFPR cover'!$C$7,$D$6:$K$6,0)))+AVERAGE(D62:INDEX(D62:K62,0,MATCH('RFPR cover'!$C$7,$D$6:$K$6,0))))/AVERAGE($D$66:INDEX($D$66:$K$66,0,MATCH('RFPR cover'!$C$7,$D$6:$K$6,0)))</f>
        <v>-3.1719882397297562E-3</v>
      </c>
      <c r="N41" s="178">
        <f>(AVERAGE(D61:K61)+AVERAGE(D62:K62))/AVERAGE($D$66:$K$66)</f>
        <v>-1.698704154896979E-3</v>
      </c>
    </row>
    <row r="42" spans="2:15">
      <c r="B42" s="254" t="str">
        <f>B63</f>
        <v>RoRE - including financing and tax</v>
      </c>
      <c r="C42" s="255" t="s">
        <v>7</v>
      </c>
      <c r="D42" s="192">
        <f>SUM(D39:D41)</f>
        <v>5.6875073189405267E-2</v>
      </c>
      <c r="E42" s="193">
        <f t="shared" ref="E42:K42" si="14">SUM(E39:E41)</f>
        <v>7.1117046831813788E-2</v>
      </c>
      <c r="F42" s="193">
        <f t="shared" si="14"/>
        <v>7.9516615657630713E-2</v>
      </c>
      <c r="G42" s="193">
        <f t="shared" si="14"/>
        <v>9.2602613943756573E-2</v>
      </c>
      <c r="H42" s="193">
        <f t="shared" si="14"/>
        <v>8.0583504878483189E-2</v>
      </c>
      <c r="I42" s="193">
        <f t="shared" si="14"/>
        <v>7.9888111788592467E-2</v>
      </c>
      <c r="J42" s="193">
        <f t="shared" si="14"/>
        <v>8.5133843180617855E-2</v>
      </c>
      <c r="K42" s="194">
        <f t="shared" si="14"/>
        <v>7.2552736214977265E-2</v>
      </c>
      <c r="L42" s="175"/>
      <c r="M42" s="194">
        <f>SUM(M39:M41)</f>
        <v>7.612117815447289E-2</v>
      </c>
      <c r="N42" s="194">
        <f>SUM(N39:N41)</f>
        <v>7.728873402398509E-2</v>
      </c>
    </row>
    <row r="43" spans="2:15" s="31" customFormat="1">
      <c r="B43" s="472"/>
      <c r="C43" s="473"/>
      <c r="D43" s="474"/>
      <c r="E43" s="474"/>
      <c r="F43" s="474"/>
      <c r="G43" s="474"/>
      <c r="H43" s="474"/>
      <c r="I43" s="474"/>
      <c r="J43" s="474"/>
      <c r="K43" s="474"/>
      <c r="L43" s="475"/>
      <c r="M43" s="474"/>
      <c r="N43" s="474"/>
    </row>
    <row r="44" spans="2:15" s="31" customFormat="1">
      <c r="B44" s="472"/>
      <c r="C44" s="473"/>
      <c r="D44" s="474"/>
      <c r="E44" s="474"/>
      <c r="F44" s="474"/>
      <c r="G44" s="474"/>
      <c r="H44" s="474"/>
      <c r="I44" s="474"/>
      <c r="J44" s="474"/>
      <c r="K44" s="474"/>
      <c r="L44" s="475"/>
      <c r="M44" s="474"/>
      <c r="N44" s="474"/>
    </row>
    <row r="45" spans="2:15" s="31" customFormat="1">
      <c r="B45" s="527" t="s">
        <v>386</v>
      </c>
      <c r="C45" s="528"/>
      <c r="D45" s="529"/>
      <c r="E45" s="529"/>
      <c r="F45" s="529"/>
      <c r="G45" s="529"/>
      <c r="H45" s="529"/>
      <c r="I45" s="529"/>
      <c r="J45" s="529"/>
      <c r="K45" s="529"/>
      <c r="L45" s="530"/>
      <c r="M45" s="529"/>
      <c r="N45" s="529"/>
      <c r="O45" s="218"/>
    </row>
    <row r="46" spans="2:15" s="31" customFormat="1">
      <c r="B46" s="532" t="str">
        <f>"Input values provided in "&amp;'RFPR cover'!C14&amp;" prices"</f>
        <v>Input values provided in £m 12/13 prices</v>
      </c>
      <c r="C46" s="531"/>
      <c r="D46" s="531"/>
      <c r="E46" s="531"/>
      <c r="F46" s="531"/>
      <c r="G46" s="531"/>
      <c r="H46" s="531"/>
      <c r="I46" s="531"/>
      <c r="J46" s="531"/>
      <c r="K46" s="531"/>
      <c r="L46" s="531"/>
      <c r="M46" s="531"/>
      <c r="N46" s="531"/>
      <c r="O46" s="531"/>
    </row>
    <row r="48" spans="2:15">
      <c r="B48" s="248" t="s">
        <v>227</v>
      </c>
      <c r="C48" s="343" t="str">
        <f>'RFPR cover'!$C$14</f>
        <v>£m 12/13</v>
      </c>
      <c r="D48" s="179">
        <f>'R9 - RAV'!D50</f>
        <v>31.598934402131313</v>
      </c>
      <c r="E48" s="180">
        <f>'R9 - RAV'!E50</f>
        <v>31.765250791369475</v>
      </c>
      <c r="F48" s="180">
        <f>'R9 - RAV'!F50</f>
        <v>31.936326079060979</v>
      </c>
      <c r="G48" s="180">
        <f>'R9 - RAV'!G50</f>
        <v>32.203603872893765</v>
      </c>
      <c r="H48" s="180">
        <f>'R9 - RAV'!H50</f>
        <v>32.488767174198557</v>
      </c>
      <c r="I48" s="180">
        <f>'R9 - RAV'!I50</f>
        <v>32.875650160692061</v>
      </c>
      <c r="J48" s="180">
        <f>'R9 - RAV'!J50</f>
        <v>33.381622128514074</v>
      </c>
      <c r="K48" s="181">
        <f>'R9 - RAV'!K50</f>
        <v>33.885027821222145</v>
      </c>
      <c r="M48" s="96">
        <f>SUM(D48:INDEX(D48:K48,0,MATCH('RFPR cover'!$C$7,$D$6:$K$6,0)))</f>
        <v>159.99288231965409</v>
      </c>
      <c r="N48" s="96">
        <f>SUM(D48:K48)</f>
        <v>260.13518243008235</v>
      </c>
    </row>
    <row r="49" spans="2:14">
      <c r="B49" s="248" t="s">
        <v>102</v>
      </c>
      <c r="C49" s="343" t="str">
        <f>'RFPR cover'!$C$14</f>
        <v>£m 12/13</v>
      </c>
      <c r="D49" s="252">
        <f>'R4 - Totex'!D35+'R4 - Totex'!D63</f>
        <v>2.1018324758914515</v>
      </c>
      <c r="E49" s="252">
        <f>'R4 - Totex'!E35+'R4 - Totex'!E63</f>
        <v>6.4403355780754801</v>
      </c>
      <c r="F49" s="252">
        <f>'R4 - Totex'!F35+'R4 - Totex'!F63</f>
        <v>2.450882300434662</v>
      </c>
      <c r="G49" s="252">
        <f>'R4 - Totex'!G35+'R4 - Totex'!G63</f>
        <v>15.75767153863702</v>
      </c>
      <c r="H49" s="252">
        <f>'R4 - Totex'!H35+'R4 - Totex'!H63</f>
        <v>10.698246355418858</v>
      </c>
      <c r="I49" s="252">
        <f>'R4 - Totex'!I35+'R4 - Totex'!I63</f>
        <v>12.890096805726778</v>
      </c>
      <c r="J49" s="252">
        <f>'R4 - Totex'!J35+'R4 - Totex'!J63</f>
        <v>12.295966657338809</v>
      </c>
      <c r="K49" s="252">
        <f>'R4 - Totex'!K35+'R4 - Totex'!K63</f>
        <v>11.25922459339019</v>
      </c>
      <c r="M49" s="96">
        <f>SUM(D49:INDEX(D49:K49,0,MATCH('RFPR cover'!$C$7,$D$6:$K$6,0)))</f>
        <v>37.448968248457476</v>
      </c>
      <c r="N49" s="96">
        <f>SUM(D49:K49)</f>
        <v>73.894256304913256</v>
      </c>
    </row>
    <row r="50" spans="2:14">
      <c r="B50" s="250" t="s">
        <v>110</v>
      </c>
      <c r="C50" s="343" t="str">
        <f>'RFPR cover'!$C$14</f>
        <v>£m 12/13</v>
      </c>
      <c r="D50" s="243">
        <f>'R4 - Totex'!D79</f>
        <v>1.5575632164737283</v>
      </c>
      <c r="E50" s="182">
        <f>'R4 - Totex'!E79</f>
        <v>1.4734141240658321</v>
      </c>
      <c r="F50" s="182">
        <f>'R4 - Totex'!F79</f>
        <v>1.4689588897025405</v>
      </c>
      <c r="G50" s="182">
        <f>'R4 - Totex'!G79</f>
        <v>1.4707200530126929</v>
      </c>
      <c r="H50" s="182">
        <f>'R4 - Totex'!H79</f>
        <v>1.4674716260161711</v>
      </c>
      <c r="I50" s="182">
        <f>'R4 - Totex'!I79</f>
        <v>1.4486206224386007</v>
      </c>
      <c r="J50" s="182">
        <f>'R4 - Totex'!J79</f>
        <v>1.4956798325868756</v>
      </c>
      <c r="K50" s="183">
        <f>'R4 - Totex'!K79</f>
        <v>1.4397148718051931</v>
      </c>
      <c r="M50" s="96">
        <f>SUM(D50:INDEX(D50:K50,0,MATCH('RFPR cover'!$C$7,$D$6:$K$6,0)))</f>
        <v>7.4381279092709649</v>
      </c>
      <c r="N50" s="96">
        <f t="shared" ref="N50:N57" si="15">SUM(D50:K50)</f>
        <v>11.822143236101635</v>
      </c>
    </row>
    <row r="51" spans="2:14">
      <c r="B51" s="251" t="str">
        <f>'R5 - Output Incentives'!B39</f>
        <v>Broad measure of customer service</v>
      </c>
      <c r="C51" s="343" t="str">
        <f>'RFPR cover'!$C$14</f>
        <v>£m 12/13</v>
      </c>
      <c r="D51" s="243">
        <f>'R5 - Output Incentives'!D39</f>
        <v>-0.16757789992992769</v>
      </c>
      <c r="E51" s="182">
        <f>'R5 - Output Incentives'!E39</f>
        <v>0.53897653577326798</v>
      </c>
      <c r="F51" s="182">
        <f>'R5 - Output Incentives'!F39</f>
        <v>1.488500730055704</v>
      </c>
      <c r="G51" s="182">
        <f>'R5 - Output Incentives'!G39</f>
        <v>1.9600368407661053</v>
      </c>
      <c r="H51" s="182">
        <f>'R5 - Output Incentives'!H39</f>
        <v>2.4579633848847395</v>
      </c>
      <c r="I51" s="182">
        <f>'R5 - Output Incentives'!I39</f>
        <v>2.5895700000000037</v>
      </c>
      <c r="J51" s="182">
        <f>'R5 - Output Incentives'!J39</f>
        <v>2.8390500000000038</v>
      </c>
      <c r="K51" s="183">
        <f>'R5 - Output Incentives'!K39</f>
        <v>3.1241700000000034</v>
      </c>
      <c r="M51" s="96">
        <f>SUM(D51:INDEX(D51:K51,0,MATCH('RFPR cover'!$C$7,$D$6:$K$6,0)))</f>
        <v>6.2778995915498896</v>
      </c>
      <c r="N51" s="96">
        <f t="shared" si="15"/>
        <v>14.8306895915499</v>
      </c>
    </row>
    <row r="52" spans="2:14">
      <c r="B52" s="251" t="str">
        <f>'R5 - Output Incentives'!B40</f>
        <v>Interruptions-related quality of service</v>
      </c>
      <c r="C52" s="343" t="str">
        <f>'RFPR cover'!$C$14</f>
        <v>£m 12/13</v>
      </c>
      <c r="D52" s="243">
        <f>'R5 - Output Incentives'!D40</f>
        <v>10.34034375787944</v>
      </c>
      <c r="E52" s="182">
        <f>'R5 - Output Incentives'!E40</f>
        <v>9.5641450189688388</v>
      </c>
      <c r="F52" s="182">
        <f>'R5 - Output Incentives'!F40</f>
        <v>7.8348821283906913</v>
      </c>
      <c r="G52" s="182">
        <f>'R5 - Output Incentives'!G40</f>
        <v>7.9935120255417971</v>
      </c>
      <c r="H52" s="182">
        <f>'R5 - Output Incentives'!H40</f>
        <v>10.957908420000001</v>
      </c>
      <c r="I52" s="182">
        <f>'R5 - Output Incentives'!I40</f>
        <v>11.016</v>
      </c>
      <c r="J52" s="182">
        <f>'R5 - Output Incentives'!J40</f>
        <v>11.016</v>
      </c>
      <c r="K52" s="183">
        <f>'R5 - Output Incentives'!K40</f>
        <v>11.016</v>
      </c>
      <c r="M52" s="96">
        <f>SUM(D52:INDEX(D52:K52,0,MATCH('RFPR cover'!$C$7,$D$6:$K$6,0)))</f>
        <v>46.690791350780771</v>
      </c>
      <c r="N52" s="96">
        <f t="shared" si="15"/>
        <v>79.738791350780772</v>
      </c>
    </row>
    <row r="53" spans="2:14">
      <c r="B53" s="251" t="str">
        <f>'R5 - Output Incentives'!B41</f>
        <v>Incentive on connections engagement</v>
      </c>
      <c r="C53" s="343" t="str">
        <f>'RFPR cover'!$C$14</f>
        <v>£m 12/13</v>
      </c>
      <c r="D53" s="243">
        <f>'R5 - Output Incentives'!D41</f>
        <v>0</v>
      </c>
      <c r="E53" s="182">
        <f>'R5 - Output Incentives'!E41</f>
        <v>0</v>
      </c>
      <c r="F53" s="182">
        <f>'R5 - Output Incentives'!F41</f>
        <v>0</v>
      </c>
      <c r="G53" s="182">
        <f>'R5 - Output Incentives'!G41</f>
        <v>0</v>
      </c>
      <c r="H53" s="182">
        <f>'R5 - Output Incentives'!H41</f>
        <v>0</v>
      </c>
      <c r="I53" s="182">
        <f>'R5 - Output Incentives'!I41</f>
        <v>0</v>
      </c>
      <c r="J53" s="182">
        <f>'R5 - Output Incentives'!J41</f>
        <v>0</v>
      </c>
      <c r="K53" s="183">
        <f>'R5 - Output Incentives'!K41</f>
        <v>0</v>
      </c>
      <c r="M53" s="96">
        <f>SUM(D53:INDEX(D53:K53,0,MATCH('RFPR cover'!$C$7,$D$6:$K$6,0)))</f>
        <v>0</v>
      </c>
      <c r="N53" s="96">
        <f t="shared" si="15"/>
        <v>0</v>
      </c>
    </row>
    <row r="54" spans="2:14">
      <c r="B54" s="251" t="str">
        <f>'R5 - Output Incentives'!B42</f>
        <v>Time to Connect Incentive</v>
      </c>
      <c r="C54" s="343" t="str">
        <f>'RFPR cover'!$C$14</f>
        <v>£m 12/13</v>
      </c>
      <c r="D54" s="243">
        <f>'R5 - Output Incentives'!D42</f>
        <v>0.97199999999999998</v>
      </c>
      <c r="E54" s="182">
        <f>'R5 - Output Incentives'!E42</f>
        <v>0.97199999999999998</v>
      </c>
      <c r="F54" s="182">
        <f>'R5 - Output Incentives'!F42</f>
        <v>0.97199999999999998</v>
      </c>
      <c r="G54" s="182">
        <f>'R5 - Output Incentives'!G42</f>
        <v>0.95280299999999996</v>
      </c>
      <c r="H54" s="182">
        <f>'R5 - Output Incentives'!H42</f>
        <v>0.96654961631250003</v>
      </c>
      <c r="I54" s="182">
        <f>'R5 - Output Incentives'!I42</f>
        <v>0.97197310799999992</v>
      </c>
      <c r="J54" s="182">
        <f>'R5 - Output Incentives'!J42</f>
        <v>0.97197310799999992</v>
      </c>
      <c r="K54" s="183">
        <f>'R5 - Output Incentives'!K42</f>
        <v>0.97197310799999992</v>
      </c>
      <c r="M54" s="96">
        <f>SUM(D54:INDEX(D54:K54,0,MATCH('RFPR cover'!$C$7,$D$6:$K$6,0)))</f>
        <v>4.8353526163125</v>
      </c>
      <c r="N54" s="96">
        <f t="shared" si="15"/>
        <v>7.7512719403125008</v>
      </c>
    </row>
    <row r="55" spans="2:14">
      <c r="B55" s="251" t="str">
        <f>'R5 - Output Incentives'!B43</f>
        <v>Losses discretionary reward scheme</v>
      </c>
      <c r="C55" s="343" t="str">
        <f>'RFPR cover'!$C$14</f>
        <v>£m 12/13</v>
      </c>
      <c r="D55" s="243">
        <f>'R5 - Output Incentives'!D43</f>
        <v>0</v>
      </c>
      <c r="E55" s="182">
        <f>'R5 - Output Incentives'!E43</f>
        <v>0.56294999999999995</v>
      </c>
      <c r="F55" s="182">
        <f>'R5 - Output Incentives'!F43</f>
        <v>0</v>
      </c>
      <c r="G55" s="182">
        <f>'R5 - Output Incentives'!G43</f>
        <v>0</v>
      </c>
      <c r="H55" s="182">
        <f>'R5 - Output Incentives'!H43</f>
        <v>0</v>
      </c>
      <c r="I55" s="182">
        <f>'R5 - Output Incentives'!I43</f>
        <v>0</v>
      </c>
      <c r="J55" s="182">
        <f>'R5 - Output Incentives'!J43</f>
        <v>0</v>
      </c>
      <c r="K55" s="183">
        <f>'R5 - Output Incentives'!K43</f>
        <v>0</v>
      </c>
      <c r="M55" s="96">
        <f>SUM(D55:INDEX(D55:K55,0,MATCH('RFPR cover'!$C$7,$D$6:$K$6,0)))</f>
        <v>0.56294999999999995</v>
      </c>
      <c r="N55" s="96">
        <f t="shared" si="15"/>
        <v>0.56294999999999995</v>
      </c>
    </row>
    <row r="56" spans="2:14">
      <c r="B56" s="248" t="s">
        <v>492</v>
      </c>
      <c r="C56" s="343" t="str">
        <f>'RFPR cover'!$C$14</f>
        <v>£m 12/13</v>
      </c>
      <c r="D56" s="243">
        <f>-'R6 - Innovation'!D28</f>
        <v>1.3063495693826608</v>
      </c>
      <c r="E56" s="182">
        <f>-'R6 - Innovation'!E28</f>
        <v>-0.41286523660227348</v>
      </c>
      <c r="F56" s="182">
        <f>-'R6 - Innovation'!F28</f>
        <v>-0.36997308480846214</v>
      </c>
      <c r="G56" s="182">
        <f>-'R6 - Innovation'!G28</f>
        <v>-0.37822474733259687</v>
      </c>
      <c r="H56" s="182">
        <f>-'R6 - Innovation'!H28</f>
        <v>0.6611080400096726</v>
      </c>
      <c r="I56" s="182">
        <f>-'R6 - Innovation'!I28</f>
        <v>-0.31395036334789744</v>
      </c>
      <c r="J56" s="182">
        <f>-'R6 - Innovation'!J28</f>
        <v>-0.45993270327023811</v>
      </c>
      <c r="K56" s="183">
        <f>-'R6 - Innovation'!K28</f>
        <v>-0.592916015204354</v>
      </c>
      <c r="M56" s="96">
        <f>SUM(D56:INDEX(D56:K56,0,MATCH('RFPR cover'!$C$7,$D$6:$K$6,0)))</f>
        <v>0.80639454064900096</v>
      </c>
      <c r="N56" s="96">
        <f t="shared" si="15"/>
        <v>-0.56040454117348859</v>
      </c>
    </row>
    <row r="57" spans="2:14">
      <c r="B57" s="248" t="s">
        <v>35</v>
      </c>
      <c r="C57" s="343" t="str">
        <f>'RFPR cover'!$C$14</f>
        <v>£m 12/13</v>
      </c>
      <c r="D57" s="244">
        <f>-'R13 - Other Activities '!D8</f>
        <v>-2.2983320857408271E-2</v>
      </c>
      <c r="E57" s="244">
        <f>-'R13 - Other Activities '!E8</f>
        <v>-8.0374009026687593E-3</v>
      </c>
      <c r="F57" s="244">
        <f>-'R13 - Other Activities '!F8</f>
        <v>-1.8229910905648433E-2</v>
      </c>
      <c r="G57" s="244">
        <f>-'R13 - Other Activities '!G8</f>
        <v>-3.7257777065949432E-2</v>
      </c>
      <c r="H57" s="244">
        <f>-'R13 - Other Activities '!H8</f>
        <v>-4.0563135009343963E-2</v>
      </c>
      <c r="I57" s="244">
        <f>-'R13 - Other Activities '!I8</f>
        <v>-6.6527878728221093E-2</v>
      </c>
      <c r="J57" s="244">
        <f>-'R13 - Other Activities '!J8</f>
        <v>-6.6772167144603767E-2</v>
      </c>
      <c r="K57" s="244">
        <f>-'R13 - Other Activities '!K8</f>
        <v>-6.6677777965834809E-2</v>
      </c>
      <c r="M57" s="96">
        <f>SUM(D57:INDEX(D57:K57,0,MATCH('RFPR cover'!$C$7,$D$6:$K$6,0)))</f>
        <v>-0.12707154474101887</v>
      </c>
      <c r="N57" s="96">
        <f t="shared" si="15"/>
        <v>-0.32704936857967853</v>
      </c>
    </row>
    <row r="58" spans="2:14">
      <c r="B58" s="249" t="s">
        <v>103</v>
      </c>
      <c r="C58" s="343" t="str">
        <f>'RFPR cover'!$C$14</f>
        <v>£m 12/13</v>
      </c>
      <c r="D58" s="245">
        <f t="shared" ref="D58:K58" si="16">SUM(D48:D57)</f>
        <v>47.686462200971256</v>
      </c>
      <c r="E58" s="144">
        <f t="shared" si="16"/>
        <v>50.896169410747959</v>
      </c>
      <c r="F58" s="144">
        <f t="shared" si="16"/>
        <v>45.763347131930466</v>
      </c>
      <c r="G58" s="144">
        <f t="shared" si="16"/>
        <v>59.922864806452843</v>
      </c>
      <c r="H58" s="144">
        <f t="shared" si="16"/>
        <v>59.65745148183116</v>
      </c>
      <c r="I58" s="144">
        <f t="shared" si="16"/>
        <v>61.41143245478132</v>
      </c>
      <c r="J58" s="144">
        <f t="shared" si="16"/>
        <v>61.473586856024916</v>
      </c>
      <c r="K58" s="145">
        <f t="shared" si="16"/>
        <v>61.036516601247349</v>
      </c>
      <c r="M58" s="143">
        <f>SUM(M48:M57)</f>
        <v>263.92629503193371</v>
      </c>
      <c r="N58" s="145">
        <f>SUM(N48:N57)</f>
        <v>447.84783094398728</v>
      </c>
    </row>
    <row r="59" spans="2:14">
      <c r="B59" s="248" t="s">
        <v>431</v>
      </c>
      <c r="C59" s="343" t="str">
        <f>'RFPR cover'!$C$14</f>
        <v>£m 12/13</v>
      </c>
      <c r="D59" s="243">
        <f>'R7 - Financing'!D88+'R10 - Tax'!D88</f>
        <v>-10.20337461631226</v>
      </c>
      <c r="E59" s="243">
        <f>'R7 - Financing'!E88+'R10 - Tax'!E88</f>
        <v>-8.9629934471786896</v>
      </c>
      <c r="F59" s="243">
        <f>'R7 - Financing'!F88+'R10 - Tax'!F88</f>
        <v>-3.6827225862440076</v>
      </c>
      <c r="G59" s="243">
        <f>'R7 - Financing'!G88+'R10 - Tax'!G88</f>
        <v>-5.5814040219577024</v>
      </c>
      <c r="H59" s="243">
        <f>'R7 - Financing'!H88+'R10 - Tax'!H88</f>
        <v>-8.135657478122301</v>
      </c>
      <c r="I59" s="243">
        <f>'R7 - Financing'!I88+'R10 - Tax'!I88</f>
        <v>-15.174661610761428</v>
      </c>
      <c r="J59" s="243">
        <f>'R7 - Financing'!J88+'R10 - Tax'!J88</f>
        <v>-11.579196842131324</v>
      </c>
      <c r="K59" s="243">
        <f>'R7 - Financing'!K88+'R10 - Tax'!K88</f>
        <v>-13.954519563977453</v>
      </c>
      <c r="M59" s="96">
        <f>SUM(D59:INDEX(D59:K59,0,MATCH('RFPR cover'!$C$7,$D$6:$K$6,0)))</f>
        <v>-36.566152149814961</v>
      </c>
      <c r="N59" s="96">
        <f>SUM(D59:K59)</f>
        <v>-77.274530166685167</v>
      </c>
    </row>
    <row r="60" spans="2:14">
      <c r="B60" s="248" t="s">
        <v>426</v>
      </c>
      <c r="C60" s="343" t="str">
        <f>'RFPR cover'!$C$14</f>
        <v>£m 12/13</v>
      </c>
      <c r="D60" s="243">
        <f>'R7 - Financing'!D90+'R10 - Tax'!D89</f>
        <v>1.6388408241646641</v>
      </c>
      <c r="E60" s="243">
        <f>'R7 - Financing'!E90+'R10 - Tax'!E89</f>
        <v>1.4676895633614757</v>
      </c>
      <c r="F60" s="243">
        <f>'R7 - Financing'!F90+'R10 - Tax'!F89</f>
        <v>0.97489341465517909</v>
      </c>
      <c r="G60" s="243">
        <f>'R7 - Financing'!G90+'R10 - Tax'!G89</f>
        <v>0.69087376291102176</v>
      </c>
      <c r="H60" s="243">
        <f>'R7 - Financing'!H90+'R10 - Tax'!H89</f>
        <v>0.93094631391967986</v>
      </c>
      <c r="I60" s="243">
        <f>'R7 - Financing'!I90+'R10 - Tax'!I89</f>
        <v>1.5916788465468719</v>
      </c>
      <c r="J60" s="243">
        <f>'R7 - Financing'!J90+'R10 - Tax'!J89</f>
        <v>1.3133747165149099</v>
      </c>
      <c r="K60" s="243">
        <f>'R7 - Financing'!K90+'R10 - Tax'!K89</f>
        <v>1.6376902550951957</v>
      </c>
      <c r="M60" s="96">
        <f>SUM(D60:INDEX(D60:K60,0,MATCH('RFPR cover'!$C$7,$D$6:$K$6,0)))</f>
        <v>5.703243879012021</v>
      </c>
      <c r="N60" s="96">
        <f>SUM(D60:K60)</f>
        <v>10.245987697168998</v>
      </c>
    </row>
    <row r="61" spans="2:14">
      <c r="B61" s="248" t="s">
        <v>432</v>
      </c>
      <c r="C61" s="343" t="str">
        <f>'RFPR cover'!$C$14</f>
        <v>£m 12/13</v>
      </c>
      <c r="D61" s="243">
        <f>'R10 - Tax'!D81-'R10 - Tax'!D88</f>
        <v>-5.9184115583945172</v>
      </c>
      <c r="E61" s="243">
        <f>'R10 - Tax'!E81-'R10 - Tax'!E88</f>
        <v>-1.4352036109310027</v>
      </c>
      <c r="F61" s="243">
        <f>'R10 - Tax'!F81-'R10 - Tax'!F88</f>
        <v>4.3808287963791077</v>
      </c>
      <c r="G61" s="243">
        <f>'R10 - Tax'!G81-'R10 - Tax'!G88</f>
        <v>-1.5043333154860776</v>
      </c>
      <c r="H61" s="243">
        <f>'R10 - Tax'!H81-'R10 - Tax'!H88</f>
        <v>-4.8461846457975701</v>
      </c>
      <c r="I61" s="243">
        <f>'R10 - Tax'!I81-'R10 - Tax'!I88</f>
        <v>1.1532087648655356</v>
      </c>
      <c r="J61" s="243">
        <f>'R10 - Tax'!J81-'R10 - Tax'!J88</f>
        <v>1.8939179745099848</v>
      </c>
      <c r="K61" s="243">
        <f>'R10 - Tax'!K81-'R10 - Tax'!K88</f>
        <v>-1.9137235148822915</v>
      </c>
      <c r="M61" s="96">
        <f>SUM(D61:INDEX(D61:K61,0,MATCH('RFPR cover'!$C$7,$D$6:$K$6,0)))</f>
        <v>-9.323304334230059</v>
      </c>
      <c r="N61" s="96">
        <f>SUM(D61:K61)</f>
        <v>-8.1899011097368302</v>
      </c>
    </row>
    <row r="62" spans="2:14">
      <c r="B62" s="248" t="s">
        <v>427</v>
      </c>
      <c r="C62" s="343" t="str">
        <f>'RFPR cover'!$C$14</f>
        <v>£m 12/13</v>
      </c>
      <c r="D62" s="243">
        <f>'R10 - Tax'!D83-'R10 - Tax'!D89</f>
        <v>0</v>
      </c>
      <c r="E62" s="243">
        <f>'R10 - Tax'!E83-'R10 - Tax'!E89</f>
        <v>8.8817841970012523E-16</v>
      </c>
      <c r="F62" s="243">
        <f>'R10 - Tax'!F83-'R10 - Tax'!F89</f>
        <v>0</v>
      </c>
      <c r="G62" s="243">
        <f>'R10 - Tax'!G83-'R10 - Tax'!G89</f>
        <v>1.3322676295501878E-15</v>
      </c>
      <c r="H62" s="243">
        <f>'R10 - Tax'!H83-'R10 - Tax'!H89</f>
        <v>0</v>
      </c>
      <c r="I62" s="243">
        <f>'R10 - Tax'!I83-'R10 - Tax'!I89</f>
        <v>-1.9984014443252818E-15</v>
      </c>
      <c r="J62" s="243">
        <f>'R10 - Tax'!J83-'R10 - Tax'!J89</f>
        <v>1.1102230246251565E-15</v>
      </c>
      <c r="K62" s="243">
        <f>'R10 - Tax'!K83-'R10 - Tax'!K89</f>
        <v>1.7763568394002505E-15</v>
      </c>
      <c r="M62" s="96">
        <f>SUM(D62:INDEX(D62:K62,0,MATCH('RFPR cover'!$C$7,$D$6:$K$6,0)))</f>
        <v>2.2204460492503131E-15</v>
      </c>
      <c r="N62" s="96">
        <f>SUM(D62:K62)</f>
        <v>3.1086244689504383E-15</v>
      </c>
    </row>
    <row r="63" spans="2:14">
      <c r="B63" s="249" t="s">
        <v>104</v>
      </c>
      <c r="C63" s="343" t="str">
        <f>'RFPR cover'!$C$14</f>
        <v>£m 12/13</v>
      </c>
      <c r="D63" s="246">
        <f>SUM(D58:D62)</f>
        <v>33.203516850429146</v>
      </c>
      <c r="E63" s="147">
        <f t="shared" ref="E63:K63" si="17">SUM(E58:E62)</f>
        <v>41.965661915999739</v>
      </c>
      <c r="F63" s="147">
        <f t="shared" si="17"/>
        <v>47.436346756720745</v>
      </c>
      <c r="G63" s="147">
        <f t="shared" si="17"/>
        <v>53.528001231920086</v>
      </c>
      <c r="H63" s="147">
        <f t="shared" si="17"/>
        <v>47.606555671830968</v>
      </c>
      <c r="I63" s="147">
        <f t="shared" si="17"/>
        <v>48.981658455432296</v>
      </c>
      <c r="J63" s="147">
        <f t="shared" si="17"/>
        <v>53.101682704918481</v>
      </c>
      <c r="K63" s="148">
        <f t="shared" si="17"/>
        <v>46.805963777482802</v>
      </c>
      <c r="M63" s="146">
        <f>SUM(M58:M62)</f>
        <v>223.7400824269007</v>
      </c>
      <c r="N63" s="148">
        <f>SUM(N58:N62)</f>
        <v>372.62938736473427</v>
      </c>
    </row>
    <row r="64" spans="2:14">
      <c r="B64" s="248"/>
      <c r="D64" s="422"/>
    </row>
    <row r="65" spans="2:11">
      <c r="B65" s="248" t="s">
        <v>231</v>
      </c>
      <c r="C65" s="343" t="str">
        <f>'RFPR cover'!$C$14</f>
        <v>£m 12/13</v>
      </c>
      <c r="D65" s="242">
        <f>'R9 - RAV'!D46</f>
        <v>526.64890670218858</v>
      </c>
      <c r="E65" s="180">
        <f>'R9 - RAV'!E46</f>
        <v>529.4208465228246</v>
      </c>
      <c r="F65" s="180">
        <f>'R9 - RAV'!F46</f>
        <v>532.272101317683</v>
      </c>
      <c r="G65" s="180">
        <f>'R9 - RAV'!G46</f>
        <v>536.72673121489606</v>
      </c>
      <c r="H65" s="180">
        <f>'R9 - RAV'!H46</f>
        <v>541.47945290330927</v>
      </c>
      <c r="I65" s="180">
        <f>'R9 - RAV'!I46</f>
        <v>547.92750267820099</v>
      </c>
      <c r="J65" s="180">
        <f>'R9 - RAV'!J46</f>
        <v>556.36036880856796</v>
      </c>
      <c r="K65" s="181">
        <f>'R9 - RAV'!K46</f>
        <v>564.75046368703579</v>
      </c>
    </row>
    <row r="66" spans="2:11">
      <c r="B66" s="248" t="s">
        <v>107</v>
      </c>
      <c r="C66" s="343" t="str">
        <f>'RFPR cover'!$C$14</f>
        <v>£m 12/13</v>
      </c>
      <c r="D66" s="247">
        <f>'R8 - Net Debt'!D62</f>
        <v>583.79734721140221</v>
      </c>
      <c r="E66" s="184">
        <f>'R8 - Net Debt'!E62</f>
        <v>590.09286500949929</v>
      </c>
      <c r="F66" s="184">
        <f>'R8 - Net Debt'!F62</f>
        <v>596.55892500460789</v>
      </c>
      <c r="G66" s="184">
        <f>'R8 - Net Debt'!G62</f>
        <v>578.03985170905673</v>
      </c>
      <c r="H66" s="184">
        <f>'R8 - Net Debt'!H62</f>
        <v>590.77295959787057</v>
      </c>
      <c r="I66" s="184">
        <f>'R8 - Net Debt'!I62</f>
        <v>613.12825348848185</v>
      </c>
      <c r="J66" s="184">
        <f>'R8 - Net Debt'!J62</f>
        <v>623.74351633884635</v>
      </c>
      <c r="K66" s="185">
        <f>'R8 - Net Debt'!K62</f>
        <v>645.13023518223292</v>
      </c>
    </row>
  </sheetData>
  <conditionalFormatting sqref="D5:K6">
    <cfRule type="expression" dxfId="60" priority="4">
      <formula>AND(D$5="Actuals",E$5="Forecast")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L71"/>
  <sheetViews>
    <sheetView showGridLines="0" zoomScale="80" zoomScaleNormal="80" workbookViewId="0">
      <pane ySplit="6" topLeftCell="A34" activePane="bottomLeft" state="frozen"/>
      <selection activeCell="B75" sqref="A1:XFD1048576"/>
      <selection pane="bottomLeft" activeCell="H38" sqref="H38"/>
    </sheetView>
  </sheetViews>
  <sheetFormatPr defaultRowHeight="12.75"/>
  <cols>
    <col min="1" max="1" width="8.375" customWidth="1"/>
    <col min="2" max="2" width="64.375" style="214" customWidth="1"/>
    <col min="3" max="3" width="13.375" style="137" customWidth="1"/>
    <col min="4" max="11" width="11.125" customWidth="1"/>
    <col min="12" max="12" width="5" style="42" customWidth="1"/>
  </cols>
  <sheetData>
    <row r="1" spans="1:12" s="31" customFormat="1" ht="20.25">
      <c r="A1" s="931" t="s">
        <v>119</v>
      </c>
      <c r="B1" s="932"/>
      <c r="C1" s="276"/>
      <c r="D1" s="275"/>
      <c r="E1" s="275"/>
      <c r="F1" s="275"/>
      <c r="G1" s="275"/>
      <c r="H1" s="275"/>
      <c r="I1" s="275"/>
      <c r="J1" s="275"/>
      <c r="K1" s="275"/>
      <c r="L1" s="277"/>
    </row>
    <row r="2" spans="1:12" s="31" customFormat="1" ht="20.25">
      <c r="A2" s="920" t="str">
        <f>'RFPR cover'!C5</f>
        <v>ENWL</v>
      </c>
      <c r="B2" s="933"/>
      <c r="C2" s="135"/>
      <c r="D2" s="29"/>
      <c r="E2" s="29"/>
      <c r="F2" s="29"/>
      <c r="G2" s="29"/>
      <c r="H2" s="29"/>
      <c r="I2" s="27"/>
      <c r="J2" s="27"/>
      <c r="K2" s="27"/>
      <c r="L2" s="124"/>
    </row>
    <row r="3" spans="1:12" s="31" customFormat="1" ht="20.25">
      <c r="A3" s="923">
        <f>'RFPR cover'!C7</f>
        <v>2020</v>
      </c>
      <c r="B3" s="934"/>
      <c r="C3" s="278"/>
      <c r="D3" s="261"/>
      <c r="E3" s="261"/>
      <c r="F3" s="261"/>
      <c r="G3" s="261"/>
      <c r="H3" s="261"/>
      <c r="I3" s="256"/>
      <c r="J3" s="256"/>
      <c r="K3" s="256"/>
      <c r="L3" s="262"/>
    </row>
    <row r="4" spans="1:12" s="35" customFormat="1" ht="12.75" customHeight="1">
      <c r="B4" s="226"/>
      <c r="C4" s="139"/>
      <c r="L4" s="58"/>
    </row>
    <row r="5" spans="1:12" s="2" customFormat="1">
      <c r="B5" s="130"/>
      <c r="C5" s="137"/>
      <c r="D5" s="391" t="str">
        <f>IF(D6&lt;='RFPR cover'!$C$7,"Actuals","Forecast")</f>
        <v>Actuals</v>
      </c>
      <c r="E5" s="392" t="str">
        <f>IF(E6&lt;='RFPR cover'!$C$7,"Actuals","Forecast")</f>
        <v>Actuals</v>
      </c>
      <c r="F5" s="392" t="str">
        <f>IF(F6&lt;='RFPR cover'!$C$7,"Actuals","Forecast")</f>
        <v>Actuals</v>
      </c>
      <c r="G5" s="392" t="str">
        <f>IF(G6&lt;='RFPR cover'!$C$7,"Actuals","Forecast")</f>
        <v>Actuals</v>
      </c>
      <c r="H5" s="392" t="str">
        <f>IF(H6&lt;='RFPR cover'!$C$7,"Actuals","Forecast")</f>
        <v>Actuals</v>
      </c>
      <c r="I5" s="392" t="str">
        <f>IF(I6&lt;='RFPR cover'!$C$7,"Actuals","Forecast")</f>
        <v>Forecast</v>
      </c>
      <c r="J5" s="392" t="str">
        <f>IF(J6&lt;='RFPR cover'!$C$7,"Actuals","Forecast")</f>
        <v>Forecast</v>
      </c>
      <c r="K5" s="393" t="str">
        <f>IF(K6&lt;='RFPR cover'!$C$7,"Actuals","Forecast")</f>
        <v>Forecast</v>
      </c>
      <c r="L5" s="54"/>
    </row>
    <row r="6" spans="1:12" s="2" customFormat="1">
      <c r="B6" s="130"/>
      <c r="C6" s="137"/>
      <c r="D6" s="91">
        <f>'RFPR cover'!$C$13</f>
        <v>2016</v>
      </c>
      <c r="E6" s="92">
        <f>D6+1</f>
        <v>2017</v>
      </c>
      <c r="F6" s="92">
        <f t="shared" ref="F6:K6" si="0">E6+1</f>
        <v>2018</v>
      </c>
      <c r="G6" s="92">
        <f t="shared" si="0"/>
        <v>2019</v>
      </c>
      <c r="H6" s="92">
        <f t="shared" si="0"/>
        <v>2020</v>
      </c>
      <c r="I6" s="92">
        <f t="shared" si="0"/>
        <v>2021</v>
      </c>
      <c r="J6" s="92">
        <f t="shared" si="0"/>
        <v>2022</v>
      </c>
      <c r="K6" s="92">
        <f t="shared" si="0"/>
        <v>2023</v>
      </c>
      <c r="L6" s="54"/>
    </row>
    <row r="7" spans="1:12" s="2" customFormat="1">
      <c r="B7" s="772"/>
      <c r="C7" s="153"/>
      <c r="D7" s="50"/>
      <c r="E7" s="50"/>
      <c r="F7" s="50"/>
      <c r="G7" s="50"/>
      <c r="H7" s="50"/>
      <c r="I7" s="50"/>
      <c r="J7" s="50"/>
      <c r="K7" s="50"/>
      <c r="L7" s="58"/>
    </row>
    <row r="8" spans="1:12" s="2" customFormat="1">
      <c r="B8" s="773" t="s">
        <v>154</v>
      </c>
      <c r="C8" s="151"/>
      <c r="D8" s="81"/>
      <c r="E8" s="81"/>
      <c r="F8" s="81"/>
      <c r="G8" s="81"/>
      <c r="H8" s="81"/>
      <c r="I8" s="81"/>
      <c r="J8" s="81"/>
      <c r="K8" s="81"/>
      <c r="L8" s="273"/>
    </row>
    <row r="9" spans="1:12" s="35" customFormat="1">
      <c r="A9" s="2"/>
      <c r="B9" s="774"/>
      <c r="C9" s="139"/>
      <c r="L9" s="58"/>
    </row>
    <row r="10" spans="1:12" s="2" customFormat="1">
      <c r="B10" s="775" t="s">
        <v>379</v>
      </c>
      <c r="C10" s="152" t="str">
        <f>'RFPR cover'!$C$14</f>
        <v>£m 12/13</v>
      </c>
      <c r="D10" s="597">
        <v>373</v>
      </c>
      <c r="E10" s="598">
        <v>379.9</v>
      </c>
      <c r="F10" s="598">
        <v>360.9</v>
      </c>
      <c r="G10" s="598">
        <v>357.3</v>
      </c>
      <c r="H10" s="598">
        <v>353.8</v>
      </c>
      <c r="I10" s="598"/>
      <c r="J10" s="598"/>
      <c r="K10" s="598"/>
      <c r="L10" s="58"/>
    </row>
    <row r="11" spans="1:12" s="2" customFormat="1">
      <c r="B11" s="775" t="s">
        <v>380</v>
      </c>
      <c r="C11" s="152" t="str">
        <f>'RFPR cover'!$C$14</f>
        <v>£m 12/13</v>
      </c>
      <c r="D11" s="599">
        <v>0</v>
      </c>
      <c r="E11" s="600">
        <v>-3.2491500373297413</v>
      </c>
      <c r="F11" s="600">
        <v>-4.9139999999999997</v>
      </c>
      <c r="G11" s="600">
        <v>-11.597</v>
      </c>
      <c r="H11" s="600">
        <v>-12.17621985102528</v>
      </c>
      <c r="I11" s="600"/>
      <c r="J11" s="600"/>
      <c r="K11" s="600"/>
      <c r="L11" s="58"/>
    </row>
    <row r="12" spans="1:12" s="2" customFormat="1">
      <c r="B12" s="775" t="s">
        <v>147</v>
      </c>
      <c r="C12" s="152" t="str">
        <f>'RFPR cover'!$C$14</f>
        <v>£m 12/13</v>
      </c>
      <c r="D12" s="599">
        <v>0</v>
      </c>
      <c r="E12" s="600">
        <v>0</v>
      </c>
      <c r="F12" s="600">
        <v>-8.2050799877558322</v>
      </c>
      <c r="G12" s="600">
        <v>-1.4825975099565856</v>
      </c>
      <c r="H12" s="600">
        <v>0.88387057349575349</v>
      </c>
      <c r="I12" s="600"/>
      <c r="J12" s="600"/>
      <c r="K12" s="600"/>
      <c r="L12" s="58"/>
    </row>
    <row r="13" spans="1:12" s="2" customFormat="1">
      <c r="B13" s="775" t="s">
        <v>368</v>
      </c>
      <c r="C13" s="153" t="s">
        <v>127</v>
      </c>
      <c r="D13" s="825">
        <v>1.0820000000000001</v>
      </c>
      <c r="E13" s="826">
        <v>1.087</v>
      </c>
      <c r="F13" s="826">
        <v>1.121</v>
      </c>
      <c r="G13" s="826">
        <v>1.159</v>
      </c>
      <c r="H13" s="826">
        <v>1.198</v>
      </c>
      <c r="I13" s="826"/>
      <c r="J13" s="826"/>
      <c r="K13" s="826"/>
      <c r="L13" s="58"/>
    </row>
    <row r="14" spans="1:12" s="2" customFormat="1">
      <c r="B14" s="776" t="s">
        <v>195</v>
      </c>
      <c r="C14" s="267" t="s">
        <v>128</v>
      </c>
      <c r="D14" s="632">
        <f>SUM(D10:D12)*D13</f>
        <v>403.58600000000001</v>
      </c>
      <c r="E14" s="633">
        <f t="shared" ref="E14:K14" si="1">SUM(E10:E12)*E13</f>
        <v>409.41947390942255</v>
      </c>
      <c r="F14" s="633">
        <f t="shared" si="1"/>
        <v>389.86241133372573</v>
      </c>
      <c r="G14" s="633">
        <f t="shared" si="1"/>
        <v>398.95144648596039</v>
      </c>
      <c r="H14" s="633">
        <f t="shared" si="1"/>
        <v>410.32416556551965</v>
      </c>
      <c r="I14" s="633">
        <f t="shared" si="1"/>
        <v>0</v>
      </c>
      <c r="J14" s="633">
        <f t="shared" si="1"/>
        <v>0</v>
      </c>
      <c r="K14" s="634">
        <f t="shared" si="1"/>
        <v>0</v>
      </c>
      <c r="L14" s="58"/>
    </row>
    <row r="15" spans="1:12" s="2" customFormat="1">
      <c r="B15" s="214" t="s">
        <v>131</v>
      </c>
      <c r="C15" s="153" t="s">
        <v>128</v>
      </c>
      <c r="D15" s="601">
        <f>'R5 - Output Incentives'!D102</f>
        <v>8.3946523265849056</v>
      </c>
      <c r="E15" s="602">
        <f>'R5 - Output Incentives'!E102</f>
        <v>15.816916746370953</v>
      </c>
      <c r="F15" s="603">
        <f>'R5 - Output Incentives'!F102</f>
        <v>17.225729169157102</v>
      </c>
      <c r="G15" s="603">
        <f>'R5 - Output Incentives'!G102</f>
        <v>16.717066034911376</v>
      </c>
      <c r="H15" s="603">
        <f>'R5 - Output Incentives'!H102</f>
        <v>15.831867129179622</v>
      </c>
      <c r="I15" s="603">
        <f>'R5 - Output Incentives'!I102</f>
        <v>17.006893008466822</v>
      </c>
      <c r="J15" s="603">
        <f>'R5 - Output Incentives'!J102</f>
        <v>22.839044590465324</v>
      </c>
      <c r="K15" s="604">
        <f>'R5 - Output Incentives'!K102</f>
        <v>23.651899751583045</v>
      </c>
      <c r="L15" s="58"/>
    </row>
    <row r="16" spans="1:12" s="2" customFormat="1">
      <c r="B16" s="777" t="s">
        <v>381</v>
      </c>
      <c r="C16" s="153" t="s">
        <v>128</v>
      </c>
      <c r="D16" s="599">
        <v>0</v>
      </c>
      <c r="E16" s="600">
        <v>0</v>
      </c>
      <c r="F16" s="600">
        <v>-0.88931801153572032</v>
      </c>
      <c r="G16" s="600">
        <v>-0.8470221320312612</v>
      </c>
      <c r="H16" s="600">
        <v>-4.2425535576751026</v>
      </c>
      <c r="I16" s="600"/>
      <c r="J16" s="600"/>
      <c r="K16" s="600"/>
      <c r="L16" s="58"/>
    </row>
    <row r="17" spans="2:12" s="2" customFormat="1">
      <c r="B17" s="777" t="s">
        <v>134</v>
      </c>
      <c r="C17" s="153" t="s">
        <v>128</v>
      </c>
      <c r="D17" s="601">
        <f>'R6 - Innovation'!D12</f>
        <v>2.5253786443801003</v>
      </c>
      <c r="E17" s="602">
        <f>'R6 - Innovation'!E12</f>
        <v>2.8649822704817343</v>
      </c>
      <c r="F17" s="603">
        <f>'R6 - Innovation'!F12</f>
        <v>2.7290368793360802</v>
      </c>
      <c r="G17" s="603">
        <f>'R6 - Innovation'!G12</f>
        <v>2.7926601254017229</v>
      </c>
      <c r="H17" s="603">
        <f>'R6 - Innovation'!H12</f>
        <v>2.8722691589586375</v>
      </c>
      <c r="I17" s="603">
        <f>'R6 - Innovation'!I12</f>
        <v>2.913395459261797</v>
      </c>
      <c r="J17" s="603">
        <f>'R6 - Innovation'!J12</f>
        <v>2.8846856776877359</v>
      </c>
      <c r="K17" s="604">
        <f>'R6 - Innovation'!K12</f>
        <v>2.9249469417395422</v>
      </c>
      <c r="L17" s="58"/>
    </row>
    <row r="18" spans="2:12" s="2" customFormat="1">
      <c r="B18" s="777" t="s">
        <v>133</v>
      </c>
      <c r="C18" s="153" t="s">
        <v>128</v>
      </c>
      <c r="D18" s="601">
        <f>'R6 - Innovation'!D17</f>
        <v>1.6461309099999999</v>
      </c>
      <c r="E18" s="602">
        <f>'R6 - Innovation'!E17</f>
        <v>8.7207129999999994E-2</v>
      </c>
      <c r="F18" s="603">
        <f>'R6 - Innovation'!F17</f>
        <v>0.252</v>
      </c>
      <c r="G18" s="603">
        <f>'R6 - Innovation'!G17</f>
        <v>0.68253417000000005</v>
      </c>
      <c r="H18" s="603">
        <f>'R6 - Innovation'!H17</f>
        <v>9.3236239999999998E-2</v>
      </c>
      <c r="I18" s="603">
        <f>'R6 - Innovation'!I17</f>
        <v>-0.16466339999999999</v>
      </c>
      <c r="J18" s="603">
        <f>'R6 - Innovation'!J17</f>
        <v>0</v>
      </c>
      <c r="K18" s="604">
        <f>'R6 - Innovation'!K17</f>
        <v>0</v>
      </c>
      <c r="L18" s="58"/>
    </row>
    <row r="19" spans="2:12" s="2" customFormat="1">
      <c r="B19" s="545" t="s">
        <v>571</v>
      </c>
      <c r="C19" s="153" t="s">
        <v>128</v>
      </c>
      <c r="D19" s="599">
        <v>0</v>
      </c>
      <c r="E19" s="600">
        <v>0</v>
      </c>
      <c r="F19" s="600">
        <v>0</v>
      </c>
      <c r="G19" s="600">
        <v>0</v>
      </c>
      <c r="H19" s="600">
        <v>0</v>
      </c>
      <c r="I19" s="600"/>
      <c r="J19" s="600"/>
      <c r="K19" s="600"/>
      <c r="L19" s="58"/>
    </row>
    <row r="20" spans="2:12" s="2" customFormat="1">
      <c r="B20" s="545" t="s">
        <v>572</v>
      </c>
      <c r="C20" s="153" t="s">
        <v>128</v>
      </c>
      <c r="D20" s="599">
        <v>0</v>
      </c>
      <c r="E20" s="600">
        <v>0</v>
      </c>
      <c r="F20" s="600">
        <v>0</v>
      </c>
      <c r="G20" s="600">
        <v>0</v>
      </c>
      <c r="H20" s="600">
        <v>0</v>
      </c>
      <c r="I20" s="600"/>
      <c r="J20" s="600"/>
      <c r="K20" s="600"/>
      <c r="L20" s="58"/>
    </row>
    <row r="21" spans="2:12" s="2" customFormat="1">
      <c r="B21" s="545" t="s">
        <v>573</v>
      </c>
      <c r="C21" s="153" t="s">
        <v>128</v>
      </c>
      <c r="D21" s="599">
        <v>-11.558263661289118</v>
      </c>
      <c r="E21" s="600">
        <v>-10.709473797917887</v>
      </c>
      <c r="F21" s="600">
        <v>0</v>
      </c>
      <c r="G21" s="600">
        <v>0</v>
      </c>
      <c r="H21" s="600">
        <v>0</v>
      </c>
      <c r="I21" s="600"/>
      <c r="J21" s="600"/>
      <c r="K21" s="600"/>
      <c r="L21" s="58"/>
    </row>
    <row r="22" spans="2:12" s="2" customFormat="1">
      <c r="B22" s="545" t="s">
        <v>242</v>
      </c>
      <c r="C22" s="153" t="s">
        <v>128</v>
      </c>
      <c r="D22" s="599">
        <v>0</v>
      </c>
      <c r="E22" s="600">
        <v>0</v>
      </c>
      <c r="F22" s="600">
        <v>0</v>
      </c>
      <c r="G22" s="600">
        <v>0</v>
      </c>
      <c r="H22" s="600">
        <v>0</v>
      </c>
      <c r="I22" s="600"/>
      <c r="J22" s="600"/>
      <c r="K22" s="600"/>
      <c r="L22" s="58"/>
    </row>
    <row r="23" spans="2:12" s="2" customFormat="1">
      <c r="B23" s="545" t="s">
        <v>242</v>
      </c>
      <c r="C23" s="153" t="s">
        <v>128</v>
      </c>
      <c r="D23" s="599">
        <v>0</v>
      </c>
      <c r="E23" s="600">
        <v>0</v>
      </c>
      <c r="F23" s="600">
        <v>0</v>
      </c>
      <c r="G23" s="600">
        <v>0</v>
      </c>
      <c r="H23" s="600">
        <v>0</v>
      </c>
      <c r="I23" s="600"/>
      <c r="J23" s="600"/>
      <c r="K23" s="600"/>
      <c r="L23" s="58"/>
    </row>
    <row r="24" spans="2:12" s="2" customFormat="1">
      <c r="B24" s="545" t="s">
        <v>242</v>
      </c>
      <c r="C24" s="153" t="s">
        <v>128</v>
      </c>
      <c r="D24" s="599">
        <v>0</v>
      </c>
      <c r="E24" s="600">
        <v>0</v>
      </c>
      <c r="F24" s="600">
        <v>0</v>
      </c>
      <c r="G24" s="600">
        <v>0</v>
      </c>
      <c r="H24" s="600">
        <v>0</v>
      </c>
      <c r="I24" s="600"/>
      <c r="J24" s="600"/>
      <c r="K24" s="600"/>
      <c r="L24" s="58"/>
    </row>
    <row r="25" spans="2:12" s="2" customFormat="1">
      <c r="B25" s="777" t="s">
        <v>135</v>
      </c>
      <c r="C25" s="153" t="s">
        <v>128</v>
      </c>
      <c r="D25" s="599">
        <v>0</v>
      </c>
      <c r="E25" s="600">
        <v>-30.584258893461001</v>
      </c>
      <c r="F25" s="600">
        <v>11.088673086225823</v>
      </c>
      <c r="G25" s="600">
        <v>4.1599120641999239</v>
      </c>
      <c r="H25" s="600">
        <v>-3.8326727800322402</v>
      </c>
      <c r="I25" s="600"/>
      <c r="J25" s="600"/>
      <c r="K25" s="600"/>
      <c r="L25" s="58"/>
    </row>
    <row r="26" spans="2:12" s="2" customFormat="1">
      <c r="B26" s="772" t="s">
        <v>148</v>
      </c>
      <c r="C26" s="153" t="s">
        <v>128</v>
      </c>
      <c r="D26" s="605">
        <f>SUM(D14:D24,-D25)</f>
        <v>404.59389821967591</v>
      </c>
      <c r="E26" s="606">
        <f t="shared" ref="E26:K26" si="2">SUM(E14:E24,-E25)</f>
        <v>448.0633651518184</v>
      </c>
      <c r="F26" s="606">
        <f t="shared" si="2"/>
        <v>398.09118628445742</v>
      </c>
      <c r="G26" s="606">
        <f t="shared" si="2"/>
        <v>414.13677262004228</v>
      </c>
      <c r="H26" s="606">
        <f t="shared" si="2"/>
        <v>428.71165731601508</v>
      </c>
      <c r="I26" s="606">
        <f t="shared" si="2"/>
        <v>19.755625067728619</v>
      </c>
      <c r="J26" s="606">
        <f t="shared" si="2"/>
        <v>25.723730268153059</v>
      </c>
      <c r="K26" s="607">
        <f t="shared" si="2"/>
        <v>26.576846693322587</v>
      </c>
      <c r="L26" s="58"/>
    </row>
    <row r="27" spans="2:12" s="2" customFormat="1">
      <c r="B27" s="226"/>
      <c r="C27" s="139"/>
      <c r="D27" s="55"/>
      <c r="E27" s="55"/>
      <c r="F27" s="55"/>
      <c r="G27" s="61"/>
      <c r="H27" s="61"/>
      <c r="I27" s="61"/>
      <c r="J27" s="61"/>
      <c r="K27" s="61"/>
      <c r="L27" s="58"/>
    </row>
    <row r="28" spans="2:12" s="2" customFormat="1">
      <c r="B28" s="226" t="s">
        <v>150</v>
      </c>
      <c r="C28" s="139"/>
      <c r="D28" s="605">
        <f>IF(ISBLANK(D33),0,D33-D26)</f>
        <v>10.675290732227722</v>
      </c>
      <c r="E28" s="606">
        <f t="shared" ref="E28:K28" si="3">IF(ISBLANK(E33),0,E33-E26)</f>
        <v>4.0106220580176455</v>
      </c>
      <c r="F28" s="606">
        <f t="shared" si="3"/>
        <v>-3.6831862844574061</v>
      </c>
      <c r="G28" s="606">
        <f t="shared" si="3"/>
        <v>-0.23977262004228805</v>
      </c>
      <c r="H28" s="606">
        <f t="shared" si="3"/>
        <v>9.6263426839849444</v>
      </c>
      <c r="I28" s="606">
        <f t="shared" si="3"/>
        <v>0</v>
      </c>
      <c r="J28" s="606">
        <f t="shared" si="3"/>
        <v>0</v>
      </c>
      <c r="K28" s="607">
        <f t="shared" si="3"/>
        <v>0</v>
      </c>
      <c r="L28" s="58"/>
    </row>
    <row r="29" spans="2:12" s="2" customFormat="1">
      <c r="B29" s="226"/>
      <c r="C29" s="139"/>
      <c r="D29" s="35"/>
      <c r="E29" s="35"/>
      <c r="F29" s="35"/>
      <c r="G29" s="35"/>
      <c r="H29" s="35"/>
      <c r="I29" s="35"/>
      <c r="J29" s="35"/>
      <c r="K29" s="35"/>
      <c r="L29" s="58"/>
    </row>
    <row r="30" spans="2:12" s="2" customFormat="1">
      <c r="B30" s="226"/>
      <c r="C30" s="139"/>
      <c r="D30" s="35"/>
      <c r="E30" s="35"/>
      <c r="F30" s="35"/>
      <c r="G30" s="35"/>
      <c r="H30" s="35"/>
      <c r="I30" s="35"/>
      <c r="J30" s="35"/>
      <c r="K30" s="35"/>
      <c r="L30" s="58"/>
    </row>
    <row r="31" spans="2:12" s="2" customFormat="1">
      <c r="B31" s="773" t="s">
        <v>192</v>
      </c>
      <c r="C31" s="151"/>
      <c r="D31" s="81"/>
      <c r="E31" s="81"/>
      <c r="F31" s="81"/>
      <c r="G31" s="81"/>
      <c r="H31" s="81"/>
      <c r="I31" s="81"/>
      <c r="J31" s="81"/>
      <c r="K31" s="81"/>
      <c r="L31" s="274"/>
    </row>
    <row r="32" spans="2:12" s="2" customFormat="1">
      <c r="B32" s="226"/>
      <c r="C32" s="139"/>
      <c r="D32" s="35"/>
      <c r="E32" s="35"/>
      <c r="F32" s="35"/>
      <c r="G32" s="35"/>
      <c r="H32" s="35"/>
      <c r="I32" s="35"/>
      <c r="J32" s="35"/>
      <c r="K32" s="35"/>
      <c r="L32" s="58"/>
    </row>
    <row r="33" spans="2:12" s="2" customFormat="1">
      <c r="B33" s="774" t="s">
        <v>149</v>
      </c>
      <c r="C33" s="139"/>
      <c r="D33" s="641">
        <v>415.26918895190363</v>
      </c>
      <c r="E33" s="642">
        <v>452.07398720983605</v>
      </c>
      <c r="F33" s="642">
        <v>394.40800000000002</v>
      </c>
      <c r="G33" s="642">
        <v>413.89699999999999</v>
      </c>
      <c r="H33" s="642">
        <v>438.33800000000002</v>
      </c>
      <c r="I33" s="642"/>
      <c r="J33" s="642"/>
      <c r="K33" s="643"/>
      <c r="L33" s="58"/>
    </row>
    <row r="34" spans="2:12" s="2" customFormat="1">
      <c r="B34" s="130"/>
      <c r="C34" s="137"/>
      <c r="L34" s="58"/>
    </row>
    <row r="35" spans="2:12" s="2" customFormat="1">
      <c r="B35" s="395" t="s">
        <v>136</v>
      </c>
      <c r="C35" s="137"/>
      <c r="L35" s="58"/>
    </row>
    <row r="36" spans="2:12" s="2" customFormat="1">
      <c r="B36" s="904" t="s">
        <v>137</v>
      </c>
      <c r="C36" s="153" t="s">
        <v>128</v>
      </c>
      <c r="D36" s="597">
        <v>0</v>
      </c>
      <c r="E36" s="598">
        <v>4.74383351</v>
      </c>
      <c r="F36" s="598">
        <v>0</v>
      </c>
      <c r="G36" s="598">
        <v>0</v>
      </c>
      <c r="H36" s="598">
        <v>0</v>
      </c>
      <c r="I36" s="598"/>
      <c r="J36" s="598"/>
      <c r="K36" s="608"/>
      <c r="L36" s="58"/>
    </row>
    <row r="37" spans="2:12" s="2" customFormat="1">
      <c r="B37" s="904" t="s">
        <v>138</v>
      </c>
      <c r="C37" s="153" t="s">
        <v>128</v>
      </c>
      <c r="D37" s="599">
        <v>3.3428548300000003</v>
      </c>
      <c r="E37" s="600">
        <v>3.1227670000000001</v>
      </c>
      <c r="F37" s="600">
        <v>2.7855081400000001</v>
      </c>
      <c r="G37" s="600">
        <v>2.5674263699999997</v>
      </c>
      <c r="H37" s="600">
        <v>2.4285763999999999</v>
      </c>
      <c r="I37" s="600"/>
      <c r="J37" s="600"/>
      <c r="K37" s="609"/>
      <c r="L37" s="58"/>
    </row>
    <row r="38" spans="2:12" s="2" customFormat="1">
      <c r="B38" s="904" t="s">
        <v>139</v>
      </c>
      <c r="C38" s="153" t="s">
        <v>128</v>
      </c>
      <c r="D38" s="599">
        <v>54.082507396350096</v>
      </c>
      <c r="E38" s="600">
        <v>55.814502219999994</v>
      </c>
      <c r="F38" s="600">
        <v>48.158962101949264</v>
      </c>
      <c r="G38" s="600">
        <v>48.971750857535376</v>
      </c>
      <c r="H38" s="600">
        <v>11.461053329615057</v>
      </c>
      <c r="I38" s="600"/>
      <c r="J38" s="600"/>
      <c r="K38" s="609"/>
      <c r="L38" s="58"/>
    </row>
    <row r="39" spans="2:12" s="2" customFormat="1">
      <c r="B39" s="904" t="s">
        <v>140</v>
      </c>
      <c r="C39" s="153" t="s">
        <v>128</v>
      </c>
      <c r="D39" s="599">
        <v>0</v>
      </c>
      <c r="E39" s="600">
        <v>0</v>
      </c>
      <c r="F39" s="600">
        <v>0</v>
      </c>
      <c r="G39" s="600">
        <v>0</v>
      </c>
      <c r="H39" s="600">
        <v>0</v>
      </c>
      <c r="I39" s="600"/>
      <c r="J39" s="600"/>
      <c r="K39" s="609"/>
      <c r="L39" s="58"/>
    </row>
    <row r="40" spans="2:12" s="2" customFormat="1">
      <c r="B40" s="904" t="s">
        <v>141</v>
      </c>
      <c r="C40" s="153" t="s">
        <v>128</v>
      </c>
      <c r="D40" s="599">
        <v>0</v>
      </c>
      <c r="E40" s="600">
        <v>0</v>
      </c>
      <c r="F40" s="600">
        <v>0</v>
      </c>
      <c r="G40" s="600">
        <v>0</v>
      </c>
      <c r="H40" s="600">
        <v>0</v>
      </c>
      <c r="I40" s="600"/>
      <c r="J40" s="600"/>
      <c r="K40" s="609"/>
      <c r="L40" s="58"/>
    </row>
    <row r="41" spans="2:12" s="2" customFormat="1">
      <c r="B41" s="904" t="s">
        <v>142</v>
      </c>
      <c r="C41" s="153" t="s">
        <v>128</v>
      </c>
      <c r="D41" s="599">
        <v>1.6678053200000009</v>
      </c>
      <c r="E41" s="600">
        <v>0.96157862000000005</v>
      </c>
      <c r="F41" s="600">
        <v>4.3052643555645682</v>
      </c>
      <c r="G41" s="600">
        <v>2.084525071464622</v>
      </c>
      <c r="H41" s="600">
        <v>1.6922434203849428</v>
      </c>
      <c r="I41" s="600"/>
      <c r="J41" s="600"/>
      <c r="K41" s="609"/>
      <c r="L41" s="58"/>
    </row>
    <row r="42" spans="2:12" s="2" customFormat="1">
      <c r="B42" s="904" t="s">
        <v>143</v>
      </c>
      <c r="C42" s="153" t="s">
        <v>128</v>
      </c>
      <c r="D42" s="599">
        <v>0</v>
      </c>
      <c r="E42" s="600">
        <v>0</v>
      </c>
      <c r="F42" s="600">
        <v>0</v>
      </c>
      <c r="G42" s="600">
        <v>0</v>
      </c>
      <c r="H42" s="600">
        <v>0</v>
      </c>
      <c r="I42" s="600"/>
      <c r="J42" s="600"/>
      <c r="K42" s="609"/>
      <c r="L42" s="58"/>
    </row>
    <row r="43" spans="2:12" s="2" customFormat="1">
      <c r="B43" s="905" t="s">
        <v>144</v>
      </c>
      <c r="C43" s="153" t="s">
        <v>128</v>
      </c>
      <c r="D43" s="610">
        <v>0</v>
      </c>
      <c r="E43" s="611">
        <v>0</v>
      </c>
      <c r="F43" s="611">
        <v>0</v>
      </c>
      <c r="G43" s="611">
        <v>0</v>
      </c>
      <c r="H43" s="611">
        <v>0</v>
      </c>
      <c r="I43" s="611"/>
      <c r="J43" s="611"/>
      <c r="K43" s="612"/>
      <c r="L43" s="58"/>
    </row>
    <row r="44" spans="2:12" s="2" customFormat="1">
      <c r="B44" s="903" t="s">
        <v>574</v>
      </c>
      <c r="C44" s="153" t="s">
        <v>128</v>
      </c>
      <c r="D44" s="610">
        <v>0</v>
      </c>
      <c r="E44" s="611">
        <v>0</v>
      </c>
      <c r="F44" s="611">
        <v>0</v>
      </c>
      <c r="G44" s="611">
        <v>0.63968830560000001</v>
      </c>
      <c r="H44" s="611">
        <v>0.64261901519999998</v>
      </c>
      <c r="I44" s="611"/>
      <c r="J44" s="611"/>
      <c r="K44" s="612"/>
      <c r="L44" s="58"/>
    </row>
    <row r="45" spans="2:12" s="2" customFormat="1">
      <c r="B45" s="395" t="s">
        <v>175</v>
      </c>
      <c r="C45" s="153" t="s">
        <v>128</v>
      </c>
      <c r="D45" s="613">
        <f>SUM(D36:D44)</f>
        <v>59.093167546350095</v>
      </c>
      <c r="E45" s="614">
        <f t="shared" ref="E45:K45" si="4">SUM(E36:E44)</f>
        <v>64.642681349999989</v>
      </c>
      <c r="F45" s="614">
        <f t="shared" si="4"/>
        <v>55.249734597513829</v>
      </c>
      <c r="G45" s="614">
        <f t="shared" si="4"/>
        <v>54.263390604600005</v>
      </c>
      <c r="H45" s="614">
        <f t="shared" si="4"/>
        <v>16.224492165199997</v>
      </c>
      <c r="I45" s="614">
        <f t="shared" si="4"/>
        <v>0</v>
      </c>
      <c r="J45" s="614">
        <f t="shared" si="4"/>
        <v>0</v>
      </c>
      <c r="K45" s="615">
        <f t="shared" si="4"/>
        <v>0</v>
      </c>
      <c r="L45" s="58"/>
    </row>
    <row r="46" spans="2:12" s="2" customFormat="1">
      <c r="B46" s="130"/>
      <c r="C46" s="137"/>
      <c r="L46" s="58"/>
    </row>
    <row r="47" spans="2:12" s="2" customFormat="1">
      <c r="B47" s="395" t="s">
        <v>145</v>
      </c>
      <c r="C47" s="137"/>
      <c r="L47" s="54"/>
    </row>
    <row r="48" spans="2:12" s="2" customFormat="1">
      <c r="B48" s="545" t="s">
        <v>575</v>
      </c>
      <c r="C48" s="153" t="s">
        <v>128</v>
      </c>
      <c r="D48" s="616">
        <v>-38.202786846350094</v>
      </c>
      <c r="E48" s="617">
        <v>-41.48276181</v>
      </c>
      <c r="F48" s="617">
        <v>-33.142870897513831</v>
      </c>
      <c r="G48" s="617">
        <v>-35.908215939000002</v>
      </c>
      <c r="H48" s="617">
        <v>0</v>
      </c>
      <c r="I48" s="617"/>
      <c r="J48" s="617"/>
      <c r="K48" s="618"/>
      <c r="L48" s="58"/>
    </row>
    <row r="49" spans="2:12" s="2" customFormat="1">
      <c r="B49" s="545" t="s">
        <v>576</v>
      </c>
      <c r="C49" s="153" t="s">
        <v>128</v>
      </c>
      <c r="D49" s="619">
        <v>5.5660210000000001</v>
      </c>
      <c r="E49" s="620">
        <v>-1.4829417399999998</v>
      </c>
      <c r="F49" s="620">
        <v>2.3942835800000002</v>
      </c>
      <c r="G49" s="620">
        <v>2.4063430100000001</v>
      </c>
      <c r="H49" s="620">
        <v>0.83022727000000007</v>
      </c>
      <c r="I49" s="620"/>
      <c r="J49" s="620"/>
      <c r="K49" s="621"/>
      <c r="L49" s="58"/>
    </row>
    <row r="50" spans="2:12" s="2" customFormat="1">
      <c r="B50" s="545" t="s">
        <v>577</v>
      </c>
      <c r="C50" s="153" t="s">
        <v>128</v>
      </c>
      <c r="D50" s="619">
        <v>2.2785844700000002</v>
      </c>
      <c r="E50" s="620">
        <v>2.4680794000000001</v>
      </c>
      <c r="F50" s="620">
        <v>1.8157624200000007</v>
      </c>
      <c r="G50" s="620">
        <v>2.5789156900000014</v>
      </c>
      <c r="H50" s="620">
        <v>1.7735162400000024</v>
      </c>
      <c r="I50" s="620"/>
      <c r="J50" s="620"/>
      <c r="K50" s="621"/>
      <c r="L50" s="58"/>
    </row>
    <row r="51" spans="2:12" s="2" customFormat="1">
      <c r="B51" s="545" t="s">
        <v>578</v>
      </c>
      <c r="C51" s="153" t="s">
        <v>128</v>
      </c>
      <c r="D51" s="619">
        <v>4.6383260000000002</v>
      </c>
      <c r="E51" s="620">
        <v>5.5418890000000003</v>
      </c>
      <c r="F51" s="620">
        <v>6.39616805</v>
      </c>
      <c r="G51" s="620">
        <v>17.593685810000004</v>
      </c>
      <c r="H51" s="620">
        <v>18.264567420000002</v>
      </c>
      <c r="I51" s="620"/>
      <c r="J51" s="620"/>
      <c r="K51" s="621"/>
      <c r="L51" s="58"/>
    </row>
    <row r="52" spans="2:12" s="2" customFormat="1">
      <c r="B52" s="545" t="s">
        <v>579</v>
      </c>
      <c r="C52" s="153" t="s">
        <v>128</v>
      </c>
      <c r="D52" s="619">
        <v>0.94732206000000008</v>
      </c>
      <c r="E52" s="620">
        <v>0.91621300000000006</v>
      </c>
      <c r="F52" s="620">
        <v>1.2438243399999998</v>
      </c>
      <c r="G52" s="620">
        <v>1.25670525</v>
      </c>
      <c r="H52" s="620">
        <v>1.2816322499999999</v>
      </c>
      <c r="I52" s="620"/>
      <c r="J52" s="620"/>
      <c r="K52" s="621"/>
      <c r="L52" s="58"/>
    </row>
    <row r="53" spans="2:12" s="2" customFormat="1">
      <c r="B53" s="545" t="s">
        <v>580</v>
      </c>
      <c r="C53" s="153" t="s">
        <v>128</v>
      </c>
      <c r="D53" s="619">
        <v>0.87485400000000002</v>
      </c>
      <c r="E53" s="620">
        <v>0.99982599999999999</v>
      </c>
      <c r="F53" s="620">
        <v>1.1054805599999999</v>
      </c>
      <c r="G53" s="620">
        <v>1.4557728900000002</v>
      </c>
      <c r="H53" s="620">
        <v>1.2304915300000001</v>
      </c>
      <c r="I53" s="620"/>
      <c r="J53" s="620"/>
      <c r="K53" s="621"/>
      <c r="L53" s="58"/>
    </row>
    <row r="54" spans="2:12" s="2" customFormat="1">
      <c r="B54" s="545" t="s">
        <v>581</v>
      </c>
      <c r="C54" s="153" t="s">
        <v>128</v>
      </c>
      <c r="D54" s="619">
        <v>0.17303499999999999</v>
      </c>
      <c r="E54" s="620">
        <v>0.28488606</v>
      </c>
      <c r="F54" s="620">
        <v>0.32445767999999997</v>
      </c>
      <c r="G54" s="620">
        <v>0.16728709</v>
      </c>
      <c r="H54" s="620">
        <v>0.19890573</v>
      </c>
      <c r="I54" s="620"/>
      <c r="J54" s="620"/>
      <c r="K54" s="621"/>
      <c r="L54" s="58"/>
    </row>
    <row r="55" spans="2:12" s="2" customFormat="1">
      <c r="B55" s="545" t="s">
        <v>582</v>
      </c>
      <c r="C55" s="153" t="s">
        <v>128</v>
      </c>
      <c r="D55" s="619">
        <v>3.8899790000000004E-2</v>
      </c>
      <c r="E55" s="620">
        <v>2.1218000000000001E-2</v>
      </c>
      <c r="F55" s="620">
        <v>0</v>
      </c>
      <c r="G55" s="620">
        <v>0</v>
      </c>
      <c r="H55" s="620">
        <v>0</v>
      </c>
      <c r="I55" s="620"/>
      <c r="J55" s="620"/>
      <c r="K55" s="621"/>
      <c r="L55" s="58"/>
    </row>
    <row r="56" spans="2:12" s="2" customFormat="1">
      <c r="B56" s="545" t="s">
        <v>583</v>
      </c>
      <c r="C56" s="153" t="s">
        <v>128</v>
      </c>
      <c r="D56" s="619">
        <v>5.2614899999999997E-3</v>
      </c>
      <c r="E56" s="620">
        <v>6.5290000000000001E-3</v>
      </c>
      <c r="F56" s="620">
        <v>1.250826E-2</v>
      </c>
      <c r="G56" s="620">
        <v>0.30560978</v>
      </c>
      <c r="H56" s="620">
        <v>-0.28892000000000001</v>
      </c>
      <c r="I56" s="620"/>
      <c r="J56" s="620"/>
      <c r="K56" s="621"/>
      <c r="L56" s="58"/>
    </row>
    <row r="57" spans="2:12" s="2" customFormat="1">
      <c r="B57" s="545" t="s">
        <v>584</v>
      </c>
      <c r="C57" s="153" t="s">
        <v>128</v>
      </c>
      <c r="D57" s="619">
        <v>8.3865010000000004E-2</v>
      </c>
      <c r="E57" s="620">
        <v>1.4831505899999999</v>
      </c>
      <c r="F57" s="620">
        <v>0.39443776000000003</v>
      </c>
      <c r="G57" s="620">
        <v>0.30644798000000001</v>
      </c>
      <c r="H57" s="620">
        <v>0.23761581000000001</v>
      </c>
      <c r="I57" s="620"/>
      <c r="J57" s="620"/>
      <c r="K57" s="621"/>
      <c r="L57" s="58"/>
    </row>
    <row r="58" spans="2:12" s="2" customFormat="1">
      <c r="B58" s="545" t="s">
        <v>585</v>
      </c>
      <c r="C58" s="153" t="s">
        <v>128</v>
      </c>
      <c r="D58" s="619">
        <v>0</v>
      </c>
      <c r="E58" s="620">
        <v>0</v>
      </c>
      <c r="F58" s="620">
        <v>0</v>
      </c>
      <c r="G58" s="620">
        <v>0</v>
      </c>
      <c r="H58" s="620">
        <v>0</v>
      </c>
      <c r="I58" s="620"/>
      <c r="J58" s="620"/>
      <c r="K58" s="621"/>
      <c r="L58" s="58"/>
    </row>
    <row r="59" spans="2:12" s="2" customFormat="1">
      <c r="B59" s="545" t="s">
        <v>242</v>
      </c>
      <c r="C59" s="153" t="s">
        <v>128</v>
      </c>
      <c r="D59" s="619">
        <v>0</v>
      </c>
      <c r="E59" s="620">
        <v>0</v>
      </c>
      <c r="F59" s="620">
        <v>0</v>
      </c>
      <c r="G59" s="620">
        <v>0</v>
      </c>
      <c r="H59" s="620">
        <v>0</v>
      </c>
      <c r="I59" s="620"/>
      <c r="J59" s="620"/>
      <c r="K59" s="621"/>
      <c r="L59" s="58"/>
    </row>
    <row r="60" spans="2:12" s="2" customFormat="1">
      <c r="B60" s="545" t="s">
        <v>242</v>
      </c>
      <c r="C60" s="153" t="s">
        <v>128</v>
      </c>
      <c r="D60" s="619">
        <v>0</v>
      </c>
      <c r="E60" s="620">
        <v>0</v>
      </c>
      <c r="F60" s="620">
        <v>0</v>
      </c>
      <c r="G60" s="620">
        <v>0</v>
      </c>
      <c r="H60" s="620">
        <v>0</v>
      </c>
      <c r="I60" s="620"/>
      <c r="J60" s="620"/>
      <c r="K60" s="621"/>
      <c r="L60" s="58"/>
    </row>
    <row r="61" spans="2:12" s="2" customFormat="1">
      <c r="B61" s="545" t="s">
        <v>242</v>
      </c>
      <c r="C61" s="153" t="s">
        <v>128</v>
      </c>
      <c r="D61" s="619">
        <v>0</v>
      </c>
      <c r="E61" s="620">
        <v>0</v>
      </c>
      <c r="F61" s="620">
        <v>0</v>
      </c>
      <c r="G61" s="620">
        <v>0</v>
      </c>
      <c r="H61" s="620">
        <v>0</v>
      </c>
      <c r="I61" s="620"/>
      <c r="J61" s="620"/>
      <c r="K61" s="621"/>
      <c r="L61" s="58"/>
    </row>
    <row r="62" spans="2:12" s="2" customFormat="1">
      <c r="B62" s="545" t="s">
        <v>242</v>
      </c>
      <c r="C62" s="153" t="s">
        <v>128</v>
      </c>
      <c r="D62" s="619">
        <v>0</v>
      </c>
      <c r="E62" s="620">
        <v>0</v>
      </c>
      <c r="F62" s="620">
        <v>0</v>
      </c>
      <c r="G62" s="620">
        <v>0</v>
      </c>
      <c r="H62" s="620">
        <v>0</v>
      </c>
      <c r="I62" s="620"/>
      <c r="J62" s="620"/>
      <c r="K62" s="621"/>
      <c r="L62" s="58"/>
    </row>
    <row r="63" spans="2:12" s="2" customFormat="1">
      <c r="B63" s="778" t="s">
        <v>242</v>
      </c>
      <c r="C63" s="153" t="s">
        <v>128</v>
      </c>
      <c r="D63" s="622">
        <v>0</v>
      </c>
      <c r="E63" s="623">
        <v>0</v>
      </c>
      <c r="F63" s="624">
        <v>0</v>
      </c>
      <c r="G63" s="623">
        <v>0</v>
      </c>
      <c r="H63" s="623">
        <v>0</v>
      </c>
      <c r="I63" s="623"/>
      <c r="J63" s="623"/>
      <c r="K63" s="625"/>
      <c r="L63" s="58"/>
    </row>
    <row r="64" spans="2:12" s="2" customFormat="1">
      <c r="B64" s="774" t="s">
        <v>176</v>
      </c>
      <c r="C64" s="153" t="s">
        <v>128</v>
      </c>
      <c r="D64" s="605">
        <f t="shared" ref="D64:K64" si="5">SUM(D48:D63)</f>
        <v>-23.5966180263501</v>
      </c>
      <c r="E64" s="606">
        <f t="shared" si="5"/>
        <v>-31.243912500000008</v>
      </c>
      <c r="F64" s="606">
        <f t="shared" si="5"/>
        <v>-19.455948247513831</v>
      </c>
      <c r="G64" s="606">
        <f t="shared" si="5"/>
        <v>-9.8374484389999957</v>
      </c>
      <c r="H64" s="606">
        <f t="shared" si="5"/>
        <v>23.528036250000003</v>
      </c>
      <c r="I64" s="606">
        <f t="shared" si="5"/>
        <v>0</v>
      </c>
      <c r="J64" s="606">
        <f t="shared" si="5"/>
        <v>0</v>
      </c>
      <c r="K64" s="607">
        <f t="shared" si="5"/>
        <v>0</v>
      </c>
      <c r="L64" s="58"/>
    </row>
    <row r="65" spans="1:12" s="2" customFormat="1">
      <c r="B65" s="226"/>
      <c r="C65" s="139"/>
      <c r="D65" s="56"/>
      <c r="E65" s="56"/>
      <c r="F65" s="56"/>
      <c r="G65" s="56"/>
      <c r="H65" s="56"/>
      <c r="I65" s="56"/>
      <c r="J65" s="56"/>
      <c r="K65" s="56"/>
      <c r="L65" s="58"/>
    </row>
    <row r="66" spans="1:12" s="2" customFormat="1">
      <c r="B66" s="774" t="s">
        <v>146</v>
      </c>
      <c r="C66" s="153" t="s">
        <v>128</v>
      </c>
      <c r="D66" s="626">
        <f t="shared" ref="D66:K66" si="6">D33+D45+D64</f>
        <v>450.76573847190366</v>
      </c>
      <c r="E66" s="627">
        <f t="shared" si="6"/>
        <v>485.47275605983606</v>
      </c>
      <c r="F66" s="627">
        <f t="shared" si="6"/>
        <v>430.20178635000002</v>
      </c>
      <c r="G66" s="627">
        <f t="shared" si="6"/>
        <v>458.32294216560001</v>
      </c>
      <c r="H66" s="627">
        <f t="shared" si="6"/>
        <v>478.09052841520003</v>
      </c>
      <c r="I66" s="627">
        <f t="shared" si="6"/>
        <v>0</v>
      </c>
      <c r="J66" s="627">
        <f t="shared" si="6"/>
        <v>0</v>
      </c>
      <c r="K66" s="628">
        <f t="shared" si="6"/>
        <v>0</v>
      </c>
      <c r="L66" s="58"/>
    </row>
    <row r="67" spans="1:12" s="2" customFormat="1">
      <c r="B67" s="774" t="s">
        <v>193</v>
      </c>
      <c r="C67" s="153" t="s">
        <v>128</v>
      </c>
      <c r="D67" s="629">
        <v>450.8</v>
      </c>
      <c r="E67" s="630">
        <v>485.5</v>
      </c>
      <c r="F67" s="630">
        <v>430.2</v>
      </c>
      <c r="G67" s="630">
        <v>458.3</v>
      </c>
      <c r="H67" s="630">
        <v>478.1</v>
      </c>
      <c r="I67" s="630"/>
      <c r="J67" s="630"/>
      <c r="K67" s="631"/>
      <c r="L67" s="58"/>
    </row>
    <row r="68" spans="1:12" s="2" customFormat="1">
      <c r="B68" s="226" t="s">
        <v>122</v>
      </c>
      <c r="C68" s="139"/>
      <c r="D68" s="116" t="str">
        <f>IF(ABS(D66-D67)&lt;'RFPR cover'!$F$14,"OK","Error")</f>
        <v>OK</v>
      </c>
      <c r="E68" s="116" t="str">
        <f>IF(ABS(E66-E67)&lt;'RFPR cover'!$F$14,"OK","Error")</f>
        <v>OK</v>
      </c>
      <c r="F68" s="116" t="str">
        <f>IF(ABS(F66-F67)&lt;'RFPR cover'!$F$14,"OK","Error")</f>
        <v>OK</v>
      </c>
      <c r="G68" s="116" t="str">
        <f>IF(ABS(G66-G67)&lt;'RFPR cover'!$F$14,"OK","Error")</f>
        <v>OK</v>
      </c>
      <c r="H68" s="116" t="str">
        <f>IF(ABS(H66-H67)&lt;'RFPR cover'!$F$14,"OK","Error")</f>
        <v>OK</v>
      </c>
      <c r="I68" s="116" t="str">
        <f>IF(ABS(I66-I67)&lt;'RFPR cover'!$F$14,"OK","Error")</f>
        <v>OK</v>
      </c>
      <c r="J68" s="116" t="str">
        <f>IF(ABS(J66-J67)&lt;'RFPR cover'!$F$14,"OK","Error")</f>
        <v>OK</v>
      </c>
      <c r="K68" s="116" t="str">
        <f>IF(ABS(K66-K67)&lt;'RFPR cover'!$F$14,"OK","Error")</f>
        <v>OK</v>
      </c>
      <c r="L68" s="58"/>
    </row>
    <row r="69" spans="1:12" s="2" customFormat="1">
      <c r="B69" s="130"/>
      <c r="C69" s="139"/>
      <c r="D69" s="48"/>
      <c r="E69" s="48"/>
      <c r="F69" s="48"/>
      <c r="G69" s="48"/>
      <c r="H69" s="48"/>
      <c r="I69" s="48"/>
      <c r="J69" s="48"/>
      <c r="K69" s="48"/>
      <c r="L69" s="58"/>
    </row>
    <row r="70" spans="1:12" s="2" customFormat="1">
      <c r="B70" s="130"/>
      <c r="C70" s="137"/>
      <c r="L70" s="54"/>
    </row>
    <row r="71" spans="1:12" s="2" customFormat="1">
      <c r="A71" s="81"/>
      <c r="B71" s="779"/>
      <c r="C71" s="151"/>
      <c r="D71" s="81"/>
      <c r="E71" s="81"/>
      <c r="F71" s="81"/>
      <c r="G71" s="81"/>
      <c r="H71" s="81"/>
      <c r="I71" s="81"/>
      <c r="J71" s="81"/>
      <c r="K71" s="81"/>
      <c r="L71" s="273"/>
    </row>
  </sheetData>
  <conditionalFormatting sqref="D6:K6">
    <cfRule type="expression" dxfId="59" priority="12">
      <formula>AND(D$5="Actuals",E$5="Forecast")</formula>
    </cfRule>
  </conditionalFormatting>
  <conditionalFormatting sqref="D5:K5">
    <cfRule type="expression" dxfId="58" priority="5">
      <formula>AND(D$5="Actuals",E$5="Forecast")</formula>
    </cfRule>
  </conditionalFormatting>
  <conditionalFormatting sqref="D33:K33 D36:K45 D48:K64 D28:H28 D66:K68">
    <cfRule type="expression" dxfId="57" priority="4">
      <formula>D$5="Forecast"</formula>
    </cfRule>
  </conditionalFormatting>
  <conditionalFormatting sqref="I10:K26 I28:K28">
    <cfRule type="expression" dxfId="56" priority="3">
      <formula>I$5="Forecast"</formula>
    </cfRule>
  </conditionalFormatting>
  <conditionalFormatting sqref="H10:H26">
    <cfRule type="expression" dxfId="55" priority="2">
      <formula>H$5="Forecast"</formula>
    </cfRule>
  </conditionalFormatting>
  <conditionalFormatting sqref="G10:G26">
    <cfRule type="expression" dxfId="54" priority="1">
      <formula>G$5="Forecast"</formula>
    </cfRule>
  </conditionalFormatting>
  <pageMargins left="0.70866141732283472" right="0.70866141732283472" top="0.74803149606299213" bottom="0.74803149606299213" header="0.31496062992125984" footer="0.31496062992125984"/>
  <pageSetup paperSize="8" scale="95" fitToHeight="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FFCC"/>
    <pageSetUpPr fitToPage="1"/>
  </sheetPr>
  <dimension ref="A1:L86"/>
  <sheetViews>
    <sheetView showGridLines="0" zoomScale="80" zoomScaleNormal="80" workbookViewId="0">
      <pane ySplit="6" topLeftCell="A7" activePane="bottomLeft" state="frozen"/>
      <selection activeCell="B75" sqref="A1:XFD1048576"/>
      <selection pane="bottomLeft" activeCell="B41" sqref="B41"/>
    </sheetView>
  </sheetViews>
  <sheetFormatPr defaultRowHeight="12.75"/>
  <cols>
    <col min="1" max="1" width="8.375" customWidth="1"/>
    <col min="2" max="2" width="74.5" customWidth="1"/>
    <col min="3" max="3" width="13.375" style="137" customWidth="1"/>
    <col min="4" max="11" width="11.125" customWidth="1"/>
    <col min="12" max="12" width="5" customWidth="1"/>
  </cols>
  <sheetData>
    <row r="1" spans="1:12" s="31" customFormat="1" ht="20.25">
      <c r="A1" s="935" t="s">
        <v>309</v>
      </c>
      <c r="B1" s="936"/>
      <c r="C1" s="149"/>
      <c r="D1" s="122"/>
      <c r="E1" s="122"/>
      <c r="F1" s="122"/>
      <c r="G1" s="122"/>
      <c r="H1" s="122"/>
      <c r="I1" s="122"/>
      <c r="J1" s="122"/>
      <c r="K1" s="122"/>
      <c r="L1" s="123"/>
    </row>
    <row r="2" spans="1:12" s="31" customFormat="1" ht="20.25">
      <c r="A2" s="920" t="str">
        <f>'RFPR cover'!C5</f>
        <v>ENWL</v>
      </c>
      <c r="B2" s="912"/>
      <c r="C2" s="135"/>
      <c r="D2" s="29"/>
      <c r="E2" s="29"/>
      <c r="F2" s="29"/>
      <c r="G2" s="29"/>
      <c r="H2" s="29"/>
      <c r="I2" s="27"/>
      <c r="J2" s="27"/>
      <c r="K2" s="27"/>
      <c r="L2" s="124"/>
    </row>
    <row r="3" spans="1:12" s="31" customFormat="1" ht="20.25">
      <c r="A3" s="937">
        <f>'RFPR cover'!C7</f>
        <v>2020</v>
      </c>
      <c r="B3" s="938"/>
      <c r="C3" s="150"/>
      <c r="D3" s="125"/>
      <c r="E3" s="125"/>
      <c r="F3" s="125"/>
      <c r="G3" s="125"/>
      <c r="H3" s="125"/>
      <c r="I3" s="28"/>
      <c r="J3" s="28"/>
      <c r="K3" s="28"/>
      <c r="L3" s="126"/>
    </row>
    <row r="4" spans="1:12" s="2" customFormat="1" ht="12.75" customHeight="1">
      <c r="C4" s="137"/>
    </row>
    <row r="5" spans="1:12" s="2" customFormat="1">
      <c r="B5" s="3"/>
      <c r="C5" s="137"/>
      <c r="D5" s="391" t="str">
        <f>IF(D6&lt;='RFPR cover'!$C$7,"Actuals","N/A")</f>
        <v>Actuals</v>
      </c>
      <c r="E5" s="392" t="str">
        <f>IF(E6&lt;='RFPR cover'!$C$7,"Actuals","N/A")</f>
        <v>Actuals</v>
      </c>
      <c r="F5" s="392" t="str">
        <f>IF(F6&lt;='RFPR cover'!$C$7,"Actuals","N/A")</f>
        <v>Actuals</v>
      </c>
      <c r="G5" s="392" t="str">
        <f>IF(G6&lt;='RFPR cover'!$C$7,"Actuals","N/A")</f>
        <v>Actuals</v>
      </c>
      <c r="H5" s="392" t="str">
        <f>IF(H6&lt;='RFPR cover'!$C$7,"Actuals","N/A")</f>
        <v>Actuals</v>
      </c>
      <c r="I5" s="392" t="str">
        <f>IF(I6&lt;='RFPR cover'!$C$7,"Actuals","N/A")</f>
        <v>N/A</v>
      </c>
      <c r="J5" s="392" t="str">
        <f>IF(J6&lt;='RFPR cover'!$C$7,"Actuals","N/A")</f>
        <v>N/A</v>
      </c>
      <c r="K5" s="393" t="str">
        <f>IF(K6&lt;='RFPR cover'!$C$7,"Actuals","N/A")</f>
        <v>N/A</v>
      </c>
    </row>
    <row r="6" spans="1:12" s="2" customFormat="1">
      <c r="C6" s="137"/>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2" s="2" customFormat="1">
      <c r="C7" s="137"/>
    </row>
    <row r="8" spans="1:12" s="2" customFormat="1">
      <c r="B8" s="51" t="s">
        <v>315</v>
      </c>
      <c r="C8" s="138"/>
      <c r="D8" s="51"/>
      <c r="E8" s="51"/>
      <c r="F8" s="51"/>
      <c r="G8" s="51"/>
      <c r="H8" s="51"/>
      <c r="I8" s="51"/>
      <c r="J8" s="51"/>
      <c r="K8" s="51"/>
      <c r="L8" s="35"/>
    </row>
    <row r="9" spans="1:12" s="2" customFormat="1">
      <c r="B9" s="130" t="s">
        <v>159</v>
      </c>
      <c r="C9" s="153" t="s">
        <v>128</v>
      </c>
      <c r="D9" s="597">
        <v>206.46236121785822</v>
      </c>
      <c r="E9" s="598">
        <v>200.4</v>
      </c>
      <c r="F9" s="598">
        <v>208.91333318000002</v>
      </c>
      <c r="G9" s="598">
        <v>232.48008367000006</v>
      </c>
      <c r="H9" s="598">
        <v>216.82041472999995</v>
      </c>
      <c r="I9" s="598"/>
      <c r="J9" s="598"/>
      <c r="K9" s="608"/>
    </row>
    <row r="10" spans="1:12" s="2" customFormat="1">
      <c r="B10" s="130" t="s">
        <v>160</v>
      </c>
      <c r="C10" s="153" t="s">
        <v>128</v>
      </c>
      <c r="D10" s="599">
        <v>14.895001890000106</v>
      </c>
      <c r="E10" s="600">
        <v>10.1</v>
      </c>
      <c r="F10" s="600">
        <v>9.5501010199999996</v>
      </c>
      <c r="G10" s="600">
        <v>8.870313659999999</v>
      </c>
      <c r="H10" s="600">
        <v>7.984638809999999</v>
      </c>
      <c r="I10" s="600"/>
      <c r="J10" s="600"/>
      <c r="K10" s="609"/>
    </row>
    <row r="11" spans="1:12" s="2" customFormat="1" ht="29.25" customHeight="1">
      <c r="B11" s="131" t="s">
        <v>448</v>
      </c>
      <c r="C11" s="153" t="s">
        <v>128</v>
      </c>
      <c r="D11" s="599">
        <v>-0.93469595671135608</v>
      </c>
      <c r="E11" s="600">
        <v>-0.96651071</v>
      </c>
      <c r="F11" s="600">
        <v>-1.1831797499999999</v>
      </c>
      <c r="G11" s="600">
        <v>-1.2145819230000001</v>
      </c>
      <c r="H11" s="600">
        <v>-1.9206859270000001</v>
      </c>
      <c r="I11" s="600"/>
      <c r="J11" s="600"/>
      <c r="K11" s="609"/>
    </row>
    <row r="12" spans="1:12" s="2" customFormat="1">
      <c r="B12" s="130" t="s">
        <v>161</v>
      </c>
      <c r="C12" s="153" t="s">
        <v>128</v>
      </c>
      <c r="D12" s="599">
        <v>-44.3</v>
      </c>
      <c r="E12" s="600">
        <v>-45.4</v>
      </c>
      <c r="F12" s="600">
        <v>-44.021677959999998</v>
      </c>
      <c r="G12" s="600">
        <v>-37.799999999999997</v>
      </c>
      <c r="H12" s="600">
        <v>-32.903540189999973</v>
      </c>
      <c r="I12" s="600"/>
      <c r="J12" s="600"/>
      <c r="K12" s="609"/>
    </row>
    <row r="13" spans="1:12" s="2" customFormat="1">
      <c r="B13" s="130" t="s">
        <v>162</v>
      </c>
      <c r="C13" s="153" t="s">
        <v>128</v>
      </c>
      <c r="D13" s="599">
        <v>-0.97577899999999995</v>
      </c>
      <c r="E13" s="600">
        <v>-0.9</v>
      </c>
      <c r="F13" s="600">
        <v>-1.047474</v>
      </c>
      <c r="G13" s="600">
        <v>-1.124142</v>
      </c>
      <c r="H13" s="600">
        <v>-1.084049</v>
      </c>
      <c r="I13" s="600"/>
      <c r="J13" s="600"/>
      <c r="K13" s="609"/>
    </row>
    <row r="14" spans="1:12" s="2" customFormat="1">
      <c r="B14" s="130" t="s">
        <v>163</v>
      </c>
      <c r="C14" s="153" t="s">
        <v>128</v>
      </c>
      <c r="D14" s="635">
        <v>0</v>
      </c>
      <c r="E14" s="636">
        <v>0</v>
      </c>
      <c r="F14" s="636">
        <v>0</v>
      </c>
      <c r="G14" s="636">
        <v>0</v>
      </c>
      <c r="H14" s="636">
        <v>0</v>
      </c>
      <c r="I14" s="636"/>
      <c r="J14" s="636"/>
      <c r="K14" s="637"/>
    </row>
    <row r="15" spans="1:12" s="2" customFormat="1">
      <c r="A15" s="3">
        <v>1</v>
      </c>
      <c r="B15" s="879" t="s">
        <v>242</v>
      </c>
      <c r="C15" s="153" t="s">
        <v>128</v>
      </c>
      <c r="D15" s="597">
        <v>0</v>
      </c>
      <c r="E15" s="598">
        <v>0</v>
      </c>
      <c r="F15" s="598">
        <v>0</v>
      </c>
      <c r="G15" s="598">
        <v>0</v>
      </c>
      <c r="H15" s="598">
        <v>0</v>
      </c>
      <c r="I15" s="598"/>
      <c r="J15" s="598"/>
      <c r="K15" s="608"/>
    </row>
    <row r="16" spans="1:12" s="2" customFormat="1">
      <c r="A16" s="3">
        <v>2</v>
      </c>
      <c r="B16" s="879" t="s">
        <v>242</v>
      </c>
      <c r="C16" s="153" t="s">
        <v>128</v>
      </c>
      <c r="D16" s="599">
        <v>0</v>
      </c>
      <c r="E16" s="600">
        <v>0</v>
      </c>
      <c r="F16" s="600">
        <v>0</v>
      </c>
      <c r="G16" s="600">
        <v>0</v>
      </c>
      <c r="H16" s="600">
        <v>0</v>
      </c>
      <c r="I16" s="600"/>
      <c r="J16" s="600"/>
      <c r="K16" s="609"/>
    </row>
    <row r="17" spans="1:11" s="2" customFormat="1">
      <c r="A17" s="3">
        <v>3</v>
      </c>
      <c r="B17" s="879" t="s">
        <v>242</v>
      </c>
      <c r="C17" s="153" t="s">
        <v>128</v>
      </c>
      <c r="D17" s="599">
        <v>0</v>
      </c>
      <c r="E17" s="600">
        <v>0</v>
      </c>
      <c r="F17" s="600">
        <v>0</v>
      </c>
      <c r="G17" s="600">
        <v>0</v>
      </c>
      <c r="H17" s="600">
        <v>0</v>
      </c>
      <c r="I17" s="600"/>
      <c r="J17" s="600"/>
      <c r="K17" s="609"/>
    </row>
    <row r="18" spans="1:11" s="2" customFormat="1">
      <c r="B18" s="12" t="s">
        <v>164</v>
      </c>
      <c r="C18" s="153" t="s">
        <v>128</v>
      </c>
      <c r="D18" s="638">
        <f>SUM(D9:D17)</f>
        <v>175.14688815114698</v>
      </c>
      <c r="E18" s="639">
        <f t="shared" ref="E18:K18" si="1">SUM(E9:E17)</f>
        <v>163.23348928999999</v>
      </c>
      <c r="F18" s="639">
        <f t="shared" si="1"/>
        <v>172.21110249000003</v>
      </c>
      <c r="G18" s="639">
        <f t="shared" si="1"/>
        <v>201.21167340700003</v>
      </c>
      <c r="H18" s="639">
        <f t="shared" si="1"/>
        <v>188.896778423</v>
      </c>
      <c r="I18" s="639">
        <f t="shared" si="1"/>
        <v>0</v>
      </c>
      <c r="J18" s="639">
        <f t="shared" si="1"/>
        <v>0</v>
      </c>
      <c r="K18" s="640">
        <f t="shared" si="1"/>
        <v>0</v>
      </c>
    </row>
    <row r="19" spans="1:11" s="2" customFormat="1">
      <c r="B19" s="130" t="s">
        <v>165</v>
      </c>
      <c r="C19" s="153" t="s">
        <v>128</v>
      </c>
      <c r="D19" s="641">
        <v>141.72690119000004</v>
      </c>
      <c r="E19" s="642">
        <v>126.8</v>
      </c>
      <c r="F19" s="642">
        <v>143.57558348000001</v>
      </c>
      <c r="G19" s="642">
        <v>150.94076291000002</v>
      </c>
      <c r="H19" s="642">
        <v>144.52644100000001</v>
      </c>
      <c r="I19" s="642"/>
      <c r="J19" s="642"/>
      <c r="K19" s="643"/>
    </row>
    <row r="20" spans="1:11" s="2" customFormat="1">
      <c r="A20" s="3">
        <v>1</v>
      </c>
      <c r="B20" s="879" t="s">
        <v>242</v>
      </c>
      <c r="C20" s="153" t="s">
        <v>128</v>
      </c>
      <c r="D20" s="597">
        <v>0</v>
      </c>
      <c r="E20" s="598">
        <v>0</v>
      </c>
      <c r="F20" s="598">
        <v>0</v>
      </c>
      <c r="G20" s="598">
        <v>0</v>
      </c>
      <c r="H20" s="598">
        <v>0</v>
      </c>
      <c r="I20" s="598"/>
      <c r="J20" s="598"/>
      <c r="K20" s="608"/>
    </row>
    <row r="21" spans="1:11" s="2" customFormat="1">
      <c r="A21" s="3">
        <v>2</v>
      </c>
      <c r="B21" s="879" t="s">
        <v>242</v>
      </c>
      <c r="C21" s="153" t="s">
        <v>128</v>
      </c>
      <c r="D21" s="599">
        <v>0</v>
      </c>
      <c r="E21" s="600">
        <v>0</v>
      </c>
      <c r="F21" s="600">
        <v>0</v>
      </c>
      <c r="G21" s="600">
        <v>0</v>
      </c>
      <c r="H21" s="600">
        <v>0</v>
      </c>
      <c r="I21" s="600"/>
      <c r="J21" s="600"/>
      <c r="K21" s="609"/>
    </row>
    <row r="22" spans="1:11" s="2" customFormat="1">
      <c r="A22" s="3">
        <v>3</v>
      </c>
      <c r="B22" s="879" t="s">
        <v>242</v>
      </c>
      <c r="C22" s="153" t="s">
        <v>128</v>
      </c>
      <c r="D22" s="599">
        <v>0</v>
      </c>
      <c r="E22" s="600">
        <v>0</v>
      </c>
      <c r="F22" s="600">
        <v>0</v>
      </c>
      <c r="G22" s="600">
        <v>0</v>
      </c>
      <c r="H22" s="600">
        <v>0</v>
      </c>
      <c r="I22" s="600"/>
      <c r="J22" s="600"/>
      <c r="K22" s="609"/>
    </row>
    <row r="23" spans="1:11" s="2" customFormat="1">
      <c r="B23" s="12" t="s">
        <v>166</v>
      </c>
      <c r="C23" s="153" t="s">
        <v>128</v>
      </c>
      <c r="D23" s="613">
        <f>SUM(D18:D22)</f>
        <v>316.87378934114702</v>
      </c>
      <c r="E23" s="614">
        <f t="shared" ref="E23:K23" si="2">SUM(E18:E22)</f>
        <v>290.03348928999998</v>
      </c>
      <c r="F23" s="614">
        <f t="shared" si="2"/>
        <v>315.78668597000001</v>
      </c>
      <c r="G23" s="614">
        <f t="shared" si="2"/>
        <v>352.15243631700002</v>
      </c>
      <c r="H23" s="614">
        <f t="shared" si="2"/>
        <v>333.42321942299998</v>
      </c>
      <c r="I23" s="614">
        <f t="shared" si="2"/>
        <v>0</v>
      </c>
      <c r="J23" s="614">
        <f t="shared" si="2"/>
        <v>0</v>
      </c>
      <c r="K23" s="615">
        <f t="shared" si="2"/>
        <v>0</v>
      </c>
    </row>
    <row r="24" spans="1:11" s="2" customFormat="1">
      <c r="C24" s="137"/>
      <c r="D24" s="52"/>
      <c r="E24" s="52"/>
      <c r="F24" s="52"/>
      <c r="G24" s="52"/>
      <c r="H24" s="52"/>
      <c r="I24" s="52"/>
      <c r="J24" s="52"/>
      <c r="K24" s="52"/>
    </row>
    <row r="25" spans="1:11" s="2" customFormat="1">
      <c r="B25" s="12" t="s">
        <v>438</v>
      </c>
      <c r="C25" s="153" t="s">
        <v>128</v>
      </c>
      <c r="D25" s="54"/>
    </row>
    <row r="26" spans="1:11" s="2" customFormat="1">
      <c r="A26" s="3">
        <v>1</v>
      </c>
      <c r="B26" s="522" t="s">
        <v>586</v>
      </c>
      <c r="C26" s="153" t="s">
        <v>128</v>
      </c>
      <c r="D26" s="597">
        <v>4.7860798783695104</v>
      </c>
      <c r="E26" s="598">
        <v>-1.8330883</v>
      </c>
      <c r="F26" s="598">
        <v>10.556866199999998</v>
      </c>
      <c r="G26" s="598">
        <v>-0.71020308400000465</v>
      </c>
      <c r="H26" s="598">
        <v>-2.9839229200000017</v>
      </c>
      <c r="I26" s="598"/>
      <c r="J26" s="598"/>
      <c r="K26" s="608"/>
    </row>
    <row r="27" spans="1:11" s="2" customFormat="1">
      <c r="A27" s="3">
        <v>2</v>
      </c>
      <c r="B27" s="522" t="s">
        <v>587</v>
      </c>
      <c r="C27" s="153" t="s">
        <v>128</v>
      </c>
      <c r="D27" s="599">
        <v>-2.2301440000000001</v>
      </c>
      <c r="E27" s="600">
        <v>-2.407073</v>
      </c>
      <c r="F27" s="600">
        <v>-1.75218242</v>
      </c>
      <c r="G27" s="600">
        <v>-2.5247307700000001</v>
      </c>
      <c r="H27" s="600">
        <v>-1.49008746</v>
      </c>
      <c r="I27" s="600"/>
      <c r="J27" s="600"/>
      <c r="K27" s="609"/>
    </row>
    <row r="28" spans="1:11" s="2" customFormat="1">
      <c r="A28" s="3">
        <v>3</v>
      </c>
      <c r="B28" s="522" t="s">
        <v>588</v>
      </c>
      <c r="C28" s="153" t="s">
        <v>128</v>
      </c>
      <c r="D28" s="599">
        <v>7.33223337</v>
      </c>
      <c r="E28" s="600">
        <v>-0.88319831000000004</v>
      </c>
      <c r="F28" s="600">
        <v>0.8811109399999999</v>
      </c>
      <c r="G28" s="600">
        <v>8.1475399999999906E-2</v>
      </c>
      <c r="H28" s="600">
        <v>0.62065714000000016</v>
      </c>
      <c r="I28" s="600"/>
      <c r="J28" s="600"/>
      <c r="K28" s="609"/>
    </row>
    <row r="29" spans="1:11" s="2" customFormat="1">
      <c r="A29" s="3">
        <v>4</v>
      </c>
      <c r="B29" s="522" t="s">
        <v>589</v>
      </c>
      <c r="C29" s="153" t="s">
        <v>128</v>
      </c>
      <c r="D29" s="599">
        <v>-0.87485442999999996</v>
      </c>
      <c r="E29" s="600">
        <v>-0.93213000000000001</v>
      </c>
      <c r="F29" s="600">
        <v>-1.0829085199999999</v>
      </c>
      <c r="G29" s="600">
        <v>-1.45577289</v>
      </c>
      <c r="H29" s="600">
        <v>-1.2304915300000001</v>
      </c>
      <c r="I29" s="600"/>
      <c r="J29" s="600"/>
      <c r="K29" s="609"/>
    </row>
    <row r="30" spans="1:11" s="2" customFormat="1">
      <c r="A30" s="3">
        <v>5</v>
      </c>
      <c r="B30" s="522" t="s">
        <v>590</v>
      </c>
      <c r="C30" s="153" t="s">
        <v>128</v>
      </c>
      <c r="D30" s="599">
        <v>-2.3845047400000001</v>
      </c>
      <c r="E30" s="600">
        <v>-1.2241580000000001</v>
      </c>
      <c r="F30" s="600">
        <v>-3.8587189999999998</v>
      </c>
      <c r="G30" s="600">
        <v>-8.7952385500000005</v>
      </c>
      <c r="H30" s="600">
        <v>-4.0617404299999986</v>
      </c>
      <c r="I30" s="600"/>
      <c r="J30" s="600"/>
      <c r="K30" s="609"/>
    </row>
    <row r="31" spans="1:11" s="2" customFormat="1">
      <c r="A31" s="3">
        <v>6</v>
      </c>
      <c r="B31" s="522" t="s">
        <v>591</v>
      </c>
      <c r="C31" s="153" t="s">
        <v>128</v>
      </c>
      <c r="D31" s="599">
        <v>0.35973699999999997</v>
      </c>
      <c r="E31" s="600">
        <v>0.48987999999999998</v>
      </c>
      <c r="F31" s="600">
        <v>0.48381235</v>
      </c>
      <c r="G31" s="600">
        <v>0.54587655000000002</v>
      </c>
      <c r="H31" s="600">
        <v>0.60985149999999999</v>
      </c>
      <c r="I31" s="600"/>
      <c r="J31" s="600"/>
      <c r="K31" s="609"/>
    </row>
    <row r="32" spans="1:11" s="2" customFormat="1">
      <c r="A32" s="3">
        <v>7</v>
      </c>
      <c r="B32" s="522" t="s">
        <v>592</v>
      </c>
      <c r="C32" s="153" t="s">
        <v>128</v>
      </c>
      <c r="D32" s="599">
        <v>0</v>
      </c>
      <c r="E32" s="600">
        <v>0.1891933404893606</v>
      </c>
      <c r="F32" s="600">
        <v>0.34600799999999998</v>
      </c>
      <c r="G32" s="600">
        <v>0.35515999999999998</v>
      </c>
      <c r="H32" s="600">
        <v>0.36599999999999999</v>
      </c>
      <c r="I32" s="600"/>
      <c r="J32" s="600"/>
      <c r="K32" s="609"/>
    </row>
    <row r="33" spans="1:11" s="2" customFormat="1">
      <c r="A33" s="3">
        <v>8</v>
      </c>
      <c r="B33" s="522" t="s">
        <v>593</v>
      </c>
      <c r="C33" s="153" t="s">
        <v>128</v>
      </c>
      <c r="D33" s="599">
        <v>11.000400000000001</v>
      </c>
      <c r="E33" s="600">
        <v>11.111206659510641</v>
      </c>
      <c r="F33" s="600">
        <v>16.954391999999999</v>
      </c>
      <c r="G33" s="600">
        <v>17.402840000000001</v>
      </c>
      <c r="H33" s="600">
        <v>17.934000000000001</v>
      </c>
      <c r="I33" s="600"/>
      <c r="J33" s="600"/>
      <c r="K33" s="609"/>
    </row>
    <row r="34" spans="1:11" s="2" customFormat="1">
      <c r="A34" s="3">
        <v>9</v>
      </c>
      <c r="B34" s="522" t="s">
        <v>594</v>
      </c>
      <c r="C34" s="153" t="s">
        <v>128</v>
      </c>
      <c r="D34" s="599">
        <v>0</v>
      </c>
      <c r="E34" s="600">
        <v>0</v>
      </c>
      <c r="F34" s="600">
        <v>0</v>
      </c>
      <c r="G34" s="600">
        <v>-0.51706711000000005</v>
      </c>
      <c r="H34" s="600">
        <v>-0.58630978</v>
      </c>
      <c r="I34" s="600"/>
      <c r="J34" s="600"/>
      <c r="K34" s="609"/>
    </row>
    <row r="35" spans="1:11" s="2" customFormat="1">
      <c r="A35" s="3">
        <v>10</v>
      </c>
      <c r="B35" s="522" t="s">
        <v>595</v>
      </c>
      <c r="C35" s="153" t="s">
        <v>128</v>
      </c>
      <c r="D35" s="599">
        <v>0</v>
      </c>
      <c r="E35" s="600">
        <v>-0.27850709999999984</v>
      </c>
      <c r="F35" s="600">
        <v>0</v>
      </c>
      <c r="G35" s="600">
        <v>0</v>
      </c>
      <c r="H35" s="600">
        <v>0</v>
      </c>
      <c r="I35" s="600"/>
      <c r="J35" s="600"/>
      <c r="K35" s="609"/>
    </row>
    <row r="36" spans="1:11" s="2" customFormat="1">
      <c r="A36" s="3">
        <v>11</v>
      </c>
      <c r="B36" s="522" t="s">
        <v>596</v>
      </c>
      <c r="C36" s="153" t="s">
        <v>128</v>
      </c>
      <c r="D36" s="599">
        <v>0</v>
      </c>
      <c r="E36" s="600">
        <v>0</v>
      </c>
      <c r="F36" s="600">
        <v>-0.16920134636929887</v>
      </c>
      <c r="G36" s="600">
        <v>-0.28240498999999997</v>
      </c>
      <c r="H36" s="600">
        <v>-0.25567138</v>
      </c>
      <c r="I36" s="600"/>
      <c r="J36" s="600"/>
      <c r="K36" s="609"/>
    </row>
    <row r="37" spans="1:11" s="2" customFormat="1">
      <c r="A37" s="3">
        <v>12</v>
      </c>
      <c r="B37" s="522" t="s">
        <v>597</v>
      </c>
      <c r="C37" s="153" t="s">
        <v>128</v>
      </c>
      <c r="D37" s="599">
        <v>0</v>
      </c>
      <c r="E37" s="600">
        <v>0.34851643999999998</v>
      </c>
      <c r="F37" s="600">
        <v>0.77391355999999989</v>
      </c>
      <c r="G37" s="600">
        <v>1.5911100000000001E-2</v>
      </c>
      <c r="H37" s="600">
        <v>0</v>
      </c>
      <c r="I37" s="600"/>
      <c r="J37" s="600"/>
      <c r="K37" s="609"/>
    </row>
    <row r="38" spans="1:11" s="2" customFormat="1">
      <c r="A38" s="3">
        <v>13</v>
      </c>
      <c r="B38" s="522" t="s">
        <v>598</v>
      </c>
      <c r="C38" s="153" t="s">
        <v>128</v>
      </c>
      <c r="D38" s="599">
        <v>0</v>
      </c>
      <c r="E38" s="600">
        <v>0</v>
      </c>
      <c r="F38" s="600">
        <v>1.7787329999999999</v>
      </c>
      <c r="G38" s="600">
        <v>-0.92994840999999995</v>
      </c>
      <c r="H38" s="600">
        <v>1.1371968539600001</v>
      </c>
      <c r="I38" s="600"/>
      <c r="J38" s="600"/>
      <c r="K38" s="609"/>
    </row>
    <row r="39" spans="1:11" s="2" customFormat="1">
      <c r="A39" s="3">
        <v>14</v>
      </c>
      <c r="B39" s="522" t="s">
        <v>599</v>
      </c>
      <c r="C39" s="153" t="s">
        <v>128</v>
      </c>
      <c r="D39" s="599">
        <v>0</v>
      </c>
      <c r="E39" s="600">
        <v>0</v>
      </c>
      <c r="F39" s="600">
        <v>0</v>
      </c>
      <c r="G39" s="600">
        <v>0</v>
      </c>
      <c r="H39" s="600">
        <v>-4.94383631</v>
      </c>
      <c r="I39" s="600"/>
      <c r="J39" s="600"/>
      <c r="K39" s="609"/>
    </row>
    <row r="40" spans="1:11" s="2" customFormat="1">
      <c r="A40" s="3">
        <v>15</v>
      </c>
      <c r="B40" s="522" t="s">
        <v>600</v>
      </c>
      <c r="C40" s="153" t="s">
        <v>128</v>
      </c>
      <c r="D40" s="599">
        <v>0</v>
      </c>
      <c r="E40" s="600">
        <v>0</v>
      </c>
      <c r="F40" s="600">
        <v>0</v>
      </c>
      <c r="G40" s="600">
        <v>1.4492579999999533E-2</v>
      </c>
      <c r="H40" s="600">
        <v>4.2662610000000101E-2</v>
      </c>
      <c r="I40" s="600"/>
      <c r="J40" s="600"/>
      <c r="K40" s="609"/>
    </row>
    <row r="41" spans="1:11" s="2" customFormat="1">
      <c r="A41" s="3">
        <v>16</v>
      </c>
      <c r="B41" s="522" t="s">
        <v>601</v>
      </c>
      <c r="C41" s="153" t="s">
        <v>128</v>
      </c>
      <c r="D41" s="599">
        <v>0</v>
      </c>
      <c r="E41" s="600">
        <v>0</v>
      </c>
      <c r="F41" s="600">
        <v>0</v>
      </c>
      <c r="G41" s="600">
        <v>0.13</v>
      </c>
      <c r="H41" s="600">
        <v>0.11</v>
      </c>
      <c r="I41" s="600"/>
      <c r="J41" s="600"/>
      <c r="K41" s="609"/>
    </row>
    <row r="42" spans="1:11" s="2" customFormat="1">
      <c r="A42" s="3">
        <v>17</v>
      </c>
      <c r="B42" s="522" t="s">
        <v>242</v>
      </c>
      <c r="C42" s="153" t="s">
        <v>128</v>
      </c>
      <c r="D42" s="599">
        <v>0</v>
      </c>
      <c r="E42" s="600">
        <v>0</v>
      </c>
      <c r="F42" s="600">
        <v>0</v>
      </c>
      <c r="G42" s="600">
        <v>0</v>
      </c>
      <c r="H42" s="600">
        <v>0</v>
      </c>
      <c r="I42" s="600"/>
      <c r="J42" s="600"/>
      <c r="K42" s="609"/>
    </row>
    <row r="43" spans="1:11" s="2" customFormat="1">
      <c r="A43" s="3">
        <v>18</v>
      </c>
      <c r="B43" s="522" t="s">
        <v>242</v>
      </c>
      <c r="C43" s="153" t="s">
        <v>128</v>
      </c>
      <c r="D43" s="599">
        <v>0</v>
      </c>
      <c r="E43" s="600">
        <v>0</v>
      </c>
      <c r="F43" s="600">
        <v>0</v>
      </c>
      <c r="G43" s="600">
        <v>0</v>
      </c>
      <c r="H43" s="600">
        <v>0</v>
      </c>
      <c r="I43" s="600"/>
      <c r="J43" s="600"/>
      <c r="K43" s="609"/>
    </row>
    <row r="44" spans="1:11" s="2" customFormat="1">
      <c r="A44" s="3">
        <v>19</v>
      </c>
      <c r="B44" s="522" t="s">
        <v>242</v>
      </c>
      <c r="C44" s="153" t="s">
        <v>128</v>
      </c>
      <c r="D44" s="599">
        <v>0</v>
      </c>
      <c r="E44" s="600">
        <v>0</v>
      </c>
      <c r="F44" s="600">
        <v>0</v>
      </c>
      <c r="G44" s="600">
        <v>0</v>
      </c>
      <c r="H44" s="600">
        <v>0</v>
      </c>
      <c r="I44" s="600"/>
      <c r="J44" s="600"/>
      <c r="K44" s="609"/>
    </row>
    <row r="45" spans="1:11" s="2" customFormat="1">
      <c r="A45" s="3">
        <v>20</v>
      </c>
      <c r="B45" s="522" t="s">
        <v>242</v>
      </c>
      <c r="C45" s="153" t="s">
        <v>128</v>
      </c>
      <c r="D45" s="599">
        <v>0</v>
      </c>
      <c r="E45" s="600">
        <v>0</v>
      </c>
      <c r="F45" s="600">
        <v>0</v>
      </c>
      <c r="G45" s="600">
        <v>0</v>
      </c>
      <c r="H45" s="600">
        <v>0</v>
      </c>
      <c r="I45" s="600"/>
      <c r="J45" s="600"/>
      <c r="K45" s="609"/>
    </row>
    <row r="46" spans="1:11" s="2" customFormat="1">
      <c r="B46" s="12" t="s">
        <v>391</v>
      </c>
      <c r="C46" s="153" t="s">
        <v>128</v>
      </c>
      <c r="D46" s="613">
        <f>SUM(D26:D45)</f>
        <v>17.988947078369513</v>
      </c>
      <c r="E46" s="614">
        <f t="shared" ref="E46:K46" si="3">SUM(E26:E45)</f>
        <v>4.5806417300000017</v>
      </c>
      <c r="F46" s="614">
        <f t="shared" si="3"/>
        <v>24.911824763630698</v>
      </c>
      <c r="G46" s="614">
        <f t="shared" si="3"/>
        <v>3.3303898259999949</v>
      </c>
      <c r="H46" s="614">
        <f t="shared" si="3"/>
        <v>5.2683082939599988</v>
      </c>
      <c r="I46" s="614">
        <f t="shared" si="3"/>
        <v>0</v>
      </c>
      <c r="J46" s="614">
        <f t="shared" si="3"/>
        <v>0</v>
      </c>
      <c r="K46" s="615">
        <f t="shared" si="3"/>
        <v>0</v>
      </c>
    </row>
    <row r="47" spans="1:11" s="2" customFormat="1">
      <c r="C47" s="137"/>
      <c r="D47" s="53"/>
      <c r="E47" s="52"/>
      <c r="F47" s="52"/>
      <c r="G47" s="52"/>
      <c r="H47" s="52"/>
      <c r="I47" s="52"/>
      <c r="J47" s="52"/>
      <c r="K47" s="52"/>
    </row>
    <row r="48" spans="1:11" s="2" customFormat="1">
      <c r="B48" s="12" t="s">
        <v>437</v>
      </c>
      <c r="C48" s="153" t="s">
        <v>128</v>
      </c>
      <c r="D48" s="613">
        <f>D46+D23</f>
        <v>334.86273641951652</v>
      </c>
      <c r="E48" s="614">
        <f t="shared" ref="E48:K48" si="4">E46+E23</f>
        <v>294.61413102</v>
      </c>
      <c r="F48" s="614">
        <f t="shared" si="4"/>
        <v>340.69851073363071</v>
      </c>
      <c r="G48" s="614">
        <f t="shared" si="4"/>
        <v>355.48282614300001</v>
      </c>
      <c r="H48" s="614">
        <f t="shared" si="4"/>
        <v>338.69152771695997</v>
      </c>
      <c r="I48" s="614">
        <f t="shared" si="4"/>
        <v>0</v>
      </c>
      <c r="J48" s="614">
        <f t="shared" si="4"/>
        <v>0</v>
      </c>
      <c r="K48" s="615">
        <f t="shared" si="4"/>
        <v>0</v>
      </c>
    </row>
    <row r="49" spans="1:11" s="2" customFormat="1">
      <c r="B49" s="2" t="s">
        <v>392</v>
      </c>
      <c r="C49" s="153" t="s">
        <v>128</v>
      </c>
      <c r="D49" s="597">
        <v>334.87706273696244</v>
      </c>
      <c r="E49" s="598">
        <v>294.61428262895106</v>
      </c>
      <c r="F49" s="598">
        <v>340.64386144195504</v>
      </c>
      <c r="G49" s="598">
        <v>355.58473231754027</v>
      </c>
      <c r="H49" s="598">
        <v>338.69742372049143</v>
      </c>
      <c r="I49" s="598"/>
      <c r="J49" s="598"/>
      <c r="K49" s="608"/>
    </row>
    <row r="50" spans="1:11" s="2" customFormat="1">
      <c r="C50" s="137" t="s">
        <v>395</v>
      </c>
      <c r="D50" s="644" t="str">
        <f>IF(D$5="Actuals",IF(ABS(D48-D49)&lt;1,"OK","ERROR"),"N/A")</f>
        <v>OK</v>
      </c>
      <c r="E50" s="645" t="str">
        <f t="shared" ref="E50:K50" si="5">IF(E$5="Actuals",IF(ABS(E48-E49)&lt;1,"OK","ERROR"),"N/A")</f>
        <v>OK</v>
      </c>
      <c r="F50" s="645" t="str">
        <f t="shared" si="5"/>
        <v>OK</v>
      </c>
      <c r="G50" s="645" t="str">
        <f t="shared" si="5"/>
        <v>OK</v>
      </c>
      <c r="H50" s="645" t="str">
        <f t="shared" si="5"/>
        <v>OK</v>
      </c>
      <c r="I50" s="645" t="str">
        <f t="shared" si="5"/>
        <v>N/A</v>
      </c>
      <c r="J50" s="645" t="str">
        <f t="shared" si="5"/>
        <v>N/A</v>
      </c>
      <c r="K50" s="646" t="str">
        <f t="shared" si="5"/>
        <v>N/A</v>
      </c>
    </row>
    <row r="51" spans="1:11" s="2" customFormat="1">
      <c r="B51" s="2" t="s">
        <v>84</v>
      </c>
      <c r="C51" s="137"/>
      <c r="D51" s="54"/>
    </row>
    <row r="52" spans="1:11" s="2" customFormat="1">
      <c r="B52" s="12" t="s">
        <v>393</v>
      </c>
      <c r="C52" s="153"/>
      <c r="D52" s="54"/>
    </row>
    <row r="53" spans="1:11" s="2" customFormat="1">
      <c r="A53" s="3">
        <v>1</v>
      </c>
      <c r="B53" s="521" t="s">
        <v>593</v>
      </c>
      <c r="C53" s="153" t="s">
        <v>128</v>
      </c>
      <c r="D53" s="597">
        <v>11.000400000000001</v>
      </c>
      <c r="E53" s="598">
        <v>11.111206659510641</v>
      </c>
      <c r="F53" s="598">
        <v>16.954391999999999</v>
      </c>
      <c r="G53" s="598">
        <v>17.402840000000001</v>
      </c>
      <c r="H53" s="598">
        <v>17.934000000000001</v>
      </c>
      <c r="I53" s="598"/>
      <c r="J53" s="598"/>
      <c r="K53" s="608"/>
    </row>
    <row r="54" spans="1:11" s="2" customFormat="1">
      <c r="A54" s="3">
        <v>2</v>
      </c>
      <c r="B54" s="521" t="s">
        <v>602</v>
      </c>
      <c r="C54" s="153" t="s">
        <v>128</v>
      </c>
      <c r="D54" s="599">
        <v>0.12001889266475937</v>
      </c>
      <c r="E54" s="600">
        <v>0.20522187593440253</v>
      </c>
      <c r="F54" s="600">
        <v>0.24003460443445374</v>
      </c>
      <c r="G54" s="600">
        <v>0.12128624164708288</v>
      </c>
      <c r="H54" s="600">
        <v>0.13951224885153768</v>
      </c>
      <c r="I54" s="600"/>
      <c r="J54" s="600"/>
      <c r="K54" s="609"/>
    </row>
    <row r="55" spans="1:11" s="2" customFormat="1">
      <c r="A55" s="3">
        <v>3</v>
      </c>
      <c r="B55" s="521" t="s">
        <v>603</v>
      </c>
      <c r="C55" s="153" t="s">
        <v>128</v>
      </c>
      <c r="D55" s="599">
        <v>0.76358499999999996</v>
      </c>
      <c r="E55" s="600">
        <v>0.22807599999999995</v>
      </c>
      <c r="F55" s="600">
        <v>-3.585143291624294</v>
      </c>
      <c r="G55" s="600">
        <v>-5.737533642999999</v>
      </c>
      <c r="H55" s="600">
        <v>-2.3498591181491482</v>
      </c>
      <c r="I55" s="600"/>
      <c r="J55" s="600"/>
      <c r="K55" s="609"/>
    </row>
    <row r="56" spans="1:11" s="2" customFormat="1">
      <c r="A56" s="3">
        <v>4</v>
      </c>
      <c r="B56" s="521" t="s">
        <v>604</v>
      </c>
      <c r="C56" s="153" t="s">
        <v>128</v>
      </c>
      <c r="D56" s="599">
        <v>0.50000000199999994</v>
      </c>
      <c r="E56" s="600">
        <v>0.179504997</v>
      </c>
      <c r="F56" s="600">
        <v>1.425001E-3</v>
      </c>
      <c r="G56" s="600">
        <v>-0.84107999899999997</v>
      </c>
      <c r="H56" s="600">
        <v>0</v>
      </c>
      <c r="I56" s="600"/>
      <c r="J56" s="600"/>
      <c r="K56" s="609"/>
    </row>
    <row r="57" spans="1:11" s="2" customFormat="1">
      <c r="A57" s="3">
        <v>5</v>
      </c>
      <c r="B57" s="521" t="s">
        <v>605</v>
      </c>
      <c r="C57" s="153" t="s">
        <v>128</v>
      </c>
      <c r="D57" s="599">
        <v>18.956565574778494</v>
      </c>
      <c r="E57" s="600">
        <v>14.275960056066184</v>
      </c>
      <c r="F57" s="600">
        <v>21.477909935832681</v>
      </c>
      <c r="G57" s="600">
        <v>18.709284858914423</v>
      </c>
      <c r="H57" s="600">
        <v>15.258619674819968</v>
      </c>
      <c r="I57" s="600"/>
      <c r="J57" s="600"/>
      <c r="K57" s="609"/>
    </row>
    <row r="58" spans="1:11" s="2" customFormat="1">
      <c r="A58" s="3">
        <v>6</v>
      </c>
      <c r="B58" s="521" t="s">
        <v>606</v>
      </c>
      <c r="C58" s="153" t="s">
        <v>128</v>
      </c>
      <c r="D58" s="599">
        <v>45.341787163580527</v>
      </c>
      <c r="E58" s="600">
        <v>48.216241381296946</v>
      </c>
      <c r="F58" s="600">
        <v>46.960026271591637</v>
      </c>
      <c r="G58" s="600">
        <v>49.154415251000003</v>
      </c>
      <c r="H58" s="600">
        <v>49.483007095017648</v>
      </c>
      <c r="I58" s="600"/>
      <c r="J58" s="600"/>
      <c r="K58" s="609"/>
    </row>
    <row r="59" spans="1:11" s="2" customFormat="1">
      <c r="A59" s="3">
        <v>7</v>
      </c>
      <c r="B59" s="521" t="s">
        <v>607</v>
      </c>
      <c r="C59" s="153" t="s">
        <v>128</v>
      </c>
      <c r="D59" s="599">
        <v>10.887017504208734</v>
      </c>
      <c r="E59" s="600">
        <v>8.2348628787701461</v>
      </c>
      <c r="F59" s="600">
        <v>5.3698531168405967</v>
      </c>
      <c r="G59" s="600">
        <v>5.0472079789999995</v>
      </c>
      <c r="H59" s="600">
        <v>4.1626817997937282</v>
      </c>
      <c r="I59" s="600"/>
      <c r="J59" s="600"/>
      <c r="K59" s="609"/>
    </row>
    <row r="60" spans="1:11" s="2" customFormat="1">
      <c r="A60" s="3">
        <v>8</v>
      </c>
      <c r="B60" s="521" t="s">
        <v>608</v>
      </c>
      <c r="C60" s="153" t="s">
        <v>128</v>
      </c>
      <c r="D60" s="599">
        <v>1.90117208224</v>
      </c>
      <c r="E60" s="600">
        <v>0</v>
      </c>
      <c r="F60" s="600">
        <v>0</v>
      </c>
      <c r="G60" s="600">
        <v>3.7297409999999996E-2</v>
      </c>
      <c r="H60" s="600">
        <v>0</v>
      </c>
      <c r="I60" s="600"/>
      <c r="J60" s="600"/>
      <c r="K60" s="609"/>
    </row>
    <row r="61" spans="1:11" s="2" customFormat="1">
      <c r="A61" s="3">
        <v>9</v>
      </c>
      <c r="B61" s="521" t="s">
        <v>609</v>
      </c>
      <c r="C61" s="153" t="s">
        <v>128</v>
      </c>
      <c r="D61" s="599">
        <v>0.9422466722177909</v>
      </c>
      <c r="E61" s="600">
        <v>0.55111926030378955</v>
      </c>
      <c r="F61" s="600">
        <v>0.8074036109999998</v>
      </c>
      <c r="G61" s="600">
        <v>0.77347564499999966</v>
      </c>
      <c r="H61" s="600">
        <v>0.97412203899999994</v>
      </c>
      <c r="I61" s="600"/>
      <c r="J61" s="600"/>
      <c r="K61" s="609"/>
    </row>
    <row r="62" spans="1:11" s="2" customFormat="1">
      <c r="A62" s="3">
        <v>10</v>
      </c>
      <c r="B62" s="521" t="s">
        <v>610</v>
      </c>
      <c r="C62" s="153" t="s">
        <v>128</v>
      </c>
      <c r="D62" s="599">
        <v>0</v>
      </c>
      <c r="E62" s="600">
        <v>0</v>
      </c>
      <c r="F62" s="600">
        <v>-2.1567791563692986</v>
      </c>
      <c r="G62" s="600">
        <v>1.4036847704033464</v>
      </c>
      <c r="H62" s="600">
        <v>0.45687929148604212</v>
      </c>
      <c r="I62" s="600"/>
      <c r="J62" s="600"/>
      <c r="K62" s="609"/>
    </row>
    <row r="63" spans="1:11" s="2" customFormat="1">
      <c r="A63" s="3">
        <v>11</v>
      </c>
      <c r="B63" s="521" t="s">
        <v>242</v>
      </c>
      <c r="C63" s="153" t="s">
        <v>128</v>
      </c>
      <c r="D63" s="599">
        <v>0</v>
      </c>
      <c r="E63" s="600">
        <v>0</v>
      </c>
      <c r="F63" s="600">
        <v>0</v>
      </c>
      <c r="G63" s="600">
        <v>0</v>
      </c>
      <c r="H63" s="600">
        <v>0</v>
      </c>
      <c r="I63" s="600"/>
      <c r="J63" s="600"/>
      <c r="K63" s="609"/>
    </row>
    <row r="64" spans="1:11" s="2" customFormat="1">
      <c r="A64" s="3">
        <v>12</v>
      </c>
      <c r="B64" s="521" t="s">
        <v>242</v>
      </c>
      <c r="C64" s="153" t="s">
        <v>128</v>
      </c>
      <c r="D64" s="599">
        <v>0</v>
      </c>
      <c r="E64" s="600">
        <v>0</v>
      </c>
      <c r="F64" s="600">
        <v>0</v>
      </c>
      <c r="G64" s="600">
        <v>0</v>
      </c>
      <c r="H64" s="600">
        <v>0</v>
      </c>
      <c r="I64" s="600"/>
      <c r="J64" s="600"/>
      <c r="K64" s="609"/>
    </row>
    <row r="65" spans="1:11" s="2" customFormat="1">
      <c r="A65" s="3">
        <v>13</v>
      </c>
      <c r="B65" s="521" t="s">
        <v>242</v>
      </c>
      <c r="C65" s="153" t="s">
        <v>128</v>
      </c>
      <c r="D65" s="599">
        <v>0</v>
      </c>
      <c r="E65" s="600">
        <v>0</v>
      </c>
      <c r="F65" s="600">
        <v>0</v>
      </c>
      <c r="G65" s="600">
        <v>0</v>
      </c>
      <c r="H65" s="600">
        <v>0</v>
      </c>
      <c r="I65" s="600"/>
      <c r="J65" s="600"/>
      <c r="K65" s="609"/>
    </row>
    <row r="66" spans="1:11" s="2" customFormat="1">
      <c r="A66" s="3">
        <v>14</v>
      </c>
      <c r="B66" s="521" t="s">
        <v>242</v>
      </c>
      <c r="C66" s="153" t="s">
        <v>128</v>
      </c>
      <c r="D66" s="599">
        <v>0</v>
      </c>
      <c r="E66" s="600">
        <v>0</v>
      </c>
      <c r="F66" s="600">
        <v>0</v>
      </c>
      <c r="G66" s="600">
        <v>0</v>
      </c>
      <c r="H66" s="600">
        <v>0</v>
      </c>
      <c r="I66" s="600"/>
      <c r="J66" s="600"/>
      <c r="K66" s="609"/>
    </row>
    <row r="67" spans="1:11" s="2" customFormat="1">
      <c r="A67" s="3">
        <v>15</v>
      </c>
      <c r="B67" s="521" t="s">
        <v>242</v>
      </c>
      <c r="C67" s="153" t="s">
        <v>128</v>
      </c>
      <c r="D67" s="599">
        <v>0</v>
      </c>
      <c r="E67" s="600">
        <v>0</v>
      </c>
      <c r="F67" s="600">
        <v>0</v>
      </c>
      <c r="G67" s="600">
        <v>0</v>
      </c>
      <c r="H67" s="600">
        <v>0</v>
      </c>
      <c r="I67" s="600"/>
      <c r="J67" s="600"/>
      <c r="K67" s="609"/>
    </row>
    <row r="68" spans="1:11" s="2" customFormat="1">
      <c r="A68" s="3">
        <v>16</v>
      </c>
      <c r="B68" s="521" t="s">
        <v>242</v>
      </c>
      <c r="C68" s="153" t="s">
        <v>128</v>
      </c>
      <c r="D68" s="599">
        <v>0</v>
      </c>
      <c r="E68" s="600">
        <v>0</v>
      </c>
      <c r="F68" s="600">
        <v>0</v>
      </c>
      <c r="G68" s="600">
        <v>0</v>
      </c>
      <c r="H68" s="600">
        <v>0</v>
      </c>
      <c r="I68" s="600"/>
      <c r="J68" s="600"/>
      <c r="K68" s="609"/>
    </row>
    <row r="69" spans="1:11" s="2" customFormat="1">
      <c r="A69" s="3">
        <v>17</v>
      </c>
      <c r="B69" s="521" t="s">
        <v>242</v>
      </c>
      <c r="C69" s="153" t="s">
        <v>128</v>
      </c>
      <c r="D69" s="599">
        <v>0</v>
      </c>
      <c r="E69" s="600">
        <v>0</v>
      </c>
      <c r="F69" s="600">
        <v>0</v>
      </c>
      <c r="G69" s="600">
        <v>0</v>
      </c>
      <c r="H69" s="600">
        <v>0</v>
      </c>
      <c r="I69" s="600"/>
      <c r="J69" s="600"/>
      <c r="K69" s="609"/>
    </row>
    <row r="70" spans="1:11" s="2" customFormat="1">
      <c r="A70" s="3">
        <v>18</v>
      </c>
      <c r="B70" s="521" t="s">
        <v>242</v>
      </c>
      <c r="C70" s="153" t="s">
        <v>128</v>
      </c>
      <c r="D70" s="599">
        <v>0</v>
      </c>
      <c r="E70" s="600">
        <v>0</v>
      </c>
      <c r="F70" s="600">
        <v>0</v>
      </c>
      <c r="G70" s="600">
        <v>0</v>
      </c>
      <c r="H70" s="600">
        <v>0</v>
      </c>
      <c r="I70" s="600"/>
      <c r="J70" s="600"/>
      <c r="K70" s="609"/>
    </row>
    <row r="71" spans="1:11" s="2" customFormat="1">
      <c r="A71" s="3">
        <v>19</v>
      </c>
      <c r="B71" s="521" t="s">
        <v>242</v>
      </c>
      <c r="C71" s="153" t="s">
        <v>128</v>
      </c>
      <c r="D71" s="599">
        <v>0</v>
      </c>
      <c r="E71" s="600">
        <v>0</v>
      </c>
      <c r="F71" s="600">
        <v>0</v>
      </c>
      <c r="G71" s="600">
        <v>0</v>
      </c>
      <c r="H71" s="600">
        <v>0</v>
      </c>
      <c r="I71" s="600"/>
      <c r="J71" s="600"/>
      <c r="K71" s="609"/>
    </row>
    <row r="72" spans="1:11" s="2" customFormat="1">
      <c r="A72" s="3">
        <v>20</v>
      </c>
      <c r="B72" s="521" t="s">
        <v>242</v>
      </c>
      <c r="C72" s="153" t="s">
        <v>128</v>
      </c>
      <c r="D72" s="599">
        <v>0</v>
      </c>
      <c r="E72" s="600">
        <v>0</v>
      </c>
      <c r="F72" s="600">
        <v>0</v>
      </c>
      <c r="G72" s="600">
        <v>0</v>
      </c>
      <c r="H72" s="600">
        <v>0</v>
      </c>
      <c r="I72" s="600"/>
      <c r="J72" s="600"/>
      <c r="K72" s="609"/>
    </row>
    <row r="73" spans="1:11" s="2" customFormat="1">
      <c r="A73" s="3">
        <v>21</v>
      </c>
      <c r="B73" s="521" t="s">
        <v>242</v>
      </c>
      <c r="C73" s="153" t="s">
        <v>128</v>
      </c>
      <c r="D73" s="599">
        <v>0</v>
      </c>
      <c r="E73" s="600">
        <v>0</v>
      </c>
      <c r="F73" s="600">
        <v>0</v>
      </c>
      <c r="G73" s="600">
        <v>0</v>
      </c>
      <c r="H73" s="600">
        <v>0</v>
      </c>
      <c r="I73" s="600"/>
      <c r="J73" s="600"/>
      <c r="K73" s="609"/>
    </row>
    <row r="74" spans="1:11" s="2" customFormat="1">
      <c r="A74" s="3">
        <v>22</v>
      </c>
      <c r="B74" s="521" t="s">
        <v>242</v>
      </c>
      <c r="C74" s="153" t="s">
        <v>128</v>
      </c>
      <c r="D74" s="599">
        <v>0</v>
      </c>
      <c r="E74" s="600">
        <v>0</v>
      </c>
      <c r="F74" s="600">
        <v>0</v>
      </c>
      <c r="G74" s="600">
        <v>0</v>
      </c>
      <c r="H74" s="600">
        <v>0</v>
      </c>
      <c r="I74" s="600"/>
      <c r="J74" s="600"/>
      <c r="K74" s="609"/>
    </row>
    <row r="75" spans="1:11" s="2" customFormat="1">
      <c r="A75" s="3">
        <v>23</v>
      </c>
      <c r="B75" s="521" t="s">
        <v>242</v>
      </c>
      <c r="C75" s="153" t="s">
        <v>128</v>
      </c>
      <c r="D75" s="599">
        <v>0</v>
      </c>
      <c r="E75" s="600">
        <v>0</v>
      </c>
      <c r="F75" s="600">
        <v>0</v>
      </c>
      <c r="G75" s="600">
        <v>0</v>
      </c>
      <c r="H75" s="600">
        <v>0</v>
      </c>
      <c r="I75" s="600"/>
      <c r="J75" s="600"/>
      <c r="K75" s="609"/>
    </row>
    <row r="76" spans="1:11" s="2" customFormat="1">
      <c r="A76" s="3">
        <v>24</v>
      </c>
      <c r="B76" s="521" t="s">
        <v>242</v>
      </c>
      <c r="C76" s="153" t="s">
        <v>128</v>
      </c>
      <c r="D76" s="599">
        <v>0</v>
      </c>
      <c r="E76" s="600">
        <v>0</v>
      </c>
      <c r="F76" s="600">
        <v>0</v>
      </c>
      <c r="G76" s="600">
        <v>0</v>
      </c>
      <c r="H76" s="600">
        <v>0</v>
      </c>
      <c r="I76" s="600"/>
      <c r="J76" s="600"/>
      <c r="K76" s="609"/>
    </row>
    <row r="77" spans="1:11" s="2" customFormat="1">
      <c r="A77" s="3">
        <v>25</v>
      </c>
      <c r="B77" s="521" t="s">
        <v>242</v>
      </c>
      <c r="C77" s="153" t="s">
        <v>128</v>
      </c>
      <c r="D77" s="635">
        <v>0</v>
      </c>
      <c r="E77" s="636">
        <v>0</v>
      </c>
      <c r="F77" s="636">
        <v>0</v>
      </c>
      <c r="G77" s="636">
        <v>0</v>
      </c>
      <c r="H77" s="636">
        <v>0</v>
      </c>
      <c r="I77" s="636"/>
      <c r="J77" s="636"/>
      <c r="K77" s="637"/>
    </row>
    <row r="78" spans="1:11" s="2" customFormat="1">
      <c r="B78" s="12" t="s">
        <v>170</v>
      </c>
      <c r="C78" s="153" t="s">
        <v>128</v>
      </c>
      <c r="D78" s="613">
        <f>SUM(D53:D77)</f>
        <v>90.412792891690302</v>
      </c>
      <c r="E78" s="614">
        <f t="shared" ref="E78:K78" si="6">SUM(E53:E77)</f>
        <v>83.002193108882111</v>
      </c>
      <c r="F78" s="614">
        <f t="shared" si="6"/>
        <v>86.069122092705783</v>
      </c>
      <c r="G78" s="614">
        <f t="shared" si="6"/>
        <v>86.070878513964857</v>
      </c>
      <c r="H78" s="614">
        <f t="shared" si="6"/>
        <v>86.058963030819783</v>
      </c>
      <c r="I78" s="614">
        <f t="shared" si="6"/>
        <v>0</v>
      </c>
      <c r="J78" s="614">
        <f t="shared" si="6"/>
        <v>0</v>
      </c>
      <c r="K78" s="615">
        <f t="shared" si="6"/>
        <v>0</v>
      </c>
    </row>
    <row r="79" spans="1:11" s="2" customFormat="1">
      <c r="C79" s="137"/>
      <c r="D79" s="53"/>
      <c r="E79" s="52"/>
      <c r="F79" s="52"/>
      <c r="G79" s="52"/>
      <c r="H79" s="52"/>
      <c r="I79" s="52"/>
      <c r="J79" s="52"/>
      <c r="K79" s="52"/>
    </row>
    <row r="80" spans="1:11" s="2" customFormat="1">
      <c r="B80" s="12" t="s">
        <v>394</v>
      </c>
      <c r="C80" s="153" t="s">
        <v>128</v>
      </c>
      <c r="D80" s="613">
        <f>D48-D78</f>
        <v>244.44994352782624</v>
      </c>
      <c r="E80" s="614">
        <f t="shared" ref="E80:K80" si="7">E48-E78</f>
        <v>211.61193791111788</v>
      </c>
      <c r="F80" s="614">
        <f t="shared" si="7"/>
        <v>254.62938864092493</v>
      </c>
      <c r="G80" s="614">
        <f t="shared" si="7"/>
        <v>269.41194762903513</v>
      </c>
      <c r="H80" s="614">
        <f t="shared" si="7"/>
        <v>252.6325646861402</v>
      </c>
      <c r="I80" s="614">
        <f t="shared" si="7"/>
        <v>0</v>
      </c>
      <c r="J80" s="614">
        <f t="shared" si="7"/>
        <v>0</v>
      </c>
      <c r="K80" s="615">
        <f t="shared" si="7"/>
        <v>0</v>
      </c>
    </row>
    <row r="81" spans="2:11" s="2" customFormat="1">
      <c r="B81" s="12" t="s">
        <v>482</v>
      </c>
      <c r="C81" s="153" t="s">
        <v>128</v>
      </c>
      <c r="D81" s="647">
        <f>'R4 - Totex'!D90+'R4 - Totex'!D118</f>
        <v>244.41674573242585</v>
      </c>
      <c r="E81" s="648">
        <f>'R4 - Totex'!E90+'R4 - Totex'!E118</f>
        <v>211.60842556006889</v>
      </c>
      <c r="F81" s="648">
        <f>'R4 - Totex'!F90+'R4 - Totex'!F118</f>
        <v>254.61943506924939</v>
      </c>
      <c r="G81" s="648">
        <f>'R4 - Totex'!G90+'R4 - Totex'!G118</f>
        <v>269.41690344357545</v>
      </c>
      <c r="H81" s="648">
        <f>'R4 - Totex'!H90+'R4 - Totex'!H118</f>
        <v>252.63846065967167</v>
      </c>
      <c r="I81" s="648">
        <f>'R4 - Totex'!I90+'R4 - Totex'!I118</f>
        <v>253.51986865217901</v>
      </c>
      <c r="J81" s="648">
        <f>'R4 - Totex'!J90+'R4 - Totex'!J118</f>
        <v>271.67836006009497</v>
      </c>
      <c r="K81" s="648">
        <f>'R4 - Totex'!K90+'R4 - Totex'!K118</f>
        <v>261.64239948913621</v>
      </c>
    </row>
    <row r="82" spans="2:11" s="2" customFormat="1">
      <c r="C82" s="137" t="s">
        <v>395</v>
      </c>
      <c r="D82" s="575" t="str">
        <f>IF(D$5="Actuals",IF(ABS(D80-('R4 - Totex'!D90+'R4 - Totex'!D118))&lt;'RFPR cover'!$F$14,"OK","Error"),"N/A")</f>
        <v>OK</v>
      </c>
      <c r="E82" s="575" t="str">
        <f>IF(E$5="Actuals",IF(ABS(E80-('R4 - Totex'!E90+'R4 - Totex'!E118))&lt;'RFPR cover'!$F$14,"OK","Error"),"N/A")</f>
        <v>OK</v>
      </c>
      <c r="F82" s="575" t="str">
        <f>IF(F$5="Actuals",IF(ABS(F80-('R4 - Totex'!F90+'R4 - Totex'!F118))&lt;'RFPR cover'!$F$14,"OK","Error"),"N/A")</f>
        <v>OK</v>
      </c>
      <c r="G82" s="575" t="str">
        <f>IF(G$5="Actuals",IF(ABS(G80-('R4 - Totex'!G90+'R4 - Totex'!G118))&lt;'RFPR cover'!$F$14,"OK","Error"),"N/A")</f>
        <v>OK</v>
      </c>
      <c r="H82" s="575" t="str">
        <f>IF(H$5="Actuals",IF(ABS(H80-('R4 - Totex'!H90+'R4 - Totex'!H118))&lt;'RFPR cover'!$F$14,"OK","Error"),"N/A")</f>
        <v>OK</v>
      </c>
      <c r="I82" s="575" t="str">
        <f>IF(I$5="Actuals",IF(ABS(I80-('R4 - Totex'!I90+'R4 - Totex'!I118))&lt;'RFPR cover'!$F$14,"OK","Error"),"N/A")</f>
        <v>N/A</v>
      </c>
      <c r="J82" s="575" t="str">
        <f>IF(J$5="Actuals",IF(ABS(J80-('R4 - Totex'!J90+'R4 - Totex'!J118))&lt;'RFPR cover'!$F$14,"OK","Error"),"N/A")</f>
        <v>N/A</v>
      </c>
      <c r="K82" s="575" t="str">
        <f>IF(K$5="Actuals",IF(ABS(K80-('R4 - Totex'!K90+'R4 - Totex'!K118))&lt;'RFPR cover'!$F$14,"OK","Error"),"N/A")</f>
        <v>N/A</v>
      </c>
    </row>
    <row r="83" spans="2:11" s="2" customFormat="1">
      <c r="C83" s="137"/>
    </row>
    <row r="84" spans="2:11">
      <c r="D84" s="216"/>
      <c r="E84" s="216"/>
      <c r="F84" s="216"/>
      <c r="G84" s="216"/>
      <c r="H84" s="216"/>
      <c r="I84" s="216"/>
      <c r="J84" s="216"/>
      <c r="K84" s="216"/>
    </row>
    <row r="85" spans="2:11">
      <c r="D85" s="216"/>
      <c r="E85" s="216"/>
      <c r="F85" s="216"/>
      <c r="G85" s="216"/>
      <c r="H85" s="216"/>
      <c r="I85" s="216"/>
      <c r="J85" s="216"/>
      <c r="K85" s="216"/>
    </row>
    <row r="86" spans="2:11">
      <c r="D86" s="216"/>
      <c r="E86" s="216"/>
      <c r="F86" s="216"/>
      <c r="G86" s="216"/>
      <c r="H86" s="216"/>
      <c r="I86" s="216"/>
      <c r="J86" s="216"/>
      <c r="K86" s="216"/>
    </row>
  </sheetData>
  <conditionalFormatting sqref="D6:J6">
    <cfRule type="expression" dxfId="53" priority="17">
      <formula>AND(D$5="Actuals",E$5="N/A")</formula>
    </cfRule>
  </conditionalFormatting>
  <conditionalFormatting sqref="D5:K5">
    <cfRule type="expression" dxfId="52" priority="8">
      <formula>AND(D$5="Actuals",E$5="N/A")</formula>
    </cfRule>
  </conditionalFormatting>
  <conditionalFormatting sqref="D9:K14 D26:K46 D48:K50 D53:K78 D80:K80 D82:K82 D18:K19 D23:K23">
    <cfRule type="expression" dxfId="51" priority="3">
      <formula>D$5="N/A"</formula>
    </cfRule>
  </conditionalFormatting>
  <conditionalFormatting sqref="D15:K17">
    <cfRule type="expression" dxfId="50" priority="2">
      <formula>D$5="N/A"</formula>
    </cfRule>
  </conditionalFormatting>
  <conditionalFormatting sqref="D20:K22">
    <cfRule type="expression" dxfId="49" priority="1">
      <formula>D$5="N/A"</formula>
    </cfRule>
  </conditionalFormatting>
  <pageMargins left="0.70866141732283472" right="0.70866141732283472" top="0.74803149606299213" bottom="0.74803149606299213" header="0.31496062992125984" footer="0.31496062992125984"/>
  <pageSetup paperSize="8"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CC"/>
    <pageSetUpPr fitToPage="1"/>
  </sheetPr>
  <dimension ref="A1:T154"/>
  <sheetViews>
    <sheetView showGridLines="0" zoomScale="80" zoomScaleNormal="80" workbookViewId="0">
      <pane ySplit="6" topLeftCell="A7" activePane="bottomLeft" state="frozen"/>
      <selection activeCell="B75" sqref="A1:XFD1048576"/>
      <selection pane="bottomLeft" activeCell="F22" sqref="F22"/>
    </sheetView>
  </sheetViews>
  <sheetFormatPr defaultColWidth="9.125" defaultRowHeight="12.75"/>
  <cols>
    <col min="1" max="1" width="8.375" style="2" customWidth="1"/>
    <col min="2" max="2" width="75.5" style="130" customWidth="1"/>
    <col min="3" max="3" width="13.375" style="137" customWidth="1"/>
    <col min="4" max="11" width="11.125" style="2" customWidth="1"/>
    <col min="12" max="13" width="12.875" style="2" customWidth="1"/>
    <col min="14" max="14" width="25.5" style="2" customWidth="1"/>
    <col min="15" max="16384" width="9.125" style="2"/>
  </cols>
  <sheetData>
    <row r="1" spans="1:20" s="31" customFormat="1" ht="20.25">
      <c r="A1" s="917" t="s">
        <v>99</v>
      </c>
      <c r="B1" s="939"/>
      <c r="C1" s="279"/>
      <c r="D1" s="257"/>
      <c r="E1" s="257"/>
      <c r="F1" s="257"/>
      <c r="G1" s="257"/>
      <c r="H1" s="257"/>
      <c r="I1" s="258"/>
      <c r="J1" s="258"/>
      <c r="K1" s="259"/>
      <c r="L1" s="259"/>
      <c r="M1" s="259"/>
      <c r="N1" s="259"/>
      <c r="O1" s="365"/>
    </row>
    <row r="2" spans="1:20" s="31" customFormat="1" ht="20.25">
      <c r="A2" s="920" t="str">
        <f>'RFPR cover'!C5</f>
        <v>ENWL</v>
      </c>
      <c r="B2" s="933"/>
      <c r="C2" s="135"/>
      <c r="D2" s="29"/>
      <c r="E2" s="29"/>
      <c r="F2" s="29"/>
      <c r="G2" s="29"/>
      <c r="H2" s="29"/>
      <c r="I2" s="27"/>
      <c r="J2" s="27"/>
      <c r="K2" s="27"/>
      <c r="L2" s="27"/>
      <c r="M2" s="27"/>
      <c r="N2" s="27"/>
      <c r="O2" s="124"/>
    </row>
    <row r="3" spans="1:20" s="31" customFormat="1" ht="20.25">
      <c r="A3" s="923">
        <f>'RFPR cover'!C7</f>
        <v>2020</v>
      </c>
      <c r="B3" s="934"/>
      <c r="C3" s="278"/>
      <c r="D3" s="261"/>
      <c r="E3" s="261"/>
      <c r="F3" s="261"/>
      <c r="G3" s="261"/>
      <c r="H3" s="261"/>
      <c r="I3" s="256"/>
      <c r="J3" s="256"/>
      <c r="K3" s="256"/>
      <c r="L3" s="256"/>
      <c r="M3" s="256"/>
      <c r="N3" s="256"/>
      <c r="O3" s="262"/>
    </row>
    <row r="4" spans="1:20" ht="12.75" customHeight="1"/>
    <row r="5" spans="1:20" ht="12.75" customHeight="1">
      <c r="D5" s="391" t="str">
        <f>IF(D6&lt;='RFPR cover'!$C$7,"Actuals","Forecast")</f>
        <v>Actuals</v>
      </c>
      <c r="E5" s="392" t="str">
        <f>IF(E6&lt;='RFPR cover'!$C$7,"Actuals","Forecast")</f>
        <v>Actuals</v>
      </c>
      <c r="F5" s="392" t="str">
        <f>IF(F6&lt;='RFPR cover'!$C$7,"Actuals","Forecast")</f>
        <v>Actuals</v>
      </c>
      <c r="G5" s="392" t="str">
        <f>IF(G6&lt;='RFPR cover'!$C$7,"Actuals","Forecast")</f>
        <v>Actuals</v>
      </c>
      <c r="H5" s="392" t="str">
        <f>IF(H6&lt;='RFPR cover'!$C$7,"Actuals","Forecast")</f>
        <v>Actuals</v>
      </c>
      <c r="I5" s="392" t="str">
        <f>IF(I6&lt;='RFPR cover'!$C$7,"Actuals","Forecast")</f>
        <v>Forecast</v>
      </c>
      <c r="J5" s="392" t="str">
        <f>IF(J6&lt;='RFPR cover'!$C$7,"Actuals","Forecast")</f>
        <v>Forecast</v>
      </c>
      <c r="K5" s="393" t="str">
        <f>IF(K6&lt;='RFPR cover'!$C$7,"Actuals","Forecast")</f>
        <v>Forecast</v>
      </c>
    </row>
    <row r="6" spans="1:20" ht="27.75" customHeight="1">
      <c r="B6" s="780"/>
      <c r="D6" s="118">
        <f>'RFPR cover'!$C$13</f>
        <v>2016</v>
      </c>
      <c r="E6" s="119">
        <f>D6+1</f>
        <v>2017</v>
      </c>
      <c r="F6" s="119">
        <f t="shared" ref="F6:K6" si="0">E6+1</f>
        <v>2018</v>
      </c>
      <c r="G6" s="119">
        <f t="shared" si="0"/>
        <v>2019</v>
      </c>
      <c r="H6" s="119">
        <f t="shared" si="0"/>
        <v>2020</v>
      </c>
      <c r="I6" s="119">
        <f t="shared" si="0"/>
        <v>2021</v>
      </c>
      <c r="J6" s="119">
        <f t="shared" si="0"/>
        <v>2022</v>
      </c>
      <c r="K6" s="119">
        <f t="shared" si="0"/>
        <v>2023</v>
      </c>
      <c r="L6" s="102" t="str">
        <f>"Cumulative to "&amp;'RFPR cover'!$C$7</f>
        <v>Cumulative to 2020</v>
      </c>
      <c r="M6" s="120" t="s">
        <v>109</v>
      </c>
      <c r="N6" s="120" t="s">
        <v>310</v>
      </c>
    </row>
    <row r="7" spans="1:20" s="35" customFormat="1">
      <c r="B7" s="781"/>
      <c r="C7" s="159"/>
      <c r="D7" s="58"/>
      <c r="E7" s="58"/>
      <c r="F7" s="58"/>
      <c r="G7" s="58"/>
      <c r="H7" s="58"/>
      <c r="I7" s="58"/>
      <c r="J7" s="58"/>
      <c r="K7" s="58"/>
      <c r="L7" s="58"/>
      <c r="M7" s="58"/>
      <c r="N7" s="58"/>
    </row>
    <row r="8" spans="1:20" s="35" customFormat="1">
      <c r="B8" s="782" t="s">
        <v>382</v>
      </c>
      <c r="C8" s="292"/>
      <c r="D8" s="322"/>
      <c r="E8" s="322"/>
      <c r="F8" s="322"/>
      <c r="G8" s="322"/>
      <c r="H8" s="322"/>
      <c r="I8" s="322"/>
      <c r="J8" s="322"/>
      <c r="K8" s="322"/>
      <c r="L8" s="322"/>
      <c r="M8" s="322"/>
      <c r="N8" s="322"/>
    </row>
    <row r="9" spans="1:20" s="35" customFormat="1">
      <c r="B9" s="781"/>
      <c r="C9" s="159"/>
      <c r="D9" s="58"/>
      <c r="E9" s="58"/>
      <c r="F9" s="58"/>
      <c r="G9" s="58"/>
      <c r="H9" s="58"/>
      <c r="I9" s="58"/>
      <c r="J9" s="58"/>
      <c r="K9" s="58"/>
      <c r="L9" s="58"/>
      <c r="M9" s="58"/>
      <c r="N9" s="58"/>
    </row>
    <row r="10" spans="1:20">
      <c r="A10" s="35"/>
      <c r="B10" s="783" t="str">
        <f>Data!B48</f>
        <v>Totex</v>
      </c>
      <c r="C10" s="151"/>
      <c r="D10" s="82"/>
      <c r="E10" s="82"/>
      <c r="F10" s="82"/>
      <c r="G10" s="82"/>
      <c r="H10" s="82"/>
      <c r="I10" s="82"/>
      <c r="J10" s="82"/>
      <c r="K10" s="82"/>
      <c r="L10" s="82"/>
      <c r="M10" s="82"/>
      <c r="N10" s="82"/>
    </row>
    <row r="11" spans="1:20" s="35" customFormat="1">
      <c r="B11" s="784"/>
      <c r="C11" s="139"/>
      <c r="D11" s="321"/>
      <c r="E11" s="321"/>
      <c r="F11" s="321"/>
      <c r="G11" s="321"/>
      <c r="H11" s="321"/>
      <c r="I11" s="321"/>
      <c r="J11" s="321"/>
      <c r="K11" s="321"/>
      <c r="L11" s="321"/>
      <c r="M11" s="321"/>
      <c r="N11" s="321"/>
    </row>
    <row r="12" spans="1:20">
      <c r="A12" s="35"/>
      <c r="B12" s="306" t="s">
        <v>34</v>
      </c>
      <c r="C12" s="156" t="str">
        <f>'RFPR cover'!$C$14</f>
        <v>£m 12/13</v>
      </c>
      <c r="D12" s="484">
        <v>230.51295425825279</v>
      </c>
      <c r="E12" s="485">
        <v>195.38435697647421</v>
      </c>
      <c r="F12" s="485">
        <v>226.61766945875928</v>
      </c>
      <c r="G12" s="485">
        <v>232.6781483405228</v>
      </c>
      <c r="H12" s="485">
        <v>212.68197769732237</v>
      </c>
      <c r="I12" s="485">
        <v>209.85642580975406</v>
      </c>
      <c r="J12" s="485">
        <v>220.20807891685607</v>
      </c>
      <c r="K12" s="485">
        <v>206.7496575318612</v>
      </c>
      <c r="L12" s="108">
        <f>SUM(D12:INDEX(D12:K12,0,MATCH('RFPR cover'!$C$7,$D$6:$K$6,0)))</f>
        <v>1097.8751067313312</v>
      </c>
      <c r="M12" s="109">
        <f>SUM(D12:K12)</f>
        <v>1734.6892689898025</v>
      </c>
      <c r="N12" s="63"/>
      <c r="O12" s="63"/>
    </row>
    <row r="13" spans="1:20" ht="25.5">
      <c r="A13" s="35"/>
      <c r="B13" s="785" t="s">
        <v>494</v>
      </c>
      <c r="C13" s="156" t="str">
        <f>'RFPR cover'!$C$14</f>
        <v>£m 12/13</v>
      </c>
      <c r="D13" s="486">
        <v>237.38409563223314</v>
      </c>
      <c r="E13" s="487">
        <v>226.8712195516996</v>
      </c>
      <c r="F13" s="487">
        <v>228.90919112650607</v>
      </c>
      <c r="G13" s="487">
        <v>231.23770416111643</v>
      </c>
      <c r="H13" s="487">
        <v>231.45141024987524</v>
      </c>
      <c r="I13" s="487">
        <v>235.16627448086138</v>
      </c>
      <c r="J13" s="487">
        <v>242.55937691288187</v>
      </c>
      <c r="K13" s="487">
        <v>228.30972895821554</v>
      </c>
      <c r="L13" s="106">
        <f>SUM(D13:INDEX(D13:K13,0,MATCH('RFPR cover'!$C$7,$D$6:$K$6,0)))</f>
        <v>1155.8536207214304</v>
      </c>
      <c r="M13" s="107">
        <f>SUM(D13:K13)</f>
        <v>1861.8890010733892</v>
      </c>
      <c r="N13" s="63"/>
      <c r="O13" s="63"/>
    </row>
    <row r="14" spans="1:20">
      <c r="A14" s="35"/>
      <c r="B14" s="786" t="s">
        <v>194</v>
      </c>
      <c r="C14" s="156" t="str">
        <f>'RFPR cover'!$C$14</f>
        <v>£m 12/13</v>
      </c>
      <c r="D14" s="103">
        <f>D13-D12</f>
        <v>6.8711413739803504</v>
      </c>
      <c r="E14" s="104">
        <f t="shared" ref="E14:M14" si="1">E13-E12</f>
        <v>31.486862575225388</v>
      </c>
      <c r="F14" s="104">
        <f t="shared" si="1"/>
        <v>2.2915216677467924</v>
      </c>
      <c r="G14" s="104">
        <f t="shared" si="1"/>
        <v>-1.44044417940637</v>
      </c>
      <c r="H14" s="104">
        <f t="shared" si="1"/>
        <v>18.769432552552871</v>
      </c>
      <c r="I14" s="104">
        <f t="shared" si="1"/>
        <v>25.309848671107318</v>
      </c>
      <c r="J14" s="104">
        <f t="shared" si="1"/>
        <v>22.351297996025806</v>
      </c>
      <c r="K14" s="104">
        <f t="shared" si="1"/>
        <v>21.560071426354341</v>
      </c>
      <c r="L14" s="103">
        <f t="shared" si="1"/>
        <v>57.978513990099145</v>
      </c>
      <c r="M14" s="105">
        <f t="shared" si="1"/>
        <v>127.1997320835867</v>
      </c>
      <c r="N14" s="63"/>
      <c r="O14" s="996"/>
      <c r="P14" s="996"/>
      <c r="Q14" s="996"/>
      <c r="R14"/>
      <c r="S14"/>
      <c r="T14"/>
    </row>
    <row r="15" spans="1:20">
      <c r="A15" s="35"/>
      <c r="B15" s="786"/>
      <c r="C15" s="156"/>
      <c r="D15" s="59"/>
      <c r="E15" s="59"/>
      <c r="F15" s="59"/>
      <c r="G15" s="59"/>
      <c r="H15" s="59"/>
      <c r="I15" s="59"/>
      <c r="J15" s="59"/>
      <c r="K15" s="59"/>
      <c r="L15" s="59"/>
      <c r="M15" s="59"/>
      <c r="O15" s="64"/>
      <c r="P15" s="64"/>
      <c r="Q15" s="64"/>
      <c r="R15"/>
      <c r="S15"/>
      <c r="T15"/>
    </row>
    <row r="16" spans="1:20">
      <c r="A16" s="35"/>
      <c r="B16" s="780" t="s">
        <v>177</v>
      </c>
      <c r="C16" s="137" t="s">
        <v>7</v>
      </c>
      <c r="D16" s="110">
        <f>1-INDEX(Data!$D$73:$D$100,MATCH('RFPR cover'!$C$5,Data!$B$73:$B$100,0),0)</f>
        <v>0.41890000000000005</v>
      </c>
      <c r="E16" s="111">
        <f>1-INDEX(Data!$D$73:$D$100,MATCH('RFPR cover'!$C$5,Data!$B$73:$B$100,0),0)</f>
        <v>0.41890000000000005</v>
      </c>
      <c r="F16" s="111">
        <f>1-INDEX(Data!$D$73:$D$100,MATCH('RFPR cover'!$C$5,Data!$B$73:$B$100,0),0)</f>
        <v>0.41890000000000005</v>
      </c>
      <c r="G16" s="111">
        <f>1-INDEX(Data!$D$73:$D$100,MATCH('RFPR cover'!$C$5,Data!$B$73:$B$100,0),0)</f>
        <v>0.41890000000000005</v>
      </c>
      <c r="H16" s="111">
        <f>1-INDEX(Data!$D$73:$D$100,MATCH('RFPR cover'!$C$5,Data!$B$73:$B$100,0),0)</f>
        <v>0.41890000000000005</v>
      </c>
      <c r="I16" s="111">
        <f>1-INDEX(Data!$D$73:$D$100,MATCH('RFPR cover'!$C$5,Data!$B$73:$B$100,0),0)</f>
        <v>0.41890000000000005</v>
      </c>
      <c r="J16" s="111">
        <f>1-INDEX(Data!$D$73:$D$100,MATCH('RFPR cover'!$C$5,Data!$B$73:$B$100,0),0)</f>
        <v>0.41890000000000005</v>
      </c>
      <c r="K16" s="112">
        <f>1-INDEX(Data!$D$73:$D$100,MATCH('RFPR cover'!$C$5,Data!$B$73:$B$100,0),0)</f>
        <v>0.41890000000000005</v>
      </c>
      <c r="L16" s="62"/>
      <c r="M16" s="62"/>
      <c r="O16"/>
      <c r="P16"/>
      <c r="Q16"/>
      <c r="R16"/>
      <c r="S16"/>
      <c r="T16"/>
    </row>
    <row r="17" spans="1:20">
      <c r="A17" s="35"/>
      <c r="B17" s="780"/>
      <c r="O17"/>
      <c r="P17"/>
      <c r="Q17"/>
      <c r="R17"/>
      <c r="S17"/>
      <c r="T17"/>
    </row>
    <row r="18" spans="1:20">
      <c r="A18" s="35"/>
      <c r="B18" s="787" t="s">
        <v>182</v>
      </c>
      <c r="C18" s="160" t="str">
        <f>'RFPR cover'!$C$14</f>
        <v>£m 12/13</v>
      </c>
      <c r="D18" s="96">
        <f>D14*D16</f>
        <v>2.878321121560369</v>
      </c>
      <c r="E18" s="97">
        <f t="shared" ref="E18:K18" si="2">E14*E16</f>
        <v>13.189846732761916</v>
      </c>
      <c r="F18" s="97">
        <f t="shared" si="2"/>
        <v>0.95991842661913152</v>
      </c>
      <c r="G18" s="97">
        <f t="shared" si="2"/>
        <v>-0.60340206675332853</v>
      </c>
      <c r="H18" s="97">
        <f t="shared" si="2"/>
        <v>7.8625152962643989</v>
      </c>
      <c r="I18" s="97">
        <f t="shared" si="2"/>
        <v>10.602295608326857</v>
      </c>
      <c r="J18" s="97">
        <f t="shared" si="2"/>
        <v>9.3629587305352118</v>
      </c>
      <c r="K18" s="97">
        <f t="shared" si="2"/>
        <v>9.0315139204998349</v>
      </c>
      <c r="L18" s="96">
        <f>SUM(D18:INDEX(D18:K18,0,MATCH('RFPR cover'!$C$7,$D$6:$K$6,0)))</f>
        <v>24.287199510452488</v>
      </c>
      <c r="M18" s="98">
        <f>SUM(D18:K18)</f>
        <v>53.283967769814389</v>
      </c>
      <c r="O18"/>
      <c r="P18"/>
      <c r="Q18"/>
      <c r="R18"/>
      <c r="S18"/>
      <c r="T18"/>
    </row>
    <row r="19" spans="1:20">
      <c r="A19" s="35"/>
      <c r="B19" s="787" t="s">
        <v>279</v>
      </c>
      <c r="C19" s="160" t="str">
        <f>'RFPR cover'!$C$14</f>
        <v>£m 12/13</v>
      </c>
      <c r="D19" s="93">
        <f>D14*(1-D16)</f>
        <v>3.9928202524199814</v>
      </c>
      <c r="E19" s="94">
        <f t="shared" ref="E19:K19" si="3">E14*(1-E16)</f>
        <v>18.29701584246347</v>
      </c>
      <c r="F19" s="94">
        <f t="shared" si="3"/>
        <v>1.331603241127661</v>
      </c>
      <c r="G19" s="94">
        <f t="shared" si="3"/>
        <v>-0.83704211265304151</v>
      </c>
      <c r="H19" s="94">
        <f t="shared" si="3"/>
        <v>10.906917256288473</v>
      </c>
      <c r="I19" s="94">
        <f t="shared" si="3"/>
        <v>14.707553062780461</v>
      </c>
      <c r="J19" s="94">
        <f t="shared" si="3"/>
        <v>12.988339265490595</v>
      </c>
      <c r="K19" s="94">
        <f t="shared" si="3"/>
        <v>12.528557505854506</v>
      </c>
      <c r="L19" s="93">
        <f>SUM(D19:INDEX(D19:K19,0,MATCH('RFPR cover'!$C$7,$D$6:$K$6,0)))</f>
        <v>33.691314479646543</v>
      </c>
      <c r="M19" s="95">
        <f>SUM(D19:K19)</f>
        <v>73.915764313772101</v>
      </c>
      <c r="O19"/>
      <c r="P19"/>
      <c r="Q19"/>
      <c r="R19"/>
      <c r="S19"/>
      <c r="T19"/>
    </row>
    <row r="20" spans="1:20">
      <c r="A20" s="35"/>
      <c r="B20" s="780"/>
      <c r="O20"/>
      <c r="P20"/>
      <c r="Q20"/>
      <c r="R20"/>
      <c r="S20"/>
      <c r="T20"/>
    </row>
    <row r="21" spans="1:20">
      <c r="A21" s="35"/>
      <c r="B21" s="788" t="s">
        <v>181</v>
      </c>
      <c r="N21" s="63"/>
      <c r="O21"/>
      <c r="P21"/>
      <c r="Q21"/>
      <c r="R21"/>
      <c r="S21"/>
      <c r="T21"/>
    </row>
    <row r="22" spans="1:20">
      <c r="A22" s="270" t="s">
        <v>151</v>
      </c>
      <c r="B22" s="778" t="s">
        <v>611</v>
      </c>
      <c r="C22" s="156" t="str">
        <f>'RFPR cover'!$C$14</f>
        <v>£m 12/13</v>
      </c>
      <c r="D22" s="585">
        <v>-3.2541520848881946</v>
      </c>
      <c r="E22" s="586">
        <v>-20.403855213195648</v>
      </c>
      <c r="F22" s="586">
        <v>1.9261384603458973</v>
      </c>
      <c r="G22" s="586">
        <v>28.557414646859513</v>
      </c>
      <c r="H22" s="586">
        <v>-0.35909637045192611</v>
      </c>
      <c r="I22" s="586">
        <v>-3.1276135898359732</v>
      </c>
      <c r="J22" s="586">
        <v>-1.1914861609908556</v>
      </c>
      <c r="K22" s="586">
        <v>-2.184362265469483</v>
      </c>
      <c r="L22" s="587">
        <f>SUM(D22:INDEX(D22:K22,0,MATCH('RFPR cover'!$C$7,$D$6:$K$6,0)))</f>
        <v>6.4664494386696418</v>
      </c>
      <c r="M22" s="588">
        <f t="shared" ref="M22:M27" si="4">SUM(D22:K22)</f>
        <v>-3.7012577626669874E-2</v>
      </c>
      <c r="N22" s="576" t="s">
        <v>612</v>
      </c>
      <c r="O22"/>
      <c r="P22"/>
      <c r="Q22"/>
      <c r="R22"/>
      <c r="S22"/>
      <c r="T22"/>
    </row>
    <row r="23" spans="1:20">
      <c r="A23" s="270" t="s">
        <v>152</v>
      </c>
      <c r="B23" s="778" t="s">
        <v>241</v>
      </c>
      <c r="C23" s="156" t="str">
        <f>'RFPR cover'!$C$14</f>
        <v>£m 12/13</v>
      </c>
      <c r="D23" s="589"/>
      <c r="E23" s="590"/>
      <c r="F23" s="590"/>
      <c r="G23" s="590"/>
      <c r="H23" s="590"/>
      <c r="I23" s="590"/>
      <c r="J23" s="590"/>
      <c r="K23" s="590"/>
      <c r="L23" s="591">
        <f>SUM(D23:INDEX(D23:K23,0,MATCH('RFPR cover'!$C$7,$D$6:$K$6,0)))</f>
        <v>0</v>
      </c>
      <c r="M23" s="592">
        <f t="shared" si="4"/>
        <v>0</v>
      </c>
      <c r="N23" s="577"/>
      <c r="O23"/>
      <c r="P23"/>
      <c r="Q23"/>
      <c r="R23"/>
      <c r="S23"/>
      <c r="T23"/>
    </row>
    <row r="24" spans="1:20">
      <c r="A24" s="270" t="s">
        <v>153</v>
      </c>
      <c r="B24" s="778" t="s">
        <v>241</v>
      </c>
      <c r="C24" s="156" t="str">
        <f>'RFPR cover'!$C$14</f>
        <v>£m 12/13</v>
      </c>
      <c r="D24" s="589"/>
      <c r="E24" s="590"/>
      <c r="F24" s="590"/>
      <c r="G24" s="590"/>
      <c r="H24" s="590"/>
      <c r="I24" s="590"/>
      <c r="J24" s="590"/>
      <c r="K24" s="590"/>
      <c r="L24" s="591">
        <f>SUM(D24:INDEX(D24:K24,0,MATCH('RFPR cover'!$C$7,$D$6:$K$6,0)))</f>
        <v>0</v>
      </c>
      <c r="M24" s="592">
        <f t="shared" si="4"/>
        <v>0</v>
      </c>
      <c r="N24" s="577"/>
      <c r="O24"/>
      <c r="P24"/>
      <c r="Q24"/>
      <c r="R24"/>
      <c r="S24" s="65"/>
      <c r="T24"/>
    </row>
    <row r="25" spans="1:20">
      <c r="A25" s="270" t="s">
        <v>167</v>
      </c>
      <c r="B25" s="778" t="s">
        <v>241</v>
      </c>
      <c r="C25" s="156" t="str">
        <f>'RFPR cover'!$C$14</f>
        <v>£m 12/13</v>
      </c>
      <c r="D25" s="589"/>
      <c r="E25" s="590"/>
      <c r="F25" s="590"/>
      <c r="G25" s="590"/>
      <c r="H25" s="590"/>
      <c r="I25" s="590"/>
      <c r="J25" s="590"/>
      <c r="K25" s="590"/>
      <c r="L25" s="591">
        <f>SUM(D25:INDEX(D25:K25,0,MATCH('RFPR cover'!$C$7,$D$6:$K$6,0)))</f>
        <v>0</v>
      </c>
      <c r="M25" s="592">
        <f t="shared" si="4"/>
        <v>0</v>
      </c>
      <c r="N25" s="577"/>
      <c r="O25"/>
      <c r="P25"/>
      <c r="Q25"/>
      <c r="R25"/>
      <c r="S25"/>
      <c r="T25"/>
    </row>
    <row r="26" spans="1:20">
      <c r="A26" s="270" t="s">
        <v>168</v>
      </c>
      <c r="B26" s="778" t="s">
        <v>241</v>
      </c>
      <c r="C26" s="156" t="str">
        <f>'RFPR cover'!$C$14</f>
        <v>£m 12/13</v>
      </c>
      <c r="D26" s="589"/>
      <c r="E26" s="590"/>
      <c r="F26" s="590"/>
      <c r="G26" s="590"/>
      <c r="H26" s="590"/>
      <c r="I26" s="590"/>
      <c r="J26" s="590"/>
      <c r="K26" s="590"/>
      <c r="L26" s="591">
        <f>SUM(D26:INDEX(D26:K26,0,MATCH('RFPR cover'!$C$7,$D$6:$K$6,0)))</f>
        <v>0</v>
      </c>
      <c r="M26" s="592">
        <f t="shared" si="4"/>
        <v>0</v>
      </c>
      <c r="N26" s="577"/>
      <c r="O26"/>
      <c r="P26"/>
      <c r="Q26"/>
      <c r="R26"/>
      <c r="S26"/>
      <c r="T26"/>
    </row>
    <row r="27" spans="1:20">
      <c r="A27" s="270" t="s">
        <v>169</v>
      </c>
      <c r="B27" s="778" t="s">
        <v>241</v>
      </c>
      <c r="C27" s="156" t="str">
        <f>'RFPR cover'!$C$14</f>
        <v>£m 12/13</v>
      </c>
      <c r="D27" s="593"/>
      <c r="E27" s="594"/>
      <c r="F27" s="594"/>
      <c r="G27" s="594"/>
      <c r="H27" s="594"/>
      <c r="I27" s="594"/>
      <c r="J27" s="594"/>
      <c r="K27" s="594"/>
      <c r="L27" s="595">
        <f>SUM(D27:INDEX(D27:K27,0,MATCH('RFPR cover'!$C$7,$D$6:$K$6,0)))</f>
        <v>0</v>
      </c>
      <c r="M27" s="596">
        <f t="shared" si="4"/>
        <v>0</v>
      </c>
      <c r="N27" s="578"/>
      <c r="O27"/>
      <c r="P27"/>
      <c r="Q27"/>
      <c r="R27"/>
      <c r="S27"/>
      <c r="T27"/>
    </row>
    <row r="28" spans="1:20">
      <c r="A28" s="35"/>
      <c r="B28" s="788" t="s">
        <v>189</v>
      </c>
      <c r="C28" s="156" t="str">
        <f>'RFPR cover'!$C$14</f>
        <v>£m 12/13</v>
      </c>
      <c r="D28" s="103">
        <f>SUM(D22:D27)</f>
        <v>-3.2541520848881946</v>
      </c>
      <c r="E28" s="104">
        <f t="shared" ref="E28:K28" si="5">SUM(E22:E27)</f>
        <v>-20.403855213195648</v>
      </c>
      <c r="F28" s="104">
        <f t="shared" si="5"/>
        <v>1.9261384603458973</v>
      </c>
      <c r="G28" s="104">
        <f t="shared" si="5"/>
        <v>28.557414646859513</v>
      </c>
      <c r="H28" s="104">
        <f t="shared" si="5"/>
        <v>-0.35909637045192611</v>
      </c>
      <c r="I28" s="104">
        <f t="shared" si="5"/>
        <v>-3.1276135898359732</v>
      </c>
      <c r="J28" s="104">
        <f t="shared" si="5"/>
        <v>-1.1914861609908556</v>
      </c>
      <c r="K28" s="104">
        <f t="shared" si="5"/>
        <v>-2.184362265469483</v>
      </c>
      <c r="L28" s="103">
        <f>SUM(D28:INDEX(D28:K28,0,MATCH('RFPR cover'!$C$7,$D$6:$K$6,0)))</f>
        <v>6.4664494386696418</v>
      </c>
      <c r="M28" s="105">
        <f>SUM(D28:K28)</f>
        <v>-3.7012577626669874E-2</v>
      </c>
      <c r="N28" s="63"/>
    </row>
    <row r="29" spans="1:20">
      <c r="A29" s="35"/>
      <c r="B29" s="780"/>
    </row>
    <row r="30" spans="1:20">
      <c r="A30" s="35"/>
      <c r="B30" s="787" t="s">
        <v>197</v>
      </c>
      <c r="C30" s="160" t="str">
        <f>'RFPR cover'!$C$14</f>
        <v>£m 12/13</v>
      </c>
      <c r="D30" s="96">
        <f t="shared" ref="D30:K30" si="6">D28*D16</f>
        <v>-1.363164308359665</v>
      </c>
      <c r="E30" s="97">
        <f t="shared" si="6"/>
        <v>-8.5471749488076583</v>
      </c>
      <c r="F30" s="97">
        <f t="shared" si="6"/>
        <v>0.80685940103889653</v>
      </c>
      <c r="G30" s="97">
        <f t="shared" si="6"/>
        <v>11.962700995569451</v>
      </c>
      <c r="H30" s="97">
        <f t="shared" si="6"/>
        <v>-0.15042546958231187</v>
      </c>
      <c r="I30" s="97">
        <f t="shared" si="6"/>
        <v>-1.3101573327822893</v>
      </c>
      <c r="J30" s="97">
        <f t="shared" si="6"/>
        <v>-0.49911355283906944</v>
      </c>
      <c r="K30" s="97">
        <f t="shared" si="6"/>
        <v>-0.91502935300516652</v>
      </c>
      <c r="L30" s="96">
        <f>SUM(D30:INDEX(D30:K30,0,MATCH('RFPR cover'!$C$7,$D$6:$K$6,0)))</f>
        <v>2.7087956698587119</v>
      </c>
      <c r="M30" s="98">
        <f>SUM(D30:K30)</f>
        <v>-1.5504568767813365E-2</v>
      </c>
    </row>
    <row r="31" spans="1:20">
      <c r="A31" s="35"/>
      <c r="B31" s="787" t="s">
        <v>308</v>
      </c>
      <c r="C31" s="160" t="str">
        <f>'RFPR cover'!$C$14</f>
        <v>£m 12/13</v>
      </c>
      <c r="D31" s="93">
        <f t="shared" ref="D31:K31" si="7">D28*(1-D16)</f>
        <v>-1.8909877765285297</v>
      </c>
      <c r="E31" s="94">
        <f t="shared" si="7"/>
        <v>-11.85668026438799</v>
      </c>
      <c r="F31" s="94">
        <f t="shared" si="7"/>
        <v>1.1192790593070008</v>
      </c>
      <c r="G31" s="94">
        <f t="shared" si="7"/>
        <v>16.594713651290061</v>
      </c>
      <c r="H31" s="94">
        <f t="shared" si="7"/>
        <v>-0.20867090086961423</v>
      </c>
      <c r="I31" s="94">
        <f t="shared" si="7"/>
        <v>-1.8174562570536839</v>
      </c>
      <c r="J31" s="94">
        <f t="shared" si="7"/>
        <v>-0.69237260815178614</v>
      </c>
      <c r="K31" s="94">
        <f t="shared" si="7"/>
        <v>-1.2693329124643165</v>
      </c>
      <c r="L31" s="93">
        <f>SUM(D31:INDEX(D31:K31,0,MATCH('RFPR cover'!$C$7,$D$6:$K$6,0)))</f>
        <v>3.7576537688109282</v>
      </c>
      <c r="M31" s="95">
        <f>SUM(D31:K31)</f>
        <v>-2.1508008858858396E-2</v>
      </c>
    </row>
    <row r="32" spans="1:20">
      <c r="A32" s="35"/>
      <c r="B32" s="780"/>
    </row>
    <row r="33" spans="1:20">
      <c r="A33" s="35"/>
      <c r="B33" s="788" t="s">
        <v>180</v>
      </c>
    </row>
    <row r="34" spans="1:20">
      <c r="A34" s="35"/>
      <c r="B34" s="780" t="s">
        <v>179</v>
      </c>
      <c r="C34" s="156" t="str">
        <f>'RFPR cover'!$C$14</f>
        <v>£m 12/13</v>
      </c>
      <c r="D34" s="96">
        <f>D18+D30</f>
        <v>1.5151568132007041</v>
      </c>
      <c r="E34" s="97">
        <f t="shared" ref="E34:K34" si="8">E18+E30</f>
        <v>4.6426717839542579</v>
      </c>
      <c r="F34" s="97">
        <f t="shared" si="8"/>
        <v>1.7667778276580282</v>
      </c>
      <c r="G34" s="97">
        <f t="shared" si="8"/>
        <v>11.359298928816122</v>
      </c>
      <c r="H34" s="97">
        <f t="shared" si="8"/>
        <v>7.712089826682087</v>
      </c>
      <c r="I34" s="97">
        <f t="shared" si="8"/>
        <v>9.2921382755445681</v>
      </c>
      <c r="J34" s="97">
        <f t="shared" si="8"/>
        <v>8.8638451776961418</v>
      </c>
      <c r="K34" s="97">
        <f t="shared" si="8"/>
        <v>8.116484567494668</v>
      </c>
      <c r="L34" s="96">
        <f>SUM(D34:INDEX(D34:K34,0,MATCH('RFPR cover'!$C$7,$D$6:$K$6,0)))</f>
        <v>26.995995180311198</v>
      </c>
      <c r="M34" s="98">
        <f>SUM(D34:K34)</f>
        <v>53.268463201046572</v>
      </c>
    </row>
    <row r="35" spans="1:20">
      <c r="A35" s="35"/>
      <c r="B35" s="780" t="s">
        <v>279</v>
      </c>
      <c r="C35" s="156" t="str">
        <f>'RFPR cover'!$C$14</f>
        <v>£m 12/13</v>
      </c>
      <c r="D35" s="99">
        <f>D19+D31</f>
        <v>2.1018324758914515</v>
      </c>
      <c r="E35" s="100">
        <f t="shared" ref="E35:K35" si="9">E19+E31</f>
        <v>6.4403355780754801</v>
      </c>
      <c r="F35" s="100">
        <f t="shared" si="9"/>
        <v>2.450882300434662</v>
      </c>
      <c r="G35" s="100">
        <f t="shared" si="9"/>
        <v>15.75767153863702</v>
      </c>
      <c r="H35" s="100">
        <f t="shared" si="9"/>
        <v>10.698246355418858</v>
      </c>
      <c r="I35" s="100">
        <f t="shared" si="9"/>
        <v>12.890096805726778</v>
      </c>
      <c r="J35" s="100">
        <f t="shared" si="9"/>
        <v>12.295966657338809</v>
      </c>
      <c r="K35" s="100">
        <f t="shared" si="9"/>
        <v>11.25922459339019</v>
      </c>
      <c r="L35" s="99">
        <f>SUM(D35:INDEX(D35:K35,0,MATCH('RFPR cover'!$C$7,$D$6:$K$6,0)))</f>
        <v>37.448968248457476</v>
      </c>
      <c r="M35" s="101">
        <f>SUM(D35:K35)</f>
        <v>73.894256304913256</v>
      </c>
    </row>
    <row r="36" spans="1:20">
      <c r="A36" s="35"/>
      <c r="B36" s="788" t="s">
        <v>11</v>
      </c>
      <c r="C36" s="157" t="str">
        <f>'RFPR cover'!$C$14</f>
        <v>£m 12/13</v>
      </c>
      <c r="D36" s="140">
        <f>SUM(D34:D35)</f>
        <v>3.6169892890921558</v>
      </c>
      <c r="E36" s="141">
        <f t="shared" ref="E36:K36" si="10">SUM(E34:E35)</f>
        <v>11.083007362029738</v>
      </c>
      <c r="F36" s="141">
        <f t="shared" si="10"/>
        <v>4.2176601280926906</v>
      </c>
      <c r="G36" s="141">
        <f t="shared" si="10"/>
        <v>27.116970467453143</v>
      </c>
      <c r="H36" s="141">
        <f t="shared" si="10"/>
        <v>18.410336182100945</v>
      </c>
      <c r="I36" s="141">
        <f t="shared" si="10"/>
        <v>22.182235081271344</v>
      </c>
      <c r="J36" s="141">
        <f t="shared" si="10"/>
        <v>21.159811835034951</v>
      </c>
      <c r="K36" s="141">
        <f t="shared" si="10"/>
        <v>19.37570916088486</v>
      </c>
      <c r="L36" s="140">
        <f>SUM(D36:INDEX(D36:K36,0,MATCH('RFPR cover'!$C$7,$D$6:$K$6,0)))</f>
        <v>64.444963428768673</v>
      </c>
      <c r="M36" s="142">
        <f>SUM(D36:K36)</f>
        <v>127.16271950595984</v>
      </c>
    </row>
    <row r="37" spans="1:20">
      <c r="A37" s="35"/>
      <c r="B37" s="780"/>
    </row>
    <row r="38" spans="1:20">
      <c r="A38" s="35"/>
      <c r="B38" s="783" t="str">
        <f>Data!B51</f>
        <v>n/a</v>
      </c>
      <c r="C38" s="151"/>
      <c r="D38" s="82"/>
      <c r="E38" s="82"/>
      <c r="F38" s="82"/>
      <c r="G38" s="82"/>
      <c r="H38" s="82"/>
      <c r="I38" s="82"/>
      <c r="J38" s="82"/>
      <c r="K38" s="82"/>
      <c r="L38" s="82"/>
      <c r="M38" s="82"/>
      <c r="N38" s="82"/>
    </row>
    <row r="39" spans="1:20" s="35" customFormat="1">
      <c r="B39" s="781"/>
      <c r="C39" s="139"/>
      <c r="D39" s="321"/>
      <c r="E39" s="321"/>
      <c r="F39" s="321"/>
      <c r="G39" s="321"/>
      <c r="H39" s="321"/>
      <c r="I39" s="321"/>
      <c r="J39" s="321"/>
      <c r="K39" s="321"/>
      <c r="L39" s="321"/>
      <c r="M39" s="321"/>
      <c r="N39" s="321"/>
    </row>
    <row r="40" spans="1:20">
      <c r="A40" s="35"/>
      <c r="B40" s="306" t="s">
        <v>34</v>
      </c>
      <c r="C40" s="156" t="str">
        <f>'RFPR cover'!$C$14</f>
        <v>£m 12/13</v>
      </c>
      <c r="D40" s="652"/>
      <c r="E40" s="653"/>
      <c r="F40" s="653"/>
      <c r="G40" s="653"/>
      <c r="H40" s="653"/>
      <c r="I40" s="653"/>
      <c r="J40" s="653"/>
      <c r="K40" s="653"/>
      <c r="L40" s="654">
        <f>SUM(D40:INDEX(D40:K40,0,MATCH('RFPR cover'!$C$7,$D$6:$K$6,0)))</f>
        <v>0</v>
      </c>
      <c r="M40" s="655">
        <f>SUM(D40:K40)</f>
        <v>0</v>
      </c>
      <c r="N40" s="353"/>
      <c r="O40" s="63"/>
    </row>
    <row r="41" spans="1:20" ht="25.5">
      <c r="A41" s="35"/>
      <c r="B41" s="785" t="s">
        <v>494</v>
      </c>
      <c r="C41" s="156" t="str">
        <f>'RFPR cover'!$C$14</f>
        <v>£m 12/13</v>
      </c>
      <c r="D41" s="656"/>
      <c r="E41" s="657"/>
      <c r="F41" s="657"/>
      <c r="G41" s="657"/>
      <c r="H41" s="657"/>
      <c r="I41" s="657"/>
      <c r="J41" s="657"/>
      <c r="K41" s="657"/>
      <c r="L41" s="658">
        <f>SUM(D41:INDEX(D41:K41,0,MATCH('RFPR cover'!$C$7,$D$6:$K$6,0)))</f>
        <v>0</v>
      </c>
      <c r="M41" s="659">
        <f>SUM(D41:K41)</f>
        <v>0</v>
      </c>
      <c r="N41" s="353"/>
      <c r="O41" s="63"/>
    </row>
    <row r="42" spans="1:20">
      <c r="A42" s="35"/>
      <c r="B42" s="786" t="s">
        <v>194</v>
      </c>
      <c r="C42" s="156" t="str">
        <f>'RFPR cover'!$C$14</f>
        <v>£m 12/13</v>
      </c>
      <c r="D42" s="103">
        <f>D41-D40</f>
        <v>0</v>
      </c>
      <c r="E42" s="104">
        <f t="shared" ref="E42:M42" si="11">E41-E40</f>
        <v>0</v>
      </c>
      <c r="F42" s="104">
        <f t="shared" si="11"/>
        <v>0</v>
      </c>
      <c r="G42" s="104">
        <f t="shared" si="11"/>
        <v>0</v>
      </c>
      <c r="H42" s="104">
        <f t="shared" si="11"/>
        <v>0</v>
      </c>
      <c r="I42" s="104">
        <f t="shared" si="11"/>
        <v>0</v>
      </c>
      <c r="J42" s="104">
        <f t="shared" si="11"/>
        <v>0</v>
      </c>
      <c r="K42" s="104">
        <f t="shared" si="11"/>
        <v>0</v>
      </c>
      <c r="L42" s="356">
        <f t="shared" si="11"/>
        <v>0</v>
      </c>
      <c r="M42" s="357">
        <f t="shared" si="11"/>
        <v>0</v>
      </c>
      <c r="N42" s="354"/>
      <c r="O42" s="996"/>
      <c r="P42" s="996"/>
      <c r="Q42" s="996"/>
      <c r="R42"/>
      <c r="S42"/>
      <c r="T42"/>
    </row>
    <row r="43" spans="1:20">
      <c r="A43" s="35"/>
      <c r="B43" s="786"/>
      <c r="C43" s="156"/>
      <c r="D43" s="59"/>
      <c r="E43" s="59"/>
      <c r="F43" s="59"/>
      <c r="G43" s="59"/>
      <c r="H43" s="59"/>
      <c r="I43" s="59"/>
      <c r="J43" s="59"/>
      <c r="K43" s="59"/>
      <c r="L43" s="59"/>
      <c r="M43" s="59"/>
      <c r="N43" s="350"/>
      <c r="O43" s="64"/>
      <c r="P43" s="64"/>
      <c r="Q43" s="64"/>
      <c r="R43"/>
      <c r="S43"/>
      <c r="T43"/>
    </row>
    <row r="44" spans="1:20">
      <c r="A44" s="35"/>
      <c r="B44" s="780" t="s">
        <v>177</v>
      </c>
      <c r="C44" s="137" t="s">
        <v>7</v>
      </c>
      <c r="D44" s="110">
        <f>1-INDEX(Data!$D$73:$D$100,MATCH('RFPR cover'!$C$5,Data!$B$73:$B$100,0),0)</f>
        <v>0.41890000000000005</v>
      </c>
      <c r="E44" s="111">
        <f>1-INDEX(Data!$D$73:$D$100,MATCH('RFPR cover'!$C$5,Data!$B$73:$B$100,0),0)</f>
        <v>0.41890000000000005</v>
      </c>
      <c r="F44" s="111">
        <f>1-INDEX(Data!$D$73:$D$100,MATCH('RFPR cover'!$C$5,Data!$B$73:$B$100,0),0)</f>
        <v>0.41890000000000005</v>
      </c>
      <c r="G44" s="111">
        <f>1-INDEX(Data!$D$73:$D$100,MATCH('RFPR cover'!$C$5,Data!$B$73:$B$100,0),0)</f>
        <v>0.41890000000000005</v>
      </c>
      <c r="H44" s="111">
        <f>1-INDEX(Data!$D$73:$D$100,MATCH('RFPR cover'!$C$5,Data!$B$73:$B$100,0),0)</f>
        <v>0.41890000000000005</v>
      </c>
      <c r="I44" s="111">
        <f>1-INDEX(Data!$D$73:$D$100,MATCH('RFPR cover'!$C$5,Data!$B$73:$B$100,0),0)</f>
        <v>0.41890000000000005</v>
      </c>
      <c r="J44" s="111">
        <f>1-INDEX(Data!$D$73:$D$100,MATCH('RFPR cover'!$C$5,Data!$B$73:$B$100,0),0)</f>
        <v>0.41890000000000005</v>
      </c>
      <c r="K44" s="112">
        <f>1-INDEX(Data!$D$73:$D$100,MATCH('RFPR cover'!$C$5,Data!$B$73:$B$100,0),0)</f>
        <v>0.41890000000000005</v>
      </c>
      <c r="L44" s="62"/>
      <c r="M44" s="62"/>
      <c r="N44" s="351"/>
      <c r="O44"/>
      <c r="P44"/>
      <c r="Q44"/>
      <c r="R44"/>
      <c r="S44"/>
      <c r="T44"/>
    </row>
    <row r="45" spans="1:20">
      <c r="A45" s="35"/>
      <c r="B45" s="780"/>
      <c r="N45" s="352"/>
      <c r="O45"/>
      <c r="P45"/>
      <c r="Q45"/>
      <c r="R45"/>
      <c r="S45"/>
      <c r="T45"/>
    </row>
    <row r="46" spans="1:20">
      <c r="A46" s="35"/>
      <c r="B46" s="787" t="s">
        <v>182</v>
      </c>
      <c r="C46" s="160" t="str">
        <f>'RFPR cover'!$C$14</f>
        <v>£m 12/13</v>
      </c>
      <c r="D46" s="96">
        <f>D42*D44</f>
        <v>0</v>
      </c>
      <c r="E46" s="97">
        <f t="shared" ref="E46:K46" si="12">E42*E44</f>
        <v>0</v>
      </c>
      <c r="F46" s="97">
        <f t="shared" si="12"/>
        <v>0</v>
      </c>
      <c r="G46" s="97">
        <f t="shared" si="12"/>
        <v>0</v>
      </c>
      <c r="H46" s="97">
        <f t="shared" si="12"/>
        <v>0</v>
      </c>
      <c r="I46" s="97">
        <f t="shared" si="12"/>
        <v>0</v>
      </c>
      <c r="J46" s="97">
        <f t="shared" si="12"/>
        <v>0</v>
      </c>
      <c r="K46" s="97">
        <f t="shared" si="12"/>
        <v>0</v>
      </c>
      <c r="L46" s="358">
        <f>SUM(D46:INDEX(D46:K46,0,MATCH('RFPR cover'!$C$7,$D$6:$K$6,0)))</f>
        <v>0</v>
      </c>
      <c r="M46" s="579">
        <f>SUM(D46:K46)</f>
        <v>0</v>
      </c>
      <c r="N46" s="354"/>
      <c r="O46"/>
      <c r="P46"/>
      <c r="Q46"/>
      <c r="R46"/>
      <c r="S46"/>
      <c r="T46"/>
    </row>
    <row r="47" spans="1:20">
      <c r="A47" s="35"/>
      <c r="B47" s="787" t="s">
        <v>279</v>
      </c>
      <c r="C47" s="160" t="str">
        <f>'RFPR cover'!$C$14</f>
        <v>£m 12/13</v>
      </c>
      <c r="D47" s="581">
        <f>D42*(1-D44)</f>
        <v>0</v>
      </c>
      <c r="E47" s="582">
        <f t="shared" ref="E47:K47" si="13">E42*(1-E44)</f>
        <v>0</v>
      </c>
      <c r="F47" s="582">
        <f t="shared" si="13"/>
        <v>0</v>
      </c>
      <c r="G47" s="582">
        <f t="shared" si="13"/>
        <v>0</v>
      </c>
      <c r="H47" s="582">
        <f t="shared" si="13"/>
        <v>0</v>
      </c>
      <c r="I47" s="582">
        <f t="shared" si="13"/>
        <v>0</v>
      </c>
      <c r="J47" s="582">
        <f t="shared" si="13"/>
        <v>0</v>
      </c>
      <c r="K47" s="582">
        <f t="shared" si="13"/>
        <v>0</v>
      </c>
      <c r="L47" s="583">
        <f>SUM(D47:INDEX(D47:K47,0,MATCH('RFPR cover'!$C$7,$D$6:$K$6,0)))</f>
        <v>0</v>
      </c>
      <c r="M47" s="584">
        <f>SUM(D47:K47)</f>
        <v>0</v>
      </c>
      <c r="N47" s="354"/>
      <c r="O47"/>
      <c r="P47"/>
      <c r="Q47"/>
      <c r="R47"/>
      <c r="S47"/>
      <c r="T47"/>
    </row>
    <row r="48" spans="1:20">
      <c r="A48" s="35"/>
      <c r="B48" s="780"/>
      <c r="N48" s="352"/>
      <c r="O48"/>
      <c r="P48"/>
      <c r="Q48"/>
      <c r="R48"/>
      <c r="S48"/>
      <c r="T48"/>
    </row>
    <row r="49" spans="1:20">
      <c r="A49" s="35"/>
      <c r="B49" s="788" t="s">
        <v>181</v>
      </c>
      <c r="N49" s="352"/>
      <c r="O49"/>
      <c r="P49"/>
      <c r="Q49"/>
      <c r="R49"/>
      <c r="S49"/>
      <c r="T49"/>
    </row>
    <row r="50" spans="1:20">
      <c r="A50" s="270" t="s">
        <v>151</v>
      </c>
      <c r="B50" s="778" t="s">
        <v>241</v>
      </c>
      <c r="C50" s="156" t="str">
        <f>'RFPR cover'!$C$14</f>
        <v>£m 12/13</v>
      </c>
      <c r="D50" s="585"/>
      <c r="E50" s="586"/>
      <c r="F50" s="586"/>
      <c r="G50" s="586"/>
      <c r="H50" s="586"/>
      <c r="I50" s="586"/>
      <c r="J50" s="586"/>
      <c r="K50" s="586"/>
      <c r="L50" s="660">
        <f>SUM(D50:INDEX(D50:K50,0,MATCH('RFPR cover'!$C$7,$D$6:$K$6,0)))</f>
        <v>0</v>
      </c>
      <c r="M50" s="661">
        <f t="shared" ref="M50:M56" si="14">SUM(D50:K50)</f>
        <v>0</v>
      </c>
      <c r="N50" s="576"/>
      <c r="O50"/>
      <c r="P50"/>
      <c r="Q50"/>
      <c r="R50"/>
      <c r="S50"/>
      <c r="T50"/>
    </row>
    <row r="51" spans="1:20">
      <c r="A51" s="270" t="s">
        <v>152</v>
      </c>
      <c r="B51" s="778" t="s">
        <v>241</v>
      </c>
      <c r="C51" s="156" t="str">
        <f>'RFPR cover'!$C$14</f>
        <v>£m 12/13</v>
      </c>
      <c r="D51" s="589"/>
      <c r="E51" s="590"/>
      <c r="F51" s="590"/>
      <c r="G51" s="590"/>
      <c r="H51" s="590"/>
      <c r="I51" s="590"/>
      <c r="J51" s="590"/>
      <c r="K51" s="590"/>
      <c r="L51" s="662">
        <f>SUM(D51:INDEX(D51:K51,0,MATCH('RFPR cover'!$C$7,$D$6:$K$6,0)))</f>
        <v>0</v>
      </c>
      <c r="M51" s="663">
        <f t="shared" si="14"/>
        <v>0</v>
      </c>
      <c r="N51" s="577"/>
      <c r="O51"/>
      <c r="P51"/>
      <c r="Q51"/>
      <c r="R51"/>
      <c r="S51"/>
      <c r="T51"/>
    </row>
    <row r="52" spans="1:20">
      <c r="A52" s="270" t="s">
        <v>153</v>
      </c>
      <c r="B52" s="778" t="s">
        <v>241</v>
      </c>
      <c r="C52" s="156" t="str">
        <f>'RFPR cover'!$C$14</f>
        <v>£m 12/13</v>
      </c>
      <c r="D52" s="589"/>
      <c r="E52" s="590"/>
      <c r="F52" s="590"/>
      <c r="G52" s="590"/>
      <c r="H52" s="590"/>
      <c r="I52" s="590"/>
      <c r="J52" s="590"/>
      <c r="K52" s="590"/>
      <c r="L52" s="662">
        <f>SUM(D52:INDEX(D52:K52,0,MATCH('RFPR cover'!$C$7,$D$6:$K$6,0)))</f>
        <v>0</v>
      </c>
      <c r="M52" s="663">
        <f t="shared" si="14"/>
        <v>0</v>
      </c>
      <c r="N52" s="577"/>
      <c r="O52"/>
      <c r="P52"/>
      <c r="Q52"/>
      <c r="R52"/>
      <c r="S52" s="65"/>
      <c r="T52"/>
    </row>
    <row r="53" spans="1:20">
      <c r="A53" s="270" t="s">
        <v>167</v>
      </c>
      <c r="B53" s="778" t="s">
        <v>241</v>
      </c>
      <c r="C53" s="156" t="str">
        <f>'RFPR cover'!$C$14</f>
        <v>£m 12/13</v>
      </c>
      <c r="D53" s="589"/>
      <c r="E53" s="590"/>
      <c r="F53" s="590"/>
      <c r="G53" s="590"/>
      <c r="H53" s="590"/>
      <c r="I53" s="590"/>
      <c r="J53" s="590"/>
      <c r="K53" s="590"/>
      <c r="L53" s="662">
        <f>SUM(D53:INDEX(D53:K53,0,MATCH('RFPR cover'!$C$7,$D$6:$K$6,0)))</f>
        <v>0</v>
      </c>
      <c r="M53" s="663">
        <f t="shared" si="14"/>
        <v>0</v>
      </c>
      <c r="N53" s="577"/>
      <c r="O53"/>
      <c r="P53"/>
      <c r="Q53"/>
      <c r="R53"/>
      <c r="S53"/>
      <c r="T53"/>
    </row>
    <row r="54" spans="1:20">
      <c r="A54" s="270" t="s">
        <v>168</v>
      </c>
      <c r="B54" s="778" t="s">
        <v>241</v>
      </c>
      <c r="C54" s="156" t="str">
        <f>'RFPR cover'!$C$14</f>
        <v>£m 12/13</v>
      </c>
      <c r="D54" s="589"/>
      <c r="E54" s="590"/>
      <c r="F54" s="590"/>
      <c r="G54" s="590"/>
      <c r="H54" s="590"/>
      <c r="I54" s="590"/>
      <c r="J54" s="590"/>
      <c r="K54" s="590"/>
      <c r="L54" s="662">
        <f>SUM(D54:INDEX(D54:K54,0,MATCH('RFPR cover'!$C$7,$D$6:$K$6,0)))</f>
        <v>0</v>
      </c>
      <c r="M54" s="663">
        <f t="shared" si="14"/>
        <v>0</v>
      </c>
      <c r="N54" s="577"/>
      <c r="O54"/>
      <c r="P54"/>
      <c r="Q54"/>
      <c r="R54"/>
      <c r="S54"/>
      <c r="T54"/>
    </row>
    <row r="55" spans="1:20">
      <c r="A55" s="270" t="s">
        <v>169</v>
      </c>
      <c r="B55" s="778" t="s">
        <v>241</v>
      </c>
      <c r="C55" s="156" t="str">
        <f>'RFPR cover'!$C$14</f>
        <v>£m 12/13</v>
      </c>
      <c r="D55" s="593"/>
      <c r="E55" s="594"/>
      <c r="F55" s="594"/>
      <c r="G55" s="594"/>
      <c r="H55" s="594"/>
      <c r="I55" s="594"/>
      <c r="J55" s="594"/>
      <c r="K55" s="594"/>
      <c r="L55" s="664">
        <f>SUM(D55:INDEX(D55:K55,0,MATCH('RFPR cover'!$C$7,$D$6:$K$6,0)))</f>
        <v>0</v>
      </c>
      <c r="M55" s="665">
        <f t="shared" si="14"/>
        <v>0</v>
      </c>
      <c r="N55" s="578"/>
      <c r="O55"/>
      <c r="P55"/>
      <c r="Q55"/>
      <c r="R55"/>
      <c r="S55"/>
      <c r="T55"/>
    </row>
    <row r="56" spans="1:20">
      <c r="A56" s="35"/>
      <c r="B56" s="788" t="s">
        <v>189</v>
      </c>
      <c r="C56" s="156" t="str">
        <f>'RFPR cover'!$C$14</f>
        <v>£m 12/13</v>
      </c>
      <c r="D56" s="103">
        <f>SUM(D50:D55)</f>
        <v>0</v>
      </c>
      <c r="E56" s="104">
        <f t="shared" ref="E56:K56" si="15">SUM(E50:E55)</f>
        <v>0</v>
      </c>
      <c r="F56" s="104">
        <f t="shared" si="15"/>
        <v>0</v>
      </c>
      <c r="G56" s="104">
        <f t="shared" si="15"/>
        <v>0</v>
      </c>
      <c r="H56" s="104">
        <f t="shared" si="15"/>
        <v>0</v>
      </c>
      <c r="I56" s="104">
        <f t="shared" si="15"/>
        <v>0</v>
      </c>
      <c r="J56" s="104">
        <f t="shared" si="15"/>
        <v>0</v>
      </c>
      <c r="K56" s="104">
        <f t="shared" si="15"/>
        <v>0</v>
      </c>
      <c r="L56" s="356">
        <f>SUM(D56:INDEX(D56:K56,0,MATCH('RFPR cover'!$C$7,$D$6:$K$6,0)))</f>
        <v>0</v>
      </c>
      <c r="M56" s="357">
        <f t="shared" si="14"/>
        <v>0</v>
      </c>
      <c r="N56" s="354"/>
    </row>
    <row r="57" spans="1:20">
      <c r="A57" s="35"/>
      <c r="B57" s="780"/>
      <c r="N57" s="352"/>
    </row>
    <row r="58" spans="1:20">
      <c r="A58" s="35"/>
      <c r="B58" s="787" t="s">
        <v>197</v>
      </c>
      <c r="C58" s="160" t="str">
        <f>'RFPR cover'!$C$14</f>
        <v>£m 12/13</v>
      </c>
      <c r="D58" s="96">
        <f t="shared" ref="D58:K58" si="16">D56*D44</f>
        <v>0</v>
      </c>
      <c r="E58" s="97">
        <f t="shared" si="16"/>
        <v>0</v>
      </c>
      <c r="F58" s="97">
        <f t="shared" si="16"/>
        <v>0</v>
      </c>
      <c r="G58" s="97">
        <f t="shared" si="16"/>
        <v>0</v>
      </c>
      <c r="H58" s="97">
        <f t="shared" si="16"/>
        <v>0</v>
      </c>
      <c r="I58" s="97">
        <f t="shared" si="16"/>
        <v>0</v>
      </c>
      <c r="J58" s="97">
        <f t="shared" si="16"/>
        <v>0</v>
      </c>
      <c r="K58" s="97">
        <f t="shared" si="16"/>
        <v>0</v>
      </c>
      <c r="L58" s="358">
        <f>SUM(D58:INDEX(D58:K58,0,MATCH('RFPR cover'!$C$7,$D$6:$K$6,0)))</f>
        <v>0</v>
      </c>
      <c r="M58" s="579">
        <f>SUM(D58:K58)</f>
        <v>0</v>
      </c>
      <c r="N58" s="354"/>
    </row>
    <row r="59" spans="1:20">
      <c r="A59" s="35"/>
      <c r="B59" s="787" t="s">
        <v>308</v>
      </c>
      <c r="C59" s="160" t="str">
        <f>'RFPR cover'!$C$14</f>
        <v>£m 12/13</v>
      </c>
      <c r="D59" s="93">
        <f t="shared" ref="D59:K59" si="17">D56*(1-D44)</f>
        <v>0</v>
      </c>
      <c r="E59" s="94">
        <f t="shared" si="17"/>
        <v>0</v>
      </c>
      <c r="F59" s="94">
        <f t="shared" si="17"/>
        <v>0</v>
      </c>
      <c r="G59" s="94">
        <f t="shared" si="17"/>
        <v>0</v>
      </c>
      <c r="H59" s="94">
        <f t="shared" si="17"/>
        <v>0</v>
      </c>
      <c r="I59" s="94">
        <f t="shared" si="17"/>
        <v>0</v>
      </c>
      <c r="J59" s="94">
        <f t="shared" si="17"/>
        <v>0</v>
      </c>
      <c r="K59" s="94">
        <f t="shared" si="17"/>
        <v>0</v>
      </c>
      <c r="L59" s="359">
        <f>SUM(D59:INDEX(D59:K59,0,MATCH('RFPR cover'!$C$7,$D$6:$K$6,0)))</f>
        <v>0</v>
      </c>
      <c r="M59" s="580">
        <f>SUM(D59:K59)</f>
        <v>0</v>
      </c>
      <c r="N59" s="354"/>
    </row>
    <row r="60" spans="1:20">
      <c r="A60" s="35"/>
      <c r="B60" s="780"/>
      <c r="N60" s="352"/>
    </row>
    <row r="61" spans="1:20">
      <c r="A61" s="35"/>
      <c r="B61" s="788" t="s">
        <v>180</v>
      </c>
      <c r="N61" s="352"/>
    </row>
    <row r="62" spans="1:20">
      <c r="A62" s="35"/>
      <c r="B62" s="780" t="s">
        <v>179</v>
      </c>
      <c r="C62" s="156" t="str">
        <f>'RFPR cover'!$C$14</f>
        <v>£m 12/13</v>
      </c>
      <c r="D62" s="96">
        <f>D46+D58</f>
        <v>0</v>
      </c>
      <c r="E62" s="97">
        <f t="shared" ref="E62:K62" si="18">E46+E58</f>
        <v>0</v>
      </c>
      <c r="F62" s="97">
        <f t="shared" si="18"/>
        <v>0</v>
      </c>
      <c r="G62" s="97">
        <f t="shared" si="18"/>
        <v>0</v>
      </c>
      <c r="H62" s="97">
        <f t="shared" si="18"/>
        <v>0</v>
      </c>
      <c r="I62" s="97">
        <f t="shared" si="18"/>
        <v>0</v>
      </c>
      <c r="J62" s="97">
        <f t="shared" si="18"/>
        <v>0</v>
      </c>
      <c r="K62" s="97">
        <f t="shared" si="18"/>
        <v>0</v>
      </c>
      <c r="L62" s="358">
        <f>SUM(D62:INDEX(D62:K62,0,MATCH('RFPR cover'!$C$7,$D$6:$K$6,0)))</f>
        <v>0</v>
      </c>
      <c r="M62" s="579">
        <f>SUM(D62:K62)</f>
        <v>0</v>
      </c>
      <c r="N62" s="354"/>
    </row>
    <row r="63" spans="1:20">
      <c r="A63" s="35"/>
      <c r="B63" s="780" t="s">
        <v>279</v>
      </c>
      <c r="C63" s="156" t="str">
        <f>'RFPR cover'!$C$14</f>
        <v>£m 12/13</v>
      </c>
      <c r="D63" s="99">
        <f>D47+D59</f>
        <v>0</v>
      </c>
      <c r="E63" s="100">
        <f t="shared" ref="E63:K63" si="19">E47+E59</f>
        <v>0</v>
      </c>
      <c r="F63" s="100">
        <f t="shared" si="19"/>
        <v>0</v>
      </c>
      <c r="G63" s="100">
        <f t="shared" si="19"/>
        <v>0</v>
      </c>
      <c r="H63" s="100">
        <f t="shared" si="19"/>
        <v>0</v>
      </c>
      <c r="I63" s="100">
        <f t="shared" si="19"/>
        <v>0</v>
      </c>
      <c r="J63" s="100">
        <f t="shared" si="19"/>
        <v>0</v>
      </c>
      <c r="K63" s="100">
        <f t="shared" si="19"/>
        <v>0</v>
      </c>
      <c r="L63" s="360">
        <f>SUM(D63:INDEX(D63:K63,0,MATCH('RFPR cover'!$C$7,$D$6:$K$6,0)))</f>
        <v>0</v>
      </c>
      <c r="M63" s="580">
        <f>SUM(D63:K63)</f>
        <v>0</v>
      </c>
      <c r="N63" s="354"/>
    </row>
    <row r="64" spans="1:20">
      <c r="A64" s="35"/>
      <c r="B64" s="788" t="s">
        <v>11</v>
      </c>
      <c r="C64" s="157" t="str">
        <f>'RFPR cover'!$C$14</f>
        <v>£m 12/13</v>
      </c>
      <c r="D64" s="140">
        <f>SUM(D62:D63)</f>
        <v>0</v>
      </c>
      <c r="E64" s="141">
        <f t="shared" ref="E64:K64" si="20">SUM(E62:E63)</f>
        <v>0</v>
      </c>
      <c r="F64" s="141">
        <f t="shared" si="20"/>
        <v>0</v>
      </c>
      <c r="G64" s="141">
        <f t="shared" si="20"/>
        <v>0</v>
      </c>
      <c r="H64" s="141">
        <f t="shared" si="20"/>
        <v>0</v>
      </c>
      <c r="I64" s="141">
        <f t="shared" si="20"/>
        <v>0</v>
      </c>
      <c r="J64" s="141">
        <f t="shared" si="20"/>
        <v>0</v>
      </c>
      <c r="K64" s="141">
        <f t="shared" si="20"/>
        <v>0</v>
      </c>
      <c r="L64" s="361">
        <f>SUM(D64:INDEX(D64:K64,0,MATCH('RFPR cover'!$C$7,$D$6:$K$6,0)))</f>
        <v>0</v>
      </c>
      <c r="M64" s="362">
        <f>SUM(D64:K64)</f>
        <v>0</v>
      </c>
      <c r="N64" s="355"/>
    </row>
    <row r="65" spans="1:20">
      <c r="A65" s="35"/>
      <c r="B65" s="788"/>
      <c r="C65" s="157"/>
      <c r="D65" s="157"/>
      <c r="E65" s="157"/>
      <c r="F65" s="157"/>
      <c r="G65" s="157"/>
      <c r="H65" s="157"/>
      <c r="I65" s="157"/>
      <c r="J65" s="157"/>
      <c r="K65" s="157"/>
      <c r="L65" s="157"/>
      <c r="M65" s="157"/>
    </row>
    <row r="66" spans="1:20">
      <c r="A66" s="35"/>
      <c r="B66" s="783" t="s">
        <v>256</v>
      </c>
      <c r="C66" s="151"/>
      <c r="D66" s="82"/>
      <c r="E66" s="82"/>
      <c r="F66" s="82"/>
      <c r="G66" s="82"/>
      <c r="H66" s="82"/>
      <c r="I66" s="82"/>
      <c r="J66" s="82"/>
      <c r="K66" s="82"/>
      <c r="L66" s="82"/>
      <c r="M66" s="82"/>
      <c r="N66" s="82"/>
    </row>
    <row r="67" spans="1:20">
      <c r="A67" s="35"/>
      <c r="B67" s="780"/>
      <c r="O67"/>
      <c r="P67"/>
      <c r="Q67"/>
      <c r="R67"/>
      <c r="S67"/>
      <c r="T67"/>
    </row>
    <row r="68" spans="1:20">
      <c r="A68" s="35"/>
      <c r="B68" s="788" t="s">
        <v>180</v>
      </c>
    </row>
    <row r="69" spans="1:20">
      <c r="A69" s="35"/>
      <c r="B69" s="780" t="s">
        <v>179</v>
      </c>
      <c r="C69" s="156" t="str">
        <f>'RFPR cover'!$C$14</f>
        <v>£m 12/13</v>
      </c>
      <c r="D69" s="96">
        <f>D34+D62</f>
        <v>1.5151568132007041</v>
      </c>
      <c r="E69" s="97">
        <f t="shared" ref="E69:K69" si="21">E34+E62</f>
        <v>4.6426717839542579</v>
      </c>
      <c r="F69" s="97">
        <f t="shared" si="21"/>
        <v>1.7667778276580282</v>
      </c>
      <c r="G69" s="97">
        <f t="shared" si="21"/>
        <v>11.359298928816122</v>
      </c>
      <c r="H69" s="97">
        <f t="shared" si="21"/>
        <v>7.712089826682087</v>
      </c>
      <c r="I69" s="97">
        <f t="shared" si="21"/>
        <v>9.2921382755445681</v>
      </c>
      <c r="J69" s="97">
        <f t="shared" si="21"/>
        <v>8.8638451776961418</v>
      </c>
      <c r="K69" s="97">
        <f t="shared" si="21"/>
        <v>8.116484567494668</v>
      </c>
      <c r="L69" s="96">
        <f>SUM(D69:INDEX(D69:K69,0,MATCH('RFPR cover'!$C$7,$D$6:$K$6,0)))</f>
        <v>26.995995180311198</v>
      </c>
      <c r="M69" s="98">
        <f>SUM(D69:K69)</f>
        <v>53.268463201046572</v>
      </c>
    </row>
    <row r="70" spans="1:20">
      <c r="A70" s="35"/>
      <c r="B70" s="780" t="s">
        <v>279</v>
      </c>
      <c r="C70" s="156" t="str">
        <f>'RFPR cover'!$C$14</f>
        <v>£m 12/13</v>
      </c>
      <c r="D70" s="523">
        <f t="shared" ref="D70:K70" si="22">D35+D63</f>
        <v>2.1018324758914515</v>
      </c>
      <c r="E70" s="524">
        <f t="shared" si="22"/>
        <v>6.4403355780754801</v>
      </c>
      <c r="F70" s="524">
        <f t="shared" si="22"/>
        <v>2.450882300434662</v>
      </c>
      <c r="G70" s="524">
        <f t="shared" si="22"/>
        <v>15.75767153863702</v>
      </c>
      <c r="H70" s="524">
        <f t="shared" si="22"/>
        <v>10.698246355418858</v>
      </c>
      <c r="I70" s="524">
        <f t="shared" si="22"/>
        <v>12.890096805726778</v>
      </c>
      <c r="J70" s="524">
        <f t="shared" si="22"/>
        <v>12.295966657338809</v>
      </c>
      <c r="K70" s="524">
        <f t="shared" si="22"/>
        <v>11.25922459339019</v>
      </c>
      <c r="L70" s="523">
        <f>SUM(D70:INDEX(D70:K70,0,MATCH('RFPR cover'!$C$7,$D$6:$K$6,0)))</f>
        <v>37.448968248457476</v>
      </c>
      <c r="M70" s="525">
        <f>SUM(D70:K70)</f>
        <v>73.894256304913256</v>
      </c>
    </row>
    <row r="71" spans="1:20">
      <c r="A71" s="35"/>
      <c r="B71" s="788" t="s">
        <v>11</v>
      </c>
      <c r="C71" s="157" t="str">
        <f>'RFPR cover'!$C$14</f>
        <v>£m 12/13</v>
      </c>
      <c r="D71" s="146">
        <f>SUM(D69:D70)</f>
        <v>3.6169892890921558</v>
      </c>
      <c r="E71" s="147">
        <f t="shared" ref="E71:K71" si="23">SUM(E69:E70)</f>
        <v>11.083007362029738</v>
      </c>
      <c r="F71" s="147">
        <f t="shared" si="23"/>
        <v>4.2176601280926906</v>
      </c>
      <c r="G71" s="147">
        <f t="shared" si="23"/>
        <v>27.116970467453143</v>
      </c>
      <c r="H71" s="147">
        <f t="shared" si="23"/>
        <v>18.410336182100945</v>
      </c>
      <c r="I71" s="147">
        <f t="shared" si="23"/>
        <v>22.182235081271344</v>
      </c>
      <c r="J71" s="147">
        <f t="shared" si="23"/>
        <v>21.159811835034951</v>
      </c>
      <c r="K71" s="147">
        <f t="shared" si="23"/>
        <v>19.37570916088486</v>
      </c>
      <c r="L71" s="146">
        <f>SUM(D71:INDEX(D71:K71,0,MATCH('RFPR cover'!$C$7,$D$6:$K$6,0)))</f>
        <v>64.444963428768673</v>
      </c>
      <c r="M71" s="148">
        <f>SUM(D71:K71)</f>
        <v>127.16271950595984</v>
      </c>
    </row>
    <row r="72" spans="1:20">
      <c r="A72" s="35"/>
      <c r="B72" s="788"/>
      <c r="C72" s="157"/>
      <c r="D72" s="157"/>
      <c r="E72" s="157"/>
      <c r="F72" s="157"/>
      <c r="G72" s="157"/>
      <c r="H72" s="157"/>
      <c r="I72" s="157"/>
      <c r="J72" s="157"/>
      <c r="K72" s="157"/>
      <c r="L72" s="157"/>
      <c r="M72" s="157"/>
    </row>
    <row r="73" spans="1:20">
      <c r="A73" s="35"/>
      <c r="B73" s="780"/>
    </row>
    <row r="74" spans="1:20">
      <c r="A74" s="35"/>
      <c r="B74" s="783" t="s">
        <v>213</v>
      </c>
      <c r="C74" s="151"/>
      <c r="D74" s="81"/>
      <c r="E74" s="81"/>
      <c r="F74" s="81"/>
      <c r="G74" s="81"/>
      <c r="H74" s="81"/>
      <c r="I74" s="81"/>
      <c r="J74" s="81"/>
      <c r="K74" s="81"/>
      <c r="L74" s="81"/>
      <c r="M74" s="81"/>
      <c r="N74" s="81"/>
    </row>
    <row r="75" spans="1:20">
      <c r="A75" s="35"/>
      <c r="B75" s="370" t="s">
        <v>212</v>
      </c>
      <c r="C75" s="369"/>
      <c r="D75" s="369"/>
      <c r="E75" s="369"/>
      <c r="F75" s="369"/>
      <c r="G75" s="369"/>
      <c r="H75" s="369"/>
      <c r="I75" s="369"/>
      <c r="J75" s="369"/>
      <c r="K75" s="369"/>
      <c r="L75" s="369"/>
      <c r="M75" s="369"/>
      <c r="N75" s="369"/>
    </row>
    <row r="76" spans="1:20" s="35" customFormat="1">
      <c r="B76" s="430"/>
      <c r="C76" s="374"/>
      <c r="D76" s="374"/>
      <c r="E76" s="374"/>
      <c r="F76" s="374"/>
      <c r="G76" s="374"/>
      <c r="H76" s="374"/>
      <c r="I76" s="374"/>
      <c r="J76" s="374"/>
      <c r="K76" s="374"/>
      <c r="L76" s="374"/>
      <c r="M76" s="374"/>
      <c r="N76" s="374"/>
    </row>
    <row r="77" spans="1:20">
      <c r="A77" s="35"/>
      <c r="B77" s="787" t="s">
        <v>216</v>
      </c>
      <c r="C77" s="156" t="str">
        <f>'RFPR cover'!$C$14</f>
        <v>£m 12/13</v>
      </c>
      <c r="D77" s="666">
        <f>INDEX(Data!$C$119:$L$146,MATCH('RFPR cover'!$C$5,Data!$B$119:$B$146,0),MATCH('R4 - Totex'!D$6,Data!$C$118:$L$118,0))</f>
        <v>1.5575632164737283</v>
      </c>
      <c r="E77" s="667">
        <f>INDEX(Data!$C$119:$L$146,MATCH('RFPR cover'!$C$5,Data!$B$119:$B$146,0),MATCH('R4 - Totex'!E$6,Data!$C$118:$L$118,0))</f>
        <v>1.4734141240658321</v>
      </c>
      <c r="F77" s="667">
        <f>INDEX(Data!$C$119:$L$146,MATCH('RFPR cover'!$C$5,Data!$B$119:$B$146,0),MATCH('R4 - Totex'!F$6,Data!$C$118:$L$118,0))</f>
        <v>1.4689588897025405</v>
      </c>
      <c r="G77" s="667">
        <f>INDEX(Data!$C$119:$L$146,MATCH('RFPR cover'!$C$5,Data!$B$119:$B$146,0),MATCH('R4 - Totex'!G$6,Data!$C$118:$L$118,0))</f>
        <v>1.4707200530126929</v>
      </c>
      <c r="H77" s="667">
        <f>INDEX(Data!$C$119:$L$146,MATCH('RFPR cover'!$C$5,Data!$B$119:$B$146,0),MATCH('R4 - Totex'!H$6,Data!$C$118:$L$118,0))</f>
        <v>1.4674716260161711</v>
      </c>
      <c r="I77" s="667">
        <f>INDEX(Data!$C$119:$L$146,MATCH('RFPR cover'!$C$5,Data!$B$119:$B$146,0),MATCH('R4 - Totex'!I$6,Data!$C$118:$L$118,0))</f>
        <v>1.4486206224386007</v>
      </c>
      <c r="J77" s="667">
        <f>INDEX(Data!$C$119:$L$146,MATCH('RFPR cover'!$C$5,Data!$B$119:$B$146,0),MATCH('R4 - Totex'!J$6,Data!$C$118:$L$118,0))</f>
        <v>1.4956798325868756</v>
      </c>
      <c r="K77" s="668">
        <f>INDEX(Data!$C$119:$L$146,MATCH('RFPR cover'!$C$5,Data!$B$119:$B$146,0),MATCH('R4 - Totex'!K$6,Data!$C$118:$L$118,0))</f>
        <v>1.4397148718051931</v>
      </c>
      <c r="L77" s="99">
        <f>SUM(D77:INDEX(D77:K77,0,MATCH('RFPR cover'!$C$7,$D$6:$K$6,0)))</f>
        <v>7.4381279092709649</v>
      </c>
      <c r="M77" s="101">
        <f>SUM(D77:K77)</f>
        <v>11.822143236101635</v>
      </c>
    </row>
    <row r="78" spans="1:20">
      <c r="A78" s="35"/>
      <c r="B78" s="226" t="s">
        <v>200</v>
      </c>
      <c r="C78" s="156" t="s">
        <v>7</v>
      </c>
      <c r="D78" s="893" t="str">
        <f>IF(INDEX(Data!$J$73:$J$100,MATCH('RFPR cover'!$C$5,Data!$B$73:$B$100,0),0)="Pre",INDEX(Data!$G$18:$G$27,MATCH('R4 - Totex'!D$6,Data!$C$18:$C$27,0),0),"n/a")</f>
        <v>n/a</v>
      </c>
      <c r="E78" s="893" t="str">
        <f>IF(INDEX(Data!$J$73:$J$100,MATCH('RFPR cover'!$C$5,Data!$B$73:$B$100,0),0)="Pre",INDEX(Data!$G$18:$G$27,MATCH('R4 - Totex'!E$6,Data!$C$18:$C$27,0),0),"n/a")</f>
        <v>n/a</v>
      </c>
      <c r="F78" s="893" t="str">
        <f>IF(INDEX(Data!$J$73:$J$100,MATCH('RFPR cover'!$C$5,Data!$B$73:$B$100,0),0)="Pre",INDEX(Data!$G$18:$G$27,MATCH('R4 - Totex'!F$6,Data!$C$18:$C$27,0),0),"n/a")</f>
        <v>n/a</v>
      </c>
      <c r="G78" s="893" t="str">
        <f>IF(INDEX(Data!$J$73:$J$100,MATCH('RFPR cover'!$C$5,Data!$B$73:$B$100,0),0)="Pre",INDEX(Data!$G$18:$G$27,MATCH('R4 - Totex'!G$6,Data!$C$18:$C$27,0),0),"n/a")</f>
        <v>n/a</v>
      </c>
      <c r="H78" s="893" t="str">
        <f>IF(INDEX(Data!$J$73:$J$100,MATCH('RFPR cover'!$C$5,Data!$B$73:$B$100,0),0)="Pre",INDEX(Data!$G$18:$G$27,MATCH('R4 - Totex'!H$6,Data!$C$18:$C$27,0),0),"n/a")</f>
        <v>n/a</v>
      </c>
      <c r="I78" s="893" t="str">
        <f>IF(INDEX(Data!$J$73:$J$100,MATCH('RFPR cover'!$C$5,Data!$B$73:$B$100,0),0)="Pre",INDEX(Data!$G$18:$G$27,MATCH('R4 - Totex'!I$6,Data!$C$18:$C$27,0),0),"n/a")</f>
        <v>n/a</v>
      </c>
      <c r="J78" s="893" t="str">
        <f>IF(INDEX(Data!$J$73:$J$100,MATCH('RFPR cover'!$C$5,Data!$B$73:$B$100,0),0)="Pre",INDEX(Data!$G$18:$G$27,MATCH('R4 - Totex'!J$6,Data!$C$18:$C$27,0),0),"n/a")</f>
        <v>n/a</v>
      </c>
      <c r="K78" s="893" t="str">
        <f>IF(INDEX(Data!$J$73:$J$100,MATCH('RFPR cover'!$C$5,Data!$B$73:$B$100,0),0)="Pre",INDEX(Data!$G$18:$G$27,MATCH('R4 - Totex'!K$6,Data!$C$18:$C$27,0),0),"n/a")</f>
        <v>n/a</v>
      </c>
      <c r="L78" s="891"/>
      <c r="M78" s="892"/>
    </row>
    <row r="79" spans="1:20">
      <c r="A79" s="35"/>
      <c r="B79" s="226" t="s">
        <v>209</v>
      </c>
      <c r="C79" s="156" t="str">
        <f>'RFPR cover'!$C$14</f>
        <v>£m 12/13</v>
      </c>
      <c r="D79" s="613">
        <f>IF(ISNUMBER(D78),D77*(1-D78),D77)</f>
        <v>1.5575632164737283</v>
      </c>
      <c r="E79" s="614">
        <f t="shared" ref="E79:K79" si="24">IF(ISNUMBER(E78),E77*(1-E78),E77)</f>
        <v>1.4734141240658321</v>
      </c>
      <c r="F79" s="614">
        <f t="shared" si="24"/>
        <v>1.4689588897025405</v>
      </c>
      <c r="G79" s="614">
        <f t="shared" si="24"/>
        <v>1.4707200530126929</v>
      </c>
      <c r="H79" s="614">
        <f t="shared" si="24"/>
        <v>1.4674716260161711</v>
      </c>
      <c r="I79" s="614">
        <f t="shared" si="24"/>
        <v>1.4486206224386007</v>
      </c>
      <c r="J79" s="614">
        <f t="shared" si="24"/>
        <v>1.4956798325868756</v>
      </c>
      <c r="K79" s="615">
        <f t="shared" si="24"/>
        <v>1.4397148718051931</v>
      </c>
      <c r="L79" s="672">
        <f>SUM(D79:INDEX(D79:K79,0,MATCH('RFPR cover'!$C$7,$D$6:$K$6,0)))</f>
        <v>7.4381279092709649</v>
      </c>
      <c r="M79" s="673">
        <f>SUM(D79:K79)</f>
        <v>11.822143236101635</v>
      </c>
    </row>
    <row r="80" spans="1:20">
      <c r="A80" s="35"/>
      <c r="B80" s="226"/>
      <c r="C80" s="66"/>
      <c r="D80" s="283"/>
      <c r="E80" s="283"/>
      <c r="F80" s="283"/>
      <c r="G80" s="283"/>
      <c r="H80" s="283"/>
      <c r="I80" s="283"/>
      <c r="J80" s="283"/>
      <c r="K80" s="283"/>
      <c r="L80" s="284"/>
      <c r="M80" s="284"/>
    </row>
    <row r="81" spans="1:20">
      <c r="A81" s="35"/>
      <c r="B81" s="226"/>
      <c r="C81" s="66"/>
      <c r="D81" s="283"/>
      <c r="E81" s="283"/>
      <c r="F81" s="283"/>
      <c r="G81" s="283"/>
      <c r="H81" s="283"/>
      <c r="I81" s="283"/>
      <c r="J81" s="283"/>
      <c r="K81" s="283"/>
      <c r="L81" s="284"/>
      <c r="M81" s="284"/>
    </row>
    <row r="82" spans="1:20">
      <c r="A82" s="35"/>
      <c r="B82" s="226"/>
      <c r="C82" s="66"/>
      <c r="D82" s="283"/>
      <c r="E82" s="283"/>
      <c r="F82" s="283"/>
      <c r="G82" s="283"/>
      <c r="H82" s="283"/>
      <c r="I82" s="283"/>
      <c r="J82" s="283"/>
      <c r="K82" s="283"/>
      <c r="L82" s="284"/>
      <c r="M82" s="284"/>
    </row>
    <row r="83" spans="1:20">
      <c r="A83" s="35"/>
      <c r="B83" s="780"/>
    </row>
    <row r="84" spans="1:20">
      <c r="A84" s="35"/>
      <c r="B84" s="782" t="s">
        <v>186</v>
      </c>
      <c r="C84" s="292"/>
      <c r="D84" s="294"/>
      <c r="E84" s="294"/>
      <c r="F84" s="294"/>
      <c r="G84" s="294"/>
      <c r="H84" s="294"/>
      <c r="I84" s="294"/>
      <c r="J84" s="294"/>
      <c r="K84" s="294"/>
      <c r="L84" s="294"/>
      <c r="M84" s="294"/>
      <c r="N84" s="294"/>
    </row>
    <row r="85" spans="1:20">
      <c r="A85" s="35"/>
      <c r="B85" s="788"/>
    </row>
    <row r="86" spans="1:20">
      <c r="A86" s="35"/>
      <c r="B86" s="787" t="str">
        <f>Data!B34</f>
        <v>Financial Year Average RPI (RPIt)</v>
      </c>
      <c r="C86" s="137" t="s">
        <v>127</v>
      </c>
      <c r="D86" s="113">
        <f>Data!C$34</f>
        <v>1.0603167467048125</v>
      </c>
      <c r="E86" s="114">
        <f>Data!D$34</f>
        <v>1.0830366813119445</v>
      </c>
      <c r="F86" s="114">
        <f>Data!E$34</f>
        <v>1.1235639113109226</v>
      </c>
      <c r="G86" s="114">
        <f>Data!F$34</f>
        <v>1.1578951670583426</v>
      </c>
      <c r="H86" s="114">
        <f>Data!G$34</f>
        <v>1.1878696229692449</v>
      </c>
      <c r="I86" s="114">
        <f>Data!H$34</f>
        <v>1.2080634065597218</v>
      </c>
      <c r="J86" s="114">
        <f>Data!I$34</f>
        <v>1.2337347539491161</v>
      </c>
      <c r="K86" s="115">
        <f>Data!J$34</f>
        <v>1.2655034238633056</v>
      </c>
    </row>
    <row r="87" spans="1:20">
      <c r="A87" s="35"/>
      <c r="B87" s="787"/>
      <c r="D87" s="137"/>
      <c r="E87" s="137"/>
      <c r="F87" s="137"/>
      <c r="G87" s="137"/>
      <c r="H87" s="137"/>
      <c r="I87" s="137"/>
      <c r="J87" s="137"/>
      <c r="K87" s="137"/>
    </row>
    <row r="88" spans="1:20">
      <c r="A88" s="35"/>
      <c r="B88" s="783" t="str">
        <f>B10</f>
        <v>Totex</v>
      </c>
      <c r="C88" s="151"/>
      <c r="D88" s="82"/>
      <c r="E88" s="82"/>
      <c r="F88" s="82"/>
      <c r="G88" s="82"/>
      <c r="H88" s="82"/>
      <c r="I88" s="82"/>
      <c r="J88" s="82"/>
      <c r="K88" s="82"/>
      <c r="L88" s="82"/>
      <c r="M88" s="82"/>
      <c r="N88" s="82"/>
    </row>
    <row r="89" spans="1:20" s="35" customFormat="1">
      <c r="B89" s="784"/>
      <c r="C89" s="139"/>
      <c r="D89" s="321"/>
      <c r="E89" s="321"/>
      <c r="F89" s="321"/>
      <c r="G89" s="321"/>
      <c r="H89" s="321"/>
      <c r="I89" s="321"/>
      <c r="J89" s="321"/>
      <c r="K89" s="321"/>
      <c r="L89" s="321"/>
      <c r="M89" s="321"/>
      <c r="N89" s="321"/>
    </row>
    <row r="90" spans="1:20">
      <c r="A90" s="35"/>
      <c r="B90" s="306" t="s">
        <v>34</v>
      </c>
      <c r="C90" s="156" t="s">
        <v>128</v>
      </c>
      <c r="D90" s="675">
        <f t="shared" ref="D90:K91" si="25">D12*D$86</f>
        <v>244.41674573242585</v>
      </c>
      <c r="E90" s="675">
        <f t="shared" si="25"/>
        <v>211.60842556006889</v>
      </c>
      <c r="F90" s="675">
        <f t="shared" si="25"/>
        <v>254.61943506924939</v>
      </c>
      <c r="G90" s="675">
        <f t="shared" si="25"/>
        <v>269.41690344357545</v>
      </c>
      <c r="H90" s="675">
        <f t="shared" si="25"/>
        <v>252.63846065967167</v>
      </c>
      <c r="I90" s="675">
        <f t="shared" si="25"/>
        <v>253.51986865217901</v>
      </c>
      <c r="J90" s="675">
        <f t="shared" si="25"/>
        <v>271.67836006009497</v>
      </c>
      <c r="K90" s="675">
        <f t="shared" si="25"/>
        <v>261.64239948913621</v>
      </c>
      <c r="L90" s="674">
        <f>SUM(D90:INDEX(D90:K90,0,MATCH('RFPR cover'!$C$7,$D$6:$K$6,0)))</f>
        <v>1232.6999704649911</v>
      </c>
      <c r="M90" s="675">
        <f>SUM(D90:K90)</f>
        <v>2019.5405986664014</v>
      </c>
      <c r="N90" s="63"/>
      <c r="O90" s="63"/>
    </row>
    <row r="91" spans="1:20" ht="25.5">
      <c r="A91" s="35"/>
      <c r="B91" s="785" t="s">
        <v>196</v>
      </c>
      <c r="C91" s="156" t="s">
        <v>128</v>
      </c>
      <c r="D91" s="675">
        <f t="shared" si="25"/>
        <v>251.70233200023353</v>
      </c>
      <c r="E91" s="675">
        <f t="shared" si="25"/>
        <v>245.70985270846629</v>
      </c>
      <c r="F91" s="675">
        <f t="shared" si="25"/>
        <v>257.19410611711669</v>
      </c>
      <c r="G91" s="675">
        <f t="shared" si="25"/>
        <v>267.74902008982349</v>
      </c>
      <c r="H91" s="675">
        <f t="shared" si="25"/>
        <v>274.93409942921932</v>
      </c>
      <c r="I91" s="675">
        <f t="shared" si="25"/>
        <v>284.09577065730798</v>
      </c>
      <c r="J91" s="675">
        <f t="shared" si="25"/>
        <v>299.25393319366526</v>
      </c>
      <c r="K91" s="675">
        <f t="shared" si="25"/>
        <v>288.92674369792508</v>
      </c>
      <c r="L91" s="676">
        <f>SUM(D91:INDEX(D91:K91,0,MATCH('RFPR cover'!$C$7,$D$6:$K$6,0)))</f>
        <v>1297.2894103448593</v>
      </c>
      <c r="M91" s="677">
        <f>SUM(D91:K91)</f>
        <v>2169.5658578937578</v>
      </c>
      <c r="N91" s="63"/>
      <c r="O91" s="63"/>
    </row>
    <row r="92" spans="1:20">
      <c r="A92" s="35"/>
      <c r="B92" s="786" t="s">
        <v>194</v>
      </c>
      <c r="C92" s="156" t="s">
        <v>128</v>
      </c>
      <c r="D92" s="103">
        <f>D91-D90</f>
        <v>7.2855862678076733</v>
      </c>
      <c r="E92" s="104">
        <f t="shared" ref="E92:M92" si="26">E91-E90</f>
        <v>34.101427148397391</v>
      </c>
      <c r="F92" s="104">
        <f t="shared" si="26"/>
        <v>2.5746710478672981</v>
      </c>
      <c r="G92" s="104">
        <f t="shared" si="26"/>
        <v>-1.6678833537519608</v>
      </c>
      <c r="H92" s="104">
        <f t="shared" si="26"/>
        <v>22.295638769547651</v>
      </c>
      <c r="I92" s="104">
        <f t="shared" si="26"/>
        <v>30.575902005128967</v>
      </c>
      <c r="J92" s="104">
        <f t="shared" si="26"/>
        <v>27.575573133570288</v>
      </c>
      <c r="K92" s="105">
        <f t="shared" si="26"/>
        <v>27.284344208788866</v>
      </c>
      <c r="L92" s="103">
        <f t="shared" si="26"/>
        <v>64.589439879868223</v>
      </c>
      <c r="M92" s="105">
        <f t="shared" si="26"/>
        <v>150.0252592273564</v>
      </c>
      <c r="N92" s="63"/>
      <c r="O92" s="996"/>
      <c r="P92" s="996"/>
      <c r="Q92" s="996"/>
      <c r="R92"/>
      <c r="S92"/>
      <c r="T92"/>
    </row>
    <row r="93" spans="1:20">
      <c r="A93" s="35"/>
      <c r="B93" s="786"/>
      <c r="C93" s="156"/>
      <c r="D93" s="59"/>
      <c r="E93" s="59"/>
      <c r="F93" s="59"/>
      <c r="G93" s="59"/>
      <c r="H93" s="59"/>
      <c r="I93" s="59"/>
      <c r="J93" s="59"/>
      <c r="K93" s="59"/>
      <c r="L93" s="59"/>
      <c r="M93" s="59"/>
      <c r="O93" s="64"/>
      <c r="P93" s="64"/>
      <c r="Q93" s="64"/>
      <c r="R93"/>
      <c r="S93"/>
      <c r="T93"/>
    </row>
    <row r="94" spans="1:20">
      <c r="A94" s="35"/>
      <c r="B94" s="780" t="s">
        <v>177</v>
      </c>
      <c r="C94" s="137" t="s">
        <v>7</v>
      </c>
      <c r="D94" s="110">
        <f>1-INDEX(Data!$D$73:$D$100,MATCH('RFPR cover'!$C$5,Data!$B$73:$B$100,0),0)</f>
        <v>0.41890000000000005</v>
      </c>
      <c r="E94" s="111">
        <f>1-INDEX(Data!$D$73:$D$100,MATCH('RFPR cover'!$C$5,Data!$B$73:$B$100,0),0)</f>
        <v>0.41890000000000005</v>
      </c>
      <c r="F94" s="111">
        <f>1-INDEX(Data!$D$73:$D$100,MATCH('RFPR cover'!$C$5,Data!$B$73:$B$100,0),0)</f>
        <v>0.41890000000000005</v>
      </c>
      <c r="G94" s="111">
        <f>1-INDEX(Data!$D$73:$D$100,MATCH('RFPR cover'!$C$5,Data!$B$73:$B$100,0),0)</f>
        <v>0.41890000000000005</v>
      </c>
      <c r="H94" s="111">
        <f>1-INDEX(Data!$D$73:$D$100,MATCH('RFPR cover'!$C$5,Data!$B$73:$B$100,0),0)</f>
        <v>0.41890000000000005</v>
      </c>
      <c r="I94" s="111">
        <f>1-INDEX(Data!$D$73:$D$100,MATCH('RFPR cover'!$C$5,Data!$B$73:$B$100,0),0)</f>
        <v>0.41890000000000005</v>
      </c>
      <c r="J94" s="111">
        <f>1-INDEX(Data!$D$73:$D$100,MATCH('RFPR cover'!$C$5,Data!$B$73:$B$100,0),0)</f>
        <v>0.41890000000000005</v>
      </c>
      <c r="K94" s="112">
        <f>1-INDEX(Data!$D$73:$D$100,MATCH('RFPR cover'!$C$5,Data!$B$73:$B$100,0),0)</f>
        <v>0.41890000000000005</v>
      </c>
      <c r="L94" s="62"/>
      <c r="M94" s="62"/>
      <c r="O94"/>
      <c r="P94"/>
      <c r="Q94"/>
      <c r="R94"/>
      <c r="S94"/>
      <c r="T94"/>
    </row>
    <row r="95" spans="1:20">
      <c r="A95" s="35"/>
      <c r="B95" s="780"/>
      <c r="O95"/>
      <c r="P95"/>
      <c r="Q95"/>
      <c r="R95"/>
      <c r="S95"/>
      <c r="T95"/>
    </row>
    <row r="96" spans="1:20">
      <c r="A96" s="35"/>
      <c r="B96" s="787" t="s">
        <v>182</v>
      </c>
      <c r="C96" s="156" t="s">
        <v>128</v>
      </c>
      <c r="D96" s="96">
        <f>D92*D94</f>
        <v>3.0519320875846345</v>
      </c>
      <c r="E96" s="97">
        <f t="shared" ref="E96:K96" si="27">E92*E94</f>
        <v>14.285087832463669</v>
      </c>
      <c r="F96" s="97">
        <f t="shared" si="27"/>
        <v>1.0785297019516114</v>
      </c>
      <c r="G96" s="97">
        <f t="shared" si="27"/>
        <v>-0.6986763368866965</v>
      </c>
      <c r="H96" s="97">
        <f t="shared" si="27"/>
        <v>9.339643080563512</v>
      </c>
      <c r="I96" s="97">
        <f t="shared" si="27"/>
        <v>12.808245349948526</v>
      </c>
      <c r="J96" s="97">
        <f t="shared" si="27"/>
        <v>11.551407585652594</v>
      </c>
      <c r="K96" s="97">
        <f t="shared" si="27"/>
        <v>11.429411789061657</v>
      </c>
      <c r="L96" s="96">
        <f>SUM(D96:INDEX(D96:K96,0,MATCH('RFPR cover'!$C$7,$D$6:$K$6,0)))</f>
        <v>27.056516365676732</v>
      </c>
      <c r="M96" s="98">
        <f>SUM(D96:K96)</f>
        <v>62.845581090339508</v>
      </c>
      <c r="O96"/>
      <c r="P96"/>
      <c r="Q96"/>
      <c r="R96"/>
      <c r="S96"/>
      <c r="T96"/>
    </row>
    <row r="97" spans="1:20">
      <c r="A97" s="35"/>
      <c r="B97" s="787" t="s">
        <v>279</v>
      </c>
      <c r="C97" s="156" t="s">
        <v>128</v>
      </c>
      <c r="D97" s="93">
        <f>D92*(1-D94)</f>
        <v>4.2336541802230387</v>
      </c>
      <c r="E97" s="94">
        <f t="shared" ref="E97:K97" si="28">E92*(1-E94)</f>
        <v>19.816339315933721</v>
      </c>
      <c r="F97" s="94">
        <f t="shared" si="28"/>
        <v>1.4961413459156867</v>
      </c>
      <c r="G97" s="94">
        <f t="shared" si="28"/>
        <v>-0.96920701686526434</v>
      </c>
      <c r="H97" s="94">
        <f t="shared" si="28"/>
        <v>12.955995688984139</v>
      </c>
      <c r="I97" s="94">
        <f t="shared" si="28"/>
        <v>17.767656655180442</v>
      </c>
      <c r="J97" s="94">
        <f t="shared" si="28"/>
        <v>16.024165547917693</v>
      </c>
      <c r="K97" s="94">
        <f t="shared" si="28"/>
        <v>15.854932419727209</v>
      </c>
      <c r="L97" s="93">
        <f>SUM(D97:INDEX(D97:K97,0,MATCH('RFPR cover'!$C$7,$D$6:$K$6,0)))</f>
        <v>37.532923514191317</v>
      </c>
      <c r="M97" s="95">
        <f>SUM(D97:K97)</f>
        <v>87.179678137016651</v>
      </c>
      <c r="O97"/>
      <c r="P97"/>
      <c r="Q97"/>
      <c r="R97"/>
      <c r="S97"/>
      <c r="T97"/>
    </row>
    <row r="98" spans="1:20">
      <c r="A98" s="35"/>
      <c r="B98" s="780"/>
      <c r="O98"/>
      <c r="P98"/>
      <c r="Q98"/>
      <c r="R98"/>
      <c r="S98"/>
      <c r="T98"/>
    </row>
    <row r="99" spans="1:20">
      <c r="A99" s="35"/>
      <c r="B99" s="788" t="s">
        <v>181</v>
      </c>
      <c r="N99" s="63"/>
      <c r="O99"/>
      <c r="P99"/>
      <c r="Q99"/>
      <c r="R99"/>
      <c r="S99"/>
      <c r="T99"/>
    </row>
    <row r="100" spans="1:20">
      <c r="A100" s="270" t="s">
        <v>151</v>
      </c>
      <c r="B100" s="226" t="str">
        <f t="shared" ref="B100:B105" si="29">B22</f>
        <v>Re-phasing within ED1</v>
      </c>
      <c r="C100" s="156" t="s">
        <v>128</v>
      </c>
      <c r="D100" s="595">
        <f t="shared" ref="D100:K105" si="30">D22*D$86</f>
        <v>-3.4504319519313333</v>
      </c>
      <c r="E100" s="595">
        <f t="shared" si="30"/>
        <v>-22.098123636068834</v>
      </c>
      <c r="F100" s="595">
        <f t="shared" si="30"/>
        <v>2.1641396622326345</v>
      </c>
      <c r="G100" s="595">
        <f t="shared" si="30"/>
        <v>33.066492403279753</v>
      </c>
      <c r="H100" s="595">
        <f t="shared" si="30"/>
        <v>-0.42655967017835378</v>
      </c>
      <c r="I100" s="595">
        <f t="shared" si="30"/>
        <v>-3.778355527739726</v>
      </c>
      <c r="J100" s="595">
        <f t="shared" si="30"/>
        <v>-1.4699778856638301</v>
      </c>
      <c r="K100" s="595">
        <f t="shared" si="30"/>
        <v>-2.7643179259094377</v>
      </c>
      <c r="L100" s="587">
        <f>SUM(D100:INDEX(D100:K100,0,MATCH('RFPR cover'!$C$7,$D$6:$K$6,0)))</f>
        <v>9.2555168073338692</v>
      </c>
      <c r="M100" s="588">
        <f t="shared" ref="M100:M106" si="31">SUM(D100:K100)</f>
        <v>1.2428654680208751</v>
      </c>
      <c r="N100" s="63"/>
      <c r="O100"/>
      <c r="P100"/>
      <c r="Q100"/>
      <c r="R100"/>
      <c r="S100"/>
      <c r="T100"/>
    </row>
    <row r="101" spans="1:20">
      <c r="A101" s="270" t="s">
        <v>152</v>
      </c>
      <c r="B101" s="226" t="str">
        <f t="shared" si="29"/>
        <v>[Enduring Value adjustment]</v>
      </c>
      <c r="C101" s="156" t="s">
        <v>128</v>
      </c>
      <c r="D101" s="595">
        <f t="shared" si="30"/>
        <v>0</v>
      </c>
      <c r="E101" s="595">
        <f t="shared" si="30"/>
        <v>0</v>
      </c>
      <c r="F101" s="595">
        <f t="shared" si="30"/>
        <v>0</v>
      </c>
      <c r="G101" s="595">
        <f t="shared" si="30"/>
        <v>0</v>
      </c>
      <c r="H101" s="595">
        <f t="shared" si="30"/>
        <v>0</v>
      </c>
      <c r="I101" s="595">
        <f t="shared" si="30"/>
        <v>0</v>
      </c>
      <c r="J101" s="595">
        <f t="shared" si="30"/>
        <v>0</v>
      </c>
      <c r="K101" s="595">
        <f t="shared" si="30"/>
        <v>0</v>
      </c>
      <c r="L101" s="591">
        <f>SUM(D101:INDEX(D101:K101,0,MATCH('RFPR cover'!$C$7,$D$6:$K$6,0)))</f>
        <v>0</v>
      </c>
      <c r="M101" s="592">
        <f t="shared" si="31"/>
        <v>0</v>
      </c>
      <c r="N101" s="63"/>
      <c r="O101"/>
      <c r="P101"/>
      <c r="Q101"/>
      <c r="R101"/>
      <c r="S101"/>
      <c r="T101"/>
    </row>
    <row r="102" spans="1:20">
      <c r="A102" s="270" t="s">
        <v>153</v>
      </c>
      <c r="B102" s="226" t="str">
        <f t="shared" si="29"/>
        <v>[Enduring Value adjustment]</v>
      </c>
      <c r="C102" s="156" t="s">
        <v>128</v>
      </c>
      <c r="D102" s="595">
        <f t="shared" si="30"/>
        <v>0</v>
      </c>
      <c r="E102" s="595">
        <f t="shared" si="30"/>
        <v>0</v>
      </c>
      <c r="F102" s="595">
        <f t="shared" si="30"/>
        <v>0</v>
      </c>
      <c r="G102" s="595">
        <f t="shared" si="30"/>
        <v>0</v>
      </c>
      <c r="H102" s="595">
        <f t="shared" si="30"/>
        <v>0</v>
      </c>
      <c r="I102" s="595">
        <f t="shared" si="30"/>
        <v>0</v>
      </c>
      <c r="J102" s="595">
        <f t="shared" si="30"/>
        <v>0</v>
      </c>
      <c r="K102" s="595">
        <f t="shared" si="30"/>
        <v>0</v>
      </c>
      <c r="L102" s="591">
        <f>SUM(D102:INDEX(D102:K102,0,MATCH('RFPR cover'!$C$7,$D$6:$K$6,0)))</f>
        <v>0</v>
      </c>
      <c r="M102" s="592">
        <f t="shared" si="31"/>
        <v>0</v>
      </c>
      <c r="N102" s="63"/>
      <c r="O102"/>
      <c r="P102"/>
      <c r="Q102"/>
      <c r="R102"/>
      <c r="S102" s="65"/>
      <c r="T102"/>
    </row>
    <row r="103" spans="1:20">
      <c r="A103" s="270" t="s">
        <v>167</v>
      </c>
      <c r="B103" s="226" t="str">
        <f t="shared" si="29"/>
        <v>[Enduring Value adjustment]</v>
      </c>
      <c r="C103" s="156" t="s">
        <v>128</v>
      </c>
      <c r="D103" s="595">
        <f t="shared" si="30"/>
        <v>0</v>
      </c>
      <c r="E103" s="595">
        <f t="shared" si="30"/>
        <v>0</v>
      </c>
      <c r="F103" s="595">
        <f t="shared" si="30"/>
        <v>0</v>
      </c>
      <c r="G103" s="595">
        <f t="shared" si="30"/>
        <v>0</v>
      </c>
      <c r="H103" s="595">
        <f t="shared" si="30"/>
        <v>0</v>
      </c>
      <c r="I103" s="595">
        <f t="shared" si="30"/>
        <v>0</v>
      </c>
      <c r="J103" s="595">
        <f t="shared" si="30"/>
        <v>0</v>
      </c>
      <c r="K103" s="595">
        <f t="shared" si="30"/>
        <v>0</v>
      </c>
      <c r="L103" s="591">
        <f>SUM(D103:INDEX(D103:K103,0,MATCH('RFPR cover'!$C$7,$D$6:$K$6,0)))</f>
        <v>0</v>
      </c>
      <c r="M103" s="592">
        <f t="shared" si="31"/>
        <v>0</v>
      </c>
      <c r="N103" s="63"/>
      <c r="O103"/>
      <c r="P103"/>
      <c r="Q103"/>
      <c r="R103"/>
      <c r="S103"/>
      <c r="T103"/>
    </row>
    <row r="104" spans="1:20">
      <c r="A104" s="270" t="s">
        <v>168</v>
      </c>
      <c r="B104" s="226" t="str">
        <f t="shared" si="29"/>
        <v>[Enduring Value adjustment]</v>
      </c>
      <c r="C104" s="156" t="s">
        <v>128</v>
      </c>
      <c r="D104" s="595">
        <f t="shared" si="30"/>
        <v>0</v>
      </c>
      <c r="E104" s="595">
        <f t="shared" si="30"/>
        <v>0</v>
      </c>
      <c r="F104" s="595">
        <f t="shared" si="30"/>
        <v>0</v>
      </c>
      <c r="G104" s="595">
        <f t="shared" si="30"/>
        <v>0</v>
      </c>
      <c r="H104" s="595">
        <f t="shared" si="30"/>
        <v>0</v>
      </c>
      <c r="I104" s="595">
        <f t="shared" si="30"/>
        <v>0</v>
      </c>
      <c r="J104" s="595">
        <f t="shared" si="30"/>
        <v>0</v>
      </c>
      <c r="K104" s="595">
        <f t="shared" si="30"/>
        <v>0</v>
      </c>
      <c r="L104" s="591">
        <f>SUM(D104:INDEX(D104:K104,0,MATCH('RFPR cover'!$C$7,$D$6:$K$6,0)))</f>
        <v>0</v>
      </c>
      <c r="M104" s="592">
        <f t="shared" si="31"/>
        <v>0</v>
      </c>
      <c r="N104" s="63"/>
      <c r="O104"/>
      <c r="P104"/>
      <c r="Q104"/>
      <c r="R104"/>
      <c r="S104"/>
      <c r="T104"/>
    </row>
    <row r="105" spans="1:20">
      <c r="A105" s="270" t="s">
        <v>169</v>
      </c>
      <c r="B105" s="226" t="str">
        <f t="shared" si="29"/>
        <v>[Enduring Value adjustment]</v>
      </c>
      <c r="C105" s="156" t="s">
        <v>128</v>
      </c>
      <c r="D105" s="595">
        <f t="shared" si="30"/>
        <v>0</v>
      </c>
      <c r="E105" s="595">
        <f t="shared" si="30"/>
        <v>0</v>
      </c>
      <c r="F105" s="595">
        <f t="shared" si="30"/>
        <v>0</v>
      </c>
      <c r="G105" s="595">
        <f t="shared" si="30"/>
        <v>0</v>
      </c>
      <c r="H105" s="595">
        <f t="shared" si="30"/>
        <v>0</v>
      </c>
      <c r="I105" s="595">
        <f t="shared" si="30"/>
        <v>0</v>
      </c>
      <c r="J105" s="595">
        <f t="shared" si="30"/>
        <v>0</v>
      </c>
      <c r="K105" s="595">
        <f t="shared" si="30"/>
        <v>0</v>
      </c>
      <c r="L105" s="595">
        <f>SUM(D105:INDEX(D105:K105,0,MATCH('RFPR cover'!$C$7,$D$6:$K$6,0)))</f>
        <v>0</v>
      </c>
      <c r="M105" s="596">
        <f t="shared" si="31"/>
        <v>0</v>
      </c>
      <c r="N105" s="63"/>
      <c r="O105"/>
      <c r="P105"/>
      <c r="Q105"/>
      <c r="R105"/>
      <c r="S105"/>
      <c r="T105"/>
    </row>
    <row r="106" spans="1:20">
      <c r="A106" s="35"/>
      <c r="B106" s="788" t="s">
        <v>189</v>
      </c>
      <c r="C106" s="156" t="s">
        <v>128</v>
      </c>
      <c r="D106" s="103">
        <f>SUM(D100:D105)</f>
        <v>-3.4504319519313333</v>
      </c>
      <c r="E106" s="104">
        <f t="shared" ref="E106:K106" si="32">SUM(E100:E105)</f>
        <v>-22.098123636068834</v>
      </c>
      <c r="F106" s="104">
        <f t="shared" si="32"/>
        <v>2.1641396622326345</v>
      </c>
      <c r="G106" s="104">
        <f t="shared" si="32"/>
        <v>33.066492403279753</v>
      </c>
      <c r="H106" s="104">
        <f t="shared" si="32"/>
        <v>-0.42655967017835378</v>
      </c>
      <c r="I106" s="104">
        <f t="shared" si="32"/>
        <v>-3.778355527739726</v>
      </c>
      <c r="J106" s="104">
        <f t="shared" si="32"/>
        <v>-1.4699778856638301</v>
      </c>
      <c r="K106" s="105">
        <f t="shared" si="32"/>
        <v>-2.7643179259094377</v>
      </c>
      <c r="L106" s="103">
        <f>SUM(D106:INDEX(D106:K106,0,MATCH('RFPR cover'!$C$7,$D$6:$K$6,0)))</f>
        <v>9.2555168073338692</v>
      </c>
      <c r="M106" s="105">
        <f t="shared" si="31"/>
        <v>1.2428654680208751</v>
      </c>
      <c r="N106" s="63"/>
    </row>
    <row r="107" spans="1:20">
      <c r="A107" s="35"/>
      <c r="B107" s="780"/>
    </row>
    <row r="108" spans="1:20">
      <c r="A108" s="35"/>
      <c r="B108" s="787" t="s">
        <v>197</v>
      </c>
      <c r="C108" s="156" t="s">
        <v>128</v>
      </c>
      <c r="D108" s="96">
        <f t="shared" ref="D108:K108" si="33">D106*D94</f>
        <v>-1.4453859446640358</v>
      </c>
      <c r="E108" s="97">
        <f t="shared" si="33"/>
        <v>-9.256903991149235</v>
      </c>
      <c r="F108" s="97">
        <f t="shared" si="33"/>
        <v>0.90655810450925067</v>
      </c>
      <c r="G108" s="97">
        <f t="shared" si="33"/>
        <v>13.85155366773389</v>
      </c>
      <c r="H108" s="97">
        <f t="shared" si="33"/>
        <v>-0.17868584583771241</v>
      </c>
      <c r="I108" s="97">
        <f t="shared" si="33"/>
        <v>-1.5827531305701714</v>
      </c>
      <c r="J108" s="97">
        <f t="shared" si="33"/>
        <v>-0.61577373630457855</v>
      </c>
      <c r="K108" s="97">
        <f t="shared" si="33"/>
        <v>-1.1579727791634635</v>
      </c>
      <c r="L108" s="96">
        <f>SUM(D108:INDEX(D108:K108,0,MATCH('RFPR cover'!$C$7,$D$6:$K$6,0)))</f>
        <v>3.8771359905921585</v>
      </c>
      <c r="M108" s="98">
        <f>SUM(D108:K108)</f>
        <v>0.52063634455394503</v>
      </c>
    </row>
    <row r="109" spans="1:20">
      <c r="A109" s="35"/>
      <c r="B109" s="787" t="s">
        <v>308</v>
      </c>
      <c r="C109" s="156" t="s">
        <v>128</v>
      </c>
      <c r="D109" s="93">
        <f t="shared" ref="D109:K109" si="34">D106*(1-D94)</f>
        <v>-2.0050460072672975</v>
      </c>
      <c r="E109" s="94">
        <f t="shared" si="34"/>
        <v>-12.841219644919599</v>
      </c>
      <c r="F109" s="94">
        <f t="shared" si="34"/>
        <v>1.2575815577233838</v>
      </c>
      <c r="G109" s="94">
        <f t="shared" si="34"/>
        <v>19.214938735545864</v>
      </c>
      <c r="H109" s="94">
        <f t="shared" si="34"/>
        <v>-0.24787382434064137</v>
      </c>
      <c r="I109" s="94">
        <f t="shared" si="34"/>
        <v>-2.1956023971695546</v>
      </c>
      <c r="J109" s="94">
        <f t="shared" si="34"/>
        <v>-0.8542041493592516</v>
      </c>
      <c r="K109" s="94">
        <f t="shared" si="34"/>
        <v>-1.6063451467459742</v>
      </c>
      <c r="L109" s="93">
        <f>SUM(D109:INDEX(D109:K109,0,MATCH('RFPR cover'!$C$7,$D$6:$K$6,0)))</f>
        <v>5.3783808167417098</v>
      </c>
      <c r="M109" s="95">
        <f>SUM(D109:K109)</f>
        <v>0.72222912346692913</v>
      </c>
    </row>
    <row r="110" spans="1:20">
      <c r="A110" s="35"/>
      <c r="B110" s="780"/>
    </row>
    <row r="111" spans="1:20">
      <c r="A111" s="35"/>
      <c r="B111" s="788" t="s">
        <v>180</v>
      </c>
    </row>
    <row r="112" spans="1:20">
      <c r="A112" s="35"/>
      <c r="B112" s="780" t="s">
        <v>179</v>
      </c>
      <c r="C112" s="156" t="s">
        <v>128</v>
      </c>
      <c r="D112" s="96">
        <f>D96+D108</f>
        <v>1.6065461429205987</v>
      </c>
      <c r="E112" s="97">
        <f t="shared" ref="E112:K112" si="35">E96+E108</f>
        <v>5.0281838413144335</v>
      </c>
      <c r="F112" s="97">
        <f t="shared" si="35"/>
        <v>1.9850878064608621</v>
      </c>
      <c r="G112" s="97">
        <f t="shared" si="35"/>
        <v>13.152877330847193</v>
      </c>
      <c r="H112" s="97">
        <f t="shared" si="35"/>
        <v>9.1609572347257995</v>
      </c>
      <c r="I112" s="97">
        <f t="shared" si="35"/>
        <v>11.225492219378355</v>
      </c>
      <c r="J112" s="97">
        <f t="shared" si="35"/>
        <v>10.935633849348015</v>
      </c>
      <c r="K112" s="97">
        <f t="shared" si="35"/>
        <v>10.271439009898193</v>
      </c>
      <c r="L112" s="96">
        <f>SUM(D112:INDEX(D112:K112,0,MATCH('RFPR cover'!$C$7,$D$6:$K$6,0)))</f>
        <v>30.933652356268887</v>
      </c>
      <c r="M112" s="98">
        <f>SUM(D112:K112)</f>
        <v>63.36621743489345</v>
      </c>
    </row>
    <row r="113" spans="1:20">
      <c r="A113" s="35"/>
      <c r="B113" s="780" t="s">
        <v>279</v>
      </c>
      <c r="C113" s="156" t="s">
        <v>128</v>
      </c>
      <c r="D113" s="523">
        <f>D97+D109</f>
        <v>2.2286081729557412</v>
      </c>
      <c r="E113" s="524">
        <f t="shared" ref="E113:K113" si="36">E97+E109</f>
        <v>6.9751196710141219</v>
      </c>
      <c r="F113" s="524">
        <f t="shared" si="36"/>
        <v>2.7537229036390705</v>
      </c>
      <c r="G113" s="524">
        <f t="shared" si="36"/>
        <v>18.245731718680599</v>
      </c>
      <c r="H113" s="524">
        <f t="shared" si="36"/>
        <v>12.708121864643497</v>
      </c>
      <c r="I113" s="524">
        <f t="shared" si="36"/>
        <v>15.572054258010887</v>
      </c>
      <c r="J113" s="524">
        <f t="shared" si="36"/>
        <v>15.169961398558442</v>
      </c>
      <c r="K113" s="524">
        <f t="shared" si="36"/>
        <v>14.248587272981235</v>
      </c>
      <c r="L113" s="523">
        <f>SUM(D113:INDEX(D113:K113,0,MATCH('RFPR cover'!$C$7,$D$6:$K$6,0)))</f>
        <v>42.911304330933028</v>
      </c>
      <c r="M113" s="525">
        <f>SUM(D113:K113)</f>
        <v>87.901907260483597</v>
      </c>
    </row>
    <row r="114" spans="1:20">
      <c r="A114" s="35"/>
      <c r="B114" s="788" t="s">
        <v>11</v>
      </c>
      <c r="C114" s="157" t="s">
        <v>128</v>
      </c>
      <c r="D114" s="146">
        <f>SUM(D112:D113)</f>
        <v>3.8351543158763399</v>
      </c>
      <c r="E114" s="147">
        <f t="shared" ref="E114:K114" si="37">SUM(E112:E113)</f>
        <v>12.003303512328555</v>
      </c>
      <c r="F114" s="147">
        <f t="shared" si="37"/>
        <v>4.7388107100999326</v>
      </c>
      <c r="G114" s="147">
        <f t="shared" si="37"/>
        <v>31.398609049527792</v>
      </c>
      <c r="H114" s="147">
        <f t="shared" si="37"/>
        <v>21.869079099369294</v>
      </c>
      <c r="I114" s="147">
        <f t="shared" si="37"/>
        <v>26.79754647738924</v>
      </c>
      <c r="J114" s="147">
        <f t="shared" si="37"/>
        <v>26.105595247906457</v>
      </c>
      <c r="K114" s="147">
        <f t="shared" si="37"/>
        <v>24.520026282879428</v>
      </c>
      <c r="L114" s="146">
        <f>SUM(D114:INDEX(D114:K114,0,MATCH('RFPR cover'!$C$7,$D$6:$K$6,0)))</f>
        <v>73.844956687201915</v>
      </c>
      <c r="M114" s="148">
        <f>SUM(D114:K114)</f>
        <v>151.26812469537703</v>
      </c>
    </row>
    <row r="115" spans="1:20">
      <c r="A115" s="35"/>
      <c r="B115" s="780"/>
    </row>
    <row r="116" spans="1:20">
      <c r="A116" s="35"/>
      <c r="B116" s="783" t="str">
        <f>B38</f>
        <v>n/a</v>
      </c>
      <c r="C116" s="151"/>
      <c r="D116" s="82"/>
      <c r="E116" s="82"/>
      <c r="F116" s="82"/>
      <c r="G116" s="82"/>
      <c r="H116" s="82"/>
      <c r="I116" s="82"/>
      <c r="J116" s="82"/>
      <c r="K116" s="82"/>
      <c r="L116" s="82"/>
      <c r="M116" s="82"/>
      <c r="N116" s="82"/>
    </row>
    <row r="117" spans="1:20" s="35" customFormat="1">
      <c r="B117" s="781"/>
      <c r="C117" s="139"/>
      <c r="D117" s="321"/>
      <c r="E117" s="321"/>
      <c r="F117" s="321"/>
      <c r="G117" s="321"/>
      <c r="H117" s="321"/>
      <c r="I117" s="321"/>
      <c r="J117" s="321"/>
      <c r="K117" s="321"/>
      <c r="L117" s="321"/>
      <c r="M117" s="321"/>
      <c r="N117" s="321"/>
    </row>
    <row r="118" spans="1:20">
      <c r="A118" s="35"/>
      <c r="B118" s="306" t="s">
        <v>34</v>
      </c>
      <c r="C118" s="156" t="s">
        <v>128</v>
      </c>
      <c r="D118" s="674">
        <f t="shared" ref="D118:K119" si="38">D40*D$86</f>
        <v>0</v>
      </c>
      <c r="E118" s="674">
        <f t="shared" si="38"/>
        <v>0</v>
      </c>
      <c r="F118" s="674">
        <f t="shared" si="38"/>
        <v>0</v>
      </c>
      <c r="G118" s="674">
        <f t="shared" si="38"/>
        <v>0</v>
      </c>
      <c r="H118" s="674">
        <f t="shared" si="38"/>
        <v>0</v>
      </c>
      <c r="I118" s="674">
        <f t="shared" si="38"/>
        <v>0</v>
      </c>
      <c r="J118" s="674">
        <f t="shared" si="38"/>
        <v>0</v>
      </c>
      <c r="K118" s="674">
        <f t="shared" si="38"/>
        <v>0</v>
      </c>
      <c r="L118" s="674">
        <f>SUM(D118:INDEX(D118:K118,0,MATCH('RFPR cover'!$C$7,$D$6:$K$6,0)))</f>
        <v>0</v>
      </c>
      <c r="M118" s="675">
        <f>SUM(D118:K118)</f>
        <v>0</v>
      </c>
      <c r="N118" s="63"/>
      <c r="O118" s="63"/>
    </row>
    <row r="119" spans="1:20" ht="25.5">
      <c r="A119" s="35"/>
      <c r="B119" s="785" t="s">
        <v>196</v>
      </c>
      <c r="C119" s="156" t="s">
        <v>128</v>
      </c>
      <c r="D119" s="674">
        <f t="shared" si="38"/>
        <v>0</v>
      </c>
      <c r="E119" s="674">
        <f t="shared" si="38"/>
        <v>0</v>
      </c>
      <c r="F119" s="674">
        <f t="shared" si="38"/>
        <v>0</v>
      </c>
      <c r="G119" s="674">
        <f t="shared" si="38"/>
        <v>0</v>
      </c>
      <c r="H119" s="674">
        <f t="shared" si="38"/>
        <v>0</v>
      </c>
      <c r="I119" s="674">
        <f t="shared" si="38"/>
        <v>0</v>
      </c>
      <c r="J119" s="674">
        <f t="shared" si="38"/>
        <v>0</v>
      </c>
      <c r="K119" s="674">
        <f t="shared" si="38"/>
        <v>0</v>
      </c>
      <c r="L119" s="676">
        <f>SUM(D119:INDEX(D119:K119,0,MATCH('RFPR cover'!$C$7,$D$6:$K$6,0)))</f>
        <v>0</v>
      </c>
      <c r="M119" s="677">
        <f>SUM(D119:K119)</f>
        <v>0</v>
      </c>
      <c r="N119" s="63"/>
      <c r="O119" s="63"/>
    </row>
    <row r="120" spans="1:20">
      <c r="A120" s="35"/>
      <c r="B120" s="786" t="s">
        <v>194</v>
      </c>
      <c r="C120" s="156" t="s">
        <v>128</v>
      </c>
      <c r="D120" s="103">
        <f>D119-D118</f>
        <v>0</v>
      </c>
      <c r="E120" s="104">
        <f t="shared" ref="E120:M120" si="39">E119-E118</f>
        <v>0</v>
      </c>
      <c r="F120" s="104">
        <f t="shared" si="39"/>
        <v>0</v>
      </c>
      <c r="G120" s="104">
        <f t="shared" si="39"/>
        <v>0</v>
      </c>
      <c r="H120" s="104">
        <f t="shared" si="39"/>
        <v>0</v>
      </c>
      <c r="I120" s="104">
        <f t="shared" si="39"/>
        <v>0</v>
      </c>
      <c r="J120" s="104">
        <f t="shared" si="39"/>
        <v>0</v>
      </c>
      <c r="K120" s="104">
        <f t="shared" si="39"/>
        <v>0</v>
      </c>
      <c r="L120" s="103">
        <f t="shared" si="39"/>
        <v>0</v>
      </c>
      <c r="M120" s="105">
        <f t="shared" si="39"/>
        <v>0</v>
      </c>
      <c r="N120" s="63"/>
      <c r="O120" s="996"/>
      <c r="P120" s="996"/>
      <c r="Q120" s="996"/>
      <c r="R120"/>
      <c r="S120"/>
      <c r="T120"/>
    </row>
    <row r="121" spans="1:20">
      <c r="A121" s="35"/>
      <c r="B121" s="786"/>
      <c r="C121" s="156"/>
      <c r="D121" s="59"/>
      <c r="E121" s="59"/>
      <c r="F121" s="59"/>
      <c r="G121" s="59"/>
      <c r="H121" s="59"/>
      <c r="I121" s="59"/>
      <c r="J121" s="59"/>
      <c r="K121" s="59"/>
      <c r="L121" s="59"/>
      <c r="M121" s="59"/>
      <c r="O121" s="64"/>
      <c r="P121" s="64"/>
      <c r="Q121" s="64"/>
      <c r="R121"/>
      <c r="S121"/>
      <c r="T121"/>
    </row>
    <row r="122" spans="1:20">
      <c r="A122" s="35"/>
      <c r="B122" s="780" t="s">
        <v>177</v>
      </c>
      <c r="C122" s="137" t="s">
        <v>7</v>
      </c>
      <c r="D122" s="110">
        <f>1-INDEX(Data!$D$73:$D$100,MATCH('RFPR cover'!$C$5,Data!$B$73:$B$100,0),0)</f>
        <v>0.41890000000000005</v>
      </c>
      <c r="E122" s="111">
        <f>1-INDEX(Data!$D$73:$D$100,MATCH('RFPR cover'!$C$5,Data!$B$73:$B$100,0),0)</f>
        <v>0.41890000000000005</v>
      </c>
      <c r="F122" s="111">
        <f>1-INDEX(Data!$D$73:$D$100,MATCH('RFPR cover'!$C$5,Data!$B$73:$B$100,0),0)</f>
        <v>0.41890000000000005</v>
      </c>
      <c r="G122" s="111">
        <f>1-INDEX(Data!$D$73:$D$100,MATCH('RFPR cover'!$C$5,Data!$B$73:$B$100,0),0)</f>
        <v>0.41890000000000005</v>
      </c>
      <c r="H122" s="111">
        <f>1-INDEX(Data!$D$73:$D$100,MATCH('RFPR cover'!$C$5,Data!$B$73:$B$100,0),0)</f>
        <v>0.41890000000000005</v>
      </c>
      <c r="I122" s="111">
        <f>1-INDEX(Data!$D$73:$D$100,MATCH('RFPR cover'!$C$5,Data!$B$73:$B$100,0),0)</f>
        <v>0.41890000000000005</v>
      </c>
      <c r="J122" s="111">
        <f>1-INDEX(Data!$D$73:$D$100,MATCH('RFPR cover'!$C$5,Data!$B$73:$B$100,0),0)</f>
        <v>0.41890000000000005</v>
      </c>
      <c r="K122" s="112">
        <f>1-INDEX(Data!$D$73:$D$100,MATCH('RFPR cover'!$C$5,Data!$B$73:$B$100,0),0)</f>
        <v>0.41890000000000005</v>
      </c>
      <c r="L122" s="62"/>
      <c r="M122" s="62"/>
      <c r="O122"/>
      <c r="P122"/>
      <c r="Q122"/>
      <c r="R122"/>
      <c r="S122"/>
      <c r="T122"/>
    </row>
    <row r="123" spans="1:20">
      <c r="A123" s="35"/>
      <c r="B123" s="780"/>
      <c r="O123"/>
      <c r="P123"/>
      <c r="Q123"/>
      <c r="R123"/>
      <c r="S123"/>
      <c r="T123"/>
    </row>
    <row r="124" spans="1:20">
      <c r="A124" s="35"/>
      <c r="B124" s="787" t="s">
        <v>182</v>
      </c>
      <c r="C124" s="160" t="s">
        <v>128</v>
      </c>
      <c r="D124" s="96">
        <f>D120*D122</f>
        <v>0</v>
      </c>
      <c r="E124" s="97">
        <f t="shared" ref="E124:K124" si="40">E120*E122</f>
        <v>0</v>
      </c>
      <c r="F124" s="97">
        <f t="shared" si="40"/>
        <v>0</v>
      </c>
      <c r="G124" s="97">
        <f t="shared" si="40"/>
        <v>0</v>
      </c>
      <c r="H124" s="97">
        <f t="shared" si="40"/>
        <v>0</v>
      </c>
      <c r="I124" s="97">
        <f t="shared" si="40"/>
        <v>0</v>
      </c>
      <c r="J124" s="97">
        <f t="shared" si="40"/>
        <v>0</v>
      </c>
      <c r="K124" s="97">
        <f t="shared" si="40"/>
        <v>0</v>
      </c>
      <c r="L124" s="96">
        <f>SUM(D124:INDEX(D124:K124,0,MATCH('RFPR cover'!$C$7,$D$6:$K$6,0)))</f>
        <v>0</v>
      </c>
      <c r="M124" s="98">
        <f>SUM(D124:K124)</f>
        <v>0</v>
      </c>
      <c r="O124"/>
      <c r="P124"/>
      <c r="Q124"/>
      <c r="R124"/>
      <c r="S124"/>
      <c r="T124"/>
    </row>
    <row r="125" spans="1:20">
      <c r="A125" s="35"/>
      <c r="B125" s="787" t="s">
        <v>178</v>
      </c>
      <c r="C125" s="160" t="s">
        <v>128</v>
      </c>
      <c r="D125" s="93">
        <f>D120*(1-D122)</f>
        <v>0</v>
      </c>
      <c r="E125" s="94">
        <f t="shared" ref="E125:K125" si="41">E120*(1-E122)</f>
        <v>0</v>
      </c>
      <c r="F125" s="94">
        <f t="shared" si="41"/>
        <v>0</v>
      </c>
      <c r="G125" s="94">
        <f t="shared" si="41"/>
        <v>0</v>
      </c>
      <c r="H125" s="94">
        <f t="shared" si="41"/>
        <v>0</v>
      </c>
      <c r="I125" s="94">
        <f t="shared" si="41"/>
        <v>0</v>
      </c>
      <c r="J125" s="94">
        <f t="shared" si="41"/>
        <v>0</v>
      </c>
      <c r="K125" s="94">
        <f t="shared" si="41"/>
        <v>0</v>
      </c>
      <c r="L125" s="93">
        <f>SUM(D125:INDEX(D125:K125,0,MATCH('RFPR cover'!$C$7,$D$6:$K$6,0)))</f>
        <v>0</v>
      </c>
      <c r="M125" s="95">
        <f>SUM(D125:K125)</f>
        <v>0</v>
      </c>
      <c r="O125"/>
      <c r="P125"/>
      <c r="Q125"/>
      <c r="R125"/>
      <c r="S125"/>
      <c r="T125"/>
    </row>
    <row r="126" spans="1:20">
      <c r="A126" s="35"/>
      <c r="B126" s="780"/>
      <c r="O126"/>
      <c r="P126"/>
      <c r="Q126"/>
      <c r="R126"/>
      <c r="S126"/>
      <c r="T126"/>
    </row>
    <row r="127" spans="1:20">
      <c r="A127" s="35"/>
      <c r="B127" s="788" t="s">
        <v>181</v>
      </c>
      <c r="N127" s="63"/>
      <c r="O127"/>
      <c r="P127"/>
      <c r="Q127"/>
      <c r="R127"/>
      <c r="S127"/>
      <c r="T127"/>
    </row>
    <row r="128" spans="1:20">
      <c r="A128" s="270" t="s">
        <v>151</v>
      </c>
      <c r="B128" s="226" t="str">
        <f t="shared" ref="B128:B133" si="42">B50</f>
        <v>[Enduring Value adjustment]</v>
      </c>
      <c r="C128" s="156" t="s">
        <v>128</v>
      </c>
      <c r="D128" s="587">
        <f t="shared" ref="D128:K133" si="43">D50*D$86</f>
        <v>0</v>
      </c>
      <c r="E128" s="587">
        <f t="shared" si="43"/>
        <v>0</v>
      </c>
      <c r="F128" s="587">
        <f t="shared" si="43"/>
        <v>0</v>
      </c>
      <c r="G128" s="587">
        <f t="shared" si="43"/>
        <v>0</v>
      </c>
      <c r="H128" s="587">
        <f t="shared" si="43"/>
        <v>0</v>
      </c>
      <c r="I128" s="587">
        <f t="shared" si="43"/>
        <v>0</v>
      </c>
      <c r="J128" s="587">
        <f t="shared" si="43"/>
        <v>0</v>
      </c>
      <c r="K128" s="587">
        <f t="shared" si="43"/>
        <v>0</v>
      </c>
      <c r="L128" s="587">
        <f>SUM(D128:INDEX(D128:K128,0,MATCH('RFPR cover'!$C$7,$D$6:$K$6,0)))</f>
        <v>0</v>
      </c>
      <c r="M128" s="588">
        <f t="shared" ref="M128:M134" si="44">SUM(D128:K128)</f>
        <v>0</v>
      </c>
      <c r="N128" s="63"/>
      <c r="O128"/>
      <c r="P128"/>
      <c r="Q128"/>
      <c r="R128"/>
      <c r="S128"/>
      <c r="T128"/>
    </row>
    <row r="129" spans="1:20">
      <c r="A129" s="270" t="s">
        <v>152</v>
      </c>
      <c r="B129" s="226" t="str">
        <f t="shared" si="42"/>
        <v>[Enduring Value adjustment]</v>
      </c>
      <c r="C129" s="156" t="s">
        <v>128</v>
      </c>
      <c r="D129" s="587">
        <f t="shared" si="43"/>
        <v>0</v>
      </c>
      <c r="E129" s="587">
        <f t="shared" si="43"/>
        <v>0</v>
      </c>
      <c r="F129" s="587">
        <f t="shared" si="43"/>
        <v>0</v>
      </c>
      <c r="G129" s="587">
        <f t="shared" si="43"/>
        <v>0</v>
      </c>
      <c r="H129" s="587">
        <f t="shared" si="43"/>
        <v>0</v>
      </c>
      <c r="I129" s="587">
        <f t="shared" si="43"/>
        <v>0</v>
      </c>
      <c r="J129" s="587">
        <f t="shared" si="43"/>
        <v>0</v>
      </c>
      <c r="K129" s="587">
        <f t="shared" si="43"/>
        <v>0</v>
      </c>
      <c r="L129" s="591">
        <f>SUM(D129:INDEX(D129:K129,0,MATCH('RFPR cover'!$C$7,$D$6:$K$6,0)))</f>
        <v>0</v>
      </c>
      <c r="M129" s="592">
        <f t="shared" si="44"/>
        <v>0</v>
      </c>
      <c r="N129" s="63"/>
      <c r="O129"/>
      <c r="P129"/>
      <c r="Q129"/>
      <c r="R129"/>
      <c r="S129"/>
      <c r="T129"/>
    </row>
    <row r="130" spans="1:20">
      <c r="A130" s="270" t="s">
        <v>153</v>
      </c>
      <c r="B130" s="226" t="str">
        <f t="shared" si="42"/>
        <v>[Enduring Value adjustment]</v>
      </c>
      <c r="C130" s="156" t="s">
        <v>128</v>
      </c>
      <c r="D130" s="587">
        <f t="shared" si="43"/>
        <v>0</v>
      </c>
      <c r="E130" s="587">
        <f t="shared" si="43"/>
        <v>0</v>
      </c>
      <c r="F130" s="587">
        <f t="shared" si="43"/>
        <v>0</v>
      </c>
      <c r="G130" s="587">
        <f t="shared" si="43"/>
        <v>0</v>
      </c>
      <c r="H130" s="587">
        <f t="shared" si="43"/>
        <v>0</v>
      </c>
      <c r="I130" s="587">
        <f t="shared" si="43"/>
        <v>0</v>
      </c>
      <c r="J130" s="587">
        <f t="shared" si="43"/>
        <v>0</v>
      </c>
      <c r="K130" s="587">
        <f t="shared" si="43"/>
        <v>0</v>
      </c>
      <c r="L130" s="591">
        <f>SUM(D130:INDEX(D130:K130,0,MATCH('RFPR cover'!$C$7,$D$6:$K$6,0)))</f>
        <v>0</v>
      </c>
      <c r="M130" s="592">
        <f t="shared" si="44"/>
        <v>0</v>
      </c>
      <c r="N130" s="63"/>
      <c r="O130"/>
      <c r="P130"/>
      <c r="Q130"/>
      <c r="R130"/>
      <c r="S130" s="65"/>
      <c r="T130"/>
    </row>
    <row r="131" spans="1:20">
      <c r="A131" s="270" t="s">
        <v>167</v>
      </c>
      <c r="B131" s="226" t="str">
        <f t="shared" si="42"/>
        <v>[Enduring Value adjustment]</v>
      </c>
      <c r="C131" s="156" t="s">
        <v>128</v>
      </c>
      <c r="D131" s="587">
        <f t="shared" si="43"/>
        <v>0</v>
      </c>
      <c r="E131" s="587">
        <f t="shared" si="43"/>
        <v>0</v>
      </c>
      <c r="F131" s="587">
        <f t="shared" si="43"/>
        <v>0</v>
      </c>
      <c r="G131" s="587">
        <f t="shared" si="43"/>
        <v>0</v>
      </c>
      <c r="H131" s="587">
        <f t="shared" si="43"/>
        <v>0</v>
      </c>
      <c r="I131" s="587">
        <f t="shared" si="43"/>
        <v>0</v>
      </c>
      <c r="J131" s="587">
        <f t="shared" si="43"/>
        <v>0</v>
      </c>
      <c r="K131" s="587">
        <f t="shared" si="43"/>
        <v>0</v>
      </c>
      <c r="L131" s="591">
        <f>SUM(D131:INDEX(D131:K131,0,MATCH('RFPR cover'!$C$7,$D$6:$K$6,0)))</f>
        <v>0</v>
      </c>
      <c r="M131" s="592">
        <f t="shared" si="44"/>
        <v>0</v>
      </c>
      <c r="N131" s="63"/>
      <c r="O131"/>
      <c r="P131"/>
      <c r="Q131"/>
      <c r="R131"/>
      <c r="S131"/>
      <c r="T131"/>
    </row>
    <row r="132" spans="1:20">
      <c r="A132" s="270" t="s">
        <v>168</v>
      </c>
      <c r="B132" s="226" t="str">
        <f t="shared" si="42"/>
        <v>[Enduring Value adjustment]</v>
      </c>
      <c r="C132" s="156" t="s">
        <v>128</v>
      </c>
      <c r="D132" s="587">
        <f t="shared" si="43"/>
        <v>0</v>
      </c>
      <c r="E132" s="587">
        <f t="shared" si="43"/>
        <v>0</v>
      </c>
      <c r="F132" s="587">
        <f t="shared" si="43"/>
        <v>0</v>
      </c>
      <c r="G132" s="587">
        <f t="shared" si="43"/>
        <v>0</v>
      </c>
      <c r="H132" s="587">
        <f t="shared" si="43"/>
        <v>0</v>
      </c>
      <c r="I132" s="587">
        <f t="shared" si="43"/>
        <v>0</v>
      </c>
      <c r="J132" s="587">
        <f t="shared" si="43"/>
        <v>0</v>
      </c>
      <c r="K132" s="587">
        <f t="shared" si="43"/>
        <v>0</v>
      </c>
      <c r="L132" s="591">
        <f>SUM(D132:INDEX(D132:K132,0,MATCH('RFPR cover'!$C$7,$D$6:$K$6,0)))</f>
        <v>0</v>
      </c>
      <c r="M132" s="592">
        <f t="shared" si="44"/>
        <v>0</v>
      </c>
      <c r="N132" s="63"/>
      <c r="O132"/>
      <c r="P132"/>
      <c r="Q132"/>
      <c r="R132"/>
      <c r="S132"/>
      <c r="T132"/>
    </row>
    <row r="133" spans="1:20">
      <c r="A133" s="270" t="s">
        <v>169</v>
      </c>
      <c r="B133" s="226" t="str">
        <f t="shared" si="42"/>
        <v>[Enduring Value adjustment]</v>
      </c>
      <c r="C133" s="156" t="s">
        <v>128</v>
      </c>
      <c r="D133" s="587">
        <f t="shared" si="43"/>
        <v>0</v>
      </c>
      <c r="E133" s="587">
        <f t="shared" si="43"/>
        <v>0</v>
      </c>
      <c r="F133" s="587">
        <f t="shared" si="43"/>
        <v>0</v>
      </c>
      <c r="G133" s="587">
        <f t="shared" si="43"/>
        <v>0</v>
      </c>
      <c r="H133" s="587">
        <f t="shared" si="43"/>
        <v>0</v>
      </c>
      <c r="I133" s="587">
        <f t="shared" si="43"/>
        <v>0</v>
      </c>
      <c r="J133" s="587">
        <f t="shared" si="43"/>
        <v>0</v>
      </c>
      <c r="K133" s="587">
        <f t="shared" si="43"/>
        <v>0</v>
      </c>
      <c r="L133" s="595">
        <f>SUM(D133:INDEX(D133:K133,0,MATCH('RFPR cover'!$C$7,$D$6:$K$6,0)))</f>
        <v>0</v>
      </c>
      <c r="M133" s="596">
        <f t="shared" si="44"/>
        <v>0</v>
      </c>
      <c r="N133" s="63"/>
      <c r="O133"/>
      <c r="P133"/>
      <c r="Q133"/>
      <c r="R133"/>
      <c r="S133"/>
      <c r="T133"/>
    </row>
    <row r="134" spans="1:20">
      <c r="A134" s="35"/>
      <c r="B134" s="788" t="s">
        <v>189</v>
      </c>
      <c r="C134" s="156" t="s">
        <v>128</v>
      </c>
      <c r="D134" s="103">
        <f>SUM(D128:D133)</f>
        <v>0</v>
      </c>
      <c r="E134" s="104">
        <f t="shared" ref="E134:K134" si="45">SUM(E128:E133)</f>
        <v>0</v>
      </c>
      <c r="F134" s="104">
        <f t="shared" si="45"/>
        <v>0</v>
      </c>
      <c r="G134" s="104">
        <f t="shared" si="45"/>
        <v>0</v>
      </c>
      <c r="H134" s="104">
        <f t="shared" si="45"/>
        <v>0</v>
      </c>
      <c r="I134" s="104">
        <f t="shared" si="45"/>
        <v>0</v>
      </c>
      <c r="J134" s="104">
        <f t="shared" si="45"/>
        <v>0</v>
      </c>
      <c r="K134" s="104">
        <f t="shared" si="45"/>
        <v>0</v>
      </c>
      <c r="L134" s="103">
        <f>SUM(D134:INDEX(D134:K134,0,MATCH('RFPR cover'!$C$7,$D$6:$K$6,0)))</f>
        <v>0</v>
      </c>
      <c r="M134" s="105">
        <f t="shared" si="44"/>
        <v>0</v>
      </c>
      <c r="N134" s="63"/>
    </row>
    <row r="135" spans="1:20">
      <c r="A135" s="35"/>
      <c r="B135" s="780"/>
    </row>
    <row r="136" spans="1:20">
      <c r="A136" s="35"/>
      <c r="B136" s="787" t="s">
        <v>197</v>
      </c>
      <c r="C136" s="160" t="s">
        <v>128</v>
      </c>
      <c r="D136" s="96">
        <f t="shared" ref="D136:K136" si="46">D134*D122</f>
        <v>0</v>
      </c>
      <c r="E136" s="97">
        <f t="shared" si="46"/>
        <v>0</v>
      </c>
      <c r="F136" s="97">
        <f t="shared" si="46"/>
        <v>0</v>
      </c>
      <c r="G136" s="97">
        <f t="shared" si="46"/>
        <v>0</v>
      </c>
      <c r="H136" s="97">
        <f t="shared" si="46"/>
        <v>0</v>
      </c>
      <c r="I136" s="97">
        <f t="shared" si="46"/>
        <v>0</v>
      </c>
      <c r="J136" s="97">
        <f t="shared" si="46"/>
        <v>0</v>
      </c>
      <c r="K136" s="97">
        <f t="shared" si="46"/>
        <v>0</v>
      </c>
      <c r="L136" s="96">
        <f>SUM(D136:INDEX(D136:K136,0,MATCH('RFPR cover'!$C$7,$D$6:$K$6,0)))</f>
        <v>0</v>
      </c>
      <c r="M136" s="98">
        <f>SUM(D136:K136)</f>
        <v>0</v>
      </c>
    </row>
    <row r="137" spans="1:20">
      <c r="A137" s="35"/>
      <c r="B137" s="787" t="s">
        <v>308</v>
      </c>
      <c r="C137" s="160" t="s">
        <v>128</v>
      </c>
      <c r="D137" s="93">
        <f t="shared" ref="D137:K137" si="47">D134*(1-D122)</f>
        <v>0</v>
      </c>
      <c r="E137" s="94">
        <f t="shared" si="47"/>
        <v>0</v>
      </c>
      <c r="F137" s="94">
        <f t="shared" si="47"/>
        <v>0</v>
      </c>
      <c r="G137" s="94">
        <f t="shared" si="47"/>
        <v>0</v>
      </c>
      <c r="H137" s="94">
        <f t="shared" si="47"/>
        <v>0</v>
      </c>
      <c r="I137" s="94">
        <f t="shared" si="47"/>
        <v>0</v>
      </c>
      <c r="J137" s="94">
        <f t="shared" si="47"/>
        <v>0</v>
      </c>
      <c r="K137" s="94">
        <f t="shared" si="47"/>
        <v>0</v>
      </c>
      <c r="L137" s="93">
        <f>SUM(D137:INDEX(D137:K137,0,MATCH('RFPR cover'!$C$7,$D$6:$K$6,0)))</f>
        <v>0</v>
      </c>
      <c r="M137" s="95">
        <f>SUM(D137:K137)</f>
        <v>0</v>
      </c>
    </row>
    <row r="138" spans="1:20">
      <c r="A138" s="35"/>
      <c r="B138" s="780"/>
    </row>
    <row r="139" spans="1:20">
      <c r="A139" s="35"/>
      <c r="B139" s="788" t="s">
        <v>180</v>
      </c>
    </row>
    <row r="140" spans="1:20">
      <c r="A140" s="35"/>
      <c r="B140" s="780" t="s">
        <v>179</v>
      </c>
      <c r="C140" s="156" t="s">
        <v>128</v>
      </c>
      <c r="D140" s="96">
        <f>D124+D136</f>
        <v>0</v>
      </c>
      <c r="E140" s="97">
        <f t="shared" ref="E140:K140" si="48">E124+E136</f>
        <v>0</v>
      </c>
      <c r="F140" s="97">
        <f t="shared" si="48"/>
        <v>0</v>
      </c>
      <c r="G140" s="97">
        <f t="shared" si="48"/>
        <v>0</v>
      </c>
      <c r="H140" s="97">
        <f t="shared" si="48"/>
        <v>0</v>
      </c>
      <c r="I140" s="97">
        <f t="shared" si="48"/>
        <v>0</v>
      </c>
      <c r="J140" s="97">
        <f t="shared" si="48"/>
        <v>0</v>
      </c>
      <c r="K140" s="97">
        <f t="shared" si="48"/>
        <v>0</v>
      </c>
      <c r="L140" s="96">
        <f>SUM(D140:INDEX(D140:K140,0,MATCH('RFPR cover'!$C$7,$D$6:$K$6,0)))</f>
        <v>0</v>
      </c>
      <c r="M140" s="98">
        <f>SUM(D140:K140)</f>
        <v>0</v>
      </c>
    </row>
    <row r="141" spans="1:20">
      <c r="A141" s="35"/>
      <c r="B141" s="780" t="s">
        <v>279</v>
      </c>
      <c r="C141" s="156" t="s">
        <v>128</v>
      </c>
      <c r="D141" s="99">
        <f>D125+D137</f>
        <v>0</v>
      </c>
      <c r="E141" s="100">
        <f t="shared" ref="E141:K141" si="49">E125+E137</f>
        <v>0</v>
      </c>
      <c r="F141" s="100">
        <f t="shared" si="49"/>
        <v>0</v>
      </c>
      <c r="G141" s="100">
        <f t="shared" si="49"/>
        <v>0</v>
      </c>
      <c r="H141" s="100">
        <f t="shared" si="49"/>
        <v>0</v>
      </c>
      <c r="I141" s="100">
        <f t="shared" si="49"/>
        <v>0</v>
      </c>
      <c r="J141" s="100">
        <f t="shared" si="49"/>
        <v>0</v>
      </c>
      <c r="K141" s="100">
        <f t="shared" si="49"/>
        <v>0</v>
      </c>
      <c r="L141" s="99">
        <f>SUM(D141:INDEX(D141:K141,0,MATCH('RFPR cover'!$C$7,$D$6:$K$6,0)))</f>
        <v>0</v>
      </c>
      <c r="M141" s="101">
        <f>SUM(D141:K141)</f>
        <v>0</v>
      </c>
    </row>
    <row r="142" spans="1:20">
      <c r="A142" s="35"/>
      <c r="B142" s="788" t="s">
        <v>11</v>
      </c>
      <c r="C142" s="157" t="s">
        <v>128</v>
      </c>
      <c r="D142" s="140">
        <f>SUM(D140:D141)</f>
        <v>0</v>
      </c>
      <c r="E142" s="141">
        <f t="shared" ref="E142:K142" si="50">SUM(E140:E141)</f>
        <v>0</v>
      </c>
      <c r="F142" s="141">
        <f t="shared" si="50"/>
        <v>0</v>
      </c>
      <c r="G142" s="141">
        <f t="shared" si="50"/>
        <v>0</v>
      </c>
      <c r="H142" s="141">
        <f t="shared" si="50"/>
        <v>0</v>
      </c>
      <c r="I142" s="141">
        <f t="shared" si="50"/>
        <v>0</v>
      </c>
      <c r="J142" s="141">
        <f t="shared" si="50"/>
        <v>0</v>
      </c>
      <c r="K142" s="141">
        <f t="shared" si="50"/>
        <v>0</v>
      </c>
      <c r="L142" s="140">
        <f>SUM(D142:INDEX(D142:K142,0,MATCH('RFPR cover'!$C$7,$D$6:$K$6,0)))</f>
        <v>0</v>
      </c>
      <c r="M142" s="142">
        <f>SUM(D142:K142)</f>
        <v>0</v>
      </c>
    </row>
    <row r="143" spans="1:20">
      <c r="A143" s="35"/>
      <c r="B143" s="788"/>
      <c r="C143" s="157"/>
      <c r="D143" s="157"/>
      <c r="E143" s="157"/>
      <c r="F143" s="157"/>
      <c r="G143" s="157"/>
      <c r="H143" s="157"/>
      <c r="I143" s="157"/>
      <c r="J143" s="157"/>
      <c r="K143" s="157"/>
      <c r="L143" s="157"/>
      <c r="M143" s="157"/>
    </row>
    <row r="144" spans="1:20">
      <c r="A144" s="35"/>
      <c r="B144" s="783" t="s">
        <v>256</v>
      </c>
      <c r="C144" s="151"/>
      <c r="D144" s="82"/>
      <c r="E144" s="82"/>
      <c r="F144" s="82"/>
      <c r="G144" s="82"/>
      <c r="H144" s="82"/>
      <c r="I144" s="82"/>
      <c r="J144" s="82"/>
      <c r="K144" s="82"/>
      <c r="L144" s="82"/>
      <c r="M144" s="82"/>
      <c r="N144" s="82"/>
    </row>
    <row r="145" spans="1:20">
      <c r="A145" s="35"/>
      <c r="B145" s="780"/>
      <c r="O145"/>
      <c r="P145"/>
      <c r="Q145"/>
      <c r="R145"/>
      <c r="S145"/>
      <c r="T145"/>
    </row>
    <row r="146" spans="1:20">
      <c r="A146" s="35"/>
      <c r="B146" s="788" t="s">
        <v>180</v>
      </c>
    </row>
    <row r="147" spans="1:20">
      <c r="A147" s="35"/>
      <c r="B147" s="780" t="s">
        <v>179</v>
      </c>
      <c r="C147" s="156" t="s">
        <v>128</v>
      </c>
      <c r="D147" s="96">
        <f>D112+D140</f>
        <v>1.6065461429205987</v>
      </c>
      <c r="E147" s="97">
        <f t="shared" ref="E147:K147" si="51">E112+E140</f>
        <v>5.0281838413144335</v>
      </c>
      <c r="F147" s="97">
        <f t="shared" si="51"/>
        <v>1.9850878064608621</v>
      </c>
      <c r="G147" s="97">
        <f t="shared" si="51"/>
        <v>13.152877330847193</v>
      </c>
      <c r="H147" s="97">
        <f t="shared" si="51"/>
        <v>9.1609572347257995</v>
      </c>
      <c r="I147" s="97">
        <f t="shared" si="51"/>
        <v>11.225492219378355</v>
      </c>
      <c r="J147" s="97">
        <f t="shared" si="51"/>
        <v>10.935633849348015</v>
      </c>
      <c r="K147" s="97">
        <f t="shared" si="51"/>
        <v>10.271439009898193</v>
      </c>
      <c r="L147" s="96">
        <f>SUM(D147:INDEX(D147:K147,0,MATCH('RFPR cover'!$C$7,$D$6:$K$6,0)))</f>
        <v>30.933652356268887</v>
      </c>
      <c r="M147" s="98">
        <f>SUM(D147:K147)</f>
        <v>63.36621743489345</v>
      </c>
    </row>
    <row r="148" spans="1:20">
      <c r="A148" s="35"/>
      <c r="B148" s="780" t="s">
        <v>279</v>
      </c>
      <c r="C148" s="156" t="s">
        <v>128</v>
      </c>
      <c r="D148" s="99">
        <f t="shared" ref="D148:K148" si="52">D113+D141</f>
        <v>2.2286081729557412</v>
      </c>
      <c r="E148" s="100">
        <f t="shared" si="52"/>
        <v>6.9751196710141219</v>
      </c>
      <c r="F148" s="100">
        <f t="shared" si="52"/>
        <v>2.7537229036390705</v>
      </c>
      <c r="G148" s="100">
        <f t="shared" si="52"/>
        <v>18.245731718680599</v>
      </c>
      <c r="H148" s="100">
        <f t="shared" si="52"/>
        <v>12.708121864643497</v>
      </c>
      <c r="I148" s="100">
        <f t="shared" si="52"/>
        <v>15.572054258010887</v>
      </c>
      <c r="J148" s="100">
        <f t="shared" si="52"/>
        <v>15.169961398558442</v>
      </c>
      <c r="K148" s="100">
        <f t="shared" si="52"/>
        <v>14.248587272981235</v>
      </c>
      <c r="L148" s="99">
        <f>SUM(D148:INDEX(D148:K148,0,MATCH('RFPR cover'!$C$7,$D$6:$K$6,0)))</f>
        <v>42.911304330933028</v>
      </c>
      <c r="M148" s="101">
        <f>SUM(D148:K148)</f>
        <v>87.901907260483597</v>
      </c>
    </row>
    <row r="149" spans="1:20">
      <c r="A149" s="35"/>
      <c r="B149" s="788" t="s">
        <v>11</v>
      </c>
      <c r="C149" s="157" t="s">
        <v>128</v>
      </c>
      <c r="D149" s="140">
        <f>SUM(D147:D148)</f>
        <v>3.8351543158763399</v>
      </c>
      <c r="E149" s="141">
        <f t="shared" ref="E149:K149" si="53">SUM(E147:E148)</f>
        <v>12.003303512328555</v>
      </c>
      <c r="F149" s="141">
        <f t="shared" si="53"/>
        <v>4.7388107100999326</v>
      </c>
      <c r="G149" s="141">
        <f t="shared" si="53"/>
        <v>31.398609049527792</v>
      </c>
      <c r="H149" s="141">
        <f t="shared" si="53"/>
        <v>21.869079099369294</v>
      </c>
      <c r="I149" s="141">
        <f t="shared" si="53"/>
        <v>26.79754647738924</v>
      </c>
      <c r="J149" s="141">
        <f t="shared" si="53"/>
        <v>26.105595247906457</v>
      </c>
      <c r="K149" s="141">
        <f t="shared" si="53"/>
        <v>24.520026282879428</v>
      </c>
      <c r="L149" s="140">
        <f>SUM(D149:INDEX(D149:K149,0,MATCH('RFPR cover'!$C$7,$D$6:$K$6,0)))</f>
        <v>73.844956687201915</v>
      </c>
      <c r="M149" s="142">
        <f>SUM(D149:K149)</f>
        <v>151.26812469537703</v>
      </c>
    </row>
    <row r="150" spans="1:20">
      <c r="A150" s="35"/>
      <c r="B150" s="787"/>
      <c r="D150" s="137"/>
      <c r="E150" s="137"/>
      <c r="F150" s="137"/>
      <c r="G150" s="137"/>
      <c r="H150" s="137"/>
      <c r="I150" s="137"/>
      <c r="J150" s="137"/>
      <c r="K150" s="137"/>
    </row>
    <row r="151" spans="1:20">
      <c r="A151" s="35"/>
      <c r="B151" s="780"/>
    </row>
    <row r="152" spans="1:20">
      <c r="A152" s="82"/>
      <c r="B152" s="779"/>
      <c r="C152" s="151"/>
      <c r="D152" s="82"/>
      <c r="E152" s="82"/>
      <c r="F152" s="82"/>
      <c r="G152" s="82"/>
      <c r="H152" s="82"/>
      <c r="I152" s="82"/>
      <c r="J152" s="82"/>
      <c r="K152" s="82"/>
      <c r="L152" s="82"/>
      <c r="M152" s="82"/>
      <c r="N152" s="82"/>
    </row>
    <row r="153" spans="1:20">
      <c r="B153" s="780"/>
    </row>
    <row r="154" spans="1:20">
      <c r="B154" s="780"/>
    </row>
  </sheetData>
  <mergeCells count="4">
    <mergeCell ref="O14:Q14"/>
    <mergeCell ref="O42:Q42"/>
    <mergeCell ref="O92:Q92"/>
    <mergeCell ref="O120:Q120"/>
  </mergeCells>
  <conditionalFormatting sqref="D6:K6">
    <cfRule type="expression" dxfId="48" priority="7">
      <formula>AND(D$5="Actuals",E$5="Forecast")</formula>
    </cfRule>
  </conditionalFormatting>
  <conditionalFormatting sqref="B118:M142">
    <cfRule type="expression" dxfId="47" priority="3">
      <formula>$B$38="n/a"</formula>
    </cfRule>
  </conditionalFormatting>
  <conditionalFormatting sqref="D5:K5">
    <cfRule type="expression" dxfId="46" priority="2">
      <formula>AND(D$5="Actuals",E$5="Forecast")</formula>
    </cfRule>
  </conditionalFormatting>
  <conditionalFormatting sqref="B38:N64">
    <cfRule type="expression" dxfId="45" priority="1">
      <formula>$B$38="n/a"</formula>
    </cfRule>
  </conditionalFormatting>
  <pageMargins left="0.70866141732283472" right="0.70866141732283472" top="0.74803149606299213" bottom="0.74803149606299213" header="0.31496062992125984" footer="0.31496062992125984"/>
  <pageSetup paperSize="8" scale="3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FFCC"/>
    <pageSetUpPr fitToPage="1"/>
  </sheetPr>
  <dimension ref="A1:P114"/>
  <sheetViews>
    <sheetView showGridLines="0" zoomScaleNormal="100" workbookViewId="0">
      <pane ySplit="6" topLeftCell="A7" activePane="bottomLeft" state="frozen"/>
      <selection activeCell="B75" sqref="A1:XFD1048576"/>
      <selection pane="bottomLeft" activeCell="D18" sqref="D18:M18"/>
    </sheetView>
  </sheetViews>
  <sheetFormatPr defaultRowHeight="12.75"/>
  <cols>
    <col min="1" max="1" width="8.375" customWidth="1"/>
    <col min="2" max="2" width="71.375" bestFit="1" customWidth="1"/>
    <col min="3" max="3" width="13.375" style="137" customWidth="1"/>
    <col min="4" max="11" width="11.125" customWidth="1"/>
    <col min="12" max="12" width="12.875" customWidth="1"/>
    <col min="13" max="13" width="12.75" customWidth="1"/>
    <col min="14" max="14" width="5" customWidth="1"/>
  </cols>
  <sheetData>
    <row r="1" spans="1:14" s="37" customFormat="1" ht="20.25">
      <c r="A1" s="940" t="s">
        <v>261</v>
      </c>
      <c r="B1" s="941"/>
      <c r="C1" s="154"/>
      <c r="D1" s="132"/>
      <c r="E1" s="132"/>
      <c r="F1" s="132"/>
      <c r="G1" s="132"/>
      <c r="H1" s="132"/>
      <c r="I1" s="128"/>
      <c r="J1" s="128"/>
      <c r="K1" s="128"/>
      <c r="L1" s="128"/>
      <c r="M1" s="128"/>
      <c r="N1" s="129"/>
    </row>
    <row r="2" spans="1:14" s="37" customFormat="1" ht="20.25">
      <c r="A2" s="942" t="str">
        <f>'RFPR cover'!C5</f>
        <v>ENWL</v>
      </c>
      <c r="B2" s="943"/>
      <c r="C2" s="155"/>
      <c r="D2" s="36"/>
      <c r="E2" s="36"/>
      <c r="F2" s="36"/>
      <c r="G2" s="36"/>
      <c r="H2" s="36"/>
      <c r="I2" s="27"/>
      <c r="J2" s="27"/>
      <c r="K2" s="27"/>
      <c r="L2" s="27"/>
      <c r="M2" s="27"/>
      <c r="N2" s="124"/>
    </row>
    <row r="3" spans="1:14" s="37" customFormat="1" ht="20.25">
      <c r="A3" s="944">
        <f>'RFPR cover'!C7</f>
        <v>2020</v>
      </c>
      <c r="B3" s="945"/>
      <c r="C3" s="136"/>
      <c r="D3" s="133"/>
      <c r="E3" s="133"/>
      <c r="F3" s="133"/>
      <c r="G3" s="133"/>
      <c r="H3" s="133"/>
      <c r="I3" s="28"/>
      <c r="J3" s="28"/>
      <c r="K3" s="28"/>
      <c r="L3" s="28"/>
      <c r="M3" s="28"/>
      <c r="N3" s="126"/>
    </row>
    <row r="4" spans="1:14" s="2" customFormat="1" ht="12.75" customHeight="1">
      <c r="B4" s="3"/>
      <c r="C4" s="137"/>
    </row>
    <row r="5" spans="1:14" s="2" customFormat="1" ht="12.75" customHeight="1">
      <c r="B5" s="3"/>
      <c r="C5" s="137"/>
      <c r="D5" s="391" t="str">
        <f>IF(D6&lt;='RFPR cover'!$C$7,"Actuals","Forecast")</f>
        <v>Actuals</v>
      </c>
      <c r="E5" s="392" t="str">
        <f>IF(E6&lt;='RFPR cover'!$C$7,"Actuals","Forecast")</f>
        <v>Actuals</v>
      </c>
      <c r="F5" s="392" t="str">
        <f>IF(F6&lt;='RFPR cover'!$C$7,"Actuals","Forecast")</f>
        <v>Actuals</v>
      </c>
      <c r="G5" s="392" t="str">
        <f>IF(G6&lt;='RFPR cover'!$C$7,"Actuals","Forecast")</f>
        <v>Actuals</v>
      </c>
      <c r="H5" s="392" t="str">
        <f>IF(H6&lt;='RFPR cover'!$C$7,"Actuals","Forecast")</f>
        <v>Actuals</v>
      </c>
      <c r="I5" s="392" t="str">
        <f>IF(I6&lt;='RFPR cover'!$C$7,"Actuals","Forecast")</f>
        <v>Forecast</v>
      </c>
      <c r="J5" s="392" t="str">
        <f>IF(J6&lt;='RFPR cover'!$C$7,"Actuals","Forecast")</f>
        <v>Forecast</v>
      </c>
      <c r="K5" s="393" t="str">
        <f>IF(K6&lt;='RFPR cover'!$C$7,"Actuals","Forecast")</f>
        <v>Forecast</v>
      </c>
    </row>
    <row r="6" spans="1:14" s="2" customFormat="1" ht="29.25" customHeight="1">
      <c r="C6" s="137"/>
      <c r="D6" s="118">
        <f>'RFPR cover'!$C$13</f>
        <v>2016</v>
      </c>
      <c r="E6" s="119">
        <f>D6+1</f>
        <v>2017</v>
      </c>
      <c r="F6" s="119">
        <f t="shared" ref="F6:K6" si="0">E6+1</f>
        <v>2018</v>
      </c>
      <c r="G6" s="119">
        <f t="shared" si="0"/>
        <v>2019</v>
      </c>
      <c r="H6" s="119">
        <f t="shared" si="0"/>
        <v>2020</v>
      </c>
      <c r="I6" s="119">
        <f t="shared" si="0"/>
        <v>2021</v>
      </c>
      <c r="J6" s="119">
        <f t="shared" si="0"/>
        <v>2022</v>
      </c>
      <c r="K6" s="119">
        <f t="shared" si="0"/>
        <v>2023</v>
      </c>
      <c r="L6" s="102" t="str">
        <f>"Cumulative to "&amp;'RFPR cover'!$C$7</f>
        <v>Cumulative to 2020</v>
      </c>
      <c r="M6" s="120" t="s">
        <v>109</v>
      </c>
    </row>
    <row r="7" spans="1:14" s="2" customFormat="1">
      <c r="A7" s="35"/>
      <c r="C7" s="137"/>
    </row>
    <row r="8" spans="1:14" s="2" customFormat="1">
      <c r="A8" s="35"/>
      <c r="B8" s="117" t="s">
        <v>198</v>
      </c>
      <c r="C8" s="151"/>
      <c r="D8" s="81"/>
      <c r="E8" s="81"/>
      <c r="F8" s="81"/>
      <c r="G8" s="81"/>
      <c r="H8" s="81"/>
      <c r="I8" s="81"/>
      <c r="J8" s="81"/>
      <c r="K8" s="81"/>
      <c r="L8" s="81"/>
      <c r="M8" s="81"/>
      <c r="N8" s="81"/>
    </row>
    <row r="9" spans="1:14" s="2" customFormat="1">
      <c r="A9" s="35"/>
      <c r="B9" s="369" t="s">
        <v>383</v>
      </c>
      <c r="C9" s="369"/>
      <c r="D9" s="369"/>
      <c r="E9" s="369"/>
      <c r="F9" s="369"/>
      <c r="G9" s="369"/>
      <c r="H9" s="369"/>
      <c r="I9" s="369"/>
      <c r="J9" s="369"/>
      <c r="K9" s="369"/>
      <c r="L9" s="369"/>
      <c r="M9" s="369"/>
      <c r="N9" s="369"/>
    </row>
    <row r="10" spans="1:14" s="2" customFormat="1">
      <c r="A10" s="35"/>
      <c r="B10" s="12"/>
      <c r="C10" s="137"/>
    </row>
    <row r="11" spans="1:14" s="2" customFormat="1">
      <c r="A11" s="225" t="s">
        <v>151</v>
      </c>
      <c r="B11" s="35" t="str">
        <f>Data!B153</f>
        <v>Broad measure of customer service</v>
      </c>
      <c r="C11" s="156" t="str">
        <f>'RFPR cover'!$C$14</f>
        <v>£m 12/13</v>
      </c>
      <c r="D11" s="597">
        <v>-0.20688629620978727</v>
      </c>
      <c r="E11" s="598">
        <v>0.66540313058428147</v>
      </c>
      <c r="F11" s="598">
        <v>1.8376552222909925</v>
      </c>
      <c r="G11" s="598">
        <v>2.4197985688470434</v>
      </c>
      <c r="H11" s="598">
        <v>3.0345226973885673</v>
      </c>
      <c r="I11" s="598">
        <v>3.1970000000000045</v>
      </c>
      <c r="J11" s="598">
        <v>3.5050000000000043</v>
      </c>
      <c r="K11" s="598">
        <v>3.8570000000000042</v>
      </c>
      <c r="L11" s="674">
        <f>SUM(D11:INDEX(D11:K11,0,MATCH('RFPR cover'!$C$7,$D$6:$K$6,0)))</f>
        <v>7.7504933229010975</v>
      </c>
      <c r="M11" s="675">
        <f t="shared" ref="M11:M17" si="1">SUM(D11:K11)</f>
        <v>18.309493322901112</v>
      </c>
    </row>
    <row r="12" spans="1:14" s="2" customFormat="1">
      <c r="A12" s="225" t="s">
        <v>152</v>
      </c>
      <c r="B12" s="35" t="str">
        <f>Data!B154</f>
        <v>Interruptions-related quality of service</v>
      </c>
      <c r="C12" s="156" t="str">
        <f>'RFPR cover'!$C$14</f>
        <v>£m 12/13</v>
      </c>
      <c r="D12" s="599">
        <v>12.765856491209185</v>
      </c>
      <c r="E12" s="600">
        <v>11.807586443171406</v>
      </c>
      <c r="F12" s="600">
        <v>9.6726939856675198</v>
      </c>
      <c r="G12" s="600">
        <v>9.8685333648664155</v>
      </c>
      <c r="H12" s="600">
        <v>13.528281999999999</v>
      </c>
      <c r="I12" s="600">
        <v>13.6</v>
      </c>
      <c r="J12" s="600">
        <v>13.6</v>
      </c>
      <c r="K12" s="600">
        <v>13.6</v>
      </c>
      <c r="L12" s="678">
        <f>SUM(D12:INDEX(D12:K12,0,MATCH('RFPR cover'!$C$7,$D$6:$K$6,0)))</f>
        <v>57.642952284914521</v>
      </c>
      <c r="M12" s="679">
        <f t="shared" si="1"/>
        <v>98.442952284914512</v>
      </c>
    </row>
    <row r="13" spans="1:14" s="2" customFormat="1">
      <c r="A13" s="225" t="s">
        <v>153</v>
      </c>
      <c r="B13" s="35" t="str">
        <f>Data!B155</f>
        <v>Incentive on connections engagement</v>
      </c>
      <c r="C13" s="156" t="str">
        <f>'RFPR cover'!$C$14</f>
        <v>£m 12/13</v>
      </c>
      <c r="D13" s="599">
        <v>0</v>
      </c>
      <c r="E13" s="600">
        <v>0</v>
      </c>
      <c r="F13" s="600">
        <v>0</v>
      </c>
      <c r="G13" s="600">
        <v>0</v>
      </c>
      <c r="H13" s="600">
        <v>0</v>
      </c>
      <c r="I13" s="600">
        <v>0</v>
      </c>
      <c r="J13" s="600">
        <v>0</v>
      </c>
      <c r="K13" s="600">
        <v>0</v>
      </c>
      <c r="L13" s="678">
        <f>SUM(D13:INDEX(D13:K13,0,MATCH('RFPR cover'!$C$7,$D$6:$K$6,0)))</f>
        <v>0</v>
      </c>
      <c r="M13" s="679">
        <f t="shared" si="1"/>
        <v>0</v>
      </c>
    </row>
    <row r="14" spans="1:14" s="2" customFormat="1">
      <c r="A14" s="225" t="s">
        <v>167</v>
      </c>
      <c r="B14" s="35" t="str">
        <f>Data!B156</f>
        <v>Time to Connect Incentive</v>
      </c>
      <c r="C14" s="156" t="str">
        <f>'RFPR cover'!$C$14</f>
        <v>£m 12/13</v>
      </c>
      <c r="D14" s="599">
        <v>1.2</v>
      </c>
      <c r="E14" s="600">
        <v>1.2</v>
      </c>
      <c r="F14" s="600">
        <v>1.2</v>
      </c>
      <c r="G14" s="600">
        <v>1.1762999999999999</v>
      </c>
      <c r="H14" s="600">
        <v>1.19327113125</v>
      </c>
      <c r="I14" s="600">
        <v>1.1999667999999999</v>
      </c>
      <c r="J14" s="600">
        <v>1.1999667999999999</v>
      </c>
      <c r="K14" s="600">
        <v>1.1999667999999999</v>
      </c>
      <c r="L14" s="678">
        <f>SUM(D14:INDEX(D14:K14,0,MATCH('RFPR cover'!$C$7,$D$6:$K$6,0)))</f>
        <v>5.9695711312499995</v>
      </c>
      <c r="M14" s="679">
        <f t="shared" si="1"/>
        <v>9.5694715312500005</v>
      </c>
    </row>
    <row r="15" spans="1:14" s="2" customFormat="1">
      <c r="A15" s="225" t="s">
        <v>168</v>
      </c>
      <c r="B15" s="35" t="str">
        <f>Data!B157</f>
        <v>Losses discretionary reward scheme</v>
      </c>
      <c r="C15" s="156" t="str">
        <f>'RFPR cover'!$C$14</f>
        <v>£m 12/13</v>
      </c>
      <c r="D15" s="599">
        <v>0</v>
      </c>
      <c r="E15" s="600">
        <v>0.69499999999999995</v>
      </c>
      <c r="F15" s="600">
        <v>0</v>
      </c>
      <c r="G15" s="600">
        <v>0</v>
      </c>
      <c r="H15" s="600">
        <v>0</v>
      </c>
      <c r="I15" s="600">
        <v>0</v>
      </c>
      <c r="J15" s="600">
        <v>0</v>
      </c>
      <c r="K15" s="600">
        <v>0</v>
      </c>
      <c r="L15" s="678">
        <f>SUM(D15:INDEX(D15:K15,0,MATCH('RFPR cover'!$C$7,$D$6:$K$6,0)))</f>
        <v>0.69499999999999995</v>
      </c>
      <c r="M15" s="679">
        <f t="shared" si="1"/>
        <v>0.69499999999999995</v>
      </c>
    </row>
    <row r="16" spans="1:14" s="2" customFormat="1">
      <c r="A16" s="225" t="s">
        <v>169</v>
      </c>
      <c r="B16" s="35" t="str">
        <f>Data!B158</f>
        <v/>
      </c>
      <c r="C16" s="156" t="str">
        <f>'RFPR cover'!$C$14</f>
        <v>£m 12/13</v>
      </c>
      <c r="D16" s="599"/>
      <c r="E16" s="600"/>
      <c r="F16" s="600"/>
      <c r="G16" s="600"/>
      <c r="H16" s="600"/>
      <c r="I16" s="600"/>
      <c r="J16" s="600"/>
      <c r="K16" s="600"/>
      <c r="L16" s="678">
        <f>SUM(D16:INDEX(D16:K16,0,MATCH('RFPR cover'!$C$7,$D$6:$K$6,0)))</f>
        <v>0</v>
      </c>
      <c r="M16" s="679">
        <f t="shared" si="1"/>
        <v>0</v>
      </c>
    </row>
    <row r="17" spans="1:16" s="2" customFormat="1">
      <c r="A17" s="225" t="s">
        <v>471</v>
      </c>
      <c r="B17" s="35" t="str">
        <f>Data!B159</f>
        <v/>
      </c>
      <c r="C17" s="156" t="str">
        <f>'RFPR cover'!$C$14</f>
        <v>£m 12/13</v>
      </c>
      <c r="D17" s="856"/>
      <c r="E17" s="857"/>
      <c r="F17" s="857"/>
      <c r="G17" s="857"/>
      <c r="H17" s="857"/>
      <c r="I17" s="857"/>
      <c r="J17" s="857"/>
      <c r="K17" s="858"/>
      <c r="L17" s="678">
        <f>SUM(D17:INDEX(D17:K17,0,MATCH('RFPR cover'!$C$7,$D$6:$K$6,0)))</f>
        <v>0</v>
      </c>
      <c r="M17" s="679">
        <f t="shared" si="1"/>
        <v>0</v>
      </c>
    </row>
    <row r="18" spans="1:16" s="2" customFormat="1">
      <c r="A18" s="35"/>
      <c r="B18" s="12" t="s">
        <v>202</v>
      </c>
      <c r="C18" s="157" t="str">
        <f>'RFPR cover'!$C$14</f>
        <v>£m 12/13</v>
      </c>
      <c r="D18" s="613">
        <f>SUM(D11:D17)</f>
        <v>13.758970194999396</v>
      </c>
      <c r="E18" s="613">
        <f t="shared" ref="E18:K18" si="2">SUM(E11:E17)</f>
        <v>14.367989573755686</v>
      </c>
      <c r="F18" s="613">
        <f t="shared" si="2"/>
        <v>12.710349207958512</v>
      </c>
      <c r="G18" s="613">
        <f t="shared" si="2"/>
        <v>13.464631933713457</v>
      </c>
      <c r="H18" s="613">
        <f t="shared" si="2"/>
        <v>17.756075828638565</v>
      </c>
      <c r="I18" s="613">
        <f t="shared" si="2"/>
        <v>17.996966800000003</v>
      </c>
      <c r="J18" s="613">
        <f t="shared" si="2"/>
        <v>18.304966800000003</v>
      </c>
      <c r="K18" s="613">
        <f t="shared" si="2"/>
        <v>18.656966800000003</v>
      </c>
      <c r="L18" s="613">
        <f>SUM(L11:L17)</f>
        <v>72.058016739065607</v>
      </c>
      <c r="M18" s="613">
        <f>SUM(M11:M17)</f>
        <v>127.01691713906561</v>
      </c>
    </row>
    <row r="19" spans="1:16" s="2" customFormat="1">
      <c r="A19" s="35"/>
      <c r="B19" s="12"/>
      <c r="C19" s="157"/>
      <c r="D19" s="157"/>
      <c r="E19" s="157"/>
      <c r="F19" s="157"/>
      <c r="G19" s="157"/>
      <c r="H19" s="157"/>
      <c r="I19" s="157"/>
      <c r="J19" s="157"/>
      <c r="K19" s="157"/>
      <c r="L19" s="157"/>
      <c r="M19" s="157"/>
    </row>
    <row r="20" spans="1:16" s="2" customFormat="1">
      <c r="A20" s="35"/>
      <c r="B20" s="12" t="s">
        <v>365</v>
      </c>
      <c r="C20" s="157"/>
      <c r="D20" s="157"/>
      <c r="E20" s="157"/>
      <c r="F20" s="157"/>
      <c r="G20" s="157"/>
      <c r="H20" s="157"/>
      <c r="I20" s="157"/>
      <c r="J20" s="157"/>
      <c r="K20" s="157"/>
      <c r="L20" s="157"/>
      <c r="M20" s="157"/>
    </row>
    <row r="21" spans="1:16" s="2" customFormat="1">
      <c r="A21" s="270" t="str">
        <f>A11</f>
        <v>a</v>
      </c>
      <c r="B21" s="997" t="s">
        <v>613</v>
      </c>
      <c r="C21" s="997">
        <v>0</v>
      </c>
      <c r="D21" s="997">
        <v>0</v>
      </c>
      <c r="E21" s="997">
        <v>0</v>
      </c>
      <c r="F21" s="997">
        <v>0</v>
      </c>
      <c r="G21" s="997">
        <v>0</v>
      </c>
      <c r="H21" s="997">
        <v>0</v>
      </c>
      <c r="I21" s="997">
        <v>0</v>
      </c>
      <c r="J21" s="997">
        <v>0</v>
      </c>
      <c r="K21" s="997">
        <v>0</v>
      </c>
      <c r="L21" s="997">
        <v>0</v>
      </c>
      <c r="M21" s="997">
        <v>0</v>
      </c>
    </row>
    <row r="22" spans="1:16" s="2" customFormat="1">
      <c r="A22" s="270" t="str">
        <f>A12</f>
        <v>b</v>
      </c>
      <c r="B22" s="997" t="s">
        <v>613</v>
      </c>
      <c r="C22" s="997">
        <v>0</v>
      </c>
      <c r="D22" s="997">
        <v>0</v>
      </c>
      <c r="E22" s="997">
        <v>0</v>
      </c>
      <c r="F22" s="997">
        <v>0</v>
      </c>
      <c r="G22" s="997">
        <v>0</v>
      </c>
      <c r="H22" s="997">
        <v>0</v>
      </c>
      <c r="I22" s="997">
        <v>0</v>
      </c>
      <c r="J22" s="997">
        <v>0</v>
      </c>
      <c r="K22" s="997">
        <v>0</v>
      </c>
      <c r="L22" s="997">
        <v>0</v>
      </c>
      <c r="M22" s="997">
        <v>0</v>
      </c>
    </row>
    <row r="23" spans="1:16" s="2" customFormat="1">
      <c r="A23" s="270" t="str">
        <f>A13</f>
        <v>c</v>
      </c>
      <c r="B23" s="997" t="s">
        <v>613</v>
      </c>
      <c r="C23" s="997">
        <v>0</v>
      </c>
      <c r="D23" s="997">
        <v>0</v>
      </c>
      <c r="E23" s="997">
        <v>0</v>
      </c>
      <c r="F23" s="997">
        <v>0</v>
      </c>
      <c r="G23" s="997">
        <v>0</v>
      </c>
      <c r="H23" s="997">
        <v>0</v>
      </c>
      <c r="I23" s="997">
        <v>0</v>
      </c>
      <c r="J23" s="997">
        <v>0</v>
      </c>
      <c r="K23" s="997">
        <v>0</v>
      </c>
      <c r="L23" s="997">
        <v>0</v>
      </c>
      <c r="M23" s="997">
        <v>0</v>
      </c>
    </row>
    <row r="24" spans="1:16" s="2" customFormat="1">
      <c r="A24" s="270" t="str">
        <f>A14</f>
        <v>d</v>
      </c>
      <c r="B24" s="997" t="s">
        <v>613</v>
      </c>
      <c r="C24" s="997">
        <v>0</v>
      </c>
      <c r="D24" s="997">
        <v>0</v>
      </c>
      <c r="E24" s="997">
        <v>0</v>
      </c>
      <c r="F24" s="997">
        <v>0</v>
      </c>
      <c r="G24" s="997">
        <v>0</v>
      </c>
      <c r="H24" s="997">
        <v>0</v>
      </c>
      <c r="I24" s="997">
        <v>0</v>
      </c>
      <c r="J24" s="997">
        <v>0</v>
      </c>
      <c r="K24" s="997">
        <v>0</v>
      </c>
      <c r="L24" s="997">
        <v>0</v>
      </c>
      <c r="M24" s="997">
        <v>0</v>
      </c>
    </row>
    <row r="25" spans="1:16" s="2" customFormat="1">
      <c r="A25" s="270" t="str">
        <f>A15</f>
        <v>e</v>
      </c>
      <c r="B25" s="997" t="s">
        <v>613</v>
      </c>
      <c r="C25" s="997">
        <v>0</v>
      </c>
      <c r="D25" s="997">
        <v>0</v>
      </c>
      <c r="E25" s="997">
        <v>0</v>
      </c>
      <c r="F25" s="997">
        <v>0</v>
      </c>
      <c r="G25" s="997">
        <v>0</v>
      </c>
      <c r="H25" s="997">
        <v>0</v>
      </c>
      <c r="I25" s="997">
        <v>0</v>
      </c>
      <c r="J25" s="997">
        <v>0</v>
      </c>
      <c r="K25" s="997">
        <v>0</v>
      </c>
      <c r="L25" s="997">
        <v>0</v>
      </c>
      <c r="M25" s="997">
        <v>0</v>
      </c>
    </row>
    <row r="26" spans="1:16" s="2" customFormat="1">
      <c r="A26" s="270" t="s">
        <v>169</v>
      </c>
      <c r="B26" s="852"/>
      <c r="C26" s="852"/>
      <c r="D26" s="852"/>
      <c r="E26" s="852"/>
      <c r="F26" s="852"/>
      <c r="G26" s="852"/>
      <c r="H26" s="852"/>
      <c r="I26" s="852"/>
      <c r="J26" s="852"/>
      <c r="K26" s="852"/>
      <c r="L26" s="852"/>
      <c r="M26" s="852"/>
    </row>
    <row r="27" spans="1:16" s="2" customFormat="1">
      <c r="A27" s="270" t="s">
        <v>471</v>
      </c>
      <c r="B27" s="852"/>
      <c r="C27" s="852"/>
      <c r="D27" s="852"/>
      <c r="E27" s="852"/>
      <c r="F27" s="852"/>
      <c r="G27" s="852"/>
      <c r="H27" s="852"/>
      <c r="I27" s="852"/>
      <c r="J27" s="852"/>
      <c r="K27" s="852"/>
      <c r="L27" s="852"/>
      <c r="M27" s="852"/>
    </row>
    <row r="28" spans="1:16" s="536" customFormat="1">
      <c r="A28" s="38"/>
      <c r="B28" s="540"/>
      <c r="C28" s="540"/>
      <c r="D28" s="540"/>
      <c r="E28" s="540"/>
      <c r="F28" s="540"/>
      <c r="G28" s="540"/>
      <c r="H28" s="540"/>
      <c r="I28" s="540"/>
      <c r="J28" s="540"/>
      <c r="K28" s="540"/>
      <c r="L28" s="540"/>
      <c r="M28" s="540"/>
    </row>
    <row r="29" spans="1:16" s="2" customFormat="1">
      <c r="B29" s="12"/>
      <c r="C29" s="137"/>
      <c r="D29" s="52"/>
      <c r="E29" s="52"/>
      <c r="F29" s="52"/>
      <c r="G29" s="52"/>
      <c r="H29" s="52"/>
      <c r="I29" s="52"/>
      <c r="J29" s="52"/>
      <c r="K29" s="52"/>
    </row>
    <row r="30" spans="1:16" s="2" customFormat="1">
      <c r="A30" s="35"/>
      <c r="B30" s="117" t="s">
        <v>199</v>
      </c>
      <c r="C30" s="151"/>
      <c r="D30" s="81"/>
      <c r="E30" s="81"/>
      <c r="F30" s="81"/>
      <c r="G30" s="81"/>
      <c r="H30" s="81"/>
      <c r="I30" s="81"/>
      <c r="J30" s="81"/>
      <c r="K30" s="81"/>
      <c r="L30" s="81"/>
      <c r="M30" s="81"/>
      <c r="N30" s="81"/>
    </row>
    <row r="31" spans="1:16" s="2" customFormat="1">
      <c r="A31" s="35"/>
      <c r="B31" s="35"/>
      <c r="C31" s="35"/>
      <c r="D31" s="35"/>
      <c r="E31" s="35"/>
      <c r="F31" s="35"/>
      <c r="G31" s="35"/>
      <c r="H31" s="35"/>
      <c r="I31" s="35"/>
      <c r="J31" s="35"/>
      <c r="K31" s="35"/>
      <c r="L31" s="35"/>
      <c r="M31" s="35"/>
      <c r="N31" s="35"/>
      <c r="O31" s="35"/>
      <c r="P31" s="35"/>
    </row>
    <row r="32" spans="1:16" s="2" customFormat="1">
      <c r="A32" s="35"/>
      <c r="B32" s="369" t="s">
        <v>210</v>
      </c>
      <c r="C32" s="292"/>
      <c r="D32" s="294"/>
      <c r="E32" s="294"/>
      <c r="F32" s="294"/>
      <c r="G32" s="294"/>
      <c r="H32" s="294"/>
      <c r="I32" s="294"/>
      <c r="J32" s="294"/>
      <c r="K32" s="294"/>
      <c r="L32" s="294"/>
      <c r="M32" s="294"/>
      <c r="N32" s="294"/>
    </row>
    <row r="33" spans="1:14" s="2" customFormat="1">
      <c r="A33" s="35"/>
      <c r="B33" s="370" t="s">
        <v>240</v>
      </c>
      <c r="C33" s="292"/>
      <c r="D33" s="294"/>
      <c r="E33" s="294"/>
      <c r="F33" s="294"/>
      <c r="G33" s="294"/>
      <c r="H33" s="294"/>
      <c r="I33" s="294"/>
      <c r="J33" s="294"/>
      <c r="K33" s="294"/>
      <c r="L33" s="294"/>
      <c r="M33" s="294"/>
      <c r="N33" s="294"/>
    </row>
    <row r="34" spans="1:14" s="2" customFormat="1">
      <c r="A34" s="35"/>
      <c r="B34" s="370" t="s">
        <v>472</v>
      </c>
      <c r="C34" s="292"/>
      <c r="D34" s="294"/>
      <c r="E34" s="294"/>
      <c r="F34" s="294"/>
      <c r="G34" s="294"/>
      <c r="H34" s="294"/>
      <c r="I34" s="294"/>
      <c r="J34" s="294"/>
      <c r="K34" s="294"/>
      <c r="L34" s="294"/>
      <c r="M34" s="294"/>
      <c r="N34" s="294"/>
    </row>
    <row r="35" spans="1:14" s="2" customFormat="1">
      <c r="A35" s="35"/>
      <c r="B35" s="370" t="s">
        <v>208</v>
      </c>
      <c r="C35" s="292"/>
      <c r="D35" s="294"/>
      <c r="E35" s="294"/>
      <c r="F35" s="294"/>
      <c r="G35" s="294"/>
      <c r="H35" s="294"/>
      <c r="I35" s="294"/>
      <c r="J35" s="294"/>
      <c r="K35" s="294"/>
      <c r="L35" s="294"/>
      <c r="M35" s="294"/>
      <c r="N35" s="294"/>
    </row>
    <row r="36" spans="1:14" s="2" customFormat="1">
      <c r="A36" s="35"/>
      <c r="B36" s="370" t="s">
        <v>201</v>
      </c>
      <c r="C36" s="292"/>
      <c r="D36" s="294"/>
      <c r="E36" s="294"/>
      <c r="F36" s="294"/>
      <c r="G36" s="294"/>
      <c r="H36" s="294"/>
      <c r="I36" s="294"/>
      <c r="J36" s="294"/>
      <c r="K36" s="294"/>
      <c r="L36" s="294"/>
      <c r="M36" s="294"/>
      <c r="N36" s="294"/>
    </row>
    <row r="37" spans="1:14" s="2" customFormat="1">
      <c r="A37" s="35"/>
      <c r="B37" s="370" t="s">
        <v>207</v>
      </c>
      <c r="C37" s="292"/>
      <c r="D37" s="294"/>
      <c r="E37" s="294"/>
      <c r="F37" s="294"/>
      <c r="G37" s="294"/>
      <c r="H37" s="294"/>
      <c r="I37" s="294"/>
      <c r="J37" s="294"/>
      <c r="K37" s="294"/>
      <c r="L37" s="294"/>
      <c r="M37" s="294"/>
      <c r="N37" s="294"/>
    </row>
    <row r="38" spans="1:14" s="2" customFormat="1">
      <c r="B38" s="12"/>
      <c r="C38" s="137"/>
    </row>
    <row r="39" spans="1:14" s="2" customFormat="1">
      <c r="A39" s="161" t="str">
        <f t="shared" ref="A39:A45" si="3">A11</f>
        <v>a</v>
      </c>
      <c r="B39" s="35" t="str">
        <f>$B$11&amp;""</f>
        <v>Broad measure of customer service</v>
      </c>
      <c r="C39" s="156" t="str">
        <f>'RFPR cover'!$C$14</f>
        <v>£m 12/13</v>
      </c>
      <c r="D39" s="674">
        <f>D51</f>
        <v>-0.16757789992992769</v>
      </c>
      <c r="E39" s="674">
        <f t="shared" ref="E39:K39" si="4">E51</f>
        <v>0.53897653577326798</v>
      </c>
      <c r="F39" s="674">
        <f t="shared" si="4"/>
        <v>1.488500730055704</v>
      </c>
      <c r="G39" s="674">
        <f t="shared" si="4"/>
        <v>1.9600368407661053</v>
      </c>
      <c r="H39" s="674">
        <f t="shared" si="4"/>
        <v>2.4579633848847395</v>
      </c>
      <c r="I39" s="674">
        <f t="shared" si="4"/>
        <v>2.5895700000000037</v>
      </c>
      <c r="J39" s="674">
        <f t="shared" si="4"/>
        <v>2.8390500000000038</v>
      </c>
      <c r="K39" s="674">
        <f t="shared" si="4"/>
        <v>3.1241700000000034</v>
      </c>
      <c r="L39" s="674">
        <f>SUM(D39:INDEX(D39:K39,0,MATCH('RFPR cover'!$C$7,$D$6:$K$6,0)))</f>
        <v>6.2778995915498896</v>
      </c>
      <c r="M39" s="675">
        <f t="shared" ref="M39:M45" si="5">SUM(D39:K39)</f>
        <v>14.8306895915499</v>
      </c>
    </row>
    <row r="40" spans="1:14" s="2" customFormat="1">
      <c r="A40" s="161" t="str">
        <f t="shared" si="3"/>
        <v>b</v>
      </c>
      <c r="B40" s="35" t="str">
        <f>$B$12&amp;""</f>
        <v>Interruptions-related quality of service</v>
      </c>
      <c r="C40" s="156" t="str">
        <f>'RFPR cover'!$C$14</f>
        <v>£m 12/13</v>
      </c>
      <c r="D40" s="674">
        <f>D55</f>
        <v>10.34034375787944</v>
      </c>
      <c r="E40" s="674">
        <f t="shared" ref="E40:K40" si="6">E55</f>
        <v>9.5641450189688388</v>
      </c>
      <c r="F40" s="674">
        <f t="shared" si="6"/>
        <v>7.8348821283906913</v>
      </c>
      <c r="G40" s="674">
        <f t="shared" si="6"/>
        <v>7.9935120255417971</v>
      </c>
      <c r="H40" s="674">
        <f t="shared" si="6"/>
        <v>10.957908420000001</v>
      </c>
      <c r="I40" s="674">
        <f t="shared" si="6"/>
        <v>11.016</v>
      </c>
      <c r="J40" s="674">
        <f t="shared" si="6"/>
        <v>11.016</v>
      </c>
      <c r="K40" s="674">
        <f t="shared" si="6"/>
        <v>11.016</v>
      </c>
      <c r="L40" s="678">
        <f>SUM(D40:INDEX(D40:K40,0,MATCH('RFPR cover'!$C$7,$D$6:$K$6,0)))</f>
        <v>46.690791350780771</v>
      </c>
      <c r="M40" s="679">
        <f t="shared" si="5"/>
        <v>79.738791350780772</v>
      </c>
    </row>
    <row r="41" spans="1:14" s="2" customFormat="1">
      <c r="A41" s="161" t="str">
        <f t="shared" si="3"/>
        <v>c</v>
      </c>
      <c r="B41" s="35" t="str">
        <f>$B$13&amp;""</f>
        <v>Incentive on connections engagement</v>
      </c>
      <c r="C41" s="156" t="str">
        <f>'RFPR cover'!$C$14</f>
        <v>£m 12/13</v>
      </c>
      <c r="D41" s="674">
        <f>D59</f>
        <v>0</v>
      </c>
      <c r="E41" s="674">
        <f t="shared" ref="E41:K41" si="7">E59</f>
        <v>0</v>
      </c>
      <c r="F41" s="674">
        <f t="shared" si="7"/>
        <v>0</v>
      </c>
      <c r="G41" s="674">
        <f t="shared" si="7"/>
        <v>0</v>
      </c>
      <c r="H41" s="674">
        <f t="shared" si="7"/>
        <v>0</v>
      </c>
      <c r="I41" s="674">
        <f t="shared" si="7"/>
        <v>0</v>
      </c>
      <c r="J41" s="674">
        <f t="shared" si="7"/>
        <v>0</v>
      </c>
      <c r="K41" s="674">
        <f t="shared" si="7"/>
        <v>0</v>
      </c>
      <c r="L41" s="678">
        <f>SUM(D41:INDEX(D41:K41,0,MATCH('RFPR cover'!$C$7,$D$6:$K$6,0)))</f>
        <v>0</v>
      </c>
      <c r="M41" s="679">
        <f t="shared" si="5"/>
        <v>0</v>
      </c>
    </row>
    <row r="42" spans="1:14" s="2" customFormat="1">
      <c r="A42" s="161" t="str">
        <f t="shared" si="3"/>
        <v>d</v>
      </c>
      <c r="B42" s="35" t="str">
        <f>$B$14&amp;""</f>
        <v>Time to Connect Incentive</v>
      </c>
      <c r="C42" s="156" t="str">
        <f>'RFPR cover'!$C$14</f>
        <v>£m 12/13</v>
      </c>
      <c r="D42" s="674">
        <f>D63</f>
        <v>0.97199999999999998</v>
      </c>
      <c r="E42" s="674">
        <f t="shared" ref="E42:K42" si="8">E63</f>
        <v>0.97199999999999998</v>
      </c>
      <c r="F42" s="674">
        <f t="shared" si="8"/>
        <v>0.97199999999999998</v>
      </c>
      <c r="G42" s="674">
        <f t="shared" si="8"/>
        <v>0.95280299999999996</v>
      </c>
      <c r="H42" s="674">
        <f t="shared" si="8"/>
        <v>0.96654961631250003</v>
      </c>
      <c r="I42" s="674">
        <f t="shared" si="8"/>
        <v>0.97197310799999992</v>
      </c>
      <c r="J42" s="674">
        <f t="shared" si="8"/>
        <v>0.97197310799999992</v>
      </c>
      <c r="K42" s="674">
        <f t="shared" si="8"/>
        <v>0.97197310799999992</v>
      </c>
      <c r="L42" s="678">
        <f>SUM(D42:INDEX(D42:K42,0,MATCH('RFPR cover'!$C$7,$D$6:$K$6,0)))</f>
        <v>4.8353526163125</v>
      </c>
      <c r="M42" s="679">
        <f t="shared" si="5"/>
        <v>7.7512719403125008</v>
      </c>
    </row>
    <row r="43" spans="1:14" s="2" customFormat="1">
      <c r="A43" s="161" t="str">
        <f t="shared" si="3"/>
        <v>e</v>
      </c>
      <c r="B43" s="35" t="str">
        <f>$B$15&amp;""</f>
        <v>Losses discretionary reward scheme</v>
      </c>
      <c r="C43" s="156" t="str">
        <f>'RFPR cover'!$C$14</f>
        <v>£m 12/13</v>
      </c>
      <c r="D43" s="674">
        <f>D67</f>
        <v>0</v>
      </c>
      <c r="E43" s="674">
        <f t="shared" ref="E43:K43" si="9">E67</f>
        <v>0.56294999999999995</v>
      </c>
      <c r="F43" s="674">
        <f t="shared" si="9"/>
        <v>0</v>
      </c>
      <c r="G43" s="674">
        <f t="shared" si="9"/>
        <v>0</v>
      </c>
      <c r="H43" s="674">
        <f t="shared" si="9"/>
        <v>0</v>
      </c>
      <c r="I43" s="674">
        <f t="shared" si="9"/>
        <v>0</v>
      </c>
      <c r="J43" s="674">
        <f t="shared" si="9"/>
        <v>0</v>
      </c>
      <c r="K43" s="674">
        <f t="shared" si="9"/>
        <v>0</v>
      </c>
      <c r="L43" s="678">
        <f>SUM(D43:INDEX(D43:K43,0,MATCH('RFPR cover'!$C$7,$D$6:$K$6,0)))</f>
        <v>0.56294999999999995</v>
      </c>
      <c r="M43" s="679">
        <f t="shared" si="5"/>
        <v>0.56294999999999995</v>
      </c>
    </row>
    <row r="44" spans="1:14" s="2" customFormat="1">
      <c r="A44" s="161" t="str">
        <f t="shared" si="3"/>
        <v>f</v>
      </c>
      <c r="B44" s="35" t="str">
        <f>$B$16&amp;""</f>
        <v/>
      </c>
      <c r="C44" s="156" t="str">
        <f>'RFPR cover'!$C$14</f>
        <v>£m 12/13</v>
      </c>
      <c r="D44" s="674">
        <f>D71</f>
        <v>0</v>
      </c>
      <c r="E44" s="674">
        <f t="shared" ref="E44:K44" si="10">E71</f>
        <v>0</v>
      </c>
      <c r="F44" s="674">
        <f t="shared" si="10"/>
        <v>0</v>
      </c>
      <c r="G44" s="674">
        <f t="shared" si="10"/>
        <v>0</v>
      </c>
      <c r="H44" s="674">
        <f t="shared" si="10"/>
        <v>0</v>
      </c>
      <c r="I44" s="674">
        <f t="shared" si="10"/>
        <v>0</v>
      </c>
      <c r="J44" s="674">
        <f t="shared" si="10"/>
        <v>0</v>
      </c>
      <c r="K44" s="674">
        <f t="shared" si="10"/>
        <v>0</v>
      </c>
      <c r="L44" s="678">
        <f>SUM(D44:INDEX(D44:K44,0,MATCH('RFPR cover'!$C$7,$D$6:$K$6,0)))</f>
        <v>0</v>
      </c>
      <c r="M44" s="679">
        <f t="shared" si="5"/>
        <v>0</v>
      </c>
    </row>
    <row r="45" spans="1:14" s="2" customFormat="1">
      <c r="A45" s="161" t="str">
        <f t="shared" si="3"/>
        <v>g</v>
      </c>
      <c r="B45" s="35" t="str">
        <f>$B$17&amp;""</f>
        <v/>
      </c>
      <c r="C45" s="156" t="str">
        <f>'RFPR cover'!$C$14</f>
        <v>£m 12/13</v>
      </c>
      <c r="D45" s="674">
        <f>D75</f>
        <v>0</v>
      </c>
      <c r="E45" s="674">
        <f t="shared" ref="E45:K45" si="11">E75</f>
        <v>0</v>
      </c>
      <c r="F45" s="674">
        <f t="shared" si="11"/>
        <v>0</v>
      </c>
      <c r="G45" s="674">
        <f t="shared" si="11"/>
        <v>0</v>
      </c>
      <c r="H45" s="674">
        <f t="shared" si="11"/>
        <v>0</v>
      </c>
      <c r="I45" s="674">
        <f t="shared" si="11"/>
        <v>0</v>
      </c>
      <c r="J45" s="674">
        <f t="shared" si="11"/>
        <v>0</v>
      </c>
      <c r="K45" s="674">
        <f t="shared" si="11"/>
        <v>0</v>
      </c>
      <c r="L45" s="678">
        <f>SUM(D45:INDEX(D45:K45,0,MATCH('RFPR cover'!$C$7,$D$6:$K$6,0)))</f>
        <v>0</v>
      </c>
      <c r="M45" s="679">
        <f t="shared" si="5"/>
        <v>0</v>
      </c>
    </row>
    <row r="46" spans="1:14" s="2" customFormat="1">
      <c r="B46" s="12" t="s">
        <v>203</v>
      </c>
      <c r="C46" s="157" t="str">
        <f>'RFPR cover'!$C$14</f>
        <v>£m 12/13</v>
      </c>
      <c r="D46" s="613">
        <f>SUM(D39:D45)</f>
        <v>11.144765857949512</v>
      </c>
      <c r="E46" s="613">
        <f t="shared" ref="E46:M46" si="12">SUM(E39:E45)</f>
        <v>11.638071554742107</v>
      </c>
      <c r="F46" s="613">
        <f t="shared" si="12"/>
        <v>10.295382858446395</v>
      </c>
      <c r="G46" s="613">
        <f t="shared" si="12"/>
        <v>10.906351866307901</v>
      </c>
      <c r="H46" s="614">
        <f t="shared" si="12"/>
        <v>14.382421421197241</v>
      </c>
      <c r="I46" s="614">
        <f t="shared" si="12"/>
        <v>14.577543108000004</v>
      </c>
      <c r="J46" s="614">
        <f t="shared" si="12"/>
        <v>14.827023108000004</v>
      </c>
      <c r="K46" s="614">
        <f t="shared" si="12"/>
        <v>15.112143108000003</v>
      </c>
      <c r="L46" s="613">
        <f t="shared" si="12"/>
        <v>58.366993558643159</v>
      </c>
      <c r="M46" s="613">
        <f t="shared" si="12"/>
        <v>102.88370288264318</v>
      </c>
    </row>
    <row r="47" spans="1:14" s="2" customFormat="1">
      <c r="B47" s="12"/>
      <c r="C47" s="157"/>
      <c r="D47" s="157"/>
      <c r="E47" s="157"/>
      <c r="F47" s="157"/>
      <c r="G47" s="157"/>
      <c r="H47" s="157"/>
      <c r="I47" s="157"/>
      <c r="J47" s="157"/>
      <c r="K47" s="157"/>
      <c r="L47" s="157"/>
      <c r="M47" s="157"/>
    </row>
    <row r="48" spans="1:14" s="2" customFormat="1">
      <c r="B48" s="12"/>
      <c r="C48" s="157"/>
      <c r="D48" s="162"/>
      <c r="E48" s="157"/>
      <c r="F48" s="157"/>
      <c r="G48" s="157"/>
      <c r="H48" s="157"/>
      <c r="I48" s="157"/>
      <c r="J48" s="157"/>
      <c r="K48" s="157"/>
      <c r="L48" s="157"/>
      <c r="M48" s="157"/>
    </row>
    <row r="49" spans="1:13" s="2" customFormat="1">
      <c r="A49" s="161" t="str">
        <f>$A$11</f>
        <v>a</v>
      </c>
      <c r="B49" s="172" t="str">
        <f>INDEX($B$11:$B$15,MATCH($A49,$A$11:$A$15,0),0)&amp;""</f>
        <v>Broad measure of customer service</v>
      </c>
      <c r="C49" s="156" t="str">
        <f>'RFPR cover'!$C$14</f>
        <v>£m 12/13</v>
      </c>
      <c r="D49" s="789">
        <f>INDEX($D$11:$K$17,MATCH($A49,$A$11:$A$17,0),0)</f>
        <v>-0.20688629620978727</v>
      </c>
      <c r="E49" s="789">
        <f t="shared" ref="E49:K49" si="13">INDEX($D$11:$K$17,MATCH($A49,$A$11:$A$17,0),0)</f>
        <v>0.66540313058428147</v>
      </c>
      <c r="F49" s="789">
        <f t="shared" si="13"/>
        <v>1.8376552222909925</v>
      </c>
      <c r="G49" s="789">
        <f t="shared" si="13"/>
        <v>2.4197985688470434</v>
      </c>
      <c r="H49" s="789">
        <f t="shared" si="13"/>
        <v>3.0345226973885673</v>
      </c>
      <c r="I49" s="789">
        <f t="shared" si="13"/>
        <v>3.1970000000000045</v>
      </c>
      <c r="J49" s="789">
        <f t="shared" si="13"/>
        <v>3.5050000000000043</v>
      </c>
      <c r="K49" s="789">
        <f t="shared" si="13"/>
        <v>3.8570000000000042</v>
      </c>
      <c r="L49" s="789">
        <f>SUM(D49:INDEX(D49:K49,0,MATCH('RFPR cover'!$C$7,$D$6:$K$6,0)))</f>
        <v>7.7504933229010975</v>
      </c>
      <c r="M49" s="790">
        <f>SUM(D49:K49)</f>
        <v>18.309493322901112</v>
      </c>
    </row>
    <row r="50" spans="1:13" s="2" customFormat="1">
      <c r="A50" s="161"/>
      <c r="B50" s="35" t="s">
        <v>200</v>
      </c>
      <c r="C50" s="295" t="s">
        <v>201</v>
      </c>
      <c r="D50" s="894">
        <f>IF($C50=$B$33,$B$33,INDEX(Data!$G$14:$G$30,MATCH('R5 - Output Incentives'!D$6+RIGHT('R5 - Output Incentives'!$C50,2),Data!$C$14:$C$30,0),0))</f>
        <v>0.19</v>
      </c>
      <c r="E50" s="895">
        <f>IF($C50=$B$33,$B$33,INDEX(Data!$G$14:$G$30,MATCH('R5 - Output Incentives'!E$6+RIGHT('R5 - Output Incentives'!$C50,2),Data!$C$14:$C$30,0),0))</f>
        <v>0.19</v>
      </c>
      <c r="F50" s="895">
        <f>IF($C50=$B$33,$B$33,INDEX(Data!$G$14:$G$30,MATCH('R5 - Output Incentives'!F$6+RIGHT('R5 - Output Incentives'!$C50,2),Data!$C$14:$C$30,0),0))</f>
        <v>0.19</v>
      </c>
      <c r="G50" s="895">
        <f>IF($C50=$B$33,$B$33,INDEX(Data!$G$14:$G$30,MATCH('R5 - Output Incentives'!G$6+RIGHT('R5 - Output Incentives'!$C50,2),Data!$C$14:$C$30,0),0))</f>
        <v>0.19</v>
      </c>
      <c r="H50" s="895">
        <f>IF($C50=$B$33,$B$33,INDEX(Data!$G$14:$G$30,MATCH('R5 - Output Incentives'!H$6+RIGHT('R5 - Output Incentives'!$C50,2),Data!$C$14:$C$30,0),0))</f>
        <v>0.19</v>
      </c>
      <c r="I50" s="895">
        <f>IF($C50=$B$33,$B$33,INDEX(Data!$G$14:$G$30,MATCH('R5 - Output Incentives'!I$6+RIGHT('R5 - Output Incentives'!$C50,2),Data!$C$14:$C$30,0),0))</f>
        <v>0.19</v>
      </c>
      <c r="J50" s="895">
        <f>IF($C50=$B$33,$B$33,INDEX(Data!$G$14:$G$30,MATCH('R5 - Output Incentives'!J$6+RIGHT('R5 - Output Incentives'!$C50,2),Data!$C$14:$C$30,0),0))</f>
        <v>0.19</v>
      </c>
      <c r="K50" s="896">
        <f>IF($C50=$B$33,$B$33,INDEX(Data!$G$14:$G$30,MATCH('R5 - Output Incentives'!K$6+RIGHT('R5 - Output Incentives'!$C50,2),Data!$C$14:$C$30,0),0))</f>
        <v>0.19</v>
      </c>
      <c r="L50" s="791"/>
      <c r="M50" s="792"/>
    </row>
    <row r="51" spans="1:13" s="2" customFormat="1">
      <c r="A51" s="161"/>
      <c r="B51" s="35" t="s">
        <v>209</v>
      </c>
      <c r="C51" s="156"/>
      <c r="D51" s="613">
        <f>IFERROR(D49*(1-D50),0)</f>
        <v>-0.16757789992992769</v>
      </c>
      <c r="E51" s="614">
        <f t="shared" ref="E51:K51" si="14">IFERROR(E49*(1-E50),0)</f>
        <v>0.53897653577326798</v>
      </c>
      <c r="F51" s="614">
        <f t="shared" si="14"/>
        <v>1.488500730055704</v>
      </c>
      <c r="G51" s="614">
        <f t="shared" si="14"/>
        <v>1.9600368407661053</v>
      </c>
      <c r="H51" s="614">
        <f t="shared" si="14"/>
        <v>2.4579633848847395</v>
      </c>
      <c r="I51" s="614">
        <f t="shared" si="14"/>
        <v>2.5895700000000037</v>
      </c>
      <c r="J51" s="614">
        <f t="shared" si="14"/>
        <v>2.8390500000000038</v>
      </c>
      <c r="K51" s="614">
        <f t="shared" si="14"/>
        <v>3.1241700000000034</v>
      </c>
      <c r="L51" s="672">
        <f>SUM(D51:INDEX(D51:K51,0,MATCH('RFPR cover'!$C$7,$D$6:$K$6,0)))</f>
        <v>6.2778995915498896</v>
      </c>
      <c r="M51" s="673">
        <f>SUM(D51:K51)</f>
        <v>14.8306895915499</v>
      </c>
    </row>
    <row r="52" spans="1:13" s="2" customFormat="1">
      <c r="A52" s="161"/>
      <c r="B52" s="51"/>
      <c r="C52" s="157"/>
      <c r="D52" s="157"/>
      <c r="E52" s="157"/>
      <c r="F52" s="157"/>
      <c r="G52" s="157"/>
      <c r="H52" s="157"/>
      <c r="I52" s="157"/>
      <c r="J52" s="157"/>
      <c r="K52" s="157"/>
      <c r="L52" s="157"/>
      <c r="M52" s="157"/>
    </row>
    <row r="53" spans="1:13" s="2" customFormat="1">
      <c r="A53" s="161" t="str">
        <f>$A$12</f>
        <v>b</v>
      </c>
      <c r="B53" s="172" t="str">
        <f>INDEX($B$11:$B$15,MATCH($A53,$A$11:$A$15,0),0)&amp;""</f>
        <v>Interruptions-related quality of service</v>
      </c>
      <c r="C53" s="156" t="str">
        <f>'RFPR cover'!$C$14</f>
        <v>£m 12/13</v>
      </c>
      <c r="D53" s="789">
        <f>INDEX($D$11:$K$17,MATCH($A53,$A$11:$A$17,0),0)</f>
        <v>12.765856491209185</v>
      </c>
      <c r="E53" s="789">
        <f t="shared" ref="E53:K53" si="15">INDEX($D$11:$K$17,MATCH($A53,$A$11:$A$17,0),0)</f>
        <v>11.807586443171406</v>
      </c>
      <c r="F53" s="789">
        <f t="shared" si="15"/>
        <v>9.6726939856675198</v>
      </c>
      <c r="G53" s="789">
        <f t="shared" si="15"/>
        <v>9.8685333648664155</v>
      </c>
      <c r="H53" s="789">
        <f t="shared" si="15"/>
        <v>13.528281999999999</v>
      </c>
      <c r="I53" s="789">
        <f t="shared" si="15"/>
        <v>13.6</v>
      </c>
      <c r="J53" s="789">
        <f t="shared" si="15"/>
        <v>13.6</v>
      </c>
      <c r="K53" s="789">
        <f t="shared" si="15"/>
        <v>13.6</v>
      </c>
      <c r="L53" s="674">
        <f>SUM(D53:INDEX(D53:K53,0,MATCH('RFPR cover'!$C$7,$D$6:$K$6,0)))</f>
        <v>57.642952284914521</v>
      </c>
      <c r="M53" s="675">
        <f>SUM(D53:K53)</f>
        <v>98.442952284914512</v>
      </c>
    </row>
    <row r="54" spans="1:13" s="2" customFormat="1">
      <c r="A54" s="161"/>
      <c r="B54" s="35" t="s">
        <v>200</v>
      </c>
      <c r="C54" s="295" t="s">
        <v>201</v>
      </c>
      <c r="D54" s="894">
        <f>IF($C54=$B$33,$B$33,INDEX(Data!$G$14:$G$30,MATCH('R5 - Output Incentives'!D$6+RIGHT('R5 - Output Incentives'!$C54,2),Data!$C$14:$C$30,0),0))</f>
        <v>0.19</v>
      </c>
      <c r="E54" s="895">
        <f>IF($C54=$B$33,$B$33,INDEX(Data!$G$14:$G$30,MATCH('R5 - Output Incentives'!E$6+RIGHT('R5 - Output Incentives'!$C54,2),Data!$C$14:$C$30,0),0))</f>
        <v>0.19</v>
      </c>
      <c r="F54" s="895">
        <f>IF($C54=$B$33,$B$33,INDEX(Data!$G$14:$G$30,MATCH('R5 - Output Incentives'!F$6+RIGHT('R5 - Output Incentives'!$C54,2),Data!$C$14:$C$30,0),0))</f>
        <v>0.19</v>
      </c>
      <c r="G54" s="895">
        <f>IF($C54=$B$33,$B$33,INDEX(Data!$G$14:$G$30,MATCH('R5 - Output Incentives'!G$6+RIGHT('R5 - Output Incentives'!$C54,2),Data!$C$14:$C$30,0),0))</f>
        <v>0.19</v>
      </c>
      <c r="H54" s="895">
        <f>IF($C54=$B$33,$B$33,INDEX(Data!$G$14:$G$30,MATCH('R5 - Output Incentives'!H$6+RIGHT('R5 - Output Incentives'!$C54,2),Data!$C$14:$C$30,0),0))</f>
        <v>0.19</v>
      </c>
      <c r="I54" s="895">
        <f>IF($C54=$B$33,$B$33,INDEX(Data!$G$14:$G$30,MATCH('R5 - Output Incentives'!I$6+RIGHT('R5 - Output Incentives'!$C54,2),Data!$C$14:$C$30,0),0))</f>
        <v>0.19</v>
      </c>
      <c r="J54" s="895">
        <f>IF($C54=$B$33,$B$33,INDEX(Data!$G$14:$G$30,MATCH('R5 - Output Incentives'!J$6+RIGHT('R5 - Output Incentives'!$C54,2),Data!$C$14:$C$30,0),0))</f>
        <v>0.19</v>
      </c>
      <c r="K54" s="896">
        <f>IF($C54=$B$33,$B$33,INDEX(Data!$G$14:$G$30,MATCH('R5 - Output Incentives'!K$6+RIGHT('R5 - Output Incentives'!$C54,2),Data!$C$14:$C$30,0),0))</f>
        <v>0.19</v>
      </c>
      <c r="L54" s="791"/>
      <c r="M54" s="792"/>
    </row>
    <row r="55" spans="1:13" s="2" customFormat="1">
      <c r="A55" s="161"/>
      <c r="B55" s="35" t="s">
        <v>209</v>
      </c>
      <c r="C55" s="156"/>
      <c r="D55" s="613">
        <f>IFERROR(D53*(1-D54),0)</f>
        <v>10.34034375787944</v>
      </c>
      <c r="E55" s="614">
        <f t="shared" ref="E55:K55" si="16">IFERROR(E53*(1-E54),0)</f>
        <v>9.5641450189688388</v>
      </c>
      <c r="F55" s="614">
        <f t="shared" si="16"/>
        <v>7.8348821283906913</v>
      </c>
      <c r="G55" s="614">
        <f t="shared" si="16"/>
        <v>7.9935120255417971</v>
      </c>
      <c r="H55" s="614">
        <f t="shared" si="16"/>
        <v>10.957908420000001</v>
      </c>
      <c r="I55" s="614">
        <f t="shared" si="16"/>
        <v>11.016</v>
      </c>
      <c r="J55" s="614">
        <f t="shared" si="16"/>
        <v>11.016</v>
      </c>
      <c r="K55" s="614">
        <f t="shared" si="16"/>
        <v>11.016</v>
      </c>
      <c r="L55" s="672">
        <f>SUM(D55:INDEX(D55:K55,0,MATCH('RFPR cover'!$C$7,$D$6:$K$6,0)))</f>
        <v>46.690791350780771</v>
      </c>
      <c r="M55" s="673">
        <f>SUM(D55:K55)</f>
        <v>79.738791350780772</v>
      </c>
    </row>
    <row r="56" spans="1:13" s="2" customFormat="1">
      <c r="A56" s="161"/>
      <c r="B56" s="51"/>
      <c r="C56" s="157"/>
      <c r="D56" s="157"/>
      <c r="E56" s="157"/>
      <c r="F56" s="157"/>
      <c r="G56" s="157"/>
      <c r="H56" s="157"/>
      <c r="I56" s="157"/>
      <c r="J56" s="157"/>
      <c r="K56" s="157"/>
      <c r="L56" s="157"/>
      <c r="M56" s="157"/>
    </row>
    <row r="57" spans="1:13" s="2" customFormat="1">
      <c r="A57" s="161" t="str">
        <f>$A$13</f>
        <v>c</v>
      </c>
      <c r="B57" s="172" t="str">
        <f>INDEX($B$11:$B$15,MATCH($A57,$A$11:$A$15,0),0)&amp;""</f>
        <v>Incentive on connections engagement</v>
      </c>
      <c r="C57" s="156" t="str">
        <f>'RFPR cover'!$C$14</f>
        <v>£m 12/13</v>
      </c>
      <c r="D57" s="789">
        <f>INDEX($D$11:$K$17,MATCH($A57,$A$11:$A$17,0),0)</f>
        <v>0</v>
      </c>
      <c r="E57" s="789">
        <f t="shared" ref="E57:K57" si="17">INDEX($D$11:$K$17,MATCH($A57,$A$11:$A$17,0),0)</f>
        <v>0</v>
      </c>
      <c r="F57" s="789">
        <f t="shared" si="17"/>
        <v>0</v>
      </c>
      <c r="G57" s="789">
        <f t="shared" si="17"/>
        <v>0</v>
      </c>
      <c r="H57" s="789">
        <f t="shared" si="17"/>
        <v>0</v>
      </c>
      <c r="I57" s="789">
        <f t="shared" si="17"/>
        <v>0</v>
      </c>
      <c r="J57" s="789">
        <f t="shared" si="17"/>
        <v>0</v>
      </c>
      <c r="K57" s="789">
        <f t="shared" si="17"/>
        <v>0</v>
      </c>
      <c r="L57" s="674">
        <f>SUM(D57:INDEX(D57:K57,0,MATCH('RFPR cover'!$C$7,$D$6:$K$6,0)))</f>
        <v>0</v>
      </c>
      <c r="M57" s="675">
        <f>SUM(D57:K57)</f>
        <v>0</v>
      </c>
    </row>
    <row r="58" spans="1:13" s="2" customFormat="1">
      <c r="A58" s="161"/>
      <c r="B58" s="35" t="s">
        <v>200</v>
      </c>
      <c r="C58" s="295" t="s">
        <v>207</v>
      </c>
      <c r="D58" s="894">
        <f>IF($C58=$B$33,$B$33,INDEX(Data!$G$14:$G$30,MATCH('R5 - Output Incentives'!D$6+RIGHT('R5 - Output Incentives'!$C58,2),Data!$C$14:$C$30,0),0))</f>
        <v>0.19</v>
      </c>
      <c r="E58" s="895">
        <f>IF($C58=$B$33,$B$33,INDEX(Data!$G$14:$G$30,MATCH('R5 - Output Incentives'!E$6+RIGHT('R5 - Output Incentives'!$C58,2),Data!$C$14:$C$30,0),0))</f>
        <v>0.19</v>
      </c>
      <c r="F58" s="895">
        <f>IF($C58=$B$33,$B$33,INDEX(Data!$G$14:$G$30,MATCH('R5 - Output Incentives'!F$6+RIGHT('R5 - Output Incentives'!$C58,2),Data!$C$14:$C$30,0),0))</f>
        <v>0.19</v>
      </c>
      <c r="G58" s="895">
        <f>IF($C58=$B$33,$B$33,INDEX(Data!$G$14:$G$30,MATCH('R5 - Output Incentives'!G$6+RIGHT('R5 - Output Incentives'!$C58,2),Data!$C$14:$C$30,0),0))</f>
        <v>0.19</v>
      </c>
      <c r="H58" s="895">
        <f>IF($C58=$B$33,$B$33,INDEX(Data!$G$14:$G$30,MATCH('R5 - Output Incentives'!H$6+RIGHT('R5 - Output Incentives'!$C58,2),Data!$C$14:$C$30,0),0))</f>
        <v>0.19</v>
      </c>
      <c r="I58" s="895">
        <f>IF($C58=$B$33,$B$33,INDEX(Data!$G$14:$G$30,MATCH('R5 - Output Incentives'!I$6+RIGHT('R5 - Output Incentives'!$C58,2),Data!$C$14:$C$30,0),0))</f>
        <v>0.19</v>
      </c>
      <c r="J58" s="895">
        <f>IF($C58=$B$33,$B$33,INDEX(Data!$G$14:$G$30,MATCH('R5 - Output Incentives'!J$6+RIGHT('R5 - Output Incentives'!$C58,2),Data!$C$14:$C$30,0),0))</f>
        <v>0.19</v>
      </c>
      <c r="K58" s="896">
        <f>IF($C58=$B$33,$B$33,INDEX(Data!$G$14:$G$30,MATCH('R5 - Output Incentives'!K$6+RIGHT('R5 - Output Incentives'!$C58,2),Data!$C$14:$C$30,0),0))</f>
        <v>0.19</v>
      </c>
      <c r="L58" s="791"/>
      <c r="M58" s="792"/>
    </row>
    <row r="59" spans="1:13" s="2" customFormat="1">
      <c r="A59" s="161"/>
      <c r="B59" s="35" t="s">
        <v>209</v>
      </c>
      <c r="C59" s="156"/>
      <c r="D59" s="613">
        <f>IFERROR(D57*(1-D58),0)</f>
        <v>0</v>
      </c>
      <c r="E59" s="614">
        <f t="shared" ref="E59:K59" si="18">IFERROR(E57*(1-E58),0)</f>
        <v>0</v>
      </c>
      <c r="F59" s="614">
        <f t="shared" si="18"/>
        <v>0</v>
      </c>
      <c r="G59" s="614">
        <f t="shared" si="18"/>
        <v>0</v>
      </c>
      <c r="H59" s="614">
        <f t="shared" si="18"/>
        <v>0</v>
      </c>
      <c r="I59" s="614">
        <f t="shared" si="18"/>
        <v>0</v>
      </c>
      <c r="J59" s="614">
        <f t="shared" si="18"/>
        <v>0</v>
      </c>
      <c r="K59" s="614">
        <f t="shared" si="18"/>
        <v>0</v>
      </c>
      <c r="L59" s="672">
        <f>SUM(D59:INDEX(D59:K59,0,MATCH('RFPR cover'!$C$7,$D$6:$K$6,0)))</f>
        <v>0</v>
      </c>
      <c r="M59" s="673">
        <f>SUM(D59:K59)</f>
        <v>0</v>
      </c>
    </row>
    <row r="60" spans="1:13" s="2" customFormat="1">
      <c r="A60" s="161"/>
      <c r="B60" s="51"/>
      <c r="C60" s="157"/>
      <c r="D60" s="157"/>
      <c r="E60" s="157"/>
      <c r="F60" s="157"/>
      <c r="G60" s="157"/>
      <c r="H60" s="157"/>
      <c r="I60" s="157"/>
      <c r="J60" s="157"/>
      <c r="K60" s="157"/>
      <c r="L60" s="157"/>
      <c r="M60" s="157"/>
    </row>
    <row r="61" spans="1:13" s="2" customFormat="1">
      <c r="A61" s="161" t="str">
        <f>$A$14</f>
        <v>d</v>
      </c>
      <c r="B61" s="172" t="str">
        <f>INDEX($B$11:$B$15,MATCH($A61,$A$11:$A$15,0),0)&amp;""</f>
        <v>Time to Connect Incentive</v>
      </c>
      <c r="C61" s="156" t="str">
        <f>'RFPR cover'!$C$14</f>
        <v>£m 12/13</v>
      </c>
      <c r="D61" s="789">
        <f>INDEX($D$11:$K$17,MATCH($A61,$A$11:$A$17,0),0)</f>
        <v>1.2</v>
      </c>
      <c r="E61" s="789">
        <f t="shared" ref="E61:K61" si="19">INDEX($D$11:$K$17,MATCH($A61,$A$11:$A$17,0),0)</f>
        <v>1.2</v>
      </c>
      <c r="F61" s="789">
        <f t="shared" si="19"/>
        <v>1.2</v>
      </c>
      <c r="G61" s="789">
        <f t="shared" si="19"/>
        <v>1.1762999999999999</v>
      </c>
      <c r="H61" s="789">
        <f t="shared" si="19"/>
        <v>1.19327113125</v>
      </c>
      <c r="I61" s="789">
        <f t="shared" si="19"/>
        <v>1.1999667999999999</v>
      </c>
      <c r="J61" s="789">
        <f t="shared" si="19"/>
        <v>1.1999667999999999</v>
      </c>
      <c r="K61" s="789">
        <f t="shared" si="19"/>
        <v>1.1999667999999999</v>
      </c>
      <c r="L61" s="674">
        <f>SUM(D61:INDEX(D61:K61,0,MATCH('RFPR cover'!$C$7,$D$6:$K$6,0)))</f>
        <v>5.9695711312499995</v>
      </c>
      <c r="M61" s="675">
        <f>SUM(D61:K61)</f>
        <v>9.5694715312500005</v>
      </c>
    </row>
    <row r="62" spans="1:13" s="2" customFormat="1">
      <c r="A62" s="161"/>
      <c r="B62" s="35" t="s">
        <v>200</v>
      </c>
      <c r="C62" s="295" t="s">
        <v>201</v>
      </c>
      <c r="D62" s="894">
        <f>IF($C62=$B$33,$B$33,INDEX(Data!$G$14:$G$30,MATCH('R5 - Output Incentives'!D$6+RIGHT('R5 - Output Incentives'!$C62,2),Data!$C$14:$C$30,0),0))</f>
        <v>0.19</v>
      </c>
      <c r="E62" s="895">
        <f>IF($C62=$B$33,$B$33,INDEX(Data!$G$14:$G$30,MATCH('R5 - Output Incentives'!E$6+RIGHT('R5 - Output Incentives'!$C62,2),Data!$C$14:$C$30,0),0))</f>
        <v>0.19</v>
      </c>
      <c r="F62" s="895">
        <f>IF($C62=$B$33,$B$33,INDEX(Data!$G$14:$G$30,MATCH('R5 - Output Incentives'!F$6+RIGHT('R5 - Output Incentives'!$C62,2),Data!$C$14:$C$30,0),0))</f>
        <v>0.19</v>
      </c>
      <c r="G62" s="895">
        <f>IF($C62=$B$33,$B$33,INDEX(Data!$G$14:$G$30,MATCH('R5 - Output Incentives'!G$6+RIGHT('R5 - Output Incentives'!$C62,2),Data!$C$14:$C$30,0),0))</f>
        <v>0.19</v>
      </c>
      <c r="H62" s="895">
        <f>IF($C62=$B$33,$B$33,INDEX(Data!$G$14:$G$30,MATCH('R5 - Output Incentives'!H$6+RIGHT('R5 - Output Incentives'!$C62,2),Data!$C$14:$C$30,0),0))</f>
        <v>0.19</v>
      </c>
      <c r="I62" s="895">
        <f>IF($C62=$B$33,$B$33,INDEX(Data!$G$14:$G$30,MATCH('R5 - Output Incentives'!I$6+RIGHT('R5 - Output Incentives'!$C62,2),Data!$C$14:$C$30,0),0))</f>
        <v>0.19</v>
      </c>
      <c r="J62" s="895">
        <f>IF($C62=$B$33,$B$33,INDEX(Data!$G$14:$G$30,MATCH('R5 - Output Incentives'!J$6+RIGHT('R5 - Output Incentives'!$C62,2),Data!$C$14:$C$30,0),0))</f>
        <v>0.19</v>
      </c>
      <c r="K62" s="896">
        <f>IF($C62=$B$33,$B$33,INDEX(Data!$G$14:$G$30,MATCH('R5 - Output Incentives'!K$6+RIGHT('R5 - Output Incentives'!$C62,2),Data!$C$14:$C$30,0),0))</f>
        <v>0.19</v>
      </c>
      <c r="L62" s="791"/>
      <c r="M62" s="792"/>
    </row>
    <row r="63" spans="1:13" s="2" customFormat="1">
      <c r="A63" s="161"/>
      <c r="B63" s="35" t="s">
        <v>209</v>
      </c>
      <c r="C63" s="156"/>
      <c r="D63" s="613">
        <f>IFERROR(D61*(1-D62),0)</f>
        <v>0.97199999999999998</v>
      </c>
      <c r="E63" s="614">
        <f t="shared" ref="E63:K63" si="20">IFERROR(E61*(1-E62),0)</f>
        <v>0.97199999999999998</v>
      </c>
      <c r="F63" s="614">
        <f t="shared" si="20"/>
        <v>0.97199999999999998</v>
      </c>
      <c r="G63" s="614">
        <f t="shared" si="20"/>
        <v>0.95280299999999996</v>
      </c>
      <c r="H63" s="614">
        <f t="shared" si="20"/>
        <v>0.96654961631250003</v>
      </c>
      <c r="I63" s="614">
        <f t="shared" si="20"/>
        <v>0.97197310799999992</v>
      </c>
      <c r="J63" s="614">
        <f t="shared" si="20"/>
        <v>0.97197310799999992</v>
      </c>
      <c r="K63" s="614">
        <f t="shared" si="20"/>
        <v>0.97197310799999992</v>
      </c>
      <c r="L63" s="672">
        <f>SUM(D63:INDEX(D63:K63,0,MATCH('RFPR cover'!$C$7,$D$6:$K$6,0)))</f>
        <v>4.8353526163125</v>
      </c>
      <c r="M63" s="673">
        <f>SUM(D63:K63)</f>
        <v>7.7512719403125008</v>
      </c>
    </row>
    <row r="64" spans="1:13" s="2" customFormat="1">
      <c r="A64" s="161"/>
      <c r="B64" s="51"/>
      <c r="C64" s="157"/>
      <c r="D64" s="157"/>
      <c r="E64" s="157"/>
      <c r="F64" s="157"/>
      <c r="G64" s="157"/>
      <c r="H64" s="157"/>
      <c r="I64" s="157"/>
      <c r="J64" s="157"/>
      <c r="K64" s="157"/>
      <c r="L64" s="157"/>
      <c r="M64" s="157"/>
    </row>
    <row r="65" spans="1:14" s="2" customFormat="1">
      <c r="A65" s="161" t="str">
        <f>$A$15</f>
        <v>e</v>
      </c>
      <c r="B65" s="172" t="str">
        <f>INDEX($B$11:$B$15,MATCH($A65,$A$11:$A$15,0),0)&amp;""</f>
        <v>Losses discretionary reward scheme</v>
      </c>
      <c r="C65" s="156" t="str">
        <f>'RFPR cover'!$C$14</f>
        <v>£m 12/13</v>
      </c>
      <c r="D65" s="789">
        <f>INDEX($D$11:$K$17,MATCH($A65,$A$11:$A$17,0),0)</f>
        <v>0</v>
      </c>
      <c r="E65" s="789">
        <f t="shared" ref="E65:K65" si="21">INDEX($D$11:$K$17,MATCH($A65,$A$11:$A$17,0),0)</f>
        <v>0.69499999999999995</v>
      </c>
      <c r="F65" s="789">
        <f t="shared" si="21"/>
        <v>0</v>
      </c>
      <c r="G65" s="789">
        <f t="shared" si="21"/>
        <v>0</v>
      </c>
      <c r="H65" s="789">
        <f t="shared" si="21"/>
        <v>0</v>
      </c>
      <c r="I65" s="789">
        <f t="shared" si="21"/>
        <v>0</v>
      </c>
      <c r="J65" s="789">
        <f t="shared" si="21"/>
        <v>0</v>
      </c>
      <c r="K65" s="789">
        <f t="shared" si="21"/>
        <v>0</v>
      </c>
      <c r="L65" s="674">
        <f>SUM(D65:INDEX(D65:K65,0,MATCH('RFPR cover'!$C$7,$D$6:$K$6,0)))</f>
        <v>0.69499999999999995</v>
      </c>
      <c r="M65" s="675">
        <f>SUM(D65:K65)</f>
        <v>0.69499999999999995</v>
      </c>
    </row>
    <row r="66" spans="1:14" s="2" customFormat="1">
      <c r="A66" s="161"/>
      <c r="B66" s="35" t="s">
        <v>200</v>
      </c>
      <c r="C66" s="295" t="s">
        <v>208</v>
      </c>
      <c r="D66" s="894">
        <f>IF($C66=$B$33,$B$33,INDEX(Data!$G$14:$G$30,MATCH('R5 - Output Incentives'!D$6+RIGHT('R5 - Output Incentives'!$C66,2),Data!$C$14:$C$30,0),0))</f>
        <v>0.2</v>
      </c>
      <c r="E66" s="895">
        <f>IF($C66=$B$33,$B$33,INDEX(Data!$G$14:$G$30,MATCH('R5 - Output Incentives'!E$6+RIGHT('R5 - Output Incentives'!$C66,2),Data!$C$14:$C$30,0),0))</f>
        <v>0.19</v>
      </c>
      <c r="F66" s="895">
        <f>IF($C66=$B$33,$B$33,INDEX(Data!$G$14:$G$30,MATCH('R5 - Output Incentives'!F$6+RIGHT('R5 - Output Incentives'!$C66,2),Data!$C$14:$C$30,0),0))</f>
        <v>0.19</v>
      </c>
      <c r="G66" s="895">
        <f>IF($C66=$B$33,$B$33,INDEX(Data!$G$14:$G$30,MATCH('R5 - Output Incentives'!G$6+RIGHT('R5 - Output Incentives'!$C66,2),Data!$C$14:$C$30,0),0))</f>
        <v>0.19</v>
      </c>
      <c r="H66" s="895">
        <f>IF($C66=$B$33,$B$33,INDEX(Data!$G$14:$G$30,MATCH('R5 - Output Incentives'!H$6+RIGHT('R5 - Output Incentives'!$C66,2),Data!$C$14:$C$30,0),0))</f>
        <v>0.19</v>
      </c>
      <c r="I66" s="895">
        <f>IF($C66=$B$33,$B$33,INDEX(Data!$G$14:$G$30,MATCH('R5 - Output Incentives'!I$6+RIGHT('R5 - Output Incentives'!$C66,2),Data!$C$14:$C$30,0),0))</f>
        <v>0.19</v>
      </c>
      <c r="J66" s="895">
        <f>IF($C66=$B$33,$B$33,INDEX(Data!$G$14:$G$30,MATCH('R5 - Output Incentives'!J$6+RIGHT('R5 - Output Incentives'!$C66,2),Data!$C$14:$C$30,0),0))</f>
        <v>0.19</v>
      </c>
      <c r="K66" s="896">
        <f>IF($C66=$B$33,$B$33,INDEX(Data!$G$14:$G$30,MATCH('R5 - Output Incentives'!K$6+RIGHT('R5 - Output Incentives'!$C66,2),Data!$C$14:$C$30,0),0))</f>
        <v>0.19</v>
      </c>
      <c r="L66" s="791"/>
      <c r="M66" s="792"/>
    </row>
    <row r="67" spans="1:14" s="2" customFormat="1">
      <c r="A67" s="161"/>
      <c r="B67" s="35" t="s">
        <v>209</v>
      </c>
      <c r="C67" s="156"/>
      <c r="D67" s="613">
        <f>IFERROR(D65*(1-D66),0)</f>
        <v>0</v>
      </c>
      <c r="E67" s="614">
        <f t="shared" ref="E67:K67" si="22">IFERROR(E65*(1-E66),0)</f>
        <v>0.56294999999999995</v>
      </c>
      <c r="F67" s="614">
        <f t="shared" si="22"/>
        <v>0</v>
      </c>
      <c r="G67" s="614">
        <f t="shared" si="22"/>
        <v>0</v>
      </c>
      <c r="H67" s="614">
        <f t="shared" si="22"/>
        <v>0</v>
      </c>
      <c r="I67" s="614">
        <f t="shared" si="22"/>
        <v>0</v>
      </c>
      <c r="J67" s="614">
        <f t="shared" si="22"/>
        <v>0</v>
      </c>
      <c r="K67" s="614">
        <f t="shared" si="22"/>
        <v>0</v>
      </c>
      <c r="L67" s="672">
        <f>SUM(D67:INDEX(D67:K67,0,MATCH('RFPR cover'!$C$7,$D$6:$K$6,0)))</f>
        <v>0.56294999999999995</v>
      </c>
      <c r="M67" s="673">
        <f>SUM(D67:K67)</f>
        <v>0.56294999999999995</v>
      </c>
    </row>
    <row r="68" spans="1:14" s="2" customFormat="1">
      <c r="A68" s="161"/>
      <c r="B68" s="51"/>
      <c r="C68" s="157"/>
      <c r="D68" s="157"/>
      <c r="E68" s="157"/>
      <c r="F68" s="157"/>
      <c r="G68" s="157"/>
      <c r="H68" s="157"/>
      <c r="I68" s="157"/>
      <c r="J68" s="157"/>
      <c r="K68" s="157"/>
      <c r="L68" s="157"/>
      <c r="M68" s="157"/>
    </row>
    <row r="69" spans="1:14" s="2" customFormat="1">
      <c r="A69" s="161" t="str">
        <f>$A$16</f>
        <v>f</v>
      </c>
      <c r="B69" s="172" t="str">
        <f>INDEX($B$11:$B$17,MATCH($A69,$A$11:$A$17,0),0)&amp;""</f>
        <v/>
      </c>
      <c r="C69" s="156" t="str">
        <f>'RFPR cover'!$C$14</f>
        <v>£m 12/13</v>
      </c>
      <c r="D69" s="789">
        <f>INDEX($D$11:$K$17,MATCH($A69,$A$11:$A$17,0),0)</f>
        <v>0</v>
      </c>
      <c r="E69" s="789">
        <f t="shared" ref="E69:K69" si="23">INDEX($D$11:$K$17,MATCH($A69,$A$11:$A$17,0),0)</f>
        <v>0</v>
      </c>
      <c r="F69" s="789">
        <f t="shared" si="23"/>
        <v>0</v>
      </c>
      <c r="G69" s="789">
        <f t="shared" si="23"/>
        <v>0</v>
      </c>
      <c r="H69" s="789">
        <f t="shared" si="23"/>
        <v>0</v>
      </c>
      <c r="I69" s="789">
        <f t="shared" si="23"/>
        <v>0</v>
      </c>
      <c r="J69" s="789">
        <f t="shared" si="23"/>
        <v>0</v>
      </c>
      <c r="K69" s="789">
        <f t="shared" si="23"/>
        <v>0</v>
      </c>
      <c r="L69" s="674">
        <f>SUM(D69:INDEX(D69:K69,0,MATCH('RFPR cover'!$C$7,$D$6:$K$6,0)))</f>
        <v>0</v>
      </c>
      <c r="M69" s="675">
        <f>SUM(D69:K69)</f>
        <v>0</v>
      </c>
    </row>
    <row r="70" spans="1:14" s="2" customFormat="1">
      <c r="A70" s="161"/>
      <c r="B70" s="35" t="s">
        <v>200</v>
      </c>
      <c r="C70" s="295" t="s">
        <v>208</v>
      </c>
      <c r="D70" s="894">
        <f>IF($C70=$B$33,$B$33,INDEX(Data!$G$14:$G$30,MATCH('R5 - Output Incentives'!D$6+RIGHT('R5 - Output Incentives'!$C70,2),Data!$C$14:$C$30,0),0))</f>
        <v>0.2</v>
      </c>
      <c r="E70" s="895">
        <f>IF($C70=$B$33,$B$33,INDEX(Data!$G$14:$G$30,MATCH('R5 - Output Incentives'!E$6+RIGHT('R5 - Output Incentives'!$C70,2),Data!$C$14:$C$30,0),0))</f>
        <v>0.19</v>
      </c>
      <c r="F70" s="895">
        <f>IF($C70=$B$33,$B$33,INDEX(Data!$G$14:$G$30,MATCH('R5 - Output Incentives'!F$6+RIGHT('R5 - Output Incentives'!$C70,2),Data!$C$14:$C$30,0),0))</f>
        <v>0.19</v>
      </c>
      <c r="G70" s="895">
        <f>IF($C70=$B$33,$B$33,INDEX(Data!$G$14:$G$30,MATCH('R5 - Output Incentives'!G$6+RIGHT('R5 - Output Incentives'!$C70,2),Data!$C$14:$C$30,0),0))</f>
        <v>0.19</v>
      </c>
      <c r="H70" s="895">
        <f>IF($C70=$B$33,$B$33,INDEX(Data!$G$14:$G$30,MATCH('R5 - Output Incentives'!H$6+RIGHT('R5 - Output Incentives'!$C70,2),Data!$C$14:$C$30,0),0))</f>
        <v>0.19</v>
      </c>
      <c r="I70" s="895">
        <f>IF($C70=$B$33,$B$33,INDEX(Data!$G$14:$G$30,MATCH('R5 - Output Incentives'!I$6+RIGHT('R5 - Output Incentives'!$C70,2),Data!$C$14:$C$30,0),0))</f>
        <v>0.19</v>
      </c>
      <c r="J70" s="895">
        <f>IF($C70=$B$33,$B$33,INDEX(Data!$G$14:$G$30,MATCH('R5 - Output Incentives'!J$6+RIGHT('R5 - Output Incentives'!$C70,2),Data!$C$14:$C$30,0),0))</f>
        <v>0.19</v>
      </c>
      <c r="K70" s="896">
        <f>IF($C70=$B$33,$B$33,INDEX(Data!$G$14:$G$30,MATCH('R5 - Output Incentives'!K$6+RIGHT('R5 - Output Incentives'!$C70,2),Data!$C$14:$C$30,0),0))</f>
        <v>0.19</v>
      </c>
      <c r="L70" s="791"/>
      <c r="M70" s="792"/>
    </row>
    <row r="71" spans="1:14" s="2" customFormat="1">
      <c r="A71" s="161"/>
      <c r="B71" s="35" t="s">
        <v>209</v>
      </c>
      <c r="C71" s="156"/>
      <c r="D71" s="613">
        <f>IFERROR(D69*(1-D70),0)</f>
        <v>0</v>
      </c>
      <c r="E71" s="614">
        <f t="shared" ref="E71:K71" si="24">IFERROR(E69*(1-E70),0)</f>
        <v>0</v>
      </c>
      <c r="F71" s="614">
        <f t="shared" si="24"/>
        <v>0</v>
      </c>
      <c r="G71" s="614">
        <f t="shared" si="24"/>
        <v>0</v>
      </c>
      <c r="H71" s="614">
        <f t="shared" si="24"/>
        <v>0</v>
      </c>
      <c r="I71" s="614">
        <f t="shared" si="24"/>
        <v>0</v>
      </c>
      <c r="J71" s="614">
        <f t="shared" si="24"/>
        <v>0</v>
      </c>
      <c r="K71" s="614">
        <f t="shared" si="24"/>
        <v>0</v>
      </c>
      <c r="L71" s="672">
        <f>SUM(D71:INDEX(D71:K71,0,MATCH('RFPR cover'!$C$7,$D$6:$K$6,0)))</f>
        <v>0</v>
      </c>
      <c r="M71" s="673">
        <f>SUM(D71:K71)</f>
        <v>0</v>
      </c>
    </row>
    <row r="72" spans="1:14" s="2" customFormat="1">
      <c r="A72" s="161"/>
      <c r="B72" s="51"/>
      <c r="C72" s="157"/>
      <c r="D72" s="157"/>
      <c r="E72" s="157"/>
      <c r="F72" s="157"/>
      <c r="G72" s="157"/>
      <c r="H72" s="157"/>
      <c r="I72" s="157"/>
      <c r="J72" s="157"/>
      <c r="K72" s="157"/>
      <c r="L72" s="157"/>
      <c r="M72" s="157"/>
    </row>
    <row r="73" spans="1:14" s="2" customFormat="1">
      <c r="A73" s="161" t="s">
        <v>471</v>
      </c>
      <c r="B73" s="172" t="str">
        <f>INDEX($B$11:$B$17,MATCH($A73,$A$11:$A$17,0),0)&amp;""</f>
        <v/>
      </c>
      <c r="C73" s="156" t="str">
        <f>'RFPR cover'!$C$14</f>
        <v>£m 12/13</v>
      </c>
      <c r="D73" s="789">
        <f>INDEX($D$11:$K$17,MATCH($A73,$A$11:$A$17,0),0)</f>
        <v>0</v>
      </c>
      <c r="E73" s="789">
        <f t="shared" ref="E73:K73" si="25">INDEX($D$11:$K$17,MATCH($A73,$A$11:$A$17,0),0)</f>
        <v>0</v>
      </c>
      <c r="F73" s="789">
        <f t="shared" si="25"/>
        <v>0</v>
      </c>
      <c r="G73" s="789">
        <f t="shared" si="25"/>
        <v>0</v>
      </c>
      <c r="H73" s="789">
        <f t="shared" si="25"/>
        <v>0</v>
      </c>
      <c r="I73" s="789">
        <f t="shared" si="25"/>
        <v>0</v>
      </c>
      <c r="J73" s="789">
        <f t="shared" si="25"/>
        <v>0</v>
      </c>
      <c r="K73" s="789">
        <f t="shared" si="25"/>
        <v>0</v>
      </c>
      <c r="L73" s="674">
        <f>SUM(D73:INDEX(D73:K73,0,MATCH('RFPR cover'!$C$7,$D$6:$K$6,0)))</f>
        <v>0</v>
      </c>
      <c r="M73" s="675">
        <f>SUM(D73:K73)</f>
        <v>0</v>
      </c>
    </row>
    <row r="74" spans="1:14" s="2" customFormat="1">
      <c r="A74" s="161"/>
      <c r="B74" s="35" t="s">
        <v>200</v>
      </c>
      <c r="C74" s="295" t="s">
        <v>208</v>
      </c>
      <c r="D74" s="894">
        <f>IF($C74=$B$33,$B$33,INDEX(Data!$G$14:$G$30,MATCH('R5 - Output Incentives'!D$6+RIGHT('R5 - Output Incentives'!$C74,2),Data!$C$14:$C$30,0),0))</f>
        <v>0.2</v>
      </c>
      <c r="E74" s="895">
        <f>IF($C74=$B$33,$B$33,INDEX(Data!$G$14:$G$30,MATCH('R5 - Output Incentives'!E$6+RIGHT('R5 - Output Incentives'!$C74,2),Data!$C$14:$C$30,0),0))</f>
        <v>0.19</v>
      </c>
      <c r="F74" s="895">
        <f>IF($C74=$B$33,$B$33,INDEX(Data!$G$14:$G$30,MATCH('R5 - Output Incentives'!F$6+RIGHT('R5 - Output Incentives'!$C74,2),Data!$C$14:$C$30,0),0))</f>
        <v>0.19</v>
      </c>
      <c r="G74" s="895">
        <f>IF($C74=$B$33,$B$33,INDEX(Data!$G$14:$G$30,MATCH('R5 - Output Incentives'!G$6+RIGHT('R5 - Output Incentives'!$C74,2),Data!$C$14:$C$30,0),0))</f>
        <v>0.19</v>
      </c>
      <c r="H74" s="895">
        <f>IF($C74=$B$33,$B$33,INDEX(Data!$G$14:$G$30,MATCH('R5 - Output Incentives'!H$6+RIGHT('R5 - Output Incentives'!$C74,2),Data!$C$14:$C$30,0),0))</f>
        <v>0.19</v>
      </c>
      <c r="I74" s="895">
        <f>IF($C74=$B$33,$B$33,INDEX(Data!$G$14:$G$30,MATCH('R5 - Output Incentives'!I$6+RIGHT('R5 - Output Incentives'!$C74,2),Data!$C$14:$C$30,0),0))</f>
        <v>0.19</v>
      </c>
      <c r="J74" s="895">
        <f>IF($C74=$B$33,$B$33,INDEX(Data!$G$14:$G$30,MATCH('R5 - Output Incentives'!J$6+RIGHT('R5 - Output Incentives'!$C74,2),Data!$C$14:$C$30,0),0))</f>
        <v>0.19</v>
      </c>
      <c r="K74" s="896">
        <f>IF($C74=$B$33,$B$33,INDEX(Data!$G$14:$G$30,MATCH('R5 - Output Incentives'!K$6+RIGHT('R5 - Output Incentives'!$C74,2),Data!$C$14:$C$30,0),0))</f>
        <v>0.19</v>
      </c>
      <c r="L74" s="791"/>
      <c r="M74" s="792"/>
    </row>
    <row r="75" spans="1:14" s="2" customFormat="1">
      <c r="A75" s="161"/>
      <c r="B75" s="35" t="s">
        <v>209</v>
      </c>
      <c r="C75" s="156"/>
      <c r="D75" s="613">
        <f>IFERROR(D73*(1-D74),0)</f>
        <v>0</v>
      </c>
      <c r="E75" s="614">
        <f t="shared" ref="E75:K75" si="26">IFERROR(E73*(1-E74),0)</f>
        <v>0</v>
      </c>
      <c r="F75" s="614">
        <f t="shared" si="26"/>
        <v>0</v>
      </c>
      <c r="G75" s="614">
        <f t="shared" si="26"/>
        <v>0</v>
      </c>
      <c r="H75" s="614">
        <f t="shared" si="26"/>
        <v>0</v>
      </c>
      <c r="I75" s="614">
        <f t="shared" si="26"/>
        <v>0</v>
      </c>
      <c r="J75" s="614">
        <f t="shared" si="26"/>
        <v>0</v>
      </c>
      <c r="K75" s="614">
        <f t="shared" si="26"/>
        <v>0</v>
      </c>
      <c r="L75" s="672">
        <f>SUM(D75:INDEX(D75:K75,0,MATCH('RFPR cover'!$C$7,$D$6:$K$6,0)))</f>
        <v>0</v>
      </c>
      <c r="M75" s="673">
        <f>SUM(D75:K75)</f>
        <v>0</v>
      </c>
    </row>
    <row r="76" spans="1:14" s="536" customFormat="1" ht="14.25" customHeight="1">
      <c r="A76" s="535"/>
      <c r="C76" s="537"/>
      <c r="D76" s="538"/>
      <c r="E76" s="538"/>
      <c r="F76" s="538"/>
      <c r="G76" s="538"/>
      <c r="H76" s="538"/>
      <c r="I76" s="538"/>
      <c r="J76" s="538"/>
      <c r="K76" s="538"/>
      <c r="L76" s="539"/>
      <c r="M76" s="539"/>
    </row>
    <row r="77" spans="1:14" s="2" customFormat="1">
      <c r="B77" s="117" t="s">
        <v>388</v>
      </c>
      <c r="C77" s="151"/>
      <c r="D77" s="134"/>
      <c r="E77" s="134"/>
      <c r="F77" s="134"/>
      <c r="G77" s="134"/>
      <c r="H77" s="134"/>
      <c r="I77" s="134"/>
      <c r="J77" s="134"/>
      <c r="K77" s="134"/>
      <c r="L77" s="81"/>
      <c r="M77" s="81"/>
      <c r="N77" s="81"/>
    </row>
    <row r="78" spans="1:14" s="2" customFormat="1">
      <c r="B78" s="369" t="s">
        <v>387</v>
      </c>
      <c r="C78" s="292"/>
      <c r="D78" s="293"/>
      <c r="E78" s="293"/>
      <c r="F78" s="293"/>
      <c r="G78" s="293"/>
      <c r="H78" s="293"/>
      <c r="I78" s="293"/>
      <c r="J78" s="293"/>
      <c r="K78" s="293"/>
      <c r="L78" s="294"/>
      <c r="M78" s="294"/>
      <c r="N78" s="294"/>
    </row>
    <row r="79" spans="1:14" s="2" customFormat="1">
      <c r="B79" s="369" t="s">
        <v>389</v>
      </c>
      <c r="C79" s="292"/>
      <c r="D79" s="293"/>
      <c r="E79" s="293"/>
      <c r="F79" s="293"/>
      <c r="G79" s="293"/>
      <c r="H79" s="293"/>
      <c r="I79" s="293"/>
      <c r="J79" s="293"/>
      <c r="K79" s="293"/>
      <c r="L79" s="294"/>
      <c r="M79" s="294"/>
      <c r="N79" s="294"/>
    </row>
    <row r="80" spans="1:14" s="536" customFormat="1">
      <c r="B80" s="541"/>
      <c r="C80" s="542"/>
      <c r="D80" s="543"/>
      <c r="E80" s="543"/>
      <c r="F80" s="543"/>
      <c r="G80" s="543"/>
      <c r="H80" s="543"/>
      <c r="I80" s="543"/>
      <c r="J80" s="543"/>
      <c r="K80" s="543"/>
    </row>
    <row r="81" spans="1:12" s="2" customFormat="1">
      <c r="B81" s="12"/>
      <c r="C81" s="544" t="s">
        <v>390</v>
      </c>
      <c r="D81" s="547" t="str">
        <f t="shared" ref="D81:K81" si="27">IF($C50=$B$33,D$6,IF(D$6-RIGHT($C50,1)&lt;$D$6,"Pre-RIIO",D$6-RIGHT($C50,1)))</f>
        <v>Pre-RIIO</v>
      </c>
      <c r="E81" s="548" t="str">
        <f t="shared" si="27"/>
        <v>Pre-RIIO</v>
      </c>
      <c r="F81" s="548">
        <f t="shared" si="27"/>
        <v>2016</v>
      </c>
      <c r="G81" s="548">
        <f t="shared" si="27"/>
        <v>2017</v>
      </c>
      <c r="H81" s="548">
        <f t="shared" si="27"/>
        <v>2018</v>
      </c>
      <c r="I81" s="548">
        <f t="shared" si="27"/>
        <v>2019</v>
      </c>
      <c r="J81" s="548">
        <f t="shared" si="27"/>
        <v>2020</v>
      </c>
      <c r="K81" s="549">
        <f t="shared" si="27"/>
        <v>2021</v>
      </c>
    </row>
    <row r="82" spans="1:12" s="2" customFormat="1">
      <c r="A82" s="3" t="str">
        <f>A11</f>
        <v>a</v>
      </c>
      <c r="B82" s="130" t="str">
        <f>B11&amp;""</f>
        <v>Broad measure of customer service</v>
      </c>
      <c r="C82" s="137" t="s">
        <v>128</v>
      </c>
      <c r="D82" s="641">
        <v>-1.449320316769054</v>
      </c>
      <c r="E82" s="642">
        <v>-1.1472371864336983</v>
      </c>
      <c r="F82" s="642">
        <v>-0.21936500453496982</v>
      </c>
      <c r="G82" s="642">
        <v>0.72065599828257865</v>
      </c>
      <c r="H82" s="620">
        <v>2.0647230891982105</v>
      </c>
      <c r="I82" s="620">
        <v>2.8018730681226858</v>
      </c>
      <c r="J82" s="620">
        <v>3.6046173324385733</v>
      </c>
      <c r="K82" s="620">
        <v>3.862178710771436</v>
      </c>
    </row>
    <row r="83" spans="1:12" s="2" customFormat="1">
      <c r="A83" s="3"/>
      <c r="B83" s="130"/>
      <c r="C83" s="137"/>
      <c r="D83" s="137"/>
      <c r="E83" s="137"/>
      <c r="F83" s="137"/>
      <c r="G83" s="137"/>
      <c r="H83" s="137"/>
      <c r="I83" s="137"/>
      <c r="J83" s="137"/>
      <c r="K83" s="137"/>
      <c r="L83" s="137"/>
    </row>
    <row r="84" spans="1:12" s="2" customFormat="1">
      <c r="A84" s="3"/>
      <c r="B84" s="130"/>
      <c r="C84" s="544" t="s">
        <v>390</v>
      </c>
      <c r="D84" s="547" t="str">
        <f t="shared" ref="D84:K84" si="28">IF($C54=$B$33,D$6,IF(D$6-RIGHT($C54,1)&lt;$D$6,"Pre-RIIO",D$6-RIGHT($C54,1)))</f>
        <v>Pre-RIIO</v>
      </c>
      <c r="E84" s="548" t="str">
        <f t="shared" si="28"/>
        <v>Pre-RIIO</v>
      </c>
      <c r="F84" s="548">
        <f t="shared" si="28"/>
        <v>2016</v>
      </c>
      <c r="G84" s="548">
        <f t="shared" si="28"/>
        <v>2017</v>
      </c>
      <c r="H84" s="548">
        <f t="shared" si="28"/>
        <v>2018</v>
      </c>
      <c r="I84" s="548">
        <f t="shared" si="28"/>
        <v>2019</v>
      </c>
      <c r="J84" s="548">
        <f t="shared" si="28"/>
        <v>2020</v>
      </c>
      <c r="K84" s="549">
        <f t="shared" si="28"/>
        <v>2021</v>
      </c>
    </row>
    <row r="85" spans="1:12" s="2" customFormat="1">
      <c r="A85" s="3" t="str">
        <f>A12</f>
        <v>b</v>
      </c>
      <c r="B85" s="130" t="str">
        <f>B12&amp;""</f>
        <v>Interruptions-related quality of service</v>
      </c>
      <c r="C85" s="137" t="s">
        <v>128</v>
      </c>
      <c r="D85" s="641">
        <v>9.8439726433539594</v>
      </c>
      <c r="E85" s="642">
        <v>16.964153932804653</v>
      </c>
      <c r="F85" s="642">
        <v>15.393619077646294</v>
      </c>
      <c r="G85" s="642">
        <v>14.696766019054465</v>
      </c>
      <c r="H85" s="620">
        <v>12.418867346408305</v>
      </c>
      <c r="I85" s="620">
        <v>12.842987855333407</v>
      </c>
      <c r="J85" s="620">
        <v>17.816976729248729</v>
      </c>
      <c r="K85" s="620">
        <v>18.340085060645041</v>
      </c>
    </row>
    <row r="86" spans="1:12" s="2" customFormat="1">
      <c r="A86" s="3"/>
      <c r="B86" s="130"/>
      <c r="C86" s="137"/>
      <c r="D86" s="137"/>
      <c r="E86" s="137"/>
      <c r="F86" s="137"/>
      <c r="G86" s="137"/>
      <c r="H86" s="137"/>
      <c r="I86" s="137"/>
      <c r="J86" s="137"/>
      <c r="K86" s="137"/>
      <c r="L86" s="137"/>
    </row>
    <row r="87" spans="1:12" s="2" customFormat="1">
      <c r="A87" s="3"/>
      <c r="B87" s="130"/>
      <c r="C87" s="544" t="s">
        <v>390</v>
      </c>
      <c r="D87" s="547" t="str">
        <f t="shared" ref="D87:K87" si="29">IF($C58=$B$33,D$6,IF(D$6-RIGHT($C58,1)&lt;$D$6,"Pre-RIIO",D$6-RIGHT($C58,1)))</f>
        <v>Pre-RIIO</v>
      </c>
      <c r="E87" s="548" t="str">
        <f t="shared" si="29"/>
        <v>Pre-RIIO</v>
      </c>
      <c r="F87" s="548" t="str">
        <f t="shared" si="29"/>
        <v>Pre-RIIO</v>
      </c>
      <c r="G87" s="548">
        <f t="shared" si="29"/>
        <v>2016</v>
      </c>
      <c r="H87" s="548">
        <f t="shared" si="29"/>
        <v>2017</v>
      </c>
      <c r="I87" s="548">
        <f t="shared" si="29"/>
        <v>2018</v>
      </c>
      <c r="J87" s="548">
        <f t="shared" si="29"/>
        <v>2019</v>
      </c>
      <c r="K87" s="549">
        <f t="shared" si="29"/>
        <v>2020</v>
      </c>
    </row>
    <row r="88" spans="1:12" s="2" customFormat="1">
      <c r="A88" s="3" t="str">
        <f>A13</f>
        <v>c</v>
      </c>
      <c r="B88" s="130" t="str">
        <f>B13&amp;""</f>
        <v>Incentive on connections engagement</v>
      </c>
      <c r="C88" s="137" t="s">
        <v>128</v>
      </c>
      <c r="D88" s="641">
        <v>0</v>
      </c>
      <c r="E88" s="642">
        <v>0</v>
      </c>
      <c r="F88" s="642">
        <v>0</v>
      </c>
      <c r="G88" s="642">
        <v>0</v>
      </c>
      <c r="H88" s="620">
        <v>0</v>
      </c>
      <c r="I88" s="620">
        <v>0</v>
      </c>
      <c r="J88" s="620">
        <v>0</v>
      </c>
      <c r="K88" s="620">
        <v>0</v>
      </c>
    </row>
    <row r="89" spans="1:12" s="2" customFormat="1">
      <c r="A89" s="3"/>
      <c r="B89" s="130"/>
      <c r="C89" s="137"/>
      <c r="D89" s="137"/>
      <c r="E89" s="137"/>
      <c r="F89" s="137"/>
      <c r="G89" s="137"/>
      <c r="H89" s="137"/>
      <c r="I89" s="137"/>
      <c r="J89" s="137"/>
      <c r="K89" s="137"/>
      <c r="L89" s="137"/>
    </row>
    <row r="90" spans="1:12" s="2" customFormat="1">
      <c r="A90" s="3"/>
      <c r="B90" s="130"/>
      <c r="C90" s="544" t="s">
        <v>390</v>
      </c>
      <c r="D90" s="547" t="str">
        <f t="shared" ref="D90:K90" si="30">IF($C62=$B$33,D$6,IF(D$6-RIGHT($C62,1)&lt;$D$6,"Pre-RIIO",D$6-RIGHT($C62,1)))</f>
        <v>Pre-RIIO</v>
      </c>
      <c r="E90" s="548" t="str">
        <f t="shared" si="30"/>
        <v>Pre-RIIO</v>
      </c>
      <c r="F90" s="548">
        <f t="shared" si="30"/>
        <v>2016</v>
      </c>
      <c r="G90" s="548">
        <f t="shared" si="30"/>
        <v>2017</v>
      </c>
      <c r="H90" s="548">
        <f t="shared" si="30"/>
        <v>2018</v>
      </c>
      <c r="I90" s="548">
        <f t="shared" si="30"/>
        <v>2019</v>
      </c>
      <c r="J90" s="548">
        <f t="shared" si="30"/>
        <v>2020</v>
      </c>
      <c r="K90" s="549">
        <f t="shared" si="30"/>
        <v>2021</v>
      </c>
    </row>
    <row r="91" spans="1:12" s="2" customFormat="1">
      <c r="A91" s="3" t="str">
        <f>A14</f>
        <v>d</v>
      </c>
      <c r="B91" s="130" t="str">
        <f>B14&amp;""</f>
        <v>Time to Connect Incentive</v>
      </c>
      <c r="C91" s="137" t="s">
        <v>128</v>
      </c>
      <c r="D91" s="641">
        <v>0</v>
      </c>
      <c r="E91" s="642">
        <v>0</v>
      </c>
      <c r="F91" s="642">
        <v>1.272380096045775</v>
      </c>
      <c r="G91" s="642">
        <v>1.2996440175743333</v>
      </c>
      <c r="H91" s="620">
        <v>1.348276693573107</v>
      </c>
      <c r="I91" s="620">
        <v>1.3620320850107284</v>
      </c>
      <c r="J91" s="620">
        <v>1.4174505287780219</v>
      </c>
      <c r="K91" s="620">
        <v>1.4496359801665681</v>
      </c>
    </row>
    <row r="92" spans="1:12" s="2" customFormat="1">
      <c r="A92" s="3"/>
      <c r="B92" s="130"/>
      <c r="C92" s="137"/>
      <c r="D92" s="137"/>
      <c r="E92" s="137"/>
      <c r="F92" s="137"/>
      <c r="G92" s="137"/>
      <c r="H92" s="137"/>
      <c r="I92" s="137"/>
      <c r="J92" s="137"/>
      <c r="K92" s="137"/>
      <c r="L92" s="137"/>
    </row>
    <row r="93" spans="1:12" s="2" customFormat="1">
      <c r="A93" s="3"/>
      <c r="B93" s="130"/>
      <c r="C93" s="544" t="s">
        <v>390</v>
      </c>
      <c r="D93" s="547" t="str">
        <f>IF($C66=$B$33,D$6,IF(D$6-RIGHT($C66,1)&lt;$D$6,"Pre-RIIO",D$6-RIGHT($C66,1)))</f>
        <v>Pre-RIIO</v>
      </c>
      <c r="E93" s="548">
        <f t="shared" ref="E93:K93" si="31">IF($C66=$B$33,E$6,IF(E$6-RIGHT($C66,1)&lt;$D$6,"Pre-RIIO",E$6-RIGHT($C66,1)))</f>
        <v>2016</v>
      </c>
      <c r="F93" s="548">
        <f t="shared" si="31"/>
        <v>2017</v>
      </c>
      <c r="G93" s="548">
        <f t="shared" si="31"/>
        <v>2018</v>
      </c>
      <c r="H93" s="548">
        <f t="shared" si="31"/>
        <v>2019</v>
      </c>
      <c r="I93" s="548">
        <f t="shared" si="31"/>
        <v>2020</v>
      </c>
      <c r="J93" s="548">
        <f t="shared" si="31"/>
        <v>2021</v>
      </c>
      <c r="K93" s="549">
        <f t="shared" si="31"/>
        <v>2022</v>
      </c>
    </row>
    <row r="94" spans="1:12" s="2" customFormat="1">
      <c r="A94" s="3" t="str">
        <f>A15</f>
        <v>e</v>
      </c>
      <c r="B94" s="130" t="str">
        <f>B15&amp;""</f>
        <v>Losses discretionary reward scheme</v>
      </c>
      <c r="C94" s="137" t="s">
        <v>128</v>
      </c>
      <c r="D94" s="641">
        <v>0</v>
      </c>
      <c r="E94" s="642">
        <v>0</v>
      </c>
      <c r="F94" s="642">
        <v>0.77909499999999998</v>
      </c>
      <c r="G94" s="642">
        <v>0</v>
      </c>
      <c r="H94" s="620">
        <v>0</v>
      </c>
      <c r="I94" s="620">
        <v>0</v>
      </c>
      <c r="J94" s="620">
        <v>0</v>
      </c>
      <c r="K94" s="620">
        <v>0</v>
      </c>
    </row>
    <row r="95" spans="1:12" s="2" customFormat="1">
      <c r="A95" s="3"/>
      <c r="B95" s="130"/>
      <c r="C95" s="137"/>
      <c r="D95" s="137"/>
      <c r="E95" s="137"/>
      <c r="F95" s="137"/>
      <c r="G95" s="137"/>
      <c r="H95" s="137"/>
      <c r="I95" s="137"/>
      <c r="J95" s="137"/>
      <c r="K95" s="137"/>
      <c r="L95" s="137"/>
    </row>
    <row r="96" spans="1:12" s="2" customFormat="1">
      <c r="A96" s="3"/>
      <c r="B96" s="130"/>
      <c r="C96" s="544" t="s">
        <v>390</v>
      </c>
      <c r="D96" s="547" t="str">
        <f>IF($C70=$B$33,D$6,IF(D$6-RIGHT($C70,1)&lt;$D$6,"Pre-RIIO",D$6-RIGHT($C70,1)))</f>
        <v>Pre-RIIO</v>
      </c>
      <c r="E96" s="547">
        <f t="shared" ref="E96:K96" si="32">IF($C70=$B$33,E$6,IF(E$6-RIGHT($C70,1)&lt;$D$6,"Pre-RIIO",E$6-RIGHT($C70,1)))</f>
        <v>2016</v>
      </c>
      <c r="F96" s="547">
        <f t="shared" si="32"/>
        <v>2017</v>
      </c>
      <c r="G96" s="547">
        <f t="shared" si="32"/>
        <v>2018</v>
      </c>
      <c r="H96" s="547">
        <f t="shared" si="32"/>
        <v>2019</v>
      </c>
      <c r="I96" s="547">
        <f t="shared" si="32"/>
        <v>2020</v>
      </c>
      <c r="J96" s="547">
        <f t="shared" si="32"/>
        <v>2021</v>
      </c>
      <c r="K96" s="547">
        <f t="shared" si="32"/>
        <v>2022</v>
      </c>
    </row>
    <row r="97" spans="1:13" s="2" customFormat="1">
      <c r="A97" s="3" t="str">
        <f>A16</f>
        <v>f</v>
      </c>
      <c r="B97" s="130" t="str">
        <f>B16&amp;""</f>
        <v/>
      </c>
      <c r="C97" s="137" t="s">
        <v>128</v>
      </c>
      <c r="D97" s="641"/>
      <c r="E97" s="642"/>
      <c r="F97" s="642"/>
      <c r="G97" s="642"/>
      <c r="H97" s="620"/>
      <c r="I97" s="620"/>
      <c r="J97" s="620"/>
      <c r="K97" s="620"/>
    </row>
    <row r="98" spans="1:13" s="2" customFormat="1">
      <c r="A98" s="3"/>
      <c r="B98" s="130"/>
      <c r="C98" s="137"/>
      <c r="D98" s="137"/>
      <c r="E98" s="137"/>
      <c r="F98" s="137"/>
      <c r="G98" s="137"/>
      <c r="H98" s="137"/>
      <c r="I98" s="137"/>
      <c r="J98" s="137"/>
      <c r="K98" s="137"/>
      <c r="L98" s="137"/>
    </row>
    <row r="99" spans="1:13" s="2" customFormat="1">
      <c r="A99" s="3"/>
      <c r="B99" s="130"/>
      <c r="C99" s="544" t="s">
        <v>390</v>
      </c>
      <c r="D99" s="547" t="str">
        <f>IF($C74=$B$33,D$6,IF(D$6-RIGHT($C74,1)&lt;$D$6,"Pre-RIIO",D$6-RIGHT($C74,1)))</f>
        <v>Pre-RIIO</v>
      </c>
      <c r="E99" s="547">
        <f t="shared" ref="E99:K99" si="33">IF($C74=$B$33,E$6,IF(E$6-RIGHT($C74,1)&lt;$D$6,"Pre-RIIO",E$6-RIGHT($C74,1)))</f>
        <v>2016</v>
      </c>
      <c r="F99" s="547">
        <f t="shared" si="33"/>
        <v>2017</v>
      </c>
      <c r="G99" s="547">
        <f t="shared" si="33"/>
        <v>2018</v>
      </c>
      <c r="H99" s="547">
        <f t="shared" si="33"/>
        <v>2019</v>
      </c>
      <c r="I99" s="547">
        <f t="shared" si="33"/>
        <v>2020</v>
      </c>
      <c r="J99" s="547">
        <f t="shared" si="33"/>
        <v>2021</v>
      </c>
      <c r="K99" s="547">
        <f t="shared" si="33"/>
        <v>2022</v>
      </c>
    </row>
    <row r="100" spans="1:13" s="2" customFormat="1">
      <c r="A100" s="3" t="str">
        <f>A17</f>
        <v>g</v>
      </c>
      <c r="B100" s="130" t="str">
        <f>B17&amp;""</f>
        <v/>
      </c>
      <c r="C100" s="137" t="s">
        <v>128</v>
      </c>
      <c r="D100" s="641"/>
      <c r="E100" s="642"/>
      <c r="F100" s="642"/>
      <c r="G100" s="642"/>
      <c r="H100" s="620"/>
      <c r="I100" s="620"/>
      <c r="J100" s="620"/>
      <c r="K100" s="620"/>
    </row>
    <row r="101" spans="1:13" s="2" customFormat="1">
      <c r="A101" s="3"/>
      <c r="B101" s="130"/>
      <c r="C101" s="137"/>
      <c r="D101" s="137"/>
      <c r="E101" s="137"/>
      <c r="F101" s="137"/>
      <c r="G101" s="137"/>
      <c r="H101" s="137"/>
      <c r="I101" s="137"/>
      <c r="J101" s="137"/>
      <c r="K101" s="137"/>
      <c r="L101" s="137"/>
      <c r="M101" s="137"/>
    </row>
    <row r="102" spans="1:13" s="2" customFormat="1">
      <c r="B102" s="12" t="s">
        <v>157</v>
      </c>
      <c r="C102" s="158" t="s">
        <v>128</v>
      </c>
      <c r="D102" s="613">
        <f>SUM(D82,D85,D88,D91,D94,D97,D100)</f>
        <v>8.3946523265849056</v>
      </c>
      <c r="E102" s="613">
        <f t="shared" ref="E102:K102" si="34">SUM(E82,E85,E88,E91,E94,E97,E100)</f>
        <v>15.816916746370953</v>
      </c>
      <c r="F102" s="613">
        <f t="shared" si="34"/>
        <v>17.225729169157102</v>
      </c>
      <c r="G102" s="613">
        <f t="shared" si="34"/>
        <v>16.717066034911376</v>
      </c>
      <c r="H102" s="614">
        <f>SUM(H82,H85,H88,H91,H94,H97,H100)</f>
        <v>15.831867129179622</v>
      </c>
      <c r="I102" s="614">
        <f t="shared" si="34"/>
        <v>17.006893008466822</v>
      </c>
      <c r="J102" s="614">
        <f t="shared" si="34"/>
        <v>22.839044590465324</v>
      </c>
      <c r="K102" s="614">
        <f t="shared" si="34"/>
        <v>23.651899751583045</v>
      </c>
    </row>
    <row r="103" spans="1:13" s="2" customFormat="1">
      <c r="C103" s="137"/>
    </row>
    <row r="104" spans="1:13" s="2" customFormat="1">
      <c r="A104" s="35"/>
      <c r="B104" s="12" t="s">
        <v>365</v>
      </c>
      <c r="C104" s="157"/>
      <c r="D104" s="157"/>
      <c r="E104" s="157"/>
      <c r="F104" s="157"/>
      <c r="G104" s="157"/>
      <c r="H104" s="157"/>
      <c r="I104" s="157"/>
      <c r="J104" s="157"/>
      <c r="K104" s="157"/>
      <c r="L104" s="157"/>
      <c r="M104" s="157"/>
    </row>
    <row r="105" spans="1:13" s="2" customFormat="1">
      <c r="A105" s="270" t="str">
        <f>A82</f>
        <v>a</v>
      </c>
      <c r="B105" s="997" t="s">
        <v>613</v>
      </c>
      <c r="C105" s="997">
        <v>0</v>
      </c>
      <c r="D105" s="997">
        <v>0</v>
      </c>
      <c r="E105" s="997">
        <v>0</v>
      </c>
      <c r="F105" s="997">
        <v>0</v>
      </c>
      <c r="G105" s="997">
        <v>0</v>
      </c>
      <c r="H105" s="997">
        <v>0</v>
      </c>
      <c r="I105" s="997">
        <v>0</v>
      </c>
      <c r="J105" s="997">
        <v>0</v>
      </c>
      <c r="K105" s="997">
        <v>0</v>
      </c>
      <c r="L105" s="997">
        <v>0</v>
      </c>
      <c r="M105" s="997">
        <v>0</v>
      </c>
    </row>
    <row r="106" spans="1:13" s="2" customFormat="1">
      <c r="A106" s="270" t="str">
        <f>A85</f>
        <v>b</v>
      </c>
      <c r="B106" s="997" t="s">
        <v>613</v>
      </c>
      <c r="C106" s="997">
        <v>0</v>
      </c>
      <c r="D106" s="997">
        <v>0</v>
      </c>
      <c r="E106" s="997">
        <v>0</v>
      </c>
      <c r="F106" s="997">
        <v>0</v>
      </c>
      <c r="G106" s="997">
        <v>0</v>
      </c>
      <c r="H106" s="997">
        <v>0</v>
      </c>
      <c r="I106" s="997">
        <v>0</v>
      </c>
      <c r="J106" s="997">
        <v>0</v>
      </c>
      <c r="K106" s="997">
        <v>0</v>
      </c>
      <c r="L106" s="997">
        <v>0</v>
      </c>
      <c r="M106" s="997">
        <v>0</v>
      </c>
    </row>
    <row r="107" spans="1:13" s="2" customFormat="1">
      <c r="A107" s="270" t="str">
        <f>A88</f>
        <v>c</v>
      </c>
      <c r="B107" s="997" t="s">
        <v>613</v>
      </c>
      <c r="C107" s="997">
        <v>0</v>
      </c>
      <c r="D107" s="997">
        <v>0</v>
      </c>
      <c r="E107" s="997">
        <v>0</v>
      </c>
      <c r="F107" s="997">
        <v>0</v>
      </c>
      <c r="G107" s="997">
        <v>0</v>
      </c>
      <c r="H107" s="997">
        <v>0</v>
      </c>
      <c r="I107" s="997">
        <v>0</v>
      </c>
      <c r="J107" s="997">
        <v>0</v>
      </c>
      <c r="K107" s="997">
        <v>0</v>
      </c>
      <c r="L107" s="997">
        <v>0</v>
      </c>
      <c r="M107" s="997">
        <v>0</v>
      </c>
    </row>
    <row r="108" spans="1:13" s="2" customFormat="1">
      <c r="A108" s="270" t="str">
        <f>A91</f>
        <v>d</v>
      </c>
      <c r="B108" s="997" t="s">
        <v>613</v>
      </c>
      <c r="C108" s="997">
        <v>0</v>
      </c>
      <c r="D108" s="997">
        <v>0</v>
      </c>
      <c r="E108" s="997">
        <v>0</v>
      </c>
      <c r="F108" s="997">
        <v>0</v>
      </c>
      <c r="G108" s="997">
        <v>0</v>
      </c>
      <c r="H108" s="997">
        <v>0</v>
      </c>
      <c r="I108" s="997">
        <v>0</v>
      </c>
      <c r="J108" s="997">
        <v>0</v>
      </c>
      <c r="K108" s="997">
        <v>0</v>
      </c>
      <c r="L108" s="997">
        <v>0</v>
      </c>
      <c r="M108" s="997">
        <v>0</v>
      </c>
    </row>
    <row r="109" spans="1:13" s="2" customFormat="1">
      <c r="A109" s="270" t="str">
        <f>A94</f>
        <v>e</v>
      </c>
      <c r="B109" s="997" t="s">
        <v>613</v>
      </c>
      <c r="C109" s="997">
        <v>0</v>
      </c>
      <c r="D109" s="997">
        <v>0</v>
      </c>
      <c r="E109" s="997">
        <v>0</v>
      </c>
      <c r="F109" s="997">
        <v>0</v>
      </c>
      <c r="G109" s="997">
        <v>0</v>
      </c>
      <c r="H109" s="997">
        <v>0</v>
      </c>
      <c r="I109" s="997">
        <v>0</v>
      </c>
      <c r="J109" s="997">
        <v>0</v>
      </c>
      <c r="K109" s="997">
        <v>0</v>
      </c>
      <c r="L109" s="997">
        <v>0</v>
      </c>
      <c r="M109" s="997">
        <v>0</v>
      </c>
    </row>
    <row r="110" spans="1:13" s="2" customFormat="1">
      <c r="A110" s="270" t="str">
        <f>A97</f>
        <v>f</v>
      </c>
      <c r="B110" s="997"/>
      <c r="C110" s="997"/>
      <c r="D110" s="997"/>
      <c r="E110" s="997"/>
      <c r="F110" s="997"/>
      <c r="G110" s="997"/>
      <c r="H110" s="997"/>
      <c r="I110" s="997"/>
      <c r="J110" s="997"/>
      <c r="K110" s="997"/>
      <c r="L110" s="997"/>
      <c r="M110" s="997"/>
    </row>
    <row r="111" spans="1:13" s="2" customFormat="1">
      <c r="A111" s="270" t="str">
        <f>A100</f>
        <v>g</v>
      </c>
      <c r="B111" s="997"/>
      <c r="C111" s="997"/>
      <c r="D111" s="997"/>
      <c r="E111" s="997"/>
      <c r="F111" s="997"/>
      <c r="G111" s="997"/>
      <c r="H111" s="997"/>
      <c r="I111" s="997"/>
      <c r="J111" s="997"/>
      <c r="K111" s="997"/>
      <c r="L111" s="997"/>
      <c r="M111" s="997"/>
    </row>
    <row r="112" spans="1:13" s="536" customFormat="1">
      <c r="A112" s="535"/>
      <c r="C112" s="537"/>
      <c r="D112" s="538"/>
      <c r="E112" s="538"/>
      <c r="F112" s="538"/>
      <c r="G112" s="538"/>
      <c r="H112" s="538"/>
      <c r="I112" s="538"/>
      <c r="J112" s="538"/>
      <c r="K112" s="538"/>
      <c r="L112" s="539"/>
      <c r="M112" s="539"/>
    </row>
    <row r="113" spans="1:14" s="536" customFormat="1">
      <c r="A113" s="535"/>
      <c r="C113" s="537"/>
      <c r="D113" s="537"/>
      <c r="E113" s="537"/>
      <c r="F113" s="537"/>
      <c r="G113" s="537"/>
      <c r="H113" s="537"/>
      <c r="I113" s="537"/>
      <c r="J113" s="537"/>
      <c r="K113" s="537"/>
      <c r="L113" s="537"/>
      <c r="M113" s="537"/>
    </row>
    <row r="114" spans="1:14" s="2" customFormat="1">
      <c r="A114" s="81"/>
      <c r="B114" s="81"/>
      <c r="C114" s="151"/>
      <c r="D114" s="81"/>
      <c r="E114" s="81"/>
      <c r="F114" s="81"/>
      <c r="G114" s="81"/>
      <c r="H114" s="81"/>
      <c r="I114" s="81"/>
      <c r="J114" s="81"/>
      <c r="K114" s="81"/>
      <c r="L114" s="81"/>
      <c r="M114" s="81"/>
      <c r="N114" s="81"/>
    </row>
  </sheetData>
  <mergeCells count="12">
    <mergeCell ref="B110:M110"/>
    <mergeCell ref="B111:M111"/>
    <mergeCell ref="B21:M21"/>
    <mergeCell ref="B22:M22"/>
    <mergeCell ref="B23:M23"/>
    <mergeCell ref="B24:M24"/>
    <mergeCell ref="B25:M25"/>
    <mergeCell ref="B105:M105"/>
    <mergeCell ref="B106:M106"/>
    <mergeCell ref="B107:M107"/>
    <mergeCell ref="B108:M108"/>
    <mergeCell ref="B109:M109"/>
  </mergeCells>
  <conditionalFormatting sqref="D6:K6">
    <cfRule type="expression" dxfId="44" priority="31">
      <formula>AND(D$5="Actuals",E$5="Forecast")</formula>
    </cfRule>
  </conditionalFormatting>
  <conditionalFormatting sqref="D5:K5">
    <cfRule type="expression" dxfId="43" priority="26">
      <formula>AND(D$5="Actuals",E$5="Forecast")</formula>
    </cfRule>
  </conditionalFormatting>
  <dataValidations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xr:uid="{00000000-0002-0000-0800-000000000000}">
      <formula1>$B$33:$B$37</formula1>
    </dataValidation>
  </dataValidations>
  <pageMargins left="0.70866141732283472" right="0.70866141732283472" top="0.74803149606299213" bottom="0.74803149606299213" header="0.31496062992125984" footer="0.31496062992125984"/>
  <pageSetup paperSize="8" scale="88" fitToHeight="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FFCC"/>
    <pageSetUpPr fitToPage="1"/>
  </sheetPr>
  <dimension ref="A1:L28"/>
  <sheetViews>
    <sheetView showGridLines="0" zoomScale="80" zoomScaleNormal="80" workbookViewId="0">
      <pane ySplit="6" topLeftCell="A7" activePane="bottomLeft" state="frozen"/>
      <selection activeCell="B75" sqref="A1:XFD1048576"/>
      <selection pane="bottomLeft" activeCell="E36" sqref="E36"/>
    </sheetView>
  </sheetViews>
  <sheetFormatPr defaultRowHeight="12.75"/>
  <cols>
    <col min="1" max="1" width="8.375" customWidth="1"/>
    <col min="2" max="2" width="79.625" customWidth="1"/>
    <col min="3" max="3" width="14.125" style="137" customWidth="1"/>
    <col min="4" max="11" width="11.125" customWidth="1"/>
    <col min="12" max="12" width="5" customWidth="1"/>
  </cols>
  <sheetData>
    <row r="1" spans="1:12" s="31" customFormat="1" ht="20.25">
      <c r="A1" s="931" t="s">
        <v>100</v>
      </c>
      <c r="B1" s="927"/>
      <c r="C1" s="279"/>
      <c r="D1" s="257"/>
      <c r="E1" s="257"/>
      <c r="F1" s="257"/>
      <c r="G1" s="257"/>
      <c r="H1" s="257"/>
      <c r="I1" s="258"/>
      <c r="J1" s="258"/>
      <c r="K1" s="259"/>
      <c r="L1" s="260"/>
    </row>
    <row r="2" spans="1:12" s="31" customFormat="1" ht="20.25">
      <c r="A2" s="920" t="str">
        <f>'RFPR cover'!C5</f>
        <v>ENWL</v>
      </c>
      <c r="B2" s="912"/>
      <c r="C2" s="135"/>
      <c r="D2" s="29"/>
      <c r="E2" s="29"/>
      <c r="F2" s="29"/>
      <c r="G2" s="29"/>
      <c r="H2" s="29"/>
      <c r="I2" s="27"/>
      <c r="J2" s="27"/>
      <c r="K2" s="27"/>
      <c r="L2" s="124"/>
    </row>
    <row r="3" spans="1:12" s="37" customFormat="1" ht="23.25">
      <c r="A3" s="923">
        <f>'RFPR cover'!C7</f>
        <v>2020</v>
      </c>
      <c r="B3" s="929" t="str">
        <f>'R1 - RoRE'!B3</f>
        <v/>
      </c>
      <c r="C3" s="281"/>
      <c r="D3" s="280"/>
      <c r="E3" s="280"/>
      <c r="F3" s="280"/>
      <c r="G3" s="280"/>
      <c r="H3" s="280"/>
      <c r="I3" s="256"/>
      <c r="J3" s="256"/>
      <c r="K3" s="256"/>
      <c r="L3" s="262"/>
    </row>
    <row r="4" spans="1:12" s="2" customFormat="1" ht="12.75" customHeight="1">
      <c r="C4" s="137"/>
    </row>
    <row r="5" spans="1:12" s="2" customFormat="1">
      <c r="B5" s="3"/>
      <c r="C5" s="137"/>
      <c r="D5" s="391" t="str">
        <f>IF(D6&lt;='RFPR cover'!$C$7,"Actuals","Forecast")</f>
        <v>Actuals</v>
      </c>
      <c r="E5" s="392" t="str">
        <f>IF(E6&lt;='RFPR cover'!$C$7,"Actuals","Forecast")</f>
        <v>Actuals</v>
      </c>
      <c r="F5" s="392" t="str">
        <f>IF(F6&lt;='RFPR cover'!$C$7,"Actuals","Forecast")</f>
        <v>Actuals</v>
      </c>
      <c r="G5" s="392" t="str">
        <f>IF(G6&lt;='RFPR cover'!$C$7,"Actuals","Forecast")</f>
        <v>Actuals</v>
      </c>
      <c r="H5" s="392" t="str">
        <f>IF(H6&lt;='RFPR cover'!$C$7,"Actuals","Forecast")</f>
        <v>Actuals</v>
      </c>
      <c r="I5" s="392" t="str">
        <f>IF(I6&lt;='RFPR cover'!$C$7,"Actuals","Forecast")</f>
        <v>Forecast</v>
      </c>
      <c r="J5" s="392" t="str">
        <f>IF(J6&lt;='RFPR cover'!$C$7,"Actuals","Forecast")</f>
        <v>Forecast</v>
      </c>
      <c r="K5" s="393" t="str">
        <f>IF(K6&lt;='RFPR cover'!$C$7,"Actuals","Forecast")</f>
        <v>Forecast</v>
      </c>
    </row>
    <row r="6" spans="1:12" s="2" customFormat="1">
      <c r="C6" s="137"/>
      <c r="D6" s="118">
        <f>'RFPR cover'!$C$13</f>
        <v>2016</v>
      </c>
      <c r="E6" s="119">
        <f>D6+1</f>
        <v>2017</v>
      </c>
      <c r="F6" s="119">
        <f t="shared" ref="F6:K6" si="0">E6+1</f>
        <v>2018</v>
      </c>
      <c r="G6" s="119">
        <f t="shared" si="0"/>
        <v>2019</v>
      </c>
      <c r="H6" s="119">
        <f t="shared" si="0"/>
        <v>2020</v>
      </c>
      <c r="I6" s="119">
        <f t="shared" si="0"/>
        <v>2021</v>
      </c>
      <c r="J6" s="119">
        <f t="shared" si="0"/>
        <v>2022</v>
      </c>
      <c r="K6" s="119">
        <f t="shared" si="0"/>
        <v>2023</v>
      </c>
    </row>
    <row r="7" spans="1:12" s="2" customFormat="1">
      <c r="C7" s="137"/>
    </row>
    <row r="8" spans="1:12" s="2" customFormat="1">
      <c r="B8" s="51" t="s">
        <v>134</v>
      </c>
      <c r="C8" s="138"/>
      <c r="D8" s="57"/>
      <c r="E8" s="57"/>
      <c r="F8" s="57"/>
      <c r="G8" s="57"/>
      <c r="H8" s="57"/>
      <c r="I8" s="57"/>
      <c r="J8" s="57"/>
      <c r="K8" s="57"/>
    </row>
    <row r="9" spans="1:12" s="2" customFormat="1">
      <c r="B9" s="226" t="s">
        <v>508</v>
      </c>
      <c r="C9" s="153" t="s">
        <v>128</v>
      </c>
      <c r="D9" s="597">
        <v>2.7865334844130447</v>
      </c>
      <c r="E9" s="598">
        <v>3.1833136338685937</v>
      </c>
      <c r="F9" s="598">
        <v>3.0467877464257791</v>
      </c>
      <c r="G9" s="598">
        <v>3.1306140699999996</v>
      </c>
      <c r="H9" s="598">
        <v>3.2121430090707923</v>
      </c>
      <c r="I9" s="598">
        <v>3.2897429468630306</v>
      </c>
      <c r="J9" s="598">
        <v>3.4521206381899949</v>
      </c>
      <c r="K9" s="598">
        <v>3.67528418904404</v>
      </c>
    </row>
    <row r="10" spans="1:12" s="2" customFormat="1">
      <c r="B10" s="226" t="s">
        <v>490</v>
      </c>
      <c r="C10" s="153" t="s">
        <v>128</v>
      </c>
      <c r="D10" s="599">
        <v>0</v>
      </c>
      <c r="E10" s="600">
        <v>0</v>
      </c>
      <c r="F10" s="600">
        <v>0</v>
      </c>
      <c r="G10" s="600">
        <v>0</v>
      </c>
      <c r="H10" s="600">
        <v>0</v>
      </c>
      <c r="I10" s="600">
        <v>0</v>
      </c>
      <c r="J10" s="600">
        <v>0</v>
      </c>
      <c r="K10" s="600">
        <v>0</v>
      </c>
    </row>
    <row r="11" spans="1:12" s="2" customFormat="1">
      <c r="B11" s="226" t="s">
        <v>507</v>
      </c>
      <c r="C11" s="153" t="s">
        <v>128</v>
      </c>
      <c r="D11" s="856">
        <v>0.26115484003294442</v>
      </c>
      <c r="E11" s="857">
        <v>0.31833136338685941</v>
      </c>
      <c r="F11" s="857">
        <v>0.31775086708969891</v>
      </c>
      <c r="G11" s="857">
        <v>0.33795394459827666</v>
      </c>
      <c r="H11" s="857">
        <v>0.33987385011215476</v>
      </c>
      <c r="I11" s="857">
        <v>0.3763474876012336</v>
      </c>
      <c r="J11" s="857">
        <v>0.56743496050225906</v>
      </c>
      <c r="K11" s="857">
        <v>0.7503372473044978</v>
      </c>
    </row>
    <row r="12" spans="1:12" s="12" customFormat="1">
      <c r="B12" s="51" t="s">
        <v>132</v>
      </c>
      <c r="C12" s="153" t="s">
        <v>128</v>
      </c>
      <c r="D12" s="613">
        <f>D9-D10-D11</f>
        <v>2.5253786443801003</v>
      </c>
      <c r="E12" s="614">
        <f t="shared" ref="E12:K12" si="1">E9-E10-E11</f>
        <v>2.8649822704817343</v>
      </c>
      <c r="F12" s="614">
        <f t="shared" si="1"/>
        <v>2.7290368793360802</v>
      </c>
      <c r="G12" s="614">
        <f t="shared" si="1"/>
        <v>2.7926601254017229</v>
      </c>
      <c r="H12" s="614">
        <f t="shared" si="1"/>
        <v>2.8722691589586375</v>
      </c>
      <c r="I12" s="614">
        <f t="shared" si="1"/>
        <v>2.913395459261797</v>
      </c>
      <c r="J12" s="614">
        <f t="shared" si="1"/>
        <v>2.8846856776877359</v>
      </c>
      <c r="K12" s="614">
        <f t="shared" si="1"/>
        <v>2.9249469417395422</v>
      </c>
      <c r="L12" s="2"/>
    </row>
    <row r="13" spans="1:12" s="12" customFormat="1">
      <c r="B13" s="51"/>
      <c r="C13" s="137"/>
      <c r="D13" s="52"/>
      <c r="E13" s="52"/>
      <c r="F13" s="52"/>
      <c r="G13" s="52"/>
      <c r="H13" s="52"/>
      <c r="I13" s="52"/>
      <c r="J13" s="52"/>
      <c r="K13" s="52"/>
      <c r="L13" s="2"/>
    </row>
    <row r="14" spans="1:12" s="2" customFormat="1">
      <c r="B14" s="51" t="s">
        <v>155</v>
      </c>
      <c r="C14" s="138"/>
      <c r="D14" s="57"/>
      <c r="E14" s="57"/>
      <c r="F14" s="57"/>
      <c r="G14" s="57"/>
      <c r="H14" s="57"/>
      <c r="I14" s="57"/>
      <c r="J14" s="57"/>
      <c r="K14" s="57"/>
    </row>
    <row r="15" spans="1:12" s="2" customFormat="1" ht="13.15" customHeight="1">
      <c r="B15" s="226" t="s">
        <v>510</v>
      </c>
      <c r="C15" s="153" t="s">
        <v>128</v>
      </c>
      <c r="D15" s="597">
        <v>1.6461309099999999</v>
      </c>
      <c r="E15" s="598">
        <v>8.7207129999999994E-2</v>
      </c>
      <c r="F15" s="598">
        <v>0.252</v>
      </c>
      <c r="G15" s="598">
        <v>0.68253417000000005</v>
      </c>
      <c r="H15" s="598">
        <v>9.3236239999999998E-2</v>
      </c>
      <c r="I15" s="598">
        <v>-0.16466339999999999</v>
      </c>
      <c r="J15" s="598">
        <v>0</v>
      </c>
      <c r="K15" s="598">
        <v>0</v>
      </c>
    </row>
    <row r="16" spans="1:12" s="2" customFormat="1">
      <c r="B16" s="226" t="s">
        <v>509</v>
      </c>
      <c r="C16" s="153" t="s">
        <v>128</v>
      </c>
      <c r="D16" s="599">
        <v>0</v>
      </c>
      <c r="E16" s="600">
        <v>0</v>
      </c>
      <c r="F16" s="600">
        <v>0</v>
      </c>
      <c r="G16" s="600">
        <v>0</v>
      </c>
      <c r="H16" s="600">
        <v>0</v>
      </c>
      <c r="I16" s="600">
        <v>0</v>
      </c>
      <c r="J16" s="600">
        <v>0</v>
      </c>
      <c r="K16" s="600">
        <v>0</v>
      </c>
    </row>
    <row r="17" spans="2:12" s="12" customFormat="1">
      <c r="B17" s="51" t="s">
        <v>133</v>
      </c>
      <c r="C17" s="153" t="s">
        <v>128</v>
      </c>
      <c r="D17" s="613">
        <f>D15-D16</f>
        <v>1.6461309099999999</v>
      </c>
      <c r="E17" s="613">
        <f t="shared" ref="E17:K17" si="2">E15-E16</f>
        <v>8.7207129999999994E-2</v>
      </c>
      <c r="F17" s="613">
        <f t="shared" si="2"/>
        <v>0.252</v>
      </c>
      <c r="G17" s="613">
        <f t="shared" si="2"/>
        <v>0.68253417000000005</v>
      </c>
      <c r="H17" s="613">
        <f t="shared" si="2"/>
        <v>9.3236239999999998E-2</v>
      </c>
      <c r="I17" s="613">
        <f t="shared" si="2"/>
        <v>-0.16466339999999999</v>
      </c>
      <c r="J17" s="613">
        <f t="shared" si="2"/>
        <v>0</v>
      </c>
      <c r="K17" s="613">
        <f t="shared" si="2"/>
        <v>0</v>
      </c>
      <c r="L17" s="2"/>
    </row>
    <row r="18" spans="2:12" s="12" customFormat="1">
      <c r="B18" s="51"/>
      <c r="C18" s="137"/>
      <c r="D18" s="52"/>
      <c r="E18" s="52"/>
      <c r="F18" s="52"/>
      <c r="G18" s="52"/>
      <c r="H18" s="52"/>
      <c r="I18" s="52"/>
      <c r="J18" s="52"/>
      <c r="K18" s="52"/>
      <c r="L18" s="2"/>
    </row>
    <row r="19" spans="2:12" s="2" customFormat="1">
      <c r="B19" s="51" t="s">
        <v>156</v>
      </c>
      <c r="C19" s="138"/>
      <c r="D19" s="57"/>
      <c r="E19" s="57"/>
      <c r="F19" s="57"/>
      <c r="G19" s="57"/>
      <c r="H19" s="57"/>
      <c r="I19" s="57"/>
      <c r="J19" s="57"/>
      <c r="K19" s="57"/>
    </row>
    <row r="20" spans="2:12" s="2" customFormat="1">
      <c r="B20" s="226" t="s">
        <v>439</v>
      </c>
      <c r="C20" s="153" t="s">
        <v>128</v>
      </c>
      <c r="D20" s="597">
        <v>0.11430751049999997</v>
      </c>
      <c r="E20" s="598">
        <v>1.6093514906274384</v>
      </c>
      <c r="F20" s="598">
        <v>0.88143785241718042</v>
      </c>
      <c r="G20" s="598">
        <v>0.89991596159999998</v>
      </c>
      <c r="H20" s="598">
        <v>0.72940492493657105</v>
      </c>
      <c r="I20" s="598">
        <v>2.6320120519408057E-2</v>
      </c>
      <c r="J20" s="598">
        <v>0</v>
      </c>
      <c r="K20" s="598">
        <v>0</v>
      </c>
    </row>
    <row r="21" spans="2:12" s="2" customFormat="1">
      <c r="B21" s="226" t="s">
        <v>507</v>
      </c>
      <c r="C21" s="153" t="s">
        <v>128</v>
      </c>
      <c r="D21" s="635">
        <v>1.2700834499999997E-2</v>
      </c>
      <c r="E21" s="636">
        <v>0.17881683229193762</v>
      </c>
      <c r="F21" s="636">
        <v>9.7937539157464504E-2</v>
      </c>
      <c r="G21" s="636">
        <v>9.9990662399999999E-2</v>
      </c>
      <c r="H21" s="636">
        <v>8.1044991659619009E-2</v>
      </c>
      <c r="I21" s="636">
        <v>2.9244578354897842E-3</v>
      </c>
      <c r="J21" s="636">
        <v>0</v>
      </c>
      <c r="K21" s="636">
        <v>0</v>
      </c>
    </row>
    <row r="22" spans="2:12" s="2" customFormat="1">
      <c r="B22" s="35"/>
      <c r="C22" s="139"/>
      <c r="D22" s="35"/>
      <c r="E22" s="35"/>
      <c r="F22" s="35"/>
      <c r="G22" s="35"/>
      <c r="H22" s="35"/>
      <c r="I22" s="35"/>
      <c r="J22" s="35"/>
      <c r="K22" s="35"/>
    </row>
    <row r="23" spans="2:12" s="2" customFormat="1">
      <c r="B23" s="226" t="s">
        <v>493</v>
      </c>
      <c r="C23" s="153" t="s">
        <v>128</v>
      </c>
      <c r="D23" s="635">
        <v>1.659</v>
      </c>
      <c r="E23" s="636">
        <v>0.05</v>
      </c>
      <c r="F23" s="636">
        <v>0</v>
      </c>
      <c r="G23" s="636">
        <v>0</v>
      </c>
      <c r="H23" s="636">
        <v>1.206229</v>
      </c>
      <c r="I23" s="636">
        <v>0</v>
      </c>
      <c r="J23" s="636">
        <v>0</v>
      </c>
      <c r="K23" s="636">
        <v>0</v>
      </c>
    </row>
    <row r="24" spans="2:12" s="2" customFormat="1">
      <c r="B24" s="35"/>
      <c r="C24" s="139"/>
      <c r="D24" s="35"/>
      <c r="E24" s="35"/>
      <c r="F24" s="35"/>
      <c r="G24" s="35"/>
      <c r="H24" s="35"/>
      <c r="I24" s="35"/>
      <c r="J24" s="35"/>
      <c r="K24" s="35"/>
    </row>
    <row r="25" spans="2:12" s="2" customFormat="1">
      <c r="B25" s="81"/>
      <c r="C25" s="151"/>
      <c r="D25" s="81"/>
      <c r="E25" s="81"/>
      <c r="F25" s="81"/>
      <c r="G25" s="81"/>
      <c r="H25" s="81"/>
      <c r="I25" s="81"/>
      <c r="J25" s="81"/>
      <c r="K25" s="81"/>
      <c r="L25" s="81"/>
    </row>
    <row r="26" spans="2:12" s="2" customFormat="1">
      <c r="B26" s="35"/>
      <c r="C26" s="139"/>
      <c r="D26" s="35"/>
      <c r="E26" s="35"/>
      <c r="F26" s="35"/>
      <c r="G26" s="35"/>
      <c r="H26" s="35"/>
      <c r="I26" s="35"/>
      <c r="J26" s="35"/>
      <c r="K26" s="35"/>
    </row>
    <row r="27" spans="2:12" s="2" customFormat="1">
      <c r="B27" s="51" t="s">
        <v>385</v>
      </c>
      <c r="C27" s="139"/>
      <c r="D27" s="35"/>
      <c r="E27" s="35"/>
      <c r="F27" s="35"/>
      <c r="G27" s="35"/>
      <c r="H27" s="35"/>
      <c r="I27" s="35"/>
      <c r="J27" s="35"/>
      <c r="K27" s="35"/>
    </row>
    <row r="28" spans="2:12" s="2" customFormat="1">
      <c r="B28" s="226" t="s">
        <v>491</v>
      </c>
      <c r="C28" s="156" t="str">
        <f>'RFPR cover'!$C$14</f>
        <v>£m 12/13</v>
      </c>
      <c r="D28" s="683">
        <f>(SUM(D10,D11,D21)-D23)/Data!C34</f>
        <v>-1.3063495693826608</v>
      </c>
      <c r="E28" s="683">
        <f>(SUM(E10,E11,E21)-E23)/Data!D34</f>
        <v>0.41286523660227348</v>
      </c>
      <c r="F28" s="683">
        <f>(SUM(F10,F11,F21)-F23)/Data!E34</f>
        <v>0.36997308480846214</v>
      </c>
      <c r="G28" s="683">
        <f>(SUM(G10,G11,G21)-G23)/Data!F34</f>
        <v>0.37822474733259687</v>
      </c>
      <c r="H28" s="683">
        <f>(SUM(H10,H11,H21)-H23)/Data!G34</f>
        <v>-0.6611080400096726</v>
      </c>
      <c r="I28" s="683">
        <f>(SUM(I10,I11,I21)-I23)/Data!H34</f>
        <v>0.31395036334789744</v>
      </c>
      <c r="J28" s="683">
        <f>(SUM(J10,J11,J21)-J23)/Data!I34</f>
        <v>0.45993270327023811</v>
      </c>
      <c r="K28" s="683">
        <f>(SUM(K10,K11,K21)-K23)/Data!J34</f>
        <v>0.592916015204354</v>
      </c>
      <c r="L28" s="35"/>
    </row>
  </sheetData>
  <conditionalFormatting sqref="D6:K6">
    <cfRule type="expression" dxfId="42" priority="24">
      <formula>AND(D$5="Actuals",E$5="Forecast")</formula>
    </cfRule>
  </conditionalFormatting>
  <conditionalFormatting sqref="D5:K5">
    <cfRule type="expression" dxfId="41"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rgb="FFFFFFCC"/>
    <pageSetUpPr fitToPage="1"/>
  </sheetPr>
  <dimension ref="A1:O91"/>
  <sheetViews>
    <sheetView showGridLines="0" zoomScale="79" zoomScaleNormal="55" workbookViewId="0">
      <pane ySplit="6" topLeftCell="A7" activePane="bottomLeft" state="frozen"/>
      <selection activeCell="B75" sqref="A1:XFD1048576"/>
      <selection pane="bottomLeft" activeCell="B16" sqref="B16"/>
    </sheetView>
  </sheetViews>
  <sheetFormatPr defaultRowHeight="12.75"/>
  <cols>
    <col min="1" max="1" width="8.375" customWidth="1"/>
    <col min="2" max="2" width="101.75" customWidth="1"/>
    <col min="3" max="3" width="14.125" customWidth="1"/>
    <col min="4" max="11" width="11.125" customWidth="1"/>
    <col min="12" max="13" width="12.875" customWidth="1"/>
    <col min="14" max="14" width="5" customWidth="1"/>
  </cols>
  <sheetData>
    <row r="1" spans="1:14" s="31" customFormat="1" ht="20.25">
      <c r="A1" s="931" t="s">
        <v>264</v>
      </c>
      <c r="B1" s="927"/>
      <c r="C1" s="257"/>
      <c r="D1" s="257"/>
      <c r="E1" s="257"/>
      <c r="F1" s="257"/>
      <c r="G1" s="257"/>
      <c r="H1" s="257"/>
      <c r="I1" s="258"/>
      <c r="J1" s="258"/>
      <c r="K1" s="259"/>
      <c r="L1" s="259"/>
      <c r="M1" s="259"/>
      <c r="N1" s="260"/>
    </row>
    <row r="2" spans="1:14" s="31" customFormat="1" ht="20.25">
      <c r="A2" s="920" t="str">
        <f>'RFPR cover'!C5</f>
        <v>ENWL</v>
      </c>
      <c r="B2" s="912"/>
      <c r="C2" s="29"/>
      <c r="D2" s="29"/>
      <c r="E2" s="29"/>
      <c r="F2" s="29"/>
      <c r="G2" s="29"/>
      <c r="H2" s="29"/>
      <c r="I2" s="27"/>
      <c r="J2" s="27"/>
      <c r="K2" s="27"/>
      <c r="L2" s="27"/>
      <c r="M2" s="27"/>
      <c r="N2" s="124"/>
    </row>
    <row r="3" spans="1:14" s="31" customFormat="1" ht="23.25">
      <c r="A3" s="923">
        <f>'RFPR cover'!C7</f>
        <v>2020</v>
      </c>
      <c r="B3" s="929" t="str">
        <f>'R1 - RoRE'!B3</f>
        <v/>
      </c>
      <c r="C3" s="261"/>
      <c r="D3" s="261"/>
      <c r="E3" s="261"/>
      <c r="F3" s="261"/>
      <c r="G3" s="261"/>
      <c r="H3" s="261"/>
      <c r="I3" s="256"/>
      <c r="J3" s="256"/>
      <c r="K3" s="256"/>
      <c r="L3" s="256"/>
      <c r="M3" s="256"/>
      <c r="N3" s="262"/>
    </row>
    <row r="4" spans="1:14" s="31" customFormat="1" ht="12.75" customHeight="1">
      <c r="A4" s="39"/>
      <c r="B4" s="39"/>
      <c r="C4" s="39"/>
      <c r="D4" s="39"/>
      <c r="E4" s="39"/>
      <c r="F4" s="39"/>
      <c r="G4" s="39"/>
      <c r="H4" s="39"/>
      <c r="I4" s="34"/>
      <c r="J4" s="34"/>
      <c r="K4" s="34"/>
      <c r="L4" s="33"/>
    </row>
    <row r="5" spans="1:14" s="2" customFormat="1">
      <c r="B5" s="3"/>
      <c r="C5" s="3"/>
      <c r="D5" s="391" t="str">
        <f>IF(D6&lt;='RFPR cover'!$C$7,"Actuals","Forecast")</f>
        <v>Actuals</v>
      </c>
      <c r="E5" s="392" t="str">
        <f>IF(E6&lt;='RFPR cover'!$C$7,"Actuals","Forecast")</f>
        <v>Actuals</v>
      </c>
      <c r="F5" s="392" t="str">
        <f>IF(F6&lt;='RFPR cover'!$C$7,"Actuals","Forecast")</f>
        <v>Actuals</v>
      </c>
      <c r="G5" s="392" t="str">
        <f>IF(G6&lt;='RFPR cover'!$C$7,"Actuals","Forecast")</f>
        <v>Actuals</v>
      </c>
      <c r="H5" s="392" t="str">
        <f>IF(H6&lt;='RFPR cover'!$C$7,"Actuals","Forecast")</f>
        <v>Actuals</v>
      </c>
      <c r="I5" s="392" t="str">
        <f>IF(I6&lt;='RFPR cover'!$C$7,"Actuals","Forecast")</f>
        <v>Forecast</v>
      </c>
      <c r="J5" s="392" t="str">
        <f>IF(J6&lt;='RFPR cover'!$C$7,"Actuals","Forecast")</f>
        <v>Forecast</v>
      </c>
      <c r="K5" s="393" t="str">
        <f>IF(K6&lt;='RFPR cover'!$C$7,"Actuals","Forecast")</f>
        <v>Forecast</v>
      </c>
    </row>
    <row r="6" spans="1:14" s="2" customFormat="1" ht="25.5">
      <c r="D6" s="118">
        <f>'RFPR cover'!$C$13</f>
        <v>2016</v>
      </c>
      <c r="E6" s="119">
        <f>D6+1</f>
        <v>2017</v>
      </c>
      <c r="F6" s="119">
        <f t="shared" ref="F6:K6" si="0">E6+1</f>
        <v>2018</v>
      </c>
      <c r="G6" s="119">
        <f t="shared" si="0"/>
        <v>2019</v>
      </c>
      <c r="H6" s="119">
        <f t="shared" si="0"/>
        <v>2020</v>
      </c>
      <c r="I6" s="119">
        <f t="shared" si="0"/>
        <v>2021</v>
      </c>
      <c r="J6" s="119">
        <f t="shared" si="0"/>
        <v>2022</v>
      </c>
      <c r="K6" s="196">
        <f t="shared" si="0"/>
        <v>2023</v>
      </c>
      <c r="L6" s="102" t="str">
        <f>"Cumulative to "&amp;'RFPR cover'!$C$7</f>
        <v>Cumulative to 2020</v>
      </c>
      <c r="M6" s="282" t="s">
        <v>109</v>
      </c>
    </row>
    <row r="7" spans="1:14" s="2" customFormat="1"/>
    <row r="8" spans="1:14">
      <c r="B8" s="481" t="s">
        <v>303</v>
      </c>
      <c r="C8" s="153" t="s">
        <v>128</v>
      </c>
      <c r="D8" s="349">
        <v>93.133847825396813</v>
      </c>
      <c r="E8" s="387">
        <v>178.40435555395075</v>
      </c>
      <c r="F8" s="387">
        <v>42.010452085122871</v>
      </c>
      <c r="G8" s="387">
        <v>103.46558244928286</v>
      </c>
      <c r="H8" s="387">
        <v>66.557332380000005</v>
      </c>
      <c r="I8" s="387">
        <v>51.939615490357127</v>
      </c>
      <c r="J8" s="387">
        <v>49.751037054262859</v>
      </c>
      <c r="K8" s="388">
        <v>66.979814949811754</v>
      </c>
      <c r="L8" s="35"/>
      <c r="M8" s="35"/>
    </row>
    <row r="9" spans="1:14">
      <c r="B9" s="14"/>
      <c r="C9" s="153"/>
      <c r="D9" s="230"/>
      <c r="E9" s="230"/>
      <c r="F9" s="230"/>
      <c r="G9" s="230"/>
      <c r="H9" s="230"/>
      <c r="I9" s="230"/>
      <c r="J9" s="230"/>
      <c r="K9" s="230"/>
      <c r="L9" s="35"/>
      <c r="M9" s="35"/>
    </row>
    <row r="10" spans="1:14">
      <c r="B10" s="14" t="s">
        <v>469</v>
      </c>
      <c r="C10" s="16"/>
      <c r="D10" s="231"/>
      <c r="E10" s="231"/>
      <c r="F10" s="231"/>
      <c r="G10" s="231"/>
      <c r="H10" s="231"/>
      <c r="I10" s="231"/>
      <c r="J10" s="231"/>
      <c r="K10" s="231"/>
      <c r="L10" s="35"/>
      <c r="M10" s="35"/>
    </row>
    <row r="11" spans="1:14">
      <c r="B11" s="371" t="s">
        <v>12</v>
      </c>
      <c r="C11" s="153" t="s">
        <v>128</v>
      </c>
      <c r="D11" s="379">
        <v>0</v>
      </c>
      <c r="E11" s="380">
        <v>0</v>
      </c>
      <c r="F11" s="380">
        <v>0</v>
      </c>
      <c r="G11" s="380">
        <v>0</v>
      </c>
      <c r="H11" s="380">
        <v>0</v>
      </c>
      <c r="I11" s="380">
        <v>0</v>
      </c>
      <c r="J11" s="380">
        <v>0</v>
      </c>
      <c r="K11" s="384">
        <v>0</v>
      </c>
      <c r="L11" s="35"/>
      <c r="M11" s="35"/>
    </row>
    <row r="12" spans="1:14">
      <c r="B12" s="371" t="s">
        <v>13</v>
      </c>
      <c r="C12" s="153" t="s">
        <v>128</v>
      </c>
      <c r="D12" s="348">
        <v>-42.8</v>
      </c>
      <c r="E12" s="381">
        <v>-106.2</v>
      </c>
      <c r="F12" s="381">
        <v>30.1</v>
      </c>
      <c r="G12" s="381">
        <v>-47.307158000000001</v>
      </c>
      <c r="H12" s="381">
        <v>-12.3</v>
      </c>
      <c r="I12" s="381">
        <v>0</v>
      </c>
      <c r="J12" s="381">
        <v>0</v>
      </c>
      <c r="K12" s="385">
        <v>0</v>
      </c>
      <c r="L12" s="35"/>
      <c r="M12" s="35"/>
    </row>
    <row r="13" spans="1:14">
      <c r="B13" s="371" t="s">
        <v>14</v>
      </c>
      <c r="C13" s="153" t="s">
        <v>128</v>
      </c>
      <c r="D13" s="348">
        <v>0</v>
      </c>
      <c r="E13" s="381">
        <v>0</v>
      </c>
      <c r="F13" s="381">
        <v>0</v>
      </c>
      <c r="G13" s="381">
        <v>0</v>
      </c>
      <c r="H13" s="381">
        <v>0</v>
      </c>
      <c r="I13" s="381">
        <v>0</v>
      </c>
      <c r="J13" s="381">
        <v>0</v>
      </c>
      <c r="K13" s="385">
        <v>0</v>
      </c>
      <c r="L13" s="35"/>
      <c r="M13" s="35"/>
    </row>
    <row r="14" spans="1:14">
      <c r="B14" s="371" t="s">
        <v>15</v>
      </c>
      <c r="C14" s="153" t="s">
        <v>128</v>
      </c>
      <c r="D14" s="348">
        <v>0</v>
      </c>
      <c r="E14" s="381">
        <v>0</v>
      </c>
      <c r="F14" s="381">
        <v>0</v>
      </c>
      <c r="G14" s="381">
        <v>0</v>
      </c>
      <c r="H14" s="381">
        <v>0</v>
      </c>
      <c r="I14" s="381">
        <v>0</v>
      </c>
      <c r="J14" s="381">
        <v>0</v>
      </c>
      <c r="K14" s="385">
        <v>0</v>
      </c>
      <c r="L14" s="35"/>
      <c r="M14" s="35"/>
    </row>
    <row r="15" spans="1:14">
      <c r="B15" s="371" t="s">
        <v>16</v>
      </c>
      <c r="C15" s="153" t="s">
        <v>128</v>
      </c>
      <c r="D15" s="348">
        <v>0</v>
      </c>
      <c r="E15" s="381">
        <v>0</v>
      </c>
      <c r="F15" s="381">
        <v>0</v>
      </c>
      <c r="G15" s="381">
        <v>0</v>
      </c>
      <c r="H15" s="381">
        <v>0</v>
      </c>
      <c r="I15" s="381">
        <v>0</v>
      </c>
      <c r="J15" s="381">
        <v>0</v>
      </c>
      <c r="K15" s="385">
        <v>0</v>
      </c>
      <c r="L15" s="35"/>
      <c r="M15" s="35"/>
    </row>
    <row r="16" spans="1:14">
      <c r="B16" s="371" t="s">
        <v>17</v>
      </c>
      <c r="C16" s="153" t="s">
        <v>128</v>
      </c>
      <c r="D16" s="348">
        <v>0</v>
      </c>
      <c r="E16" s="381">
        <v>-0.1</v>
      </c>
      <c r="F16" s="381">
        <v>-1.1000000000000001</v>
      </c>
      <c r="G16" s="381">
        <v>-0.33600000000000002</v>
      </c>
      <c r="H16" s="381">
        <v>0.95416999999999996</v>
      </c>
      <c r="I16" s="381">
        <v>-0.25636599999999998</v>
      </c>
      <c r="J16" s="381">
        <v>-0.25636599999999998</v>
      </c>
      <c r="K16" s="385">
        <v>-0.25636599999999998</v>
      </c>
      <c r="L16" s="35"/>
    </row>
    <row r="17" spans="2:12">
      <c r="B17" s="371" t="s">
        <v>282</v>
      </c>
      <c r="C17" s="153" t="s">
        <v>128</v>
      </c>
      <c r="D17" s="348">
        <v>-0.7797075</v>
      </c>
      <c r="E17" s="381">
        <v>-0.58231305</v>
      </c>
      <c r="F17" s="381">
        <v>-0.80999320000000008</v>
      </c>
      <c r="G17" s="381">
        <v>3.8301258000000002</v>
      </c>
      <c r="H17" s="381">
        <v>4.05</v>
      </c>
      <c r="I17" s="381">
        <v>4.938643905979009</v>
      </c>
      <c r="J17" s="381">
        <v>4.9776439059790016</v>
      </c>
      <c r="K17" s="385">
        <v>5.0776439059790057</v>
      </c>
      <c r="L17" s="35"/>
    </row>
    <row r="18" spans="2:12" ht="12.75" customHeight="1">
      <c r="B18" s="371" t="s">
        <v>18</v>
      </c>
      <c r="C18" s="153" t="s">
        <v>128</v>
      </c>
      <c r="D18" s="348">
        <v>0</v>
      </c>
      <c r="E18" s="381">
        <v>0</v>
      </c>
      <c r="F18" s="381">
        <v>0</v>
      </c>
      <c r="G18" s="381">
        <v>-9.452555E-2</v>
      </c>
      <c r="H18" s="381">
        <v>0</v>
      </c>
      <c r="I18" s="381">
        <v>-6.8985000000000005E-2</v>
      </c>
      <c r="J18" s="381">
        <v>0</v>
      </c>
      <c r="K18" s="385">
        <v>0</v>
      </c>
      <c r="L18" s="35"/>
    </row>
    <row r="19" spans="2:12">
      <c r="B19" s="371" t="s">
        <v>614</v>
      </c>
      <c r="C19" s="153" t="s">
        <v>128</v>
      </c>
      <c r="D19" s="348">
        <v>-3.9</v>
      </c>
      <c r="E19" s="381">
        <v>-9.5</v>
      </c>
      <c r="F19" s="381">
        <v>-15.3</v>
      </c>
      <c r="G19" s="381">
        <v>-11.414448759999999</v>
      </c>
      <c r="H19" s="381">
        <v>-10.198254</v>
      </c>
      <c r="I19" s="381">
        <v>-6.9676128436594036</v>
      </c>
      <c r="J19" s="381">
        <v>-8.7070911135734672</v>
      </c>
      <c r="K19" s="385">
        <v>-10.588923776978154</v>
      </c>
      <c r="L19" s="35"/>
    </row>
    <row r="20" spans="2:12">
      <c r="B20" s="371" t="s">
        <v>615</v>
      </c>
      <c r="C20" s="153" t="s">
        <v>128</v>
      </c>
      <c r="D20" s="348">
        <v>0</v>
      </c>
      <c r="E20" s="381">
        <v>-16.2</v>
      </c>
      <c r="F20" s="381">
        <v>-8.8000000000000007</v>
      </c>
      <c r="G20" s="381">
        <v>0</v>
      </c>
      <c r="H20" s="381">
        <v>0</v>
      </c>
      <c r="I20" s="381">
        <v>0</v>
      </c>
      <c r="J20" s="381">
        <v>0</v>
      </c>
      <c r="K20" s="385">
        <v>-12.702095572095123</v>
      </c>
      <c r="L20" s="35"/>
    </row>
    <row r="21" spans="2:12">
      <c r="B21" s="371" t="s">
        <v>616</v>
      </c>
      <c r="C21" s="153" t="s">
        <v>128</v>
      </c>
      <c r="D21" s="348">
        <v>0</v>
      </c>
      <c r="E21" s="381">
        <v>0</v>
      </c>
      <c r="F21" s="381">
        <v>0</v>
      </c>
      <c r="G21" s="381">
        <v>0</v>
      </c>
      <c r="H21" s="381">
        <v>-0.29399999999999998</v>
      </c>
      <c r="I21" s="381">
        <v>-0.27625348893684998</v>
      </c>
      <c r="J21" s="381">
        <v>-0.25013717356339998</v>
      </c>
      <c r="K21" s="385">
        <v>-0.24728045340944999</v>
      </c>
      <c r="L21" s="35"/>
    </row>
    <row r="22" spans="2:12">
      <c r="B22" s="371" t="s">
        <v>351</v>
      </c>
      <c r="C22" s="153" t="s">
        <v>128</v>
      </c>
      <c r="D22" s="348">
        <v>0</v>
      </c>
      <c r="E22" s="381">
        <v>0</v>
      </c>
      <c r="F22" s="381">
        <v>0</v>
      </c>
      <c r="G22" s="381">
        <v>0</v>
      </c>
      <c r="H22" s="381">
        <v>0</v>
      </c>
      <c r="I22" s="381">
        <v>0</v>
      </c>
      <c r="J22" s="381">
        <v>0</v>
      </c>
      <c r="K22" s="385">
        <v>0</v>
      </c>
      <c r="L22" s="35"/>
    </row>
    <row r="23" spans="2:12">
      <c r="B23" s="371" t="s">
        <v>352</v>
      </c>
      <c r="C23" s="153" t="s">
        <v>128</v>
      </c>
      <c r="D23" s="348">
        <v>0</v>
      </c>
      <c r="E23" s="381">
        <v>0</v>
      </c>
      <c r="F23" s="381">
        <v>0</v>
      </c>
      <c r="G23" s="381">
        <v>0</v>
      </c>
      <c r="H23" s="381">
        <v>0</v>
      </c>
      <c r="I23" s="381">
        <v>0</v>
      </c>
      <c r="J23" s="381">
        <v>0</v>
      </c>
      <c r="K23" s="385">
        <v>0</v>
      </c>
      <c r="L23" s="35"/>
    </row>
    <row r="24" spans="2:12">
      <c r="B24" s="371" t="s">
        <v>353</v>
      </c>
      <c r="C24" s="153" t="s">
        <v>128</v>
      </c>
      <c r="D24" s="348">
        <v>0</v>
      </c>
      <c r="E24" s="381">
        <v>0</v>
      </c>
      <c r="F24" s="381">
        <v>0</v>
      </c>
      <c r="G24" s="381">
        <v>0</v>
      </c>
      <c r="H24" s="381">
        <v>0</v>
      </c>
      <c r="I24" s="381">
        <v>0</v>
      </c>
      <c r="J24" s="381">
        <v>0</v>
      </c>
      <c r="K24" s="385">
        <v>0</v>
      </c>
      <c r="L24" s="35"/>
    </row>
    <row r="25" spans="2:12">
      <c r="B25" s="371" t="s">
        <v>354</v>
      </c>
      <c r="C25" s="153" t="s">
        <v>128</v>
      </c>
      <c r="D25" s="348">
        <v>0</v>
      </c>
      <c r="E25" s="381">
        <v>0</v>
      </c>
      <c r="F25" s="381">
        <v>0</v>
      </c>
      <c r="G25" s="381">
        <v>0</v>
      </c>
      <c r="H25" s="381">
        <v>0</v>
      </c>
      <c r="I25" s="381">
        <v>0</v>
      </c>
      <c r="J25" s="381">
        <v>0</v>
      </c>
      <c r="K25" s="385">
        <v>0</v>
      </c>
      <c r="L25" s="35"/>
    </row>
    <row r="26" spans="2:12">
      <c r="B26" s="371" t="s">
        <v>355</v>
      </c>
      <c r="C26" s="153" t="s">
        <v>128</v>
      </c>
      <c r="D26" s="348">
        <v>0</v>
      </c>
      <c r="E26" s="381">
        <v>0</v>
      </c>
      <c r="F26" s="381">
        <v>0</v>
      </c>
      <c r="G26" s="381">
        <v>0</v>
      </c>
      <c r="H26" s="381">
        <v>0</v>
      </c>
      <c r="I26" s="381">
        <v>0</v>
      </c>
      <c r="J26" s="381">
        <v>0</v>
      </c>
      <c r="K26" s="385">
        <v>0</v>
      </c>
      <c r="L26" s="35"/>
    </row>
    <row r="27" spans="2:12">
      <c r="B27" s="371" t="s">
        <v>356</v>
      </c>
      <c r="C27" s="153" t="s">
        <v>128</v>
      </c>
      <c r="D27" s="382">
        <v>0</v>
      </c>
      <c r="E27" s="383">
        <v>0</v>
      </c>
      <c r="F27" s="383">
        <v>0</v>
      </c>
      <c r="G27" s="383">
        <v>0</v>
      </c>
      <c r="H27" s="383">
        <v>0</v>
      </c>
      <c r="I27" s="383">
        <v>0</v>
      </c>
      <c r="J27" s="383">
        <v>0</v>
      </c>
      <c r="K27" s="386">
        <v>0</v>
      </c>
      <c r="L27" s="35"/>
    </row>
    <row r="28" spans="2:12">
      <c r="B28" s="13" t="s">
        <v>19</v>
      </c>
      <c r="C28" s="153" t="s">
        <v>128</v>
      </c>
      <c r="D28" s="143">
        <f t="shared" ref="D28:K28" si="1">SUM(D8,D11:D27)</f>
        <v>45.654140325396817</v>
      </c>
      <c r="E28" s="144">
        <f t="shared" si="1"/>
        <v>45.822042503950755</v>
      </c>
      <c r="F28" s="144">
        <f t="shared" si="1"/>
        <v>46.10045888512289</v>
      </c>
      <c r="G28" s="144">
        <f t="shared" si="1"/>
        <v>48.143575939282861</v>
      </c>
      <c r="H28" s="144">
        <f t="shared" si="1"/>
        <v>48.769248380000008</v>
      </c>
      <c r="I28" s="144">
        <f t="shared" si="1"/>
        <v>49.309042063739881</v>
      </c>
      <c r="J28" s="144">
        <f t="shared" si="1"/>
        <v>45.515086673104989</v>
      </c>
      <c r="K28" s="145">
        <f t="shared" si="1"/>
        <v>48.262793053308023</v>
      </c>
      <c r="L28" s="35"/>
    </row>
    <row r="29" spans="2:12">
      <c r="B29" s="372" t="s">
        <v>530</v>
      </c>
      <c r="C29" s="153" t="s">
        <v>128</v>
      </c>
      <c r="D29" s="389"/>
      <c r="E29" s="390"/>
      <c r="F29" s="390"/>
      <c r="G29" s="684"/>
      <c r="H29" s="684"/>
      <c r="I29" s="684">
        <v>2</v>
      </c>
      <c r="J29" s="684">
        <v>6</v>
      </c>
      <c r="K29" s="685">
        <v>6</v>
      </c>
      <c r="L29" s="35"/>
    </row>
    <row r="30" spans="2:12">
      <c r="B30" s="347" t="s">
        <v>304</v>
      </c>
      <c r="C30" s="153" t="s">
        <v>128</v>
      </c>
      <c r="D30" s="143">
        <f>SUM(D28:D29)</f>
        <v>45.654140325396817</v>
      </c>
      <c r="E30" s="144">
        <f t="shared" ref="E30:K30" si="2">SUM(E28:E29)</f>
        <v>45.822042503950755</v>
      </c>
      <c r="F30" s="144">
        <f t="shared" si="2"/>
        <v>46.10045888512289</v>
      </c>
      <c r="G30" s="144">
        <f t="shared" si="2"/>
        <v>48.143575939282861</v>
      </c>
      <c r="H30" s="144">
        <f t="shared" si="2"/>
        <v>48.769248380000008</v>
      </c>
      <c r="I30" s="144">
        <f t="shared" si="2"/>
        <v>51.309042063739881</v>
      </c>
      <c r="J30" s="144">
        <f t="shared" si="2"/>
        <v>51.515086673104989</v>
      </c>
      <c r="K30" s="145">
        <f t="shared" si="2"/>
        <v>54.262793053308023</v>
      </c>
    </row>
    <row r="31" spans="2:12">
      <c r="B31" s="214" t="s">
        <v>21</v>
      </c>
      <c r="C31" s="153" t="s">
        <v>128</v>
      </c>
      <c r="D31" s="589">
        <v>30.325894611111103</v>
      </c>
      <c r="E31" s="590">
        <v>31.130802911111161</v>
      </c>
      <c r="F31" s="590">
        <v>31.379595384444464</v>
      </c>
      <c r="G31" s="590">
        <v>33.888479359999991</v>
      </c>
      <c r="H31" s="590">
        <v>34.246343380000013</v>
      </c>
      <c r="I31" s="590">
        <v>36.937597063739879</v>
      </c>
      <c r="J31" s="590">
        <v>45.515951841610949</v>
      </c>
      <c r="K31" s="686">
        <v>52.009644116062546</v>
      </c>
    </row>
    <row r="32" spans="2:12">
      <c r="B32" s="214" t="s">
        <v>463</v>
      </c>
      <c r="C32" s="153" t="s">
        <v>128</v>
      </c>
      <c r="D32" s="593">
        <v>15.328245714285714</v>
      </c>
      <c r="E32" s="594">
        <v>14.691239592839594</v>
      </c>
      <c r="F32" s="594">
        <v>14.720863500678426</v>
      </c>
      <c r="G32" s="594">
        <v>14.255096579282869</v>
      </c>
      <c r="H32" s="594">
        <v>14.522904999999998</v>
      </c>
      <c r="I32" s="594">
        <v>14.371445</v>
      </c>
      <c r="J32" s="594">
        <v>5.9991348314940396</v>
      </c>
      <c r="K32" s="687">
        <v>2.2531489372454803</v>
      </c>
    </row>
    <row r="33" spans="2:14">
      <c r="B33" s="214"/>
      <c r="D33" s="227" t="str">
        <f>IF(ABS(D30-SUM(D31:D32))&lt;'RFPR cover'!$F$14,"OK","ERROR")</f>
        <v>OK</v>
      </c>
      <c r="E33" s="228" t="str">
        <f>IF(ABS(E30-SUM(E31:E32))&lt;'RFPR cover'!$F$14,"OK","ERROR")</f>
        <v>OK</v>
      </c>
      <c r="F33" s="228" t="str">
        <f>IF(ABS(F30-SUM(F31:F32))&lt;'RFPR cover'!$F$14,"OK","ERROR")</f>
        <v>OK</v>
      </c>
      <c r="G33" s="228" t="str">
        <f>IF(ABS(G30-SUM(G31:G32))&lt;'RFPR cover'!$F$14,"OK","ERROR")</f>
        <v>OK</v>
      </c>
      <c r="H33" s="228" t="str">
        <f>IF(ABS(H30-SUM(H31:H32))&lt;'RFPR cover'!$F$14,"OK","ERROR")</f>
        <v>OK</v>
      </c>
      <c r="I33" s="228" t="str">
        <f>IF(ABS(I30-SUM(I31:I32))&lt;'RFPR cover'!$F$14,"OK","ERROR")</f>
        <v>OK</v>
      </c>
      <c r="J33" s="228" t="str">
        <f>IF(ABS(J30-SUM(J31:J32))&lt;'RFPR cover'!$F$14,"OK","ERROR")</f>
        <v>OK</v>
      </c>
      <c r="K33" s="229" t="str">
        <f>IF(ABS(K30-SUM(K31:K32))&lt;'RFPR cover'!$F$14,"OK","ERROR")</f>
        <v>OK</v>
      </c>
    </row>
    <row r="34" spans="2:14">
      <c r="D34" s="23"/>
      <c r="E34" s="23"/>
      <c r="F34" s="23"/>
      <c r="G34" s="23"/>
      <c r="H34" s="23"/>
      <c r="I34" s="23"/>
      <c r="J34" s="23"/>
      <c r="K34" s="23"/>
    </row>
    <row r="35" spans="2:14">
      <c r="B35" s="214" t="s">
        <v>524</v>
      </c>
      <c r="C35" s="153" t="s">
        <v>128</v>
      </c>
      <c r="D35" s="589">
        <v>3.9</v>
      </c>
      <c r="E35" s="590">
        <v>9.5</v>
      </c>
      <c r="F35" s="590">
        <v>15.3</v>
      </c>
      <c r="G35" s="590">
        <v>11.414448759999999</v>
      </c>
      <c r="H35" s="590">
        <v>10.198254</v>
      </c>
      <c r="I35" s="590">
        <v>6.9676128436594036</v>
      </c>
      <c r="J35" s="590">
        <v>8.7070911135734672</v>
      </c>
      <c r="K35" s="686">
        <v>10.588923776978154</v>
      </c>
    </row>
    <row r="36" spans="2:14">
      <c r="D36" s="23"/>
      <c r="E36" s="23"/>
      <c r="F36" s="23"/>
      <c r="G36" s="23"/>
      <c r="H36" s="23"/>
      <c r="I36" s="23"/>
      <c r="J36" s="23"/>
      <c r="K36" s="23"/>
    </row>
    <row r="37" spans="2:14">
      <c r="B37" s="214" t="s">
        <v>82</v>
      </c>
      <c r="C37" s="153" t="s">
        <v>128</v>
      </c>
      <c r="D37" s="889">
        <v>12.234304077891597</v>
      </c>
      <c r="E37" s="889">
        <v>24.810315298381045</v>
      </c>
      <c r="F37" s="889">
        <v>43.500607353352564</v>
      </c>
      <c r="G37" s="889">
        <v>35.672337692315175</v>
      </c>
      <c r="H37" s="889">
        <v>30.730150385091221</v>
      </c>
      <c r="I37" s="889">
        <v>22.780965921213603</v>
      </c>
      <c r="J37" s="889">
        <v>29.165677672580586</v>
      </c>
      <c r="K37" s="889">
        <v>32.713017236724092</v>
      </c>
      <c r="N37" s="323"/>
    </row>
    <row r="38" spans="2:14" s="31" customFormat="1">
      <c r="B38" s="213"/>
      <c r="C38" s="829"/>
      <c r="D38" s="831"/>
      <c r="E38" s="831"/>
      <c r="F38" s="831"/>
      <c r="G38" s="831"/>
      <c r="H38" s="831"/>
      <c r="I38" s="831"/>
      <c r="J38" s="831"/>
      <c r="K38" s="831"/>
      <c r="L38"/>
      <c r="M38"/>
      <c r="N38" s="830"/>
    </row>
    <row r="39" spans="2:14">
      <c r="B39" s="214" t="s">
        <v>477</v>
      </c>
      <c r="C39" s="153" t="s">
        <v>128</v>
      </c>
      <c r="D39" s="103">
        <f t="shared" ref="D39:K39" si="3">D30-D37</f>
        <v>33.419836247505216</v>
      </c>
      <c r="E39" s="103">
        <f t="shared" si="3"/>
        <v>21.011727205569709</v>
      </c>
      <c r="F39" s="103">
        <f t="shared" si="3"/>
        <v>2.5998515317703266</v>
      </c>
      <c r="G39" s="103">
        <f t="shared" si="3"/>
        <v>12.471238246967687</v>
      </c>
      <c r="H39" s="103">
        <f t="shared" si="3"/>
        <v>18.039097994908786</v>
      </c>
      <c r="I39" s="103">
        <f t="shared" si="3"/>
        <v>28.528076142526277</v>
      </c>
      <c r="J39" s="103">
        <f t="shared" si="3"/>
        <v>22.349409000524403</v>
      </c>
      <c r="K39" s="103">
        <f t="shared" si="3"/>
        <v>21.549775816583931</v>
      </c>
    </row>
    <row r="40" spans="2:14">
      <c r="B40" s="214"/>
      <c r="C40" s="153"/>
      <c r="D40" s="153"/>
      <c r="E40" s="153"/>
      <c r="F40" s="153"/>
      <c r="G40" s="153"/>
      <c r="H40" s="153"/>
      <c r="I40" s="153"/>
      <c r="J40" s="153"/>
      <c r="K40" s="153"/>
      <c r="L40" s="153"/>
      <c r="N40" s="323"/>
    </row>
    <row r="41" spans="2:14">
      <c r="B41" s="859" t="s">
        <v>367</v>
      </c>
      <c r="C41" s="153" t="s">
        <v>127</v>
      </c>
      <c r="D41" s="507">
        <f>Data!C34</f>
        <v>1.0603167467048125</v>
      </c>
      <c r="E41" s="507">
        <f>Data!D34</f>
        <v>1.0830366813119445</v>
      </c>
      <c r="F41" s="507">
        <f>Data!E34</f>
        <v>1.1235639113109226</v>
      </c>
      <c r="G41" s="507">
        <f>Data!F34</f>
        <v>1.1578951670583426</v>
      </c>
      <c r="H41" s="507">
        <f>Data!G34</f>
        <v>1.1878696229692449</v>
      </c>
      <c r="I41" s="507">
        <f>Data!H34</f>
        <v>1.2080634065597218</v>
      </c>
      <c r="J41" s="507">
        <f>Data!I34</f>
        <v>1.2337347539491161</v>
      </c>
      <c r="K41" s="507">
        <f>Data!J34</f>
        <v>1.2655034238633056</v>
      </c>
      <c r="L41" s="153"/>
      <c r="N41" s="323"/>
    </row>
    <row r="42" spans="2:14">
      <c r="L42" s="156"/>
      <c r="M42" s="156"/>
      <c r="N42" s="156"/>
    </row>
    <row r="43" spans="2:14">
      <c r="B43" s="840" t="s">
        <v>423</v>
      </c>
      <c r="C43" s="157" t="s">
        <v>158</v>
      </c>
      <c r="D43" s="146">
        <f t="shared" ref="D43:K43" si="4">D39/D41</f>
        <v>31.518729050885351</v>
      </c>
      <c r="E43" s="147">
        <f t="shared" si="4"/>
        <v>19.400753056781973</v>
      </c>
      <c r="F43" s="147">
        <f t="shared" si="4"/>
        <v>2.313932928601222</v>
      </c>
      <c r="G43" s="147">
        <f t="shared" si="4"/>
        <v>10.770610847829285</v>
      </c>
      <c r="H43" s="147">
        <f t="shared" si="4"/>
        <v>15.186092518990055</v>
      </c>
      <c r="I43" s="147">
        <f t="shared" si="4"/>
        <v>23.614717561694444</v>
      </c>
      <c r="J43" s="147">
        <f t="shared" si="4"/>
        <v>18.115246351766611</v>
      </c>
      <c r="K43" s="148">
        <f t="shared" si="4"/>
        <v>17.028619133085527</v>
      </c>
      <c r="L43" s="693">
        <f>SUM(D43:INDEX(D43:K43,0,MATCH('RFPR cover'!$C$7,$D$6:$K$6,0)))</f>
        <v>79.19011840308788</v>
      </c>
      <c r="M43" s="694">
        <f>SUM(D43:K43)</f>
        <v>137.94870144963448</v>
      </c>
    </row>
    <row r="44" spans="2:14">
      <c r="B44" s="214"/>
      <c r="C44" s="66"/>
      <c r="D44" s="812"/>
      <c r="E44" s="812"/>
      <c r="F44" s="812"/>
      <c r="G44" s="812"/>
      <c r="H44" s="812"/>
      <c r="I44" s="812"/>
      <c r="J44" s="812"/>
      <c r="K44" s="812"/>
      <c r="L44" s="835"/>
      <c r="M44" s="835"/>
    </row>
    <row r="45" spans="2:14">
      <c r="B45" s="840" t="s">
        <v>513</v>
      </c>
      <c r="C45" s="153"/>
      <c r="D45" s="812"/>
      <c r="E45" s="812"/>
      <c r="F45" s="812"/>
      <c r="G45" s="812"/>
      <c r="H45" s="812"/>
      <c r="I45" s="812"/>
      <c r="J45" s="812"/>
      <c r="K45" s="812"/>
      <c r="L45" s="835"/>
      <c r="M45" s="835"/>
    </row>
    <row r="46" spans="2:14">
      <c r="B46" s="371" t="s">
        <v>498</v>
      </c>
      <c r="C46" s="153" t="s">
        <v>128</v>
      </c>
      <c r="D46" s="888">
        <v>0.7797075</v>
      </c>
      <c r="E46" s="888">
        <v>0.58231305</v>
      </c>
      <c r="F46" s="888">
        <v>0.80999320000000008</v>
      </c>
      <c r="G46" s="888">
        <v>-3.8301258000000002</v>
      </c>
      <c r="H46" s="888">
        <v>-4.05</v>
      </c>
      <c r="I46" s="888">
        <v>-4.938643905979009</v>
      </c>
      <c r="J46" s="888">
        <v>-4.9776439059790016</v>
      </c>
      <c r="K46" s="888">
        <v>-5.0776439059790057</v>
      </c>
      <c r="L46" s="693">
        <f>SUM(D46:INDEX(D46:K46,0,MATCH('RFPR cover'!$C$7,$D$6:$K$6,0)))</f>
        <v>-5.7081120500000004</v>
      </c>
      <c r="M46" s="693">
        <f>SUM(D46:K46)</f>
        <v>-20.702043767937017</v>
      </c>
    </row>
    <row r="47" spans="2:14">
      <c r="B47" s="371" t="s">
        <v>533</v>
      </c>
      <c r="C47" s="153" t="s">
        <v>128</v>
      </c>
      <c r="D47" s="389"/>
      <c r="E47" s="390"/>
      <c r="F47" s="390"/>
      <c r="G47" s="684"/>
      <c r="H47" s="684"/>
      <c r="I47" s="684">
        <v>1.8250500000000001</v>
      </c>
      <c r="J47" s="684">
        <v>0</v>
      </c>
      <c r="K47" s="684">
        <v>0</v>
      </c>
      <c r="L47" s="693">
        <f>SUM(D47:INDEX(D47:K47,0,MATCH('RFPR cover'!$C$7,$D$6:$K$6,0)))</f>
        <v>0</v>
      </c>
      <c r="M47" s="693">
        <f>SUM(D47:K47)</f>
        <v>1.8250500000000001</v>
      </c>
    </row>
    <row r="48" spans="2:14">
      <c r="B48" s="371" t="s">
        <v>516</v>
      </c>
      <c r="C48" s="153" t="s">
        <v>128</v>
      </c>
      <c r="D48" s="888">
        <v>0</v>
      </c>
      <c r="E48" s="888">
        <v>0</v>
      </c>
      <c r="F48" s="888">
        <v>0</v>
      </c>
      <c r="G48" s="888">
        <v>0</v>
      </c>
      <c r="H48" s="888">
        <v>0</v>
      </c>
      <c r="I48" s="888">
        <v>0</v>
      </c>
      <c r="J48" s="888">
        <v>0</v>
      </c>
      <c r="K48" s="888">
        <v>0</v>
      </c>
      <c r="L48" s="693">
        <f>SUM(D48:INDEX(D48:K48,0,MATCH('RFPR cover'!$C$7,$D$6:$K$6,0)))</f>
        <v>0</v>
      </c>
      <c r="M48" s="693">
        <f t="shared" ref="M48:M55" si="5">SUM(D48:K48)</f>
        <v>0</v>
      </c>
    </row>
    <row r="49" spans="1:14">
      <c r="B49" s="371" t="s">
        <v>517</v>
      </c>
      <c r="C49" s="153" t="s">
        <v>128</v>
      </c>
      <c r="D49" s="888">
        <v>3.608257</v>
      </c>
      <c r="E49" s="888">
        <v>8.6995285543512892</v>
      </c>
      <c r="F49" s="888">
        <v>14.359395866581735</v>
      </c>
      <c r="G49" s="888">
        <v>10.028599999999997</v>
      </c>
      <c r="H49" s="888">
        <v>8.4230000000000018</v>
      </c>
      <c r="I49" s="888">
        <v>6.6350181150776901</v>
      </c>
      <c r="J49" s="888">
        <v>8.4347667787925573</v>
      </c>
      <c r="K49" s="888">
        <v>10.438147929443693</v>
      </c>
      <c r="L49" s="693">
        <f>SUM(D49:INDEX(D49:K49,0,MATCH('RFPR cover'!$C$7,$D$6:$K$6,0)))</f>
        <v>45.118781420933026</v>
      </c>
      <c r="M49" s="693">
        <f t="shared" si="5"/>
        <v>70.626714244246969</v>
      </c>
    </row>
    <row r="50" spans="1:14">
      <c r="B50" s="371" t="s">
        <v>617</v>
      </c>
      <c r="C50" s="153" t="s">
        <v>128</v>
      </c>
      <c r="D50" s="888">
        <v>3.9</v>
      </c>
      <c r="E50" s="888">
        <v>9.5</v>
      </c>
      <c r="F50" s="888">
        <v>15.3</v>
      </c>
      <c r="G50" s="888">
        <v>11.414448759999999</v>
      </c>
      <c r="H50" s="888">
        <v>10.198254</v>
      </c>
      <c r="I50" s="888">
        <v>6.9676128436594036</v>
      </c>
      <c r="J50" s="888">
        <v>8.7070911135734672</v>
      </c>
      <c r="K50" s="888">
        <v>10.588923776978154</v>
      </c>
      <c r="L50" s="693">
        <f>SUM(D50:INDEX(D50:K50,0,MATCH('RFPR cover'!$C$7,$D$6:$K$6,0)))</f>
        <v>50.312702760000001</v>
      </c>
      <c r="M50" s="693">
        <f t="shared" si="5"/>
        <v>76.576330494211021</v>
      </c>
    </row>
    <row r="51" spans="1:14">
      <c r="B51" s="371" t="s">
        <v>618</v>
      </c>
      <c r="C51" s="153" t="s">
        <v>128</v>
      </c>
      <c r="D51" s="888">
        <v>1</v>
      </c>
      <c r="E51" s="888">
        <v>0.8</v>
      </c>
      <c r="F51" s="888">
        <v>1</v>
      </c>
      <c r="G51" s="888">
        <v>1.124142</v>
      </c>
      <c r="H51" s="888">
        <v>1.084049</v>
      </c>
      <c r="I51" s="888">
        <v>1.0016381999999999</v>
      </c>
      <c r="J51" s="888">
        <v>1.0016381999999999</v>
      </c>
      <c r="K51" s="888">
        <v>1.0016381999999999</v>
      </c>
      <c r="L51" s="693">
        <f>SUM(D51:INDEX(D51:K51,0,MATCH('RFPR cover'!$C$7,$D$6:$K$6,0)))</f>
        <v>5.0081910000000001</v>
      </c>
      <c r="M51" s="693">
        <f t="shared" si="5"/>
        <v>8.0131056000000012</v>
      </c>
    </row>
    <row r="52" spans="1:14">
      <c r="B52" s="371" t="s">
        <v>619</v>
      </c>
      <c r="C52" s="153" t="s">
        <v>128</v>
      </c>
      <c r="D52" s="888">
        <v>-0.7</v>
      </c>
      <c r="E52" s="888">
        <v>0</v>
      </c>
      <c r="F52" s="888">
        <v>0</v>
      </c>
      <c r="G52" s="888">
        <v>0</v>
      </c>
      <c r="H52" s="888">
        <v>0</v>
      </c>
      <c r="I52" s="888">
        <v>0</v>
      </c>
      <c r="J52" s="888">
        <v>0</v>
      </c>
      <c r="K52" s="888">
        <v>0</v>
      </c>
      <c r="L52" s="693">
        <f>SUM(D52:INDEX(D52:K52,0,MATCH('RFPR cover'!$C$7,$D$6:$K$6,0)))</f>
        <v>-0.7</v>
      </c>
      <c r="M52" s="693">
        <f t="shared" si="5"/>
        <v>-0.7</v>
      </c>
    </row>
    <row r="53" spans="1:14">
      <c r="B53" s="371" t="s">
        <v>620</v>
      </c>
      <c r="C53" s="153" t="s">
        <v>128</v>
      </c>
      <c r="D53" s="888">
        <v>-3.946890143906109</v>
      </c>
      <c r="E53" s="888">
        <v>-4.1787264498722854</v>
      </c>
      <c r="F53" s="888">
        <v>-4.4242157555076478</v>
      </c>
      <c r="G53" s="888">
        <v>0</v>
      </c>
      <c r="H53" s="888">
        <v>0</v>
      </c>
      <c r="I53" s="888">
        <v>0</v>
      </c>
      <c r="J53" s="888">
        <v>0</v>
      </c>
      <c r="K53" s="888">
        <v>0</v>
      </c>
      <c r="L53" s="693">
        <f>SUM(D53:INDEX(D53:K53,0,MATCH('RFPR cover'!$C$7,$D$6:$K$6,0)))</f>
        <v>-12.549832349286042</v>
      </c>
      <c r="M53" s="693">
        <f t="shared" si="5"/>
        <v>-12.549832349286042</v>
      </c>
    </row>
    <row r="54" spans="1:14" s="871" customFormat="1">
      <c r="B54" s="870"/>
      <c r="C54" s="872"/>
      <c r="D54" s="873"/>
      <c r="E54" s="873"/>
      <c r="F54" s="873"/>
      <c r="G54" s="873"/>
      <c r="H54" s="873"/>
      <c r="I54" s="873"/>
      <c r="J54" s="873"/>
      <c r="K54" s="873"/>
      <c r="L54" s="874"/>
      <c r="M54" s="874"/>
    </row>
    <row r="55" spans="1:14">
      <c r="B55" s="865" t="s">
        <v>514</v>
      </c>
      <c r="C55" s="236" t="s">
        <v>128</v>
      </c>
      <c r="D55" s="146">
        <f>SUM(D46:D53)</f>
        <v>4.641074356093891</v>
      </c>
      <c r="E55" s="146">
        <f t="shared" ref="E55:K55" si="6">SUM(E46:E53)</f>
        <v>15.403115154479003</v>
      </c>
      <c r="F55" s="146">
        <f t="shared" si="6"/>
        <v>27.045173311074088</v>
      </c>
      <c r="G55" s="146">
        <f t="shared" si="6"/>
        <v>18.737064959999994</v>
      </c>
      <c r="H55" s="146">
        <f t="shared" si="6"/>
        <v>15.655303000000004</v>
      </c>
      <c r="I55" s="146">
        <f t="shared" si="6"/>
        <v>11.490675252758086</v>
      </c>
      <c r="J55" s="146">
        <f t="shared" si="6"/>
        <v>13.165852186387022</v>
      </c>
      <c r="K55" s="146">
        <f t="shared" si="6"/>
        <v>16.95106600044284</v>
      </c>
      <c r="L55" s="693">
        <f>SUM(D55:INDEX(D55:K55,0,MATCH('RFPR cover'!$C$7,$D$6:$K$6,0)))</f>
        <v>81.481730781646988</v>
      </c>
      <c r="M55" s="694">
        <f t="shared" si="5"/>
        <v>123.08932422123493</v>
      </c>
    </row>
    <row r="56" spans="1:14">
      <c r="B56" s="865" t="s">
        <v>514</v>
      </c>
      <c r="C56" s="157" t="s">
        <v>158</v>
      </c>
      <c r="D56" s="146">
        <f>D55/D41</f>
        <v>4.3770640900628406</v>
      </c>
      <c r="E56" s="146">
        <f t="shared" ref="E56:K56" si="7">E55/E41</f>
        <v>14.222154632676268</v>
      </c>
      <c r="F56" s="146">
        <f t="shared" si="7"/>
        <v>24.070881094355393</v>
      </c>
      <c r="G56" s="146">
        <f t="shared" si="7"/>
        <v>16.182004634842642</v>
      </c>
      <c r="H56" s="146">
        <f t="shared" si="7"/>
        <v>13.179310841258321</v>
      </c>
      <c r="I56" s="146">
        <f t="shared" si="7"/>
        <v>9.5116491322924883</v>
      </c>
      <c r="J56" s="146">
        <f t="shared" si="7"/>
        <v>10.671541953603773</v>
      </c>
      <c r="K56" s="146">
        <f t="shared" si="7"/>
        <v>13.394721563609</v>
      </c>
      <c r="L56" s="693">
        <f>SUM(D56:INDEX(D56:K56,0,MATCH('RFPR cover'!$C$7,$D$6:$K$6,0)))</f>
        <v>72.031415293195465</v>
      </c>
      <c r="M56" s="694">
        <f>SUM(D56:K56)</f>
        <v>105.60932794270073</v>
      </c>
    </row>
    <row r="57" spans="1:14">
      <c r="B57" s="214"/>
      <c r="C57" s="66"/>
      <c r="D57" s="812"/>
      <c r="E57" s="812"/>
      <c r="F57" s="812"/>
      <c r="G57" s="812"/>
      <c r="H57" s="812"/>
      <c r="I57" s="812"/>
      <c r="J57" s="812"/>
      <c r="K57" s="812"/>
      <c r="L57" s="835"/>
      <c r="M57" s="835"/>
    </row>
    <row r="58" spans="1:14" s="2" customFormat="1">
      <c r="A58" s="1"/>
    </row>
    <row r="59" spans="1:14" s="2" customFormat="1">
      <c r="A59" s="1"/>
      <c r="B59" s="836" t="s">
        <v>433</v>
      </c>
      <c r="C59" s="81"/>
      <c r="D59" s="81"/>
      <c r="E59" s="81"/>
      <c r="F59" s="81"/>
      <c r="G59" s="81"/>
      <c r="H59" s="81"/>
      <c r="I59" s="81"/>
      <c r="J59" s="81"/>
      <c r="K59" s="81"/>
      <c r="L59" s="81"/>
      <c r="M59" s="81"/>
      <c r="N59" s="81"/>
    </row>
    <row r="60" spans="1:14" s="2" customFormat="1">
      <c r="A60" s="1"/>
      <c r="B60" s="370" t="s">
        <v>434</v>
      </c>
    </row>
    <row r="61" spans="1:14" s="2" customFormat="1">
      <c r="A61" s="1"/>
    </row>
    <row r="62" spans="1:14" s="31" customFormat="1">
      <c r="B62" s="214" t="s">
        <v>115</v>
      </c>
      <c r="C62" s="156" t="s">
        <v>7</v>
      </c>
      <c r="D62" s="897">
        <f>'RFPR cover'!$C$12</f>
        <v>0.65</v>
      </c>
      <c r="E62" s="898">
        <f>'RFPR cover'!$C$12</f>
        <v>0.65</v>
      </c>
      <c r="F62" s="898">
        <f>'RFPR cover'!$C$12</f>
        <v>0.65</v>
      </c>
      <c r="G62" s="898">
        <f>'RFPR cover'!$C$12</f>
        <v>0.65</v>
      </c>
      <c r="H62" s="898">
        <f>'RFPR cover'!$C$12</f>
        <v>0.65</v>
      </c>
      <c r="I62" s="898">
        <f>'RFPR cover'!$C$12</f>
        <v>0.65</v>
      </c>
      <c r="J62" s="898">
        <f>'RFPR cover'!$C$12</f>
        <v>0.65</v>
      </c>
      <c r="K62" s="899">
        <f>'RFPR cover'!$C$12</f>
        <v>0.65</v>
      </c>
      <c r="N62" s="830"/>
    </row>
    <row r="63" spans="1:14" s="31" customFormat="1">
      <c r="B63" s="214" t="s">
        <v>396</v>
      </c>
      <c r="C63" s="156" t="s">
        <v>7</v>
      </c>
      <c r="D63" s="898">
        <f>'R8 - Net Debt'!D64</f>
        <v>0.61202032526095129</v>
      </c>
      <c r="E63" s="898">
        <f>'R8 - Net Debt'!E64</f>
        <v>0.60988974251806194</v>
      </c>
      <c r="F63" s="898">
        <f>'R8 - Net Debt'!F64</f>
        <v>0.60772765802543072</v>
      </c>
      <c r="G63" s="898">
        <f>'R8 - Net Debt'!G64</f>
        <v>0.62305967574928389</v>
      </c>
      <c r="H63" s="898">
        <f>'R8 - Net Debt'!H64</f>
        <v>0.61813779867252461</v>
      </c>
      <c r="I63" s="898">
        <f>'R8 - Net Debt'!I64</f>
        <v>0.60835167486199238</v>
      </c>
      <c r="J63" s="898">
        <f>'R8 - Net Debt'!J64</f>
        <v>0.6076100258792656</v>
      </c>
      <c r="K63" s="899">
        <f>'R8 - Net Debt'!K64</f>
        <v>0.60018522014191877</v>
      </c>
      <c r="N63" s="830"/>
    </row>
    <row r="64" spans="1:14" s="31" customFormat="1">
      <c r="B64" s="214"/>
      <c r="C64" s="156"/>
      <c r="D64" s="156"/>
      <c r="E64" s="156"/>
      <c r="F64" s="156"/>
      <c r="G64" s="156"/>
      <c r="H64" s="156"/>
      <c r="I64" s="156"/>
      <c r="J64" s="156"/>
      <c r="K64" s="156"/>
      <c r="N64" s="830"/>
    </row>
    <row r="65" spans="2:15">
      <c r="B65" s="214" t="s">
        <v>423</v>
      </c>
      <c r="C65" s="153" t="s">
        <v>128</v>
      </c>
      <c r="D65" s="96">
        <f t="shared" ref="D65:K65" si="8">D39</f>
        <v>33.419836247505216</v>
      </c>
      <c r="E65" s="97">
        <f t="shared" si="8"/>
        <v>21.011727205569709</v>
      </c>
      <c r="F65" s="97">
        <f t="shared" si="8"/>
        <v>2.5998515317703266</v>
      </c>
      <c r="G65" s="97">
        <f t="shared" si="8"/>
        <v>12.471238246967687</v>
      </c>
      <c r="H65" s="97">
        <f t="shared" si="8"/>
        <v>18.039097994908786</v>
      </c>
      <c r="I65" s="97">
        <f t="shared" si="8"/>
        <v>28.528076142526277</v>
      </c>
      <c r="J65" s="97">
        <f t="shared" si="8"/>
        <v>22.349409000524403</v>
      </c>
      <c r="K65" s="98">
        <f t="shared" si="8"/>
        <v>21.549775816583931</v>
      </c>
      <c r="L65" s="31"/>
      <c r="M65" s="31"/>
    </row>
    <row r="66" spans="2:15" s="31" customFormat="1">
      <c r="B66" s="214" t="s">
        <v>441</v>
      </c>
      <c r="C66" s="153" t="s">
        <v>128</v>
      </c>
      <c r="D66" s="96">
        <f>((D62-D63)/D63)*D65</f>
        <v>2.0739090813223071</v>
      </c>
      <c r="E66" s="96">
        <f t="shared" ref="E66:K66" si="9">((E62-E63)/E63)*E65</f>
        <v>1.3818658186904744</v>
      </c>
      <c r="F66" s="96">
        <f t="shared" si="9"/>
        <v>0.180840564984627</v>
      </c>
      <c r="G66" s="96">
        <f t="shared" si="9"/>
        <v>0.53924080671277219</v>
      </c>
      <c r="H66" s="96">
        <f t="shared" si="9"/>
        <v>0.92983372528613062</v>
      </c>
      <c r="I66" s="96">
        <f t="shared" si="9"/>
        <v>1.9530587978003191</v>
      </c>
      <c r="J66" s="96">
        <f t="shared" si="9"/>
        <v>1.5592087503411085</v>
      </c>
      <c r="K66" s="96">
        <f t="shared" si="9"/>
        <v>1.7886100861335676</v>
      </c>
      <c r="N66" s="830"/>
    </row>
    <row r="67" spans="2:15">
      <c r="B67" s="214" t="s">
        <v>440</v>
      </c>
      <c r="C67" s="153" t="s">
        <v>128</v>
      </c>
      <c r="D67" s="103">
        <f>SUM(D65:D66)</f>
        <v>35.493745328827522</v>
      </c>
      <c r="E67" s="104">
        <f t="shared" ref="E67:K67" si="10">SUM(E65:E66)</f>
        <v>22.393593024260184</v>
      </c>
      <c r="F67" s="104">
        <f t="shared" si="10"/>
        <v>2.7806920967549535</v>
      </c>
      <c r="G67" s="104">
        <f t="shared" si="10"/>
        <v>13.010479053680459</v>
      </c>
      <c r="H67" s="104">
        <f t="shared" si="10"/>
        <v>18.968931720194917</v>
      </c>
      <c r="I67" s="104">
        <f t="shared" si="10"/>
        <v>30.481134940326598</v>
      </c>
      <c r="J67" s="104">
        <f t="shared" si="10"/>
        <v>23.908617750865513</v>
      </c>
      <c r="K67" s="105">
        <f t="shared" si="10"/>
        <v>23.338385902717498</v>
      </c>
      <c r="L67" s="31"/>
      <c r="M67" s="31"/>
    </row>
    <row r="68" spans="2:15">
      <c r="B68" s="214"/>
      <c r="C68" s="153"/>
      <c r="D68" s="153"/>
      <c r="E68" s="153"/>
      <c r="F68" s="153"/>
      <c r="G68" s="153"/>
      <c r="H68" s="153"/>
      <c r="I68" s="153"/>
      <c r="J68" s="153"/>
      <c r="K68" s="153"/>
      <c r="L68" s="153"/>
      <c r="M68" s="153"/>
      <c r="N68" s="153"/>
      <c r="O68" s="153"/>
    </row>
    <row r="69" spans="2:15">
      <c r="B69" s="840" t="s">
        <v>440</v>
      </c>
      <c r="C69" s="157" t="s">
        <v>158</v>
      </c>
      <c r="D69" s="146">
        <f t="shared" ref="D69:K69" si="11">D67/D41</f>
        <v>33.474662584678413</v>
      </c>
      <c r="E69" s="147">
        <f t="shared" si="11"/>
        <v>20.676670892747179</v>
      </c>
      <c r="F69" s="147">
        <f t="shared" si="11"/>
        <v>2.4748855572537658</v>
      </c>
      <c r="G69" s="147">
        <f t="shared" si="11"/>
        <v>11.236318644229131</v>
      </c>
      <c r="H69" s="147">
        <f t="shared" si="11"/>
        <v>15.968866745476191</v>
      </c>
      <c r="I69" s="147">
        <f t="shared" si="11"/>
        <v>25.231403231664508</v>
      </c>
      <c r="J69" s="147">
        <f t="shared" si="11"/>
        <v>19.379058322168003</v>
      </c>
      <c r="K69" s="148">
        <f t="shared" si="11"/>
        <v>18.441977684635969</v>
      </c>
      <c r="L69" s="693">
        <f>SUM(D69:INDEX(D69:K69,0,MATCH('RFPR cover'!$C$7,$D$6:$K$6,0)))</f>
        <v>83.831404424384687</v>
      </c>
      <c r="M69" s="694">
        <f>SUM(D69:K69)</f>
        <v>146.88384366285314</v>
      </c>
    </row>
    <row r="70" spans="2:15">
      <c r="B70" s="373" t="s">
        <v>515</v>
      </c>
      <c r="C70" s="160" t="s">
        <v>158</v>
      </c>
      <c r="D70" s="96">
        <f>D56*((D62-D63)/D63)+D56</f>
        <v>4.6486881907521047</v>
      </c>
      <c r="E70" s="96">
        <f t="shared" ref="E70:K70" si="12">E56*((E62-E63)/E63)+E56</f>
        <v>15.157494653168071</v>
      </c>
      <c r="F70" s="96">
        <f t="shared" si="12"/>
        <v>25.745204294579409</v>
      </c>
      <c r="G70" s="96">
        <f t="shared" si="12"/>
        <v>16.881694357765227</v>
      </c>
      <c r="H70" s="96">
        <f t="shared" si="12"/>
        <v>13.858644569568337</v>
      </c>
      <c r="I70" s="96">
        <f t="shared" si="12"/>
        <v>10.162825535727611</v>
      </c>
      <c r="J70" s="96">
        <f t="shared" si="12"/>
        <v>11.416043143469725</v>
      </c>
      <c r="K70" s="96">
        <f t="shared" si="12"/>
        <v>14.50647020979142</v>
      </c>
      <c r="L70" s="689">
        <f>SUM(D70:INDEX(D70:K70,0,MATCH('RFPR cover'!$C$7,$D$6:$K$6,0)))</f>
        <v>76.291726065833146</v>
      </c>
      <c r="M70" s="690">
        <f>SUM(D70:K70)</f>
        <v>112.37706495482189</v>
      </c>
      <c r="N70" s="156"/>
    </row>
    <row r="72" spans="2:15">
      <c r="B72" s="832" t="s">
        <v>317</v>
      </c>
      <c r="C72" s="833"/>
      <c r="D72" s="833"/>
      <c r="E72" s="833"/>
      <c r="F72" s="833"/>
      <c r="G72" s="833"/>
      <c r="H72" s="833"/>
      <c r="I72" s="833"/>
      <c r="J72" s="833"/>
      <c r="K72" s="833"/>
      <c r="L72" s="833"/>
      <c r="M72" s="833"/>
      <c r="N72" s="833"/>
      <c r="O72" s="156"/>
    </row>
    <row r="73" spans="2:15" s="31" customFormat="1">
      <c r="B73" s="834"/>
      <c r="C73" s="66"/>
      <c r="D73" s="66"/>
      <c r="E73" s="66"/>
      <c r="F73" s="66"/>
      <c r="G73" s="66"/>
      <c r="H73" s="66"/>
      <c r="I73" s="66"/>
      <c r="J73" s="66"/>
      <c r="K73" s="66"/>
      <c r="L73" s="66"/>
      <c r="M73" s="66"/>
      <c r="N73" s="66"/>
      <c r="O73" s="66"/>
    </row>
    <row r="74" spans="2:15">
      <c r="B74" s="370" t="s">
        <v>470</v>
      </c>
      <c r="C74" s="369"/>
      <c r="D74" s="369"/>
      <c r="E74" s="369"/>
      <c r="F74" s="369"/>
      <c r="G74" s="369"/>
      <c r="H74" s="369"/>
      <c r="I74" s="369"/>
      <c r="J74" s="369"/>
      <c r="K74" s="369"/>
      <c r="L74" s="369"/>
      <c r="M74" s="369"/>
      <c r="N74" s="369"/>
      <c r="O74" s="156"/>
    </row>
    <row r="75" spans="2:15">
      <c r="B75" s="370" t="s">
        <v>346</v>
      </c>
      <c r="C75" s="369"/>
      <c r="D75" s="369"/>
      <c r="E75" s="369"/>
      <c r="F75" s="369"/>
      <c r="G75" s="369"/>
      <c r="H75" s="369"/>
      <c r="I75" s="369"/>
      <c r="J75" s="369"/>
      <c r="K75" s="369"/>
      <c r="L75" s="369"/>
      <c r="M75" s="369"/>
      <c r="N75" s="369"/>
      <c r="O75" s="156"/>
    </row>
    <row r="76" spans="2:15">
      <c r="B76" s="370" t="s">
        <v>347</v>
      </c>
      <c r="C76" s="369"/>
      <c r="D76" s="369"/>
      <c r="E76" s="369"/>
      <c r="F76" s="369"/>
      <c r="G76" s="369"/>
      <c r="H76" s="369"/>
      <c r="I76" s="369"/>
      <c r="J76" s="369"/>
      <c r="K76" s="369"/>
      <c r="L76" s="369"/>
      <c r="M76" s="369"/>
      <c r="N76" s="369"/>
      <c r="O76" s="156"/>
    </row>
    <row r="77" spans="2:15">
      <c r="B77" s="370" t="s">
        <v>520</v>
      </c>
      <c r="C77" s="369"/>
      <c r="D77" s="369"/>
      <c r="E77" s="369"/>
      <c r="F77" s="369"/>
      <c r="G77" s="369"/>
      <c r="H77" s="369"/>
      <c r="I77" s="369"/>
      <c r="J77" s="369"/>
      <c r="K77" s="369"/>
      <c r="L77" s="369"/>
      <c r="M77" s="369"/>
      <c r="N77" s="369"/>
      <c r="O77" s="156"/>
    </row>
    <row r="78" spans="2:15" s="31" customFormat="1">
      <c r="B78" s="374"/>
      <c r="C78" s="374"/>
      <c r="D78" s="374"/>
      <c r="E78" s="374"/>
      <c r="F78" s="374"/>
      <c r="G78" s="374"/>
      <c r="H78" s="374"/>
      <c r="I78" s="374"/>
      <c r="J78" s="374"/>
      <c r="K78" s="374"/>
      <c r="L78" s="374"/>
      <c r="M78" s="374"/>
      <c r="N78" s="374"/>
      <c r="O78" s="66"/>
    </row>
    <row r="79" spans="2:15">
      <c r="B79" s="373" t="s">
        <v>232</v>
      </c>
      <c r="C79" s="156" t="s">
        <v>158</v>
      </c>
      <c r="D79" s="600">
        <v>24.933184424463839</v>
      </c>
      <c r="E79" s="600">
        <v>23.735580898473007</v>
      </c>
      <c r="F79" s="600">
        <v>22.544616416144535</v>
      </c>
      <c r="G79" s="600">
        <v>20.809006963853363</v>
      </c>
      <c r="H79" s="600">
        <v>19.551073149377654</v>
      </c>
      <c r="I79" s="600">
        <v>18.175298177495701</v>
      </c>
      <c r="J79" s="906"/>
      <c r="K79" s="909"/>
      <c r="L79" s="907"/>
      <c r="M79" s="907"/>
      <c r="O79" s="66"/>
    </row>
    <row r="80" spans="2:15">
      <c r="B80" s="373" t="s">
        <v>316</v>
      </c>
      <c r="C80" s="156" t="s">
        <v>158</v>
      </c>
      <c r="D80" s="691">
        <f>'R9 - RAV'!D49</f>
        <v>24.94058751025365</v>
      </c>
      <c r="E80" s="692">
        <f>'R9 - RAV'!E49</f>
        <v>23.793685473725809</v>
      </c>
      <c r="F80" s="692">
        <f>'R9 - RAV'!F49</f>
        <v>22.636772080324896</v>
      </c>
      <c r="G80" s="692">
        <f>'R9 - RAV'!G49</f>
        <v>20.832664695869607</v>
      </c>
      <c r="H80" s="692">
        <f>'R9 - RAV'!H49</f>
        <v>19.508731146030659</v>
      </c>
      <c r="I80" s="692">
        <f>'R9 - RAV'!I49</f>
        <v>18.112917731390819</v>
      </c>
      <c r="J80" s="692">
        <f>'R9 - RAV'!J49</f>
        <v>16.841823164362221</v>
      </c>
      <c r="K80" s="908">
        <f>'R9 - RAV'!K49</f>
        <v>15.522569887626526</v>
      </c>
      <c r="L80" s="910">
        <f>SUM(D80:INDEX(D80:K80,0,MATCH('RFPR cover'!$C$7,$D$6:$K$6,0)))</f>
        <v>111.71244090620462</v>
      </c>
      <c r="M80" s="910">
        <f>SUM(D80:K80)</f>
        <v>162.18975168958417</v>
      </c>
      <c r="O80" s="66"/>
    </row>
    <row r="81" spans="2:15" s="31" customFormat="1">
      <c r="B81" s="837"/>
      <c r="C81" s="66"/>
      <c r="D81" s="838"/>
      <c r="E81" s="838"/>
      <c r="F81" s="838"/>
      <c r="G81" s="838"/>
      <c r="H81" s="838"/>
      <c r="I81" s="838"/>
      <c r="J81" s="838"/>
      <c r="K81" s="838"/>
      <c r="L81" s="835"/>
      <c r="M81" s="835"/>
      <c r="O81" s="66"/>
    </row>
    <row r="82" spans="2:15" s="31" customFormat="1">
      <c r="B82" s="837"/>
      <c r="C82" s="66"/>
      <c r="D82" s="838"/>
      <c r="E82" s="839"/>
      <c r="F82" s="839"/>
      <c r="G82" s="839"/>
      <c r="H82" s="839"/>
      <c r="I82" s="839"/>
      <c r="J82" s="839"/>
      <c r="K82" s="839"/>
      <c r="L82" s="835"/>
      <c r="M82" s="835"/>
      <c r="O82" s="66"/>
    </row>
    <row r="83" spans="2:15">
      <c r="B83" s="841" t="s">
        <v>424</v>
      </c>
      <c r="C83" s="833"/>
      <c r="D83" s="833"/>
      <c r="E83" s="833"/>
      <c r="F83" s="833"/>
      <c r="G83" s="833"/>
      <c r="H83" s="833"/>
      <c r="I83" s="833"/>
      <c r="J83" s="833"/>
      <c r="K83" s="833"/>
      <c r="L83" s="833"/>
      <c r="M83" s="833"/>
      <c r="N83" s="833"/>
    </row>
    <row r="84" spans="2:15">
      <c r="B84" s="373"/>
      <c r="C84" s="156"/>
      <c r="D84" s="156"/>
      <c r="E84" s="156"/>
      <c r="F84" s="156"/>
      <c r="G84" s="156"/>
      <c r="H84" s="156"/>
      <c r="I84" s="156"/>
      <c r="J84" s="156"/>
      <c r="K84" s="156"/>
      <c r="L84" s="156"/>
      <c r="M84" s="156"/>
      <c r="N84" s="156"/>
    </row>
    <row r="85" spans="2:15">
      <c r="B85" s="860" t="s">
        <v>478</v>
      </c>
      <c r="C85" s="156"/>
      <c r="D85" s="156"/>
      <c r="E85" s="156"/>
      <c r="F85" s="156"/>
      <c r="G85" s="156"/>
      <c r="H85" s="156"/>
      <c r="I85" s="156"/>
      <c r="J85" s="156"/>
      <c r="K85" s="156"/>
      <c r="L85" s="156"/>
      <c r="M85" s="156"/>
      <c r="N85" s="156"/>
    </row>
    <row r="86" spans="2:15">
      <c r="B86" s="214" t="s">
        <v>479</v>
      </c>
      <c r="C86" s="156" t="s">
        <v>158</v>
      </c>
      <c r="D86" s="146">
        <f>D80-D43-D56</f>
        <v>-10.955205630694543</v>
      </c>
      <c r="E86" s="146">
        <f t="shared" ref="E86:K86" si="13">E80-E43-E56</f>
        <v>-9.8292222157324325</v>
      </c>
      <c r="F86" s="146">
        <f t="shared" si="13"/>
        <v>-3.7480419426317191</v>
      </c>
      <c r="G86" s="146">
        <f t="shared" si="13"/>
        <v>-6.1199507868023204</v>
      </c>
      <c r="H86" s="146">
        <f t="shared" si="13"/>
        <v>-8.856672214217717</v>
      </c>
      <c r="I86" s="146">
        <f t="shared" si="13"/>
        <v>-15.013448962596113</v>
      </c>
      <c r="J86" s="146">
        <f t="shared" si="13"/>
        <v>-11.944965141008163</v>
      </c>
      <c r="K86" s="146">
        <f t="shared" si="13"/>
        <v>-14.900770809068002</v>
      </c>
      <c r="L86" s="693">
        <f>SUM(D86:INDEX(D86:K86,0,MATCH('RFPR cover'!$C$7,$D$6:$K$6,0)))</f>
        <v>-39.509092790078732</v>
      </c>
      <c r="M86" s="694">
        <f>SUM(D86:K86)</f>
        <v>-81.368277702751016</v>
      </c>
    </row>
    <row r="87" spans="2:15">
      <c r="B87" s="214"/>
    </row>
    <row r="88" spans="2:15">
      <c r="B88" s="214" t="s">
        <v>480</v>
      </c>
      <c r="C88" s="156" t="s">
        <v>158</v>
      </c>
      <c r="D88" s="146">
        <f>D80-D69-D70</f>
        <v>-13.182763265176867</v>
      </c>
      <c r="E88" s="146">
        <f t="shared" ref="E88:K88" si="14">E80-E69-E70</f>
        <v>-12.040480072189441</v>
      </c>
      <c r="F88" s="146">
        <f t="shared" si="14"/>
        <v>-5.5833177715082805</v>
      </c>
      <c r="G88" s="146">
        <f t="shared" si="14"/>
        <v>-7.2853483061247513</v>
      </c>
      <c r="H88" s="146">
        <f t="shared" si="14"/>
        <v>-10.31878016901387</v>
      </c>
      <c r="I88" s="146">
        <f t="shared" si="14"/>
        <v>-17.281311036001298</v>
      </c>
      <c r="J88" s="146">
        <f t="shared" si="14"/>
        <v>-13.953278301275507</v>
      </c>
      <c r="K88" s="146">
        <f t="shared" si="14"/>
        <v>-17.425878006800865</v>
      </c>
      <c r="L88" s="693">
        <f>SUM(D88:INDEX(D88:K88,0,MATCH('RFPR cover'!$C$7,$D$6:$K$6,0)))</f>
        <v>-48.410689584013205</v>
      </c>
      <c r="M88" s="694">
        <f>SUM(D88:K88)</f>
        <v>-97.071156928090886</v>
      </c>
    </row>
    <row r="89" spans="2:15">
      <c r="B89" s="214"/>
    </row>
    <row r="90" spans="2:15">
      <c r="B90" s="214" t="s">
        <v>481</v>
      </c>
      <c r="C90" s="156" t="s">
        <v>158</v>
      </c>
      <c r="D90" s="146">
        <f t="shared" ref="D90:K90" si="15">D86-D88</f>
        <v>2.2275576344823236</v>
      </c>
      <c r="E90" s="146">
        <f t="shared" si="15"/>
        <v>2.2112578564570082</v>
      </c>
      <c r="F90" s="146">
        <f t="shared" si="15"/>
        <v>1.8352758288765614</v>
      </c>
      <c r="G90" s="146">
        <f t="shared" si="15"/>
        <v>1.1653975193224309</v>
      </c>
      <c r="H90" s="146">
        <f t="shared" si="15"/>
        <v>1.4621079547961529</v>
      </c>
      <c r="I90" s="146">
        <f t="shared" si="15"/>
        <v>2.2678620734051851</v>
      </c>
      <c r="J90" s="146">
        <f t="shared" si="15"/>
        <v>2.0083131602673436</v>
      </c>
      <c r="K90" s="146">
        <f t="shared" si="15"/>
        <v>2.5251071977328632</v>
      </c>
      <c r="L90" s="693">
        <f>SUM(D90:INDEX(D90:K90,0,MATCH('RFPR cover'!$C$7,$D$6:$K$6,0)))</f>
        <v>8.9015967939344769</v>
      </c>
      <c r="M90" s="694">
        <f>SUM(D90:K90)</f>
        <v>15.702879225339869</v>
      </c>
    </row>
    <row r="91" spans="2:15">
      <c r="B91" s="201"/>
    </row>
  </sheetData>
  <conditionalFormatting sqref="D6:K6">
    <cfRule type="expression" dxfId="40" priority="22">
      <formula>AND(D$5="Actuals",E$5="Forecast")</formula>
    </cfRule>
  </conditionalFormatting>
  <conditionalFormatting sqref="D5:K5">
    <cfRule type="expression" dxfId="39" priority="15">
      <formula>AND(D$5="Actuals",E$5="Forecast")</formula>
    </cfRule>
  </conditionalFormatting>
  <conditionalFormatting sqref="D29:G29 I29:K29">
    <cfRule type="expression" dxfId="38" priority="13">
      <formula>D$5="Forecast"</formula>
    </cfRule>
    <cfRule type="expression" dxfId="37" priority="14">
      <formula>D$5="Actuals"</formula>
    </cfRule>
  </conditionalFormatting>
  <conditionalFormatting sqref="D47:G47">
    <cfRule type="expression" dxfId="36" priority="7">
      <formula>D$5="Forecast"</formula>
    </cfRule>
    <cfRule type="expression" dxfId="35" priority="8">
      <formula>D$5="Actuals"</formula>
    </cfRule>
  </conditionalFormatting>
  <conditionalFormatting sqref="I47:K47">
    <cfRule type="expression" dxfId="34" priority="5">
      <formula>I$5="Forecast"</formula>
    </cfRule>
    <cfRule type="expression" dxfId="33" priority="6">
      <formula>I$5="Actuals"</formula>
    </cfRule>
  </conditionalFormatting>
  <conditionalFormatting sqref="H47">
    <cfRule type="expression" dxfId="32" priority="3">
      <formula>H$5="Forecast"</formula>
    </cfRule>
    <cfRule type="expression" dxfId="31" priority="4">
      <formula>H$5="Actuals"</formula>
    </cfRule>
  </conditionalFormatting>
  <conditionalFormatting sqref="H29">
    <cfRule type="expression" dxfId="30" priority="1">
      <formula>H$5="Forecast"</formula>
    </cfRule>
    <cfRule type="expression" dxfId="29" priority="2">
      <formula>H$5="Actuals"</formula>
    </cfRule>
  </conditionalFormatting>
  <pageMargins left="0.70866141732283472" right="0.70866141732283472" top="0.74803149606299213" bottom="0.74803149606299213" header="0.31496062992125984" footer="0.31496062992125984"/>
  <pageSetup paperSize="8" scale="61"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2" id="{4F9EFF1D-0920-4D6C-8AB9-85AB6A059E37}">
            <xm:f>D6&gt;=('RFPR cover'!$C$7+2)</xm:f>
            <x14:dxf>
              <fill>
                <patternFill patternType="darkUp">
                  <fgColor rgb="FFC0C0C0"/>
                </patternFill>
              </fill>
            </x14:dxf>
          </x14:cfRule>
          <xm:sqref>D79:K79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rgb="FFFFFFCC"/>
    <pageSetUpPr fitToPage="1"/>
  </sheetPr>
  <dimension ref="A1:M66"/>
  <sheetViews>
    <sheetView showGridLines="0" zoomScale="80" zoomScaleNormal="80" workbookViewId="0">
      <pane ySplit="6" topLeftCell="A7" activePane="bottomLeft" state="frozen"/>
      <selection activeCell="B3" sqref="B3"/>
      <selection pane="bottomLeft" activeCell="B33" sqref="B33"/>
    </sheetView>
  </sheetViews>
  <sheetFormatPr defaultRowHeight="12.75"/>
  <cols>
    <col min="1" max="1" width="8.375" customWidth="1"/>
    <col min="2" max="2" width="85.75" bestFit="1" customWidth="1"/>
    <col min="3" max="3" width="14.125" customWidth="1"/>
    <col min="4" max="11" width="11.125" customWidth="1"/>
    <col min="12" max="12" width="5" customWidth="1"/>
    <col min="13" max="13" width="12.875" customWidth="1"/>
  </cols>
  <sheetData>
    <row r="1" spans="1:12" s="31" customFormat="1" ht="20.25">
      <c r="A1" s="917" t="s">
        <v>236</v>
      </c>
      <c r="B1" s="927"/>
      <c r="C1" s="257"/>
      <c r="D1" s="257"/>
      <c r="E1" s="257"/>
      <c r="F1" s="257"/>
      <c r="G1" s="257"/>
      <c r="H1" s="257"/>
      <c r="I1" s="258"/>
      <c r="J1" s="258"/>
      <c r="K1" s="259"/>
      <c r="L1" s="365"/>
    </row>
    <row r="2" spans="1:12" s="31" customFormat="1" ht="20.25">
      <c r="A2" s="920" t="str">
        <f>'RFPR cover'!C5</f>
        <v>ENWL</v>
      </c>
      <c r="B2" s="912"/>
      <c r="C2" s="29"/>
      <c r="D2" s="29"/>
      <c r="E2" s="29"/>
      <c r="F2" s="29"/>
      <c r="G2" s="29"/>
      <c r="H2" s="29"/>
      <c r="I2" s="27"/>
      <c r="J2" s="27"/>
      <c r="K2" s="27"/>
      <c r="L2" s="124"/>
    </row>
    <row r="3" spans="1:12" s="31" customFormat="1" ht="23.25">
      <c r="A3" s="923">
        <f>'RFPR cover'!C7</f>
        <v>2020</v>
      </c>
      <c r="B3" s="929" t="str">
        <f>'R1 - RoRE'!B3</f>
        <v/>
      </c>
      <c r="C3" s="261"/>
      <c r="D3" s="261"/>
      <c r="E3" s="261"/>
      <c r="F3" s="261"/>
      <c r="G3" s="261"/>
      <c r="H3" s="261"/>
      <c r="I3" s="256"/>
      <c r="J3" s="256"/>
      <c r="K3" s="256"/>
      <c r="L3" s="262"/>
    </row>
    <row r="4" spans="1:12" s="31" customFormat="1" ht="12.75" customHeight="1">
      <c r="A4" s="39"/>
      <c r="B4" s="39"/>
      <c r="C4" s="39"/>
      <c r="D4" s="39"/>
      <c r="E4" s="39"/>
      <c r="F4" s="39"/>
      <c r="G4" s="39"/>
      <c r="H4" s="39"/>
      <c r="I4" s="34"/>
      <c r="J4" s="34"/>
      <c r="K4" s="34"/>
      <c r="L4" s="33"/>
    </row>
    <row r="5" spans="1:12" s="2" customFormat="1">
      <c r="B5" s="3"/>
      <c r="C5" s="3"/>
      <c r="D5" s="391" t="str">
        <f>IF(D6&lt;='RFPR cover'!$C$7,"Actuals","Forecast")</f>
        <v>Actuals</v>
      </c>
      <c r="E5" s="392" t="str">
        <f>IF(E6&lt;='RFPR cover'!$C$7,"Actuals","Forecast")</f>
        <v>Actuals</v>
      </c>
      <c r="F5" s="392" t="str">
        <f>IF(F6&lt;='RFPR cover'!$C$7,"Actuals","Forecast")</f>
        <v>Actuals</v>
      </c>
      <c r="G5" s="392" t="str">
        <f>IF(G6&lt;='RFPR cover'!$C$7,"Actuals","Forecast")</f>
        <v>Actuals</v>
      </c>
      <c r="H5" s="392" t="str">
        <f>IF(H6&lt;='RFPR cover'!$C$7,"Actuals","Forecast")</f>
        <v>Actuals</v>
      </c>
      <c r="I5" s="392" t="str">
        <f>IF(I6&lt;='RFPR cover'!$C$7,"Actuals","Forecast")</f>
        <v>Forecast</v>
      </c>
      <c r="J5" s="392" t="str">
        <f>IF(J6&lt;='RFPR cover'!$C$7,"Actuals","Forecast")</f>
        <v>Forecast</v>
      </c>
      <c r="K5" s="393" t="str">
        <f>IF(K6&lt;='RFPR cover'!$C$7,"Actuals","Forecast")</f>
        <v>Forecast</v>
      </c>
    </row>
    <row r="6" spans="1:12" s="2" customFormat="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2" s="2" customFormat="1"/>
    <row r="8" spans="1:12" s="2" customFormat="1">
      <c r="B8" s="214" t="s">
        <v>511</v>
      </c>
      <c r="C8" s="153" t="s">
        <v>128</v>
      </c>
      <c r="D8" s="890">
        <v>-149.19227706000001</v>
      </c>
      <c r="E8" s="701">
        <f>D10</f>
        <v>-142.82834713999998</v>
      </c>
      <c r="F8" s="701">
        <f t="shared" ref="F8:K8" si="1">E10</f>
        <v>-152.69999999999999</v>
      </c>
      <c r="G8" s="701">
        <f t="shared" si="1"/>
        <v>-76.400000000000006</v>
      </c>
      <c r="H8" s="701">
        <f t="shared" si="1"/>
        <v>-22.674554929999999</v>
      </c>
      <c r="I8" s="701">
        <f t="shared" si="1"/>
        <v>-56.205494439999995</v>
      </c>
      <c r="J8" s="701">
        <f t="shared" si="1"/>
        <v>-292.94384064641434</v>
      </c>
      <c r="K8" s="701">
        <f t="shared" si="1"/>
        <v>-43.697507569322603</v>
      </c>
    </row>
    <row r="9" spans="1:12" s="2" customFormat="1">
      <c r="B9" s="214"/>
    </row>
    <row r="10" spans="1:12">
      <c r="B10" s="214" t="s">
        <v>512</v>
      </c>
      <c r="C10" s="153" t="s">
        <v>128</v>
      </c>
      <c r="D10" s="695">
        <v>-142.82834713999998</v>
      </c>
      <c r="E10" s="696">
        <v>-152.69999999999999</v>
      </c>
      <c r="F10" s="696">
        <v>-76.400000000000006</v>
      </c>
      <c r="G10" s="696">
        <v>-22.674554929999999</v>
      </c>
      <c r="H10" s="696">
        <v>-56.205494439999995</v>
      </c>
      <c r="I10" s="696">
        <v>-292.94384064641434</v>
      </c>
      <c r="J10" s="696">
        <v>-43.697507569322603</v>
      </c>
      <c r="K10" s="697">
        <v>-26.707186459999999</v>
      </c>
    </row>
    <row r="11" spans="1:12">
      <c r="B11" s="214" t="s">
        <v>361</v>
      </c>
      <c r="C11" s="153" t="s">
        <v>128</v>
      </c>
      <c r="D11" s="698">
        <v>964.90000000000009</v>
      </c>
      <c r="E11" s="699">
        <v>980.20000000000016</v>
      </c>
      <c r="F11" s="699">
        <v>965.40000000000009</v>
      </c>
      <c r="G11" s="699">
        <v>894.57285724000008</v>
      </c>
      <c r="H11" s="699">
        <v>928.83784560999993</v>
      </c>
      <c r="I11" s="699">
        <v>892.88963930767909</v>
      </c>
      <c r="J11" s="699">
        <v>888.21075661134375</v>
      </c>
      <c r="K11" s="700">
        <v>885.66423595688661</v>
      </c>
    </row>
    <row r="12" spans="1:12">
      <c r="B12" s="214" t="s">
        <v>362</v>
      </c>
      <c r="C12" s="153" t="s">
        <v>128</v>
      </c>
      <c r="D12" s="698">
        <v>268.07499999999999</v>
      </c>
      <c r="E12" s="699">
        <v>268.92499999999995</v>
      </c>
      <c r="F12" s="699">
        <v>271.92499999999995</v>
      </c>
      <c r="G12" s="699">
        <v>274.05037105999997</v>
      </c>
      <c r="H12" s="699">
        <v>276.71330440999998</v>
      </c>
      <c r="I12" s="699">
        <v>281.67284846217154</v>
      </c>
      <c r="J12" s="699">
        <v>82.231713038156244</v>
      </c>
      <c r="K12" s="700">
        <v>84.710167148888758</v>
      </c>
    </row>
    <row r="13" spans="1:12">
      <c r="B13" s="214" t="s">
        <v>363</v>
      </c>
      <c r="C13" s="153" t="s">
        <v>128</v>
      </c>
      <c r="D13" s="698">
        <v>0</v>
      </c>
      <c r="E13" s="699">
        <v>0</v>
      </c>
      <c r="F13" s="699">
        <v>0</v>
      </c>
      <c r="G13" s="699">
        <v>0</v>
      </c>
      <c r="H13" s="699">
        <v>0</v>
      </c>
      <c r="I13" s="699">
        <v>0</v>
      </c>
      <c r="J13" s="699">
        <v>0</v>
      </c>
      <c r="K13" s="700">
        <v>0</v>
      </c>
    </row>
    <row r="14" spans="1:12">
      <c r="B14" s="214" t="s">
        <v>364</v>
      </c>
      <c r="C14" s="153" t="s">
        <v>128</v>
      </c>
      <c r="D14" s="698">
        <v>13.9</v>
      </c>
      <c r="E14" s="699">
        <v>13.6</v>
      </c>
      <c r="F14" s="699">
        <v>13.5</v>
      </c>
      <c r="G14" s="699">
        <v>14.600000000000001</v>
      </c>
      <c r="H14" s="699">
        <v>13.50761504128543</v>
      </c>
      <c r="I14" s="699">
        <v>14.111540758257087</v>
      </c>
      <c r="J14" s="699">
        <v>11.766655046130168</v>
      </c>
      <c r="K14" s="700">
        <v>11.770315207143305</v>
      </c>
    </row>
    <row r="15" spans="1:12">
      <c r="B15" s="214" t="s">
        <v>292</v>
      </c>
      <c r="C15" s="153" t="s">
        <v>128</v>
      </c>
      <c r="D15" s="698">
        <v>0</v>
      </c>
      <c r="E15" s="699">
        <v>0</v>
      </c>
      <c r="F15" s="699">
        <v>0</v>
      </c>
      <c r="G15" s="699">
        <v>0</v>
      </c>
      <c r="H15" s="699">
        <v>0</v>
      </c>
      <c r="I15" s="699">
        <v>0</v>
      </c>
      <c r="J15" s="699">
        <v>0</v>
      </c>
      <c r="K15" s="700">
        <v>0</v>
      </c>
    </row>
    <row r="16" spans="1:12">
      <c r="B16" s="214" t="s">
        <v>293</v>
      </c>
      <c r="C16" s="153" t="s">
        <v>128</v>
      </c>
      <c r="D16" s="698">
        <v>0</v>
      </c>
      <c r="E16" s="699">
        <v>0</v>
      </c>
      <c r="F16" s="699">
        <v>0</v>
      </c>
      <c r="G16" s="699">
        <v>0</v>
      </c>
      <c r="H16" s="699">
        <v>0</v>
      </c>
      <c r="I16" s="699">
        <v>0</v>
      </c>
      <c r="J16" s="699">
        <v>0</v>
      </c>
      <c r="K16" s="700">
        <v>0</v>
      </c>
    </row>
    <row r="17" spans="2:13">
      <c r="B17" s="214" t="s">
        <v>297</v>
      </c>
      <c r="C17" s="153" t="s">
        <v>128</v>
      </c>
      <c r="D17" s="698">
        <v>0</v>
      </c>
      <c r="E17" s="699">
        <v>0</v>
      </c>
      <c r="F17" s="699">
        <v>0</v>
      </c>
      <c r="G17" s="699">
        <v>0</v>
      </c>
      <c r="H17" s="699">
        <v>0</v>
      </c>
      <c r="I17" s="699">
        <v>0</v>
      </c>
      <c r="J17" s="699">
        <v>0</v>
      </c>
      <c r="K17" s="700">
        <v>0</v>
      </c>
    </row>
    <row r="18" spans="2:13">
      <c r="B18" s="214" t="s">
        <v>298</v>
      </c>
      <c r="C18" s="153" t="s">
        <v>128</v>
      </c>
      <c r="D18" s="698">
        <v>267.61171153553653</v>
      </c>
      <c r="E18" s="699">
        <v>363.53868162918388</v>
      </c>
      <c r="F18" s="699">
        <v>357.28788632471884</v>
      </c>
      <c r="G18" s="699">
        <v>404.59503797953914</v>
      </c>
      <c r="H18" s="699">
        <v>416.94480790670582</v>
      </c>
      <c r="I18" s="699">
        <v>416.94480790670582</v>
      </c>
      <c r="J18" s="699">
        <v>416.94480790670582</v>
      </c>
      <c r="K18" s="700">
        <v>416.94480790670582</v>
      </c>
    </row>
    <row r="19" spans="2:13">
      <c r="B19" s="214" t="s">
        <v>299</v>
      </c>
      <c r="C19" s="153" t="s">
        <v>128</v>
      </c>
      <c r="D19" s="698">
        <v>0</v>
      </c>
      <c r="E19" s="699">
        <v>0</v>
      </c>
      <c r="F19" s="699">
        <v>0</v>
      </c>
      <c r="G19" s="699">
        <v>0</v>
      </c>
      <c r="H19" s="699">
        <v>0</v>
      </c>
      <c r="I19" s="699">
        <v>0</v>
      </c>
      <c r="J19" s="699">
        <v>0</v>
      </c>
      <c r="K19" s="700">
        <v>0</v>
      </c>
    </row>
    <row r="20" spans="2:13">
      <c r="B20" s="214" t="s">
        <v>300</v>
      </c>
      <c r="C20" s="153" t="s">
        <v>128</v>
      </c>
      <c r="D20" s="698">
        <v>0</v>
      </c>
      <c r="E20" s="699">
        <v>0</v>
      </c>
      <c r="F20" s="699">
        <v>0</v>
      </c>
      <c r="G20" s="699">
        <v>0</v>
      </c>
      <c r="H20" s="699">
        <v>0</v>
      </c>
      <c r="I20" s="699">
        <v>0</v>
      </c>
      <c r="J20" s="699">
        <v>0</v>
      </c>
      <c r="K20" s="700">
        <v>0</v>
      </c>
    </row>
    <row r="21" spans="2:13">
      <c r="B21" s="214" t="s">
        <v>301</v>
      </c>
      <c r="C21" s="153" t="s">
        <v>128</v>
      </c>
      <c r="D21" s="698">
        <v>0</v>
      </c>
      <c r="E21" s="699">
        <v>0</v>
      </c>
      <c r="F21" s="699">
        <v>0</v>
      </c>
      <c r="G21" s="699">
        <v>0</v>
      </c>
      <c r="H21" s="699">
        <v>0</v>
      </c>
      <c r="I21" s="699">
        <v>0</v>
      </c>
      <c r="J21" s="699">
        <v>0</v>
      </c>
      <c r="K21" s="700">
        <v>0</v>
      </c>
    </row>
    <row r="22" spans="2:13">
      <c r="B22" s="214" t="s">
        <v>302</v>
      </c>
      <c r="C22" s="153" t="s">
        <v>128</v>
      </c>
      <c r="D22" s="698">
        <v>0</v>
      </c>
      <c r="E22" s="699">
        <v>0</v>
      </c>
      <c r="F22" s="699">
        <v>0</v>
      </c>
      <c r="G22" s="699">
        <v>0</v>
      </c>
      <c r="H22" s="699">
        <v>0</v>
      </c>
      <c r="I22" s="699">
        <v>0</v>
      </c>
      <c r="J22" s="699">
        <v>0</v>
      </c>
      <c r="K22" s="700">
        <v>0</v>
      </c>
    </row>
    <row r="23" spans="2:13">
      <c r="B23" s="14" t="s">
        <v>318</v>
      </c>
      <c r="C23" s="236" t="s">
        <v>128</v>
      </c>
      <c r="D23" s="701">
        <f>SUM(D10:D22)</f>
        <v>1371.6583643955369</v>
      </c>
      <c r="E23" s="701">
        <f t="shared" ref="E23:K23" si="2">SUM(E10:E22)</f>
        <v>1473.563681629184</v>
      </c>
      <c r="F23" s="701">
        <f t="shared" si="2"/>
        <v>1531.712886324719</v>
      </c>
      <c r="G23" s="701">
        <f t="shared" si="2"/>
        <v>1565.143711349539</v>
      </c>
      <c r="H23" s="701">
        <f t="shared" si="2"/>
        <v>1579.798078527991</v>
      </c>
      <c r="I23" s="701">
        <f t="shared" si="2"/>
        <v>1312.674995788399</v>
      </c>
      <c r="J23" s="701">
        <f t="shared" si="2"/>
        <v>1355.4564250330134</v>
      </c>
      <c r="K23" s="702">
        <f t="shared" si="2"/>
        <v>1372.3823397596245</v>
      </c>
      <c r="L23" s="2"/>
      <c r="M23" s="324"/>
    </row>
    <row r="24" spans="2:13">
      <c r="B24" s="14"/>
      <c r="C24" s="153"/>
      <c r="D24" s="240"/>
      <c r="E24" s="240"/>
      <c r="F24" s="240"/>
      <c r="G24" s="240"/>
      <c r="H24" s="240"/>
      <c r="I24" s="240"/>
      <c r="J24" s="240"/>
      <c r="K24" s="240"/>
      <c r="L24" s="2"/>
      <c r="M24" s="2"/>
    </row>
    <row r="25" spans="2:13">
      <c r="B25" s="14" t="s">
        <v>123</v>
      </c>
      <c r="C25" s="16"/>
      <c r="D25" s="241"/>
      <c r="E25" s="241"/>
      <c r="F25" s="241"/>
      <c r="G25" s="241"/>
      <c r="H25" s="241"/>
      <c r="I25" s="241"/>
      <c r="J25" s="241"/>
      <c r="K25" s="241"/>
      <c r="L25" s="2"/>
      <c r="M25" s="2"/>
    </row>
    <row r="26" spans="2:13">
      <c r="B26" s="371" t="s">
        <v>522</v>
      </c>
      <c r="C26" s="153" t="s">
        <v>128</v>
      </c>
      <c r="D26" s="348">
        <v>6.6240000000000059</v>
      </c>
      <c r="E26" s="348">
        <v>5.9280000000000168</v>
      </c>
      <c r="F26" s="348">
        <v>5.1180000000000003</v>
      </c>
      <c r="G26" s="348">
        <v>-37.207528169999946</v>
      </c>
      <c r="H26" s="348">
        <v>-33.995664999999917</v>
      </c>
      <c r="I26" s="348">
        <v>-28.332306808306726</v>
      </c>
      <c r="J26" s="348">
        <v>-22.66894861661342</v>
      </c>
      <c r="K26" s="348">
        <v>-17.005590424920229</v>
      </c>
      <c r="L26" s="2"/>
      <c r="M26" s="2"/>
    </row>
    <row r="27" spans="2:13">
      <c r="B27" s="371" t="s">
        <v>8</v>
      </c>
      <c r="C27" s="153" t="s">
        <v>128</v>
      </c>
      <c r="D27" s="348">
        <v>0</v>
      </c>
      <c r="E27" s="381">
        <v>0</v>
      </c>
      <c r="F27" s="381">
        <v>0</v>
      </c>
      <c r="G27" s="381">
        <v>0</v>
      </c>
      <c r="H27" s="381">
        <v>0</v>
      </c>
      <c r="I27" s="381">
        <v>0</v>
      </c>
      <c r="J27" s="381">
        <v>0</v>
      </c>
      <c r="K27" s="385">
        <v>0</v>
      </c>
      <c r="L27" s="35"/>
      <c r="M27" s="35"/>
    </row>
    <row r="28" spans="2:13">
      <c r="B28" s="371" t="s">
        <v>9</v>
      </c>
      <c r="C28" s="153" t="s">
        <v>128</v>
      </c>
      <c r="D28" s="348">
        <v>0</v>
      </c>
      <c r="E28" s="381">
        <v>0</v>
      </c>
      <c r="F28" s="381">
        <v>0</v>
      </c>
      <c r="G28" s="381">
        <v>0</v>
      </c>
      <c r="H28" s="381">
        <v>0</v>
      </c>
      <c r="I28" s="381">
        <v>0</v>
      </c>
      <c r="J28" s="381">
        <v>0</v>
      </c>
      <c r="K28" s="385">
        <v>0</v>
      </c>
      <c r="L28" s="35"/>
      <c r="M28" s="35"/>
    </row>
    <row r="29" spans="2:13">
      <c r="B29" s="371" t="s">
        <v>10</v>
      </c>
      <c r="C29" s="153" t="s">
        <v>128</v>
      </c>
      <c r="D29" s="348">
        <v>0</v>
      </c>
      <c r="E29" s="381">
        <v>0</v>
      </c>
      <c r="F29" s="381">
        <v>0</v>
      </c>
      <c r="G29" s="381">
        <v>0</v>
      </c>
      <c r="H29" s="381">
        <v>0</v>
      </c>
      <c r="I29" s="381">
        <v>0</v>
      </c>
      <c r="J29" s="381">
        <v>0</v>
      </c>
      <c r="K29" s="385">
        <v>0</v>
      </c>
      <c r="L29" s="35"/>
      <c r="M29" s="35"/>
    </row>
    <row r="30" spans="2:13">
      <c r="B30" s="371" t="s">
        <v>621</v>
      </c>
      <c r="C30" s="153" t="s">
        <v>128</v>
      </c>
      <c r="D30" s="348">
        <v>-130.70000000000005</v>
      </c>
      <c r="E30" s="381">
        <v>-141</v>
      </c>
      <c r="F30" s="381">
        <v>-117.19999999999999</v>
      </c>
      <c r="G30" s="381">
        <v>0</v>
      </c>
      <c r="H30" s="381">
        <v>0</v>
      </c>
      <c r="I30" s="381">
        <v>0</v>
      </c>
      <c r="J30" s="381">
        <v>0</v>
      </c>
      <c r="K30" s="385">
        <v>0</v>
      </c>
    </row>
    <row r="31" spans="2:13">
      <c r="B31" s="371" t="s">
        <v>622</v>
      </c>
      <c r="C31" s="153" t="s">
        <v>128</v>
      </c>
      <c r="D31" s="348">
        <v>-267.61171153553653</v>
      </c>
      <c r="E31" s="381">
        <v>-363.53868162918388</v>
      </c>
      <c r="F31" s="381">
        <v>-357.28788632471884</v>
      </c>
      <c r="G31" s="381">
        <v>-404.59503797953914</v>
      </c>
      <c r="H31" s="381">
        <v>-416.94480790670582</v>
      </c>
      <c r="I31" s="381">
        <v>-416.94480790670582</v>
      </c>
      <c r="J31" s="381">
        <v>-416.94480790670582</v>
      </c>
      <c r="K31" s="385">
        <v>-416.94480790670582</v>
      </c>
    </row>
    <row r="32" spans="2:13" ht="12.75" customHeight="1">
      <c r="B32" s="371" t="s">
        <v>623</v>
      </c>
      <c r="C32" s="153" t="s">
        <v>128</v>
      </c>
      <c r="D32" s="348">
        <v>10.38364165</v>
      </c>
      <c r="E32" s="381">
        <v>8.4342360000000003</v>
      </c>
      <c r="F32" s="381">
        <v>6.1035687999999997</v>
      </c>
      <c r="G32" s="381">
        <v>4.72379456</v>
      </c>
      <c r="H32" s="381">
        <v>1.7071864299999999</v>
      </c>
      <c r="I32" s="381">
        <v>1.70718646</v>
      </c>
      <c r="J32" s="381">
        <v>1.70718646</v>
      </c>
      <c r="K32" s="385">
        <v>1.70718646</v>
      </c>
    </row>
    <row r="33" spans="2:12">
      <c r="B33" s="371" t="s">
        <v>624</v>
      </c>
      <c r="C33" s="153" t="s">
        <v>128</v>
      </c>
      <c r="D33" s="348">
        <v>-13.9</v>
      </c>
      <c r="E33" s="381">
        <v>-13.6</v>
      </c>
      <c r="F33" s="381">
        <v>-13.5</v>
      </c>
      <c r="G33" s="381">
        <v>-14.600000000000001</v>
      </c>
      <c r="H33" s="381">
        <v>-13.50761504128543</v>
      </c>
      <c r="I33" s="381">
        <v>-14.111540758257087</v>
      </c>
      <c r="J33" s="381">
        <v>-11.766655046130168</v>
      </c>
      <c r="K33" s="385">
        <v>-11.770315207143305</v>
      </c>
    </row>
    <row r="34" spans="2:12">
      <c r="B34" s="371" t="s">
        <v>625</v>
      </c>
      <c r="C34" s="153" t="s">
        <v>128</v>
      </c>
      <c r="D34" s="348">
        <v>-6.6240000000000059</v>
      </c>
      <c r="E34" s="381">
        <v>-5.9280000000000168</v>
      </c>
      <c r="F34" s="381">
        <v>-5.1180000000000003</v>
      </c>
      <c r="G34" s="381">
        <v>37.207528169999946</v>
      </c>
      <c r="H34" s="381">
        <v>33.995664999999917</v>
      </c>
      <c r="I34" s="381">
        <v>28.332306808306726</v>
      </c>
      <c r="J34" s="381">
        <v>22.66894861661342</v>
      </c>
      <c r="K34" s="385">
        <v>17.005590424920229</v>
      </c>
    </row>
    <row r="35" spans="2:12">
      <c r="B35" s="371" t="s">
        <v>626</v>
      </c>
      <c r="C35" s="153" t="s">
        <v>128</v>
      </c>
      <c r="D35" s="348">
        <v>54.762097314674783</v>
      </c>
      <c r="E35" s="381">
        <v>50.583370864802497</v>
      </c>
      <c r="F35" s="381">
        <v>46.159155109294844</v>
      </c>
      <c r="G35" s="381">
        <v>0</v>
      </c>
      <c r="H35" s="381">
        <v>0</v>
      </c>
      <c r="I35" s="381">
        <v>0</v>
      </c>
      <c r="J35" s="381">
        <v>0</v>
      </c>
      <c r="K35" s="385">
        <v>0</v>
      </c>
    </row>
    <row r="36" spans="2:12">
      <c r="B36" s="371">
        <v>0</v>
      </c>
      <c r="C36" s="153" t="s">
        <v>128</v>
      </c>
      <c r="D36" s="348">
        <v>0</v>
      </c>
      <c r="E36" s="381">
        <v>0</v>
      </c>
      <c r="F36" s="381">
        <v>0</v>
      </c>
      <c r="G36" s="381">
        <v>0</v>
      </c>
      <c r="H36" s="381">
        <v>0</v>
      </c>
      <c r="I36" s="381">
        <v>0</v>
      </c>
      <c r="J36" s="381">
        <v>0</v>
      </c>
      <c r="K36" s="385">
        <v>0</v>
      </c>
    </row>
    <row r="37" spans="2:12">
      <c r="B37" s="371">
        <v>0</v>
      </c>
      <c r="C37" s="153" t="s">
        <v>128</v>
      </c>
      <c r="D37" s="348">
        <v>0</v>
      </c>
      <c r="E37" s="381">
        <v>0</v>
      </c>
      <c r="F37" s="381">
        <v>0</v>
      </c>
      <c r="G37" s="381">
        <v>0</v>
      </c>
      <c r="H37" s="381">
        <v>0</v>
      </c>
      <c r="I37" s="381">
        <v>0</v>
      </c>
      <c r="J37" s="381">
        <v>0</v>
      </c>
      <c r="K37" s="385">
        <v>0</v>
      </c>
    </row>
    <row r="38" spans="2:12">
      <c r="B38" s="371">
        <v>0</v>
      </c>
      <c r="C38" s="153" t="s">
        <v>128</v>
      </c>
      <c r="D38" s="348">
        <v>0</v>
      </c>
      <c r="E38" s="381">
        <v>0</v>
      </c>
      <c r="F38" s="381">
        <v>0</v>
      </c>
      <c r="G38" s="381">
        <v>0</v>
      </c>
      <c r="H38" s="381">
        <v>0</v>
      </c>
      <c r="I38" s="381">
        <v>0</v>
      </c>
      <c r="J38" s="381">
        <v>0</v>
      </c>
      <c r="K38" s="385">
        <v>0</v>
      </c>
    </row>
    <row r="39" spans="2:12">
      <c r="B39" s="371">
        <v>0</v>
      </c>
      <c r="C39" s="153" t="s">
        <v>128</v>
      </c>
      <c r="D39" s="348">
        <v>0</v>
      </c>
      <c r="E39" s="381">
        <v>0</v>
      </c>
      <c r="F39" s="381">
        <v>0</v>
      </c>
      <c r="G39" s="381">
        <v>0</v>
      </c>
      <c r="H39" s="381">
        <v>0</v>
      </c>
      <c r="I39" s="381">
        <v>0</v>
      </c>
      <c r="J39" s="381">
        <v>0</v>
      </c>
      <c r="K39" s="385">
        <v>0</v>
      </c>
    </row>
    <row r="40" spans="2:12">
      <c r="B40" s="371">
        <v>0</v>
      </c>
      <c r="C40" s="153" t="s">
        <v>128</v>
      </c>
      <c r="D40" s="348">
        <v>0</v>
      </c>
      <c r="E40" s="381">
        <v>0</v>
      </c>
      <c r="F40" s="381">
        <v>0</v>
      </c>
      <c r="G40" s="381">
        <v>0</v>
      </c>
      <c r="H40" s="381">
        <v>0</v>
      </c>
      <c r="I40" s="381">
        <v>0</v>
      </c>
      <c r="J40" s="381">
        <v>0</v>
      </c>
      <c r="K40" s="385">
        <v>0</v>
      </c>
    </row>
    <row r="41" spans="2:12">
      <c r="B41" s="371">
        <v>0</v>
      </c>
      <c r="C41" s="153" t="s">
        <v>128</v>
      </c>
      <c r="D41" s="382">
        <v>0</v>
      </c>
      <c r="E41" s="383">
        <v>0</v>
      </c>
      <c r="F41" s="383">
        <v>0</v>
      </c>
      <c r="G41" s="383">
        <v>0</v>
      </c>
      <c r="H41" s="383">
        <v>0</v>
      </c>
      <c r="I41" s="383">
        <v>0</v>
      </c>
      <c r="J41" s="383">
        <v>0</v>
      </c>
      <c r="K41" s="386">
        <v>0</v>
      </c>
    </row>
    <row r="42" spans="2:12">
      <c r="B42" s="200" t="s">
        <v>233</v>
      </c>
      <c r="C42" s="153" t="s">
        <v>128</v>
      </c>
      <c r="D42" s="709">
        <f>SUM(D23,D26:D41)</f>
        <v>1024.5923918246751</v>
      </c>
      <c r="E42" s="709">
        <f t="shared" ref="E42:K42" si="3">SUM(E23,E26:E41)</f>
        <v>1014.4426068648028</v>
      </c>
      <c r="F42" s="709">
        <f t="shared" si="3"/>
        <v>1095.987723909295</v>
      </c>
      <c r="G42" s="709">
        <f t="shared" si="3"/>
        <v>1150.67246793</v>
      </c>
      <c r="H42" s="709">
        <f t="shared" si="3"/>
        <v>1151.0528420099999</v>
      </c>
      <c r="I42" s="709">
        <f t="shared" si="3"/>
        <v>883.32583358343595</v>
      </c>
      <c r="J42" s="709">
        <f t="shared" si="3"/>
        <v>928.45214854017729</v>
      </c>
      <c r="K42" s="709">
        <f t="shared" si="3"/>
        <v>945.3744031057754</v>
      </c>
    </row>
    <row r="43" spans="2:12">
      <c r="B43" s="372" t="s">
        <v>305</v>
      </c>
      <c r="C43" s="153" t="s">
        <v>128</v>
      </c>
      <c r="D43" s="710"/>
      <c r="E43" s="711"/>
      <c r="F43" s="711"/>
      <c r="G43" s="712"/>
      <c r="H43" s="712"/>
      <c r="I43" s="712">
        <v>300</v>
      </c>
      <c r="J43" s="712">
        <v>300</v>
      </c>
      <c r="K43" s="713">
        <v>300</v>
      </c>
    </row>
    <row r="44" spans="2:12">
      <c r="B44" s="347" t="s">
        <v>428</v>
      </c>
      <c r="C44" s="153" t="s">
        <v>128</v>
      </c>
      <c r="D44" s="96">
        <f>SUM(D42:D43)</f>
        <v>1024.5923918246751</v>
      </c>
      <c r="E44" s="97">
        <f t="shared" ref="E44:K44" si="4">SUM(E42:E43)</f>
        <v>1014.4426068648028</v>
      </c>
      <c r="F44" s="97">
        <f t="shared" si="4"/>
        <v>1095.987723909295</v>
      </c>
      <c r="G44" s="97">
        <f t="shared" si="4"/>
        <v>1150.67246793</v>
      </c>
      <c r="H44" s="97">
        <f t="shared" si="4"/>
        <v>1151.0528420099999</v>
      </c>
      <c r="I44" s="97">
        <f t="shared" si="4"/>
        <v>1183.325833583436</v>
      </c>
      <c r="J44" s="97">
        <f t="shared" si="4"/>
        <v>1228.4521485401774</v>
      </c>
      <c r="K44" s="98">
        <f t="shared" si="4"/>
        <v>1245.3744031057754</v>
      </c>
    </row>
    <row r="45" spans="2:12">
      <c r="D45" s="227" t="s">
        <v>632</v>
      </c>
      <c r="E45" s="228" t="s">
        <v>632</v>
      </c>
      <c r="F45" s="228" t="s">
        <v>632</v>
      </c>
      <c r="G45" s="228" t="s">
        <v>632</v>
      </c>
      <c r="H45" s="228" t="s">
        <v>632</v>
      </c>
      <c r="I45" s="228" t="s">
        <v>632</v>
      </c>
      <c r="J45" s="228" t="s">
        <v>632</v>
      </c>
      <c r="K45" s="229" t="s">
        <v>632</v>
      </c>
    </row>
    <row r="47" spans="2:12">
      <c r="B47" s="828" t="s">
        <v>429</v>
      </c>
      <c r="C47" s="153" t="s">
        <v>128</v>
      </c>
      <c r="D47" s="843">
        <v>964.3</v>
      </c>
      <c r="E47" s="97">
        <f>D48</f>
        <v>1024.5923918246751</v>
      </c>
      <c r="F47" s="97">
        <f t="shared" ref="F47:K47" si="5">E48</f>
        <v>1014.4426068648028</v>
      </c>
      <c r="G47" s="97">
        <f t="shared" si="5"/>
        <v>1095.987723909295</v>
      </c>
      <c r="H47" s="97">
        <f t="shared" si="5"/>
        <v>1150.67246793</v>
      </c>
      <c r="I47" s="97">
        <f t="shared" si="5"/>
        <v>1151.0528420099999</v>
      </c>
      <c r="J47" s="97">
        <f t="shared" si="5"/>
        <v>1183.325833583436</v>
      </c>
      <c r="K47" s="98">
        <f t="shared" si="5"/>
        <v>1228.4521485401774</v>
      </c>
      <c r="L47" s="827"/>
    </row>
    <row r="48" spans="2:12">
      <c r="B48" s="828" t="s">
        <v>430</v>
      </c>
      <c r="C48" s="153" t="s">
        <v>128</v>
      </c>
      <c r="D48" s="581">
        <f>D44</f>
        <v>1024.5923918246751</v>
      </c>
      <c r="E48" s="582">
        <f>E44</f>
        <v>1014.4426068648028</v>
      </c>
      <c r="F48" s="582">
        <f t="shared" ref="F48:K48" si="6">F44</f>
        <v>1095.987723909295</v>
      </c>
      <c r="G48" s="582">
        <f t="shared" si="6"/>
        <v>1150.67246793</v>
      </c>
      <c r="H48" s="582">
        <f t="shared" si="6"/>
        <v>1151.0528420099999</v>
      </c>
      <c r="I48" s="582">
        <f t="shared" si="6"/>
        <v>1183.325833583436</v>
      </c>
      <c r="J48" s="582">
        <f t="shared" si="6"/>
        <v>1228.4521485401774</v>
      </c>
      <c r="K48" s="842">
        <f t="shared" si="6"/>
        <v>1245.3744031057754</v>
      </c>
      <c r="L48" s="827"/>
    </row>
    <row r="49" spans="2:13">
      <c r="D49" s="23"/>
      <c r="E49" s="23"/>
      <c r="F49" s="23"/>
      <c r="G49" s="23"/>
      <c r="H49" s="23"/>
      <c r="I49" s="23"/>
      <c r="J49" s="23"/>
      <c r="K49" s="23"/>
    </row>
    <row r="50" spans="2:13">
      <c r="B50" s="14" t="s">
        <v>124</v>
      </c>
    </row>
    <row r="51" spans="2:13">
      <c r="B51" t="s">
        <v>125</v>
      </c>
      <c r="C51" s="482" t="s">
        <v>7</v>
      </c>
      <c r="D51" s="476">
        <v>0</v>
      </c>
      <c r="E51" s="477">
        <v>0</v>
      </c>
      <c r="F51" s="477">
        <v>0</v>
      </c>
      <c r="G51" s="477">
        <v>0</v>
      </c>
      <c r="H51" s="477">
        <v>0</v>
      </c>
      <c r="I51" s="477">
        <v>0</v>
      </c>
      <c r="J51" s="477">
        <v>0</v>
      </c>
      <c r="K51" s="478">
        <v>0</v>
      </c>
    </row>
    <row r="52" spans="2:13">
      <c r="B52" t="s">
        <v>126</v>
      </c>
      <c r="C52" s="482" t="s">
        <v>7</v>
      </c>
      <c r="D52" s="488">
        <f>1-D51</f>
        <v>1</v>
      </c>
      <c r="E52" s="489">
        <f t="shared" ref="E52:K52" si="7">1-E51</f>
        <v>1</v>
      </c>
      <c r="F52" s="489">
        <f t="shared" si="7"/>
        <v>1</v>
      </c>
      <c r="G52" s="489">
        <f t="shared" si="7"/>
        <v>1</v>
      </c>
      <c r="H52" s="489">
        <f t="shared" si="7"/>
        <v>1</v>
      </c>
      <c r="I52" s="489">
        <f t="shared" si="7"/>
        <v>1</v>
      </c>
      <c r="J52" s="489">
        <f t="shared" si="7"/>
        <v>1</v>
      </c>
      <c r="K52" s="490">
        <f t="shared" si="7"/>
        <v>1</v>
      </c>
    </row>
    <row r="53" spans="2:13">
      <c r="C53" s="827"/>
      <c r="D53" s="827"/>
      <c r="E53" s="827"/>
      <c r="F53" s="827"/>
      <c r="G53" s="827"/>
      <c r="H53" s="827"/>
      <c r="I53" s="827"/>
      <c r="J53" s="827"/>
      <c r="K53" s="827"/>
      <c r="L53" s="827"/>
    </row>
    <row r="54" spans="2:13">
      <c r="B54" s="201" t="s">
        <v>452</v>
      </c>
      <c r="C54" s="267" t="s">
        <v>128</v>
      </c>
      <c r="D54" s="714">
        <f>AVERAGE(D47:D48)*D52</f>
        <v>994.44619591233754</v>
      </c>
      <c r="E54" s="715">
        <f t="shared" ref="E54:K54" si="8">AVERAGE(E47:E48)*E52</f>
        <v>1019.517499344739</v>
      </c>
      <c r="F54" s="715">
        <f t="shared" si="8"/>
        <v>1055.215165387049</v>
      </c>
      <c r="G54" s="715">
        <f t="shared" si="8"/>
        <v>1123.3300959196476</v>
      </c>
      <c r="H54" s="715">
        <f t="shared" si="8"/>
        <v>1150.86265497</v>
      </c>
      <c r="I54" s="715">
        <f t="shared" si="8"/>
        <v>1167.1893377967181</v>
      </c>
      <c r="J54" s="715">
        <f t="shared" si="8"/>
        <v>1205.8889910618068</v>
      </c>
      <c r="K54" s="716">
        <f t="shared" si="8"/>
        <v>1236.9132758229764</v>
      </c>
    </row>
    <row r="55" spans="2:13">
      <c r="B55" s="201" t="s">
        <v>271</v>
      </c>
      <c r="C55" s="153" t="s">
        <v>128</v>
      </c>
      <c r="D55" s="703">
        <f>D56-D54</f>
        <v>630.41192540631096</v>
      </c>
      <c r="E55" s="704">
        <f t="shared" ref="E55:K55" si="9">E56-E54</f>
        <v>652.12481281391479</v>
      </c>
      <c r="F55" s="704">
        <f t="shared" si="9"/>
        <v>681.11384885520374</v>
      </c>
      <c r="G55" s="704">
        <f t="shared" si="9"/>
        <v>679.59527325746149</v>
      </c>
      <c r="H55" s="704">
        <f t="shared" si="9"/>
        <v>710.95951064019732</v>
      </c>
      <c r="I55" s="704">
        <f t="shared" si="9"/>
        <v>751.4202198436069</v>
      </c>
      <c r="J55" s="704">
        <f t="shared" si="9"/>
        <v>778.75401958762836</v>
      </c>
      <c r="K55" s="705">
        <f t="shared" si="9"/>
        <v>823.97265457447315</v>
      </c>
    </row>
    <row r="56" spans="2:13">
      <c r="B56" s="201" t="s">
        <v>499</v>
      </c>
      <c r="C56" s="153" t="s">
        <v>128</v>
      </c>
      <c r="D56" s="881">
        <f>IF(D6='RFPR cover'!$C$13,AVERAGE(('R9 - RAV'!D16*'R9 - RAV'!D36),'R9 - RAV'!D38),AVERAGE('R9 - RAV'!C38:D38))</f>
        <v>1624.8581213186485</v>
      </c>
      <c r="E56" s="881">
        <f>IF(E6='RFPR cover'!$C$13,AVERAGE(('R9 - RAV'!E16*'R9 - RAV'!E36),'R9 - RAV'!E38),AVERAGE('R9 - RAV'!D38:E38))</f>
        <v>1671.6423121586538</v>
      </c>
      <c r="F56" s="881">
        <f>IF(F6='RFPR cover'!$C$13,AVERAGE(('R9 - RAV'!F16*'R9 - RAV'!F36),'R9 - RAV'!F38),AVERAGE('R9 - RAV'!E38:F38))</f>
        <v>1736.3290142422527</v>
      </c>
      <c r="G56" s="881">
        <f>IF(G6='RFPR cover'!$C$13,AVERAGE(('R9 - RAV'!G16*'R9 - RAV'!G36),'R9 - RAV'!G38),AVERAGE('R9 - RAV'!F38:G38))</f>
        <v>1802.9253691771091</v>
      </c>
      <c r="H56" s="881">
        <f>IF(H6='RFPR cover'!$C$13,AVERAGE(('R9 - RAV'!H16*'R9 - RAV'!H36),'R9 - RAV'!H38),AVERAGE('R9 - RAV'!G38:H38))</f>
        <v>1861.8221656101973</v>
      </c>
      <c r="I56" s="881">
        <f>IF(I6='RFPR cover'!$C$13,AVERAGE(('R9 - RAV'!I16*'R9 - RAV'!I36),'R9 - RAV'!I38),AVERAGE('R9 - RAV'!H38:I38))</f>
        <v>1918.609557640325</v>
      </c>
      <c r="J56" s="881">
        <f>IF(J6='RFPR cover'!$C$13,AVERAGE(('R9 - RAV'!J16*'R9 - RAV'!J36),'R9 - RAV'!J38),AVERAGE('R9 - RAV'!I38:J38))</f>
        <v>1984.6430106494352</v>
      </c>
      <c r="K56" s="881">
        <f>IF(K6='RFPR cover'!$C$13,AVERAGE(('R9 - RAV'!K16*'R9 - RAV'!K36),'R9 - RAV'!K38),AVERAGE('R9 - RAV'!J38:K38))</f>
        <v>2060.8859303974496</v>
      </c>
    </row>
    <row r="57" spans="2:13">
      <c r="B57" s="201" t="s">
        <v>234</v>
      </c>
      <c r="C57" s="153" t="s">
        <v>7</v>
      </c>
      <c r="D57" s="232">
        <f>D54/D56</f>
        <v>0.61202032526095129</v>
      </c>
      <c r="E57" s="233">
        <f t="shared" ref="E57:K57" si="10">E54/E56</f>
        <v>0.60988974251806194</v>
      </c>
      <c r="F57" s="233">
        <f t="shared" si="10"/>
        <v>0.60772765802543072</v>
      </c>
      <c r="G57" s="233">
        <f t="shared" si="10"/>
        <v>0.62305967574928389</v>
      </c>
      <c r="H57" s="233">
        <f t="shared" si="10"/>
        <v>0.61813779867252461</v>
      </c>
      <c r="I57" s="233">
        <f t="shared" si="10"/>
        <v>0.60835167486199238</v>
      </c>
      <c r="J57" s="233">
        <f t="shared" si="10"/>
        <v>0.6076100258792656</v>
      </c>
      <c r="K57" s="234">
        <f t="shared" si="10"/>
        <v>0.60018522014191877</v>
      </c>
    </row>
    <row r="58" spans="2:13">
      <c r="B58" s="201" t="s">
        <v>115</v>
      </c>
      <c r="C58" s="153" t="s">
        <v>7</v>
      </c>
      <c r="D58" s="882">
        <f>'RFPR cover'!$C$12</f>
        <v>0.65</v>
      </c>
      <c r="E58" s="883">
        <f>'RFPR cover'!$C$12</f>
        <v>0.65</v>
      </c>
      <c r="F58" s="883">
        <f>'RFPR cover'!$C$12</f>
        <v>0.65</v>
      </c>
      <c r="G58" s="883">
        <f>'RFPR cover'!$C$12</f>
        <v>0.65</v>
      </c>
      <c r="H58" s="883">
        <f>'RFPR cover'!$C$12</f>
        <v>0.65</v>
      </c>
      <c r="I58" s="883">
        <f>'RFPR cover'!$C$12</f>
        <v>0.65</v>
      </c>
      <c r="J58" s="883">
        <f>'RFPR cover'!$C$12</f>
        <v>0.65</v>
      </c>
      <c r="K58" s="884">
        <f>'RFPR cover'!$C$12</f>
        <v>0.65</v>
      </c>
    </row>
    <row r="59" spans="2:13">
      <c r="B59" s="201" t="s">
        <v>235</v>
      </c>
      <c r="C59" s="153" t="s">
        <v>7</v>
      </c>
      <c r="D59" s="237">
        <f t="shared" ref="D59:K59" si="11">IF(ISBLANK(D23),"n/a",D57-D58)</f>
        <v>-3.797967473904873E-2</v>
      </c>
      <c r="E59" s="238">
        <f t="shared" si="11"/>
        <v>-4.0110257481938083E-2</v>
      </c>
      <c r="F59" s="238">
        <f t="shared" si="11"/>
        <v>-4.2272341974569305E-2</v>
      </c>
      <c r="G59" s="238">
        <f t="shared" si="11"/>
        <v>-2.694032425071613E-2</v>
      </c>
      <c r="H59" s="238">
        <f t="shared" si="11"/>
        <v>-3.1862201327475415E-2</v>
      </c>
      <c r="I59" s="238">
        <f t="shared" si="11"/>
        <v>-4.1648325138007647E-2</v>
      </c>
      <c r="J59" s="238">
        <f t="shared" si="11"/>
        <v>-4.2389974120734419E-2</v>
      </c>
      <c r="K59" s="239">
        <f t="shared" si="11"/>
        <v>-4.9814779858081248E-2</v>
      </c>
    </row>
    <row r="61" spans="2:13">
      <c r="B61" s="201" t="s">
        <v>506</v>
      </c>
      <c r="C61" s="156" t="s">
        <v>158</v>
      </c>
      <c r="D61" s="885">
        <f t="shared" ref="D61:K61" si="12">D63*D57</f>
        <v>920.91381479485108</v>
      </c>
      <c r="E61" s="707">
        <f t="shared" si="12"/>
        <v>922.53812505571409</v>
      </c>
      <c r="F61" s="707">
        <f t="shared" si="12"/>
        <v>924.21850733162944</v>
      </c>
      <c r="G61" s="707">
        <f t="shared" si="12"/>
        <v>955.46509461921767</v>
      </c>
      <c r="H61" s="707">
        <f t="shared" si="12"/>
        <v>956.31119155444162</v>
      </c>
      <c r="I61" s="707">
        <f t="shared" si="12"/>
        <v>952.37889702066411</v>
      </c>
      <c r="J61" s="707">
        <f t="shared" si="12"/>
        <v>965.85753739991924</v>
      </c>
      <c r="K61" s="708">
        <f t="shared" si="12"/>
        <v>968.44251820929787</v>
      </c>
      <c r="M61" s="323"/>
    </row>
    <row r="62" spans="2:13">
      <c r="B62" s="201" t="s">
        <v>504</v>
      </c>
      <c r="C62" s="156" t="s">
        <v>158</v>
      </c>
      <c r="D62" s="669">
        <f>D63*(1-D57)</f>
        <v>583.79734721140221</v>
      </c>
      <c r="E62" s="670">
        <f t="shared" ref="E62:K62" si="13">E63*(1-E57)</f>
        <v>590.09286500949929</v>
      </c>
      <c r="F62" s="670">
        <f t="shared" si="13"/>
        <v>596.55892500460789</v>
      </c>
      <c r="G62" s="670">
        <f t="shared" si="13"/>
        <v>578.03985170905673</v>
      </c>
      <c r="H62" s="670">
        <f t="shared" si="13"/>
        <v>590.77295959787057</v>
      </c>
      <c r="I62" s="670">
        <f t="shared" si="13"/>
        <v>613.12825348848185</v>
      </c>
      <c r="J62" s="670">
        <f t="shared" si="13"/>
        <v>623.74351633884635</v>
      </c>
      <c r="K62" s="671">
        <f t="shared" si="13"/>
        <v>645.13023518223292</v>
      </c>
      <c r="M62" s="323"/>
    </row>
    <row r="63" spans="2:13">
      <c r="B63" s="201" t="s">
        <v>505</v>
      </c>
      <c r="C63" s="156" t="s">
        <v>158</v>
      </c>
      <c r="D63" s="880">
        <f>'R9 - RAV'!D47</f>
        <v>1504.7111620062533</v>
      </c>
      <c r="E63" s="880">
        <f>'R9 - RAV'!E47</f>
        <v>1512.6309900652134</v>
      </c>
      <c r="F63" s="880">
        <f>'R9 - RAV'!F47</f>
        <v>1520.7774323362373</v>
      </c>
      <c r="G63" s="880">
        <f>'R9 - RAV'!G47</f>
        <v>1533.5049463282744</v>
      </c>
      <c r="H63" s="880">
        <f>'R9 - RAV'!H47</f>
        <v>1547.0841511523122</v>
      </c>
      <c r="I63" s="880">
        <f>'R9 - RAV'!I47</f>
        <v>1565.507150509146</v>
      </c>
      <c r="J63" s="880">
        <f>'R9 - RAV'!J47</f>
        <v>1589.6010537387656</v>
      </c>
      <c r="K63" s="880">
        <f>'R9 - RAV'!K47</f>
        <v>1613.5727533915308</v>
      </c>
    </row>
    <row r="64" spans="2:13">
      <c r="B64" s="201" t="s">
        <v>234</v>
      </c>
      <c r="C64" s="153" t="s">
        <v>7</v>
      </c>
      <c r="D64" s="232">
        <f>D61/D63</f>
        <v>0.61202032526095129</v>
      </c>
      <c r="E64" s="233">
        <f t="shared" ref="E64:K64" si="14">E61/E63</f>
        <v>0.60988974251806194</v>
      </c>
      <c r="F64" s="233">
        <f t="shared" si="14"/>
        <v>0.60772765802543072</v>
      </c>
      <c r="G64" s="233">
        <f t="shared" si="14"/>
        <v>0.62305967574928389</v>
      </c>
      <c r="H64" s="233">
        <f t="shared" si="14"/>
        <v>0.61813779867252461</v>
      </c>
      <c r="I64" s="233">
        <f t="shared" si="14"/>
        <v>0.60835167486199238</v>
      </c>
      <c r="J64" s="233">
        <f t="shared" si="14"/>
        <v>0.6076100258792656</v>
      </c>
      <c r="K64" s="234">
        <f t="shared" si="14"/>
        <v>0.60018522014191877</v>
      </c>
    </row>
    <row r="65" spans="2:11">
      <c r="B65" s="201" t="s">
        <v>115</v>
      </c>
      <c r="C65" s="153" t="s">
        <v>7</v>
      </c>
      <c r="D65" s="882">
        <f>'RFPR cover'!$C$12</f>
        <v>0.65</v>
      </c>
      <c r="E65" s="883">
        <f>'RFPR cover'!$C$12</f>
        <v>0.65</v>
      </c>
      <c r="F65" s="883">
        <f>'RFPR cover'!$C$12</f>
        <v>0.65</v>
      </c>
      <c r="G65" s="883">
        <f>'RFPR cover'!$C$12</f>
        <v>0.65</v>
      </c>
      <c r="H65" s="883">
        <f>'RFPR cover'!$C$12</f>
        <v>0.65</v>
      </c>
      <c r="I65" s="883">
        <f>'RFPR cover'!$C$12</f>
        <v>0.65</v>
      </c>
      <c r="J65" s="883">
        <f>'RFPR cover'!$C$12</f>
        <v>0.65</v>
      </c>
      <c r="K65" s="884">
        <f>'RFPR cover'!$C$12</f>
        <v>0.65</v>
      </c>
    </row>
    <row r="66" spans="2:11">
      <c r="B66" s="201" t="s">
        <v>235</v>
      </c>
      <c r="C66" s="153" t="s">
        <v>7</v>
      </c>
      <c r="D66" s="237">
        <f t="shared" ref="D66:K66" si="15">IF(ISBLANK(D23),"n/a",D64-D65)</f>
        <v>-3.797967473904873E-2</v>
      </c>
      <c r="E66" s="238">
        <f t="shared" si="15"/>
        <v>-4.0110257481938083E-2</v>
      </c>
      <c r="F66" s="238">
        <f t="shared" si="15"/>
        <v>-4.2272341974569305E-2</v>
      </c>
      <c r="G66" s="238">
        <f t="shared" si="15"/>
        <v>-2.694032425071613E-2</v>
      </c>
      <c r="H66" s="238">
        <f t="shared" si="15"/>
        <v>-3.1862201327475415E-2</v>
      </c>
      <c r="I66" s="238">
        <f t="shared" si="15"/>
        <v>-4.1648325138007647E-2</v>
      </c>
      <c r="J66" s="238">
        <f t="shared" si="15"/>
        <v>-4.2389974120734419E-2</v>
      </c>
      <c r="K66" s="239">
        <f t="shared" si="15"/>
        <v>-4.9814779858081248E-2</v>
      </c>
    </row>
  </sheetData>
  <conditionalFormatting sqref="D6:K6">
    <cfRule type="expression" dxfId="27" priority="18">
      <formula>AND(D$5="Actuals",E$5="Forecast")</formula>
    </cfRule>
  </conditionalFormatting>
  <conditionalFormatting sqref="D5:K5">
    <cfRule type="expression" dxfId="26" priority="7">
      <formula>AND(D$5="Actuals",E$5="Forecast")</formula>
    </cfRule>
  </conditionalFormatting>
  <pageMargins left="0.70866141732283472" right="0.70866141732283472" top="0.74803149606299213" bottom="0.74803149606299213" header="0.31496062992125984" footer="0.31496062992125984"/>
  <pageSetup paperSize="8" scale="83"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D124567E-9F0B-499E-895A-A9A6A77C130B}">
            <xm:f>'R7 - Financing'!D$5="Forecast"</xm:f>
            <x14:dxf>
              <fill>
                <patternFill>
                  <bgColor theme="7" tint="0.79998168889431442"/>
                </patternFill>
              </fill>
            </x14:dxf>
          </x14:cfRule>
          <x14:cfRule type="expression" priority="6" id="{73940C58-F54E-421D-8685-F6166BF4C1BC}">
            <xm:f>'R7 - Financing'!D$5="Actuals"</xm:f>
            <x14:dxf>
              <fill>
                <patternFill patternType="darkUp">
                  <fgColor rgb="FFC0C0C0"/>
                  <bgColor theme="0"/>
                </patternFill>
              </fill>
            </x14:dxf>
          </x14:cfRule>
          <xm:sqref>D43:K43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FFFFCC"/>
    <pageSetUpPr fitToPage="1"/>
  </sheetPr>
  <dimension ref="A1:N63"/>
  <sheetViews>
    <sheetView showGridLines="0" zoomScale="70" zoomScaleNormal="70" workbookViewId="0">
      <pane ySplit="6" topLeftCell="A7" activePane="bottomLeft" state="frozen"/>
      <selection activeCell="B75" sqref="A1:XFD1048576"/>
      <selection pane="bottomLeft" activeCell="B41" sqref="B41"/>
    </sheetView>
  </sheetViews>
  <sheetFormatPr defaultRowHeight="12.75"/>
  <cols>
    <col min="1" max="1" width="8.375" customWidth="1"/>
    <col min="2" max="2" width="100.125" customWidth="1"/>
    <col min="3" max="3" width="14.125" style="199" customWidth="1"/>
    <col min="4" max="11" width="11.125" customWidth="1"/>
    <col min="12" max="12" width="5" customWidth="1"/>
    <col min="14" max="14" width="9" style="214"/>
  </cols>
  <sheetData>
    <row r="1" spans="1:14" s="31" customFormat="1" ht="20.25">
      <c r="A1" s="917" t="s">
        <v>120</v>
      </c>
      <c r="B1" s="946"/>
      <c r="C1" s="399"/>
      <c r="D1" s="121"/>
      <c r="E1" s="121"/>
      <c r="F1" s="121"/>
      <c r="G1" s="121"/>
      <c r="H1" s="121"/>
      <c r="I1" s="127"/>
      <c r="J1" s="127"/>
      <c r="K1" s="128"/>
      <c r="L1" s="365"/>
      <c r="N1" s="213"/>
    </row>
    <row r="2" spans="1:14" s="31" customFormat="1" ht="20.25">
      <c r="A2" s="920" t="str">
        <f>'RFPR cover'!C5</f>
        <v>ENWL</v>
      </c>
      <c r="B2" s="912"/>
      <c r="C2" s="222"/>
      <c r="D2" s="29"/>
      <c r="E2" s="29"/>
      <c r="F2" s="29"/>
      <c r="G2" s="29"/>
      <c r="H2" s="29"/>
      <c r="I2" s="27"/>
      <c r="J2" s="27"/>
      <c r="K2" s="27"/>
      <c r="L2" s="124"/>
      <c r="N2" s="213"/>
    </row>
    <row r="3" spans="1:14" s="31" customFormat="1" ht="20.25">
      <c r="A3" s="923">
        <f>'RFPR cover'!C7</f>
        <v>2020</v>
      </c>
      <c r="B3" s="930"/>
      <c r="C3" s="400"/>
      <c r="D3" s="261"/>
      <c r="E3" s="261"/>
      <c r="F3" s="261"/>
      <c r="G3" s="261"/>
      <c r="H3" s="261"/>
      <c r="I3" s="256"/>
      <c r="J3" s="256"/>
      <c r="K3" s="256"/>
      <c r="L3" s="262"/>
      <c r="N3" s="213"/>
    </row>
    <row r="4" spans="1:14" s="2" customFormat="1" ht="12.75" customHeight="1">
      <c r="C4" s="1"/>
      <c r="N4" s="130"/>
    </row>
    <row r="5" spans="1:14" s="2" customFormat="1">
      <c r="B5" s="38"/>
      <c r="C5" s="223"/>
      <c r="D5" s="392" t="str">
        <f>IF(D6&lt;='RFPR cover'!$C$7-1,"Actuals","Forecast")</f>
        <v>Actuals</v>
      </c>
      <c r="E5" s="392" t="str">
        <f>IF(E6&lt;='RFPR cover'!$C$7-1,"Actuals","Forecast")</f>
        <v>Actuals</v>
      </c>
      <c r="F5" s="392" t="str">
        <f>IF(F6&lt;='RFPR cover'!$C$7-1,"Actuals","Forecast")</f>
        <v>Actuals</v>
      </c>
      <c r="G5" s="392" t="str">
        <f>IF(G6&lt;='RFPR cover'!$C$7-1,"Actuals","Forecast")</f>
        <v>Actuals</v>
      </c>
      <c r="H5" s="392" t="str">
        <f>IF(H6&lt;='RFPR cover'!$C$7-1,"Actuals","Forecast")</f>
        <v>Forecast</v>
      </c>
      <c r="I5" s="392" t="str">
        <f>IF(I6&lt;='RFPR cover'!$C$7-1,"Actuals","Forecast")</f>
        <v>Forecast</v>
      </c>
      <c r="J5" s="392" t="str">
        <f>IF(J6&lt;='RFPR cover'!$C$7-1,"Actuals","Forecast")</f>
        <v>Forecast</v>
      </c>
      <c r="K5" s="392" t="str">
        <f>IF(K6&lt;='RFPR cover'!$C$7-1,"Actuals","Forecast")</f>
        <v>Forecast</v>
      </c>
      <c r="N5" s="130"/>
    </row>
    <row r="6" spans="1:14" s="2" customFormat="1">
      <c r="C6" s="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c r="N6" s="130"/>
    </row>
    <row r="7" spans="1:14" s="2" customFormat="1">
      <c r="A7" s="35"/>
      <c r="B7" s="35"/>
      <c r="C7" s="321"/>
      <c r="D7" s="431"/>
      <c r="E7" s="431"/>
      <c r="F7" s="431"/>
      <c r="G7" s="431"/>
      <c r="H7" s="431"/>
      <c r="I7" s="431"/>
      <c r="J7" s="431"/>
      <c r="K7" s="431"/>
      <c r="L7" s="35"/>
      <c r="M7" s="35"/>
      <c r="N7" s="226"/>
    </row>
    <row r="8" spans="1:14" s="2" customFormat="1">
      <c r="B8" s="12" t="s">
        <v>322</v>
      </c>
      <c r="N8" s="130"/>
    </row>
    <row r="9" spans="1:14" s="2" customFormat="1">
      <c r="B9" s="370" t="s">
        <v>321</v>
      </c>
      <c r="C9" s="370"/>
      <c r="D9" s="370"/>
      <c r="E9" s="370"/>
      <c r="F9" s="370"/>
      <c r="G9" s="370"/>
      <c r="H9" s="370"/>
      <c r="I9" s="370"/>
      <c r="J9" s="370"/>
      <c r="K9" s="370"/>
      <c r="L9" s="370"/>
      <c r="N9" s="130"/>
    </row>
    <row r="10" spans="1:14" s="35" customFormat="1">
      <c r="B10" s="430"/>
      <c r="C10" s="430"/>
      <c r="D10" s="430"/>
      <c r="E10" s="430"/>
      <c r="F10" s="430"/>
      <c r="G10" s="430"/>
      <c r="H10" s="430"/>
      <c r="I10" s="430"/>
      <c r="J10" s="430"/>
      <c r="K10" s="430"/>
      <c r="L10" s="430"/>
      <c r="N10" s="226"/>
    </row>
    <row r="11" spans="1:14" s="2" customFormat="1">
      <c r="B11" s="201" t="s">
        <v>320</v>
      </c>
      <c r="C11" s="211" t="str">
        <f>'RFPR cover'!$C$14</f>
        <v>£m 12/13</v>
      </c>
      <c r="D11" s="717">
        <v>1538.0025236981244</v>
      </c>
      <c r="E11" s="718">
        <v>1534.2274045567194</v>
      </c>
      <c r="F11" s="718">
        <v>1548.5912120093155</v>
      </c>
      <c r="G11" s="718">
        <v>1567.329814246601</v>
      </c>
      <c r="H11" s="718">
        <v>1585.0968647851091</v>
      </c>
      <c r="I11" s="718">
        <v>1607.4023106463392</v>
      </c>
      <c r="J11" s="718">
        <v>1639.4969565810579</v>
      </c>
      <c r="K11" s="719">
        <v>1663.6235151492333</v>
      </c>
      <c r="N11" s="130"/>
    </row>
    <row r="12" spans="1:14" s="2" customFormat="1">
      <c r="N12" s="130"/>
    </row>
    <row r="13" spans="1:14" s="2" customFormat="1">
      <c r="B13" s="12" t="s">
        <v>323</v>
      </c>
      <c r="C13" s="1"/>
      <c r="D13" s="1"/>
      <c r="E13" s="1"/>
      <c r="F13" s="1"/>
      <c r="G13" s="1"/>
      <c r="H13" s="1"/>
      <c r="I13" s="1"/>
      <c r="J13" s="1"/>
      <c r="K13" s="1"/>
      <c r="N13" s="130"/>
    </row>
    <row r="14" spans="1:14" s="2" customFormat="1">
      <c r="B14" s="370" t="s">
        <v>345</v>
      </c>
      <c r="C14" s="322"/>
      <c r="D14" s="322"/>
      <c r="E14" s="322"/>
      <c r="F14" s="322"/>
      <c r="G14" s="322"/>
      <c r="H14" s="322"/>
      <c r="I14" s="322"/>
      <c r="J14" s="322"/>
      <c r="K14" s="322"/>
      <c r="L14" s="294"/>
      <c r="N14" s="130"/>
    </row>
    <row r="15" spans="1:14" s="35" customFormat="1">
      <c r="B15" s="430"/>
      <c r="C15" s="321"/>
      <c r="D15" s="321"/>
      <c r="E15" s="321"/>
      <c r="F15" s="321"/>
      <c r="G15" s="321"/>
      <c r="H15" s="321"/>
      <c r="I15" s="321"/>
      <c r="J15" s="321"/>
      <c r="K15" s="321"/>
      <c r="N15" s="226"/>
    </row>
    <row r="16" spans="1:14" s="2" customFormat="1">
      <c r="B16" s="394" t="s">
        <v>324</v>
      </c>
      <c r="C16" s="211" t="str">
        <f>'RFPR cover'!$C$14</f>
        <v>£m 12/13</v>
      </c>
      <c r="D16" s="585">
        <v>1526.2241241972242</v>
      </c>
      <c r="E16" s="720">
        <f>D29</f>
        <v>1538.9293721733418</v>
      </c>
      <c r="F16" s="720">
        <f t="shared" ref="F16:K16" si="1">E29</f>
        <v>1540.9256046473486</v>
      </c>
      <c r="G16" s="720">
        <f t="shared" si="1"/>
        <v>1554.4793410211278</v>
      </c>
      <c r="H16" s="720">
        <f t="shared" si="1"/>
        <v>1564.841420763732</v>
      </c>
      <c r="I16" s="720">
        <f t="shared" si="1"/>
        <v>1580.7275580294818</v>
      </c>
      <c r="J16" s="720">
        <f t="shared" si="1"/>
        <v>1600.7795822079556</v>
      </c>
      <c r="K16" s="588">
        <f t="shared" si="1"/>
        <v>1628.2927849554681</v>
      </c>
      <c r="N16" s="130"/>
    </row>
    <row r="17" spans="2:14" s="2" customFormat="1">
      <c r="B17" s="394" t="s">
        <v>325</v>
      </c>
      <c r="C17" s="211" t="str">
        <f>'RFPR cover'!$C$14</f>
        <v>£m 12/13</v>
      </c>
      <c r="D17" s="593">
        <v>0</v>
      </c>
      <c r="E17" s="594">
        <v>0</v>
      </c>
      <c r="F17" s="594">
        <v>0</v>
      </c>
      <c r="G17" s="594">
        <v>0</v>
      </c>
      <c r="H17" s="594">
        <v>0</v>
      </c>
      <c r="I17" s="594">
        <v>0</v>
      </c>
      <c r="J17" s="594">
        <v>0</v>
      </c>
      <c r="K17" s="687">
        <v>0</v>
      </c>
      <c r="N17" s="130"/>
    </row>
    <row r="18" spans="2:14" s="2" customFormat="1">
      <c r="B18" s="12" t="s">
        <v>326</v>
      </c>
      <c r="C18" s="211" t="str">
        <f>'RFPR cover'!$C$14</f>
        <v>£m 12/13</v>
      </c>
      <c r="D18" s="721">
        <f>SUM(D16:D17)</f>
        <v>1526.2241241972242</v>
      </c>
      <c r="E18" s="722">
        <f t="shared" ref="E18:K18" si="2">SUM(E16:E17)</f>
        <v>1538.9293721733418</v>
      </c>
      <c r="F18" s="722">
        <f t="shared" si="2"/>
        <v>1540.9256046473486</v>
      </c>
      <c r="G18" s="722">
        <f t="shared" si="2"/>
        <v>1554.4793410211278</v>
      </c>
      <c r="H18" s="722">
        <f t="shared" si="2"/>
        <v>1564.841420763732</v>
      </c>
      <c r="I18" s="722">
        <f t="shared" si="2"/>
        <v>1580.7275580294818</v>
      </c>
      <c r="J18" s="722">
        <f t="shared" si="2"/>
        <v>1600.7795822079556</v>
      </c>
      <c r="K18" s="723">
        <f t="shared" si="2"/>
        <v>1628.2927849554681</v>
      </c>
      <c r="N18" s="130"/>
    </row>
    <row r="19" spans="2:14" s="2" customFormat="1">
      <c r="B19" s="396" t="s">
        <v>327</v>
      </c>
      <c r="C19" s="211" t="str">
        <f>'RFPR cover'!$C$14</f>
        <v>£m 12/13</v>
      </c>
      <c r="D19" s="589">
        <v>159.4624039473951</v>
      </c>
      <c r="E19" s="590">
        <v>145.30428028833489</v>
      </c>
      <c r="F19" s="590">
        <v>155.00188809981407</v>
      </c>
      <c r="G19" s="590">
        <v>157.65089000047814</v>
      </c>
      <c r="H19" s="590">
        <v>152.04141332579476</v>
      </c>
      <c r="I19" s="590">
        <v>152.79787704088494</v>
      </c>
      <c r="J19" s="590">
        <v>158.79249242866072</v>
      </c>
      <c r="K19" s="686">
        <v>148.83950378909452</v>
      </c>
      <c r="N19" s="130"/>
    </row>
    <row r="20" spans="2:14" s="2" customFormat="1">
      <c r="B20" s="396" t="s">
        <v>334</v>
      </c>
      <c r="C20" s="211" t="str">
        <f>'RFPR cover'!$C$14</f>
        <v>£m 12/13</v>
      </c>
      <c r="D20" s="593">
        <v>0.92684847521752545</v>
      </c>
      <c r="E20" s="594">
        <v>5.811431549475202</v>
      </c>
      <c r="F20" s="594">
        <v>-0.54860327620207272</v>
      </c>
      <c r="G20" s="594">
        <v>-8.1337305482776685</v>
      </c>
      <c r="H20" s="594">
        <v>0.1022779251636905</v>
      </c>
      <c r="I20" s="594">
        <v>0.89080774689995224</v>
      </c>
      <c r="J20" s="594">
        <v>0.33935940999361947</v>
      </c>
      <c r="K20" s="687">
        <v>0.62215065008027182</v>
      </c>
      <c r="N20" s="130"/>
    </row>
    <row r="21" spans="2:14" s="2" customFormat="1">
      <c r="B21" s="395" t="s">
        <v>330</v>
      </c>
      <c r="C21" s="211" t="str">
        <f>'RFPR cover'!$C$14</f>
        <v>£m 12/13</v>
      </c>
      <c r="D21" s="721">
        <f t="shared" ref="D21:K21" si="3">SUM(D19:D20)</f>
        <v>160.38925242261263</v>
      </c>
      <c r="E21" s="722">
        <f t="shared" si="3"/>
        <v>151.1157118378101</v>
      </c>
      <c r="F21" s="722">
        <f t="shared" si="3"/>
        <v>154.45328482361199</v>
      </c>
      <c r="G21" s="722">
        <f t="shared" si="3"/>
        <v>149.51715945220047</v>
      </c>
      <c r="H21" s="722">
        <f t="shared" si="3"/>
        <v>152.14369125095845</v>
      </c>
      <c r="I21" s="722">
        <f t="shared" si="3"/>
        <v>153.68868478778489</v>
      </c>
      <c r="J21" s="722">
        <f t="shared" si="3"/>
        <v>159.13185183865434</v>
      </c>
      <c r="K21" s="723">
        <f t="shared" si="3"/>
        <v>149.46165443917479</v>
      </c>
      <c r="N21" s="130"/>
    </row>
    <row r="22" spans="2:14" s="2" customFormat="1">
      <c r="B22" s="396" t="s">
        <v>328</v>
      </c>
      <c r="C22" s="211" t="str">
        <f>'RFPR cover'!$C$14</f>
        <v>£m 12/13</v>
      </c>
      <c r="D22" s="589">
        <v>-147.68400444649504</v>
      </c>
      <c r="E22" s="590">
        <v>-149.07939942973988</v>
      </c>
      <c r="F22" s="590">
        <v>-140.63808064721789</v>
      </c>
      <c r="G22" s="590">
        <v>-138.91228776319252</v>
      </c>
      <c r="H22" s="590">
        <v>-136.26503067105966</v>
      </c>
      <c r="I22" s="590">
        <v>-133.64126633585914</v>
      </c>
      <c r="J22" s="590">
        <v>-131.60026623067318</v>
      </c>
      <c r="K22" s="686">
        <v>-129.91836025890618</v>
      </c>
      <c r="N22" s="130"/>
    </row>
    <row r="23" spans="2:14" s="2" customFormat="1">
      <c r="B23" s="396" t="s">
        <v>329</v>
      </c>
      <c r="C23" s="211" t="str">
        <f>'RFPR cover'!$C$14</f>
        <v>£m 12/13</v>
      </c>
      <c r="D23" s="593">
        <v>0</v>
      </c>
      <c r="E23" s="594">
        <v>-4.0079934063442124E-2</v>
      </c>
      <c r="F23" s="594">
        <v>-0.26146780261487379</v>
      </c>
      <c r="G23" s="594">
        <v>-0.24279194640374158</v>
      </c>
      <c r="H23" s="594">
        <v>7.4766858509747181E-3</v>
      </c>
      <c r="I23" s="594">
        <v>4.6057265481067589E-3</v>
      </c>
      <c r="J23" s="594">
        <v>-1.8382860468676654E-2</v>
      </c>
      <c r="K23" s="687">
        <v>-2.6486965781941763E-2</v>
      </c>
      <c r="N23" s="130"/>
    </row>
    <row r="24" spans="2:14" s="2" customFormat="1">
      <c r="B24" s="395" t="s">
        <v>331</v>
      </c>
      <c r="C24" s="211" t="str">
        <f>'RFPR cover'!$C$14</f>
        <v>£m 12/13</v>
      </c>
      <c r="D24" s="721">
        <f t="shared" ref="D24:K24" si="4">SUM(D22:D23)</f>
        <v>-147.68400444649504</v>
      </c>
      <c r="E24" s="722">
        <f t="shared" si="4"/>
        <v>-149.11947936380332</v>
      </c>
      <c r="F24" s="722">
        <f t="shared" si="4"/>
        <v>-140.89954844983276</v>
      </c>
      <c r="G24" s="722">
        <f t="shared" si="4"/>
        <v>-139.15507970959627</v>
      </c>
      <c r="H24" s="722">
        <f t="shared" si="4"/>
        <v>-136.25755398520869</v>
      </c>
      <c r="I24" s="722">
        <f t="shared" si="4"/>
        <v>-133.63666060931104</v>
      </c>
      <c r="J24" s="722">
        <f t="shared" si="4"/>
        <v>-131.61864909114186</v>
      </c>
      <c r="K24" s="723">
        <f t="shared" si="4"/>
        <v>-129.94484722468812</v>
      </c>
      <c r="N24" s="130"/>
    </row>
    <row r="25" spans="2:14" s="2" customFormat="1">
      <c r="B25" s="397" t="s">
        <v>267</v>
      </c>
      <c r="C25" s="211" t="str">
        <f>'RFPR cover'!$C$14</f>
        <v>£m 12/13</v>
      </c>
      <c r="D25" s="724"/>
      <c r="E25" s="725"/>
      <c r="F25" s="725"/>
      <c r="G25" s="725"/>
      <c r="H25" s="725"/>
      <c r="I25" s="725"/>
      <c r="J25" s="725"/>
      <c r="K25" s="726"/>
      <c r="N25" s="130"/>
    </row>
    <row r="26" spans="2:14" s="2" customFormat="1">
      <c r="B26" s="397" t="s">
        <v>267</v>
      </c>
      <c r="C26" s="211" t="str">
        <f>'RFPR cover'!$C$14</f>
        <v>£m 12/13</v>
      </c>
      <c r="D26" s="724"/>
      <c r="E26" s="725"/>
      <c r="F26" s="725"/>
      <c r="G26" s="725"/>
      <c r="H26" s="725"/>
      <c r="I26" s="725"/>
      <c r="J26" s="725"/>
      <c r="K26" s="726"/>
      <c r="N26" s="130"/>
    </row>
    <row r="27" spans="2:14" s="2" customFormat="1">
      <c r="B27" s="397" t="s">
        <v>267</v>
      </c>
      <c r="C27" s="211" t="str">
        <f>'RFPR cover'!$C$14</f>
        <v>£m 12/13</v>
      </c>
      <c r="D27" s="724"/>
      <c r="E27" s="725"/>
      <c r="F27" s="725"/>
      <c r="G27" s="725"/>
      <c r="H27" s="725"/>
      <c r="I27" s="725"/>
      <c r="J27" s="725"/>
      <c r="K27" s="726"/>
      <c r="N27" s="130"/>
    </row>
    <row r="28" spans="2:14" s="2" customFormat="1">
      <c r="B28" s="395" t="s">
        <v>332</v>
      </c>
      <c r="C28" s="211" t="str">
        <f>'RFPR cover'!$C$14</f>
        <v>£m 12/13</v>
      </c>
      <c r="D28" s="727">
        <f>SUM(D25:D27)</f>
        <v>0</v>
      </c>
      <c r="E28" s="728">
        <f t="shared" ref="E28:K28" si="5">SUM(E25:E27)</f>
        <v>0</v>
      </c>
      <c r="F28" s="728">
        <f t="shared" si="5"/>
        <v>0</v>
      </c>
      <c r="G28" s="728">
        <f t="shared" si="5"/>
        <v>0</v>
      </c>
      <c r="H28" s="728">
        <f t="shared" si="5"/>
        <v>0</v>
      </c>
      <c r="I28" s="728">
        <f t="shared" si="5"/>
        <v>0</v>
      </c>
      <c r="J28" s="728">
        <f t="shared" si="5"/>
        <v>0</v>
      </c>
      <c r="K28" s="729">
        <f t="shared" si="5"/>
        <v>0</v>
      </c>
      <c r="N28" s="130"/>
    </row>
    <row r="29" spans="2:14" s="2" customFormat="1">
      <c r="B29" s="12" t="s">
        <v>333</v>
      </c>
      <c r="C29" s="211" t="str">
        <f>'RFPR cover'!$C$14</f>
        <v>£m 12/13</v>
      </c>
      <c r="D29" s="730">
        <f>D18+D21+D24+D28</f>
        <v>1538.9293721733418</v>
      </c>
      <c r="E29" s="731">
        <f t="shared" ref="E29:K29" si="6">E18+E21+E24+E28</f>
        <v>1540.9256046473486</v>
      </c>
      <c r="F29" s="731">
        <f t="shared" si="6"/>
        <v>1554.4793410211278</v>
      </c>
      <c r="G29" s="731">
        <f t="shared" si="6"/>
        <v>1564.841420763732</v>
      </c>
      <c r="H29" s="731">
        <f t="shared" si="6"/>
        <v>1580.7275580294818</v>
      </c>
      <c r="I29" s="731">
        <f t="shared" si="6"/>
        <v>1600.7795822079556</v>
      </c>
      <c r="J29" s="731">
        <f t="shared" si="6"/>
        <v>1628.2927849554681</v>
      </c>
      <c r="K29" s="732">
        <f t="shared" si="6"/>
        <v>1647.8095921699546</v>
      </c>
      <c r="N29" s="130"/>
    </row>
    <row r="30" spans="2:14" s="2" customFormat="1">
      <c r="B30" s="12"/>
      <c r="C30" s="211"/>
      <c r="D30" s="211"/>
      <c r="E30" s="211"/>
      <c r="F30" s="211"/>
      <c r="G30" s="211"/>
      <c r="H30" s="211"/>
      <c r="I30" s="211"/>
      <c r="J30" s="211"/>
      <c r="K30" s="211"/>
      <c r="L30" s="211"/>
      <c r="N30" s="130"/>
    </row>
    <row r="31" spans="2:14" s="2" customFormat="1">
      <c r="B31" s="12" t="s">
        <v>502</v>
      </c>
      <c r="C31" s="211" t="str">
        <f>'RFPR cover'!$C$14</f>
        <v>£m 12/13</v>
      </c>
      <c r="D31" s="730">
        <f t="shared" ref="D31:K31" si="7">(D20+D23+D28)</f>
        <v>0.92684847521752545</v>
      </c>
      <c r="E31" s="730">
        <f t="shared" si="7"/>
        <v>5.7713516154117599</v>
      </c>
      <c r="F31" s="730">
        <f t="shared" si="7"/>
        <v>-0.81007107881694651</v>
      </c>
      <c r="G31" s="730">
        <f t="shared" si="7"/>
        <v>-8.3765224946814101</v>
      </c>
      <c r="H31" s="730">
        <f t="shared" si="7"/>
        <v>0.10975461101466522</v>
      </c>
      <c r="I31" s="730">
        <f t="shared" si="7"/>
        <v>0.89541347344805899</v>
      </c>
      <c r="J31" s="730">
        <f t="shared" si="7"/>
        <v>0.32097654952494281</v>
      </c>
      <c r="K31" s="730">
        <f t="shared" si="7"/>
        <v>0.59566368429833005</v>
      </c>
      <c r="L31" s="211"/>
      <c r="N31" s="130"/>
    </row>
    <row r="32" spans="2:14" s="2" customFormat="1">
      <c r="B32" s="12" t="s">
        <v>503</v>
      </c>
      <c r="C32" s="211"/>
      <c r="D32" s="517" t="str">
        <f>IF(D5="Actuals",IF(ABS((D29-SUM($D$31:D31))-D11)&lt;'RFPR cover'!$F$14,"TRUE","FALSE"),"NA")</f>
        <v>TRUE</v>
      </c>
      <c r="E32" s="517" t="str">
        <f>IF(E5="Actuals",IF(ABS((E29-SUM($D$31:E31))-E11)&lt;'RFPR cover'!$F$14,"TRUE","FALSE"),"NA")</f>
        <v>TRUE</v>
      </c>
      <c r="F32" s="517" t="str">
        <f>IF(F5="Actuals",IF(ABS((F29-SUM($D$31:F31))-F11)&lt;'RFPR cover'!$F$14,"TRUE","FALSE"),"NA")</f>
        <v>TRUE</v>
      </c>
      <c r="G32" s="517" t="str">
        <f>IF(G5="Actuals",IF(ABS((G29-SUM($D$31:G31))-G11)&lt;'RFPR cover'!$F$14,"TRUE","FALSE"),"NA")</f>
        <v>TRUE</v>
      </c>
      <c r="H32" s="517" t="str">
        <f>IF(H5="Actuals",IF(ABS((H29-SUM($D$31:H31))-H11)&lt;'RFPR cover'!$F$14,"TRUE","FALSE"),"NA")</f>
        <v>NA</v>
      </c>
      <c r="I32" s="517" t="str">
        <f>IF(I5="Actuals",IF(ABS((I29-SUM($D$31:I31))-I11)&lt;'RFPR cover'!$F$14,"TRUE","FALSE"),"NA")</f>
        <v>NA</v>
      </c>
      <c r="J32" s="517" t="str">
        <f>IF(J5="Actuals",IF(ABS((J29-SUM($D$31:J31))-J11)&lt;'RFPR cover'!$F$14,"TRUE","FALSE"),"NA")</f>
        <v>NA</v>
      </c>
      <c r="K32" s="517" t="str">
        <f>IF(K5="Actuals",IF(ABS((K29-SUM($D$31:K31))-K11)&lt;'RFPR cover'!$F$14,"TRUE","FALSE"),"NA")</f>
        <v>NA</v>
      </c>
      <c r="L32" s="211"/>
      <c r="N32" s="130"/>
    </row>
    <row r="33" spans="2:14" s="35" customFormat="1">
      <c r="B33" s="51"/>
      <c r="C33" s="479"/>
      <c r="D33" s="480"/>
      <c r="E33" s="480"/>
      <c r="F33" s="480"/>
      <c r="G33" s="480"/>
      <c r="H33" s="480"/>
      <c r="I33" s="480"/>
      <c r="J33" s="480"/>
      <c r="K33" s="480"/>
      <c r="N33" s="226"/>
    </row>
    <row r="34" spans="2:14" s="35" customFormat="1">
      <c r="B34" s="51" t="s">
        <v>42</v>
      </c>
      <c r="C34" s="268" t="s">
        <v>127</v>
      </c>
      <c r="D34" s="113">
        <f>Data!C$35</f>
        <v>1.0677429242873198</v>
      </c>
      <c r="E34" s="113">
        <f>Data!D$35</f>
        <v>1.1033002963114336</v>
      </c>
      <c r="F34" s="113">
        <f>Data!E$35</f>
        <v>1.1402881373250229</v>
      </c>
      <c r="G34" s="113">
        <f>Data!F$35</f>
        <v>1.171554102380709</v>
      </c>
      <c r="H34" s="113">
        <f>Data!G$35</f>
        <v>1.1958720752017984</v>
      </c>
      <c r="I34" s="113">
        <f>Data!H$35</f>
        <v>1.2162019004802289</v>
      </c>
      <c r="J34" s="113">
        <f>Data!I$35</f>
        <v>1.2420461908654337</v>
      </c>
      <c r="K34" s="113">
        <f>Data!J$35</f>
        <v>1.2740288802802187</v>
      </c>
      <c r="N34" s="226"/>
    </row>
    <row r="35" spans="2:14" s="31" customFormat="1">
      <c r="B35" s="37" t="s">
        <v>367</v>
      </c>
      <c r="C35" s="268" t="s">
        <v>127</v>
      </c>
      <c r="D35" s="113">
        <f>Data!C$34</f>
        <v>1.0603167467048125</v>
      </c>
      <c r="E35" s="114">
        <f>Data!D$34</f>
        <v>1.0830366813119445</v>
      </c>
      <c r="F35" s="114">
        <f>Data!E$34</f>
        <v>1.1235639113109226</v>
      </c>
      <c r="G35" s="114">
        <f>Data!F$34</f>
        <v>1.1578951670583426</v>
      </c>
      <c r="H35" s="114">
        <f>Data!G$34</f>
        <v>1.1878696229692449</v>
      </c>
      <c r="I35" s="114">
        <f>Data!H$34</f>
        <v>1.2080634065597218</v>
      </c>
      <c r="J35" s="114">
        <f>Data!I$34</f>
        <v>1.2337347539491161</v>
      </c>
      <c r="K35" s="115">
        <f>Data!J$34</f>
        <v>1.2655034238633056</v>
      </c>
      <c r="L35" s="235"/>
      <c r="N35" s="213"/>
    </row>
    <row r="36" spans="2:14" s="31" customFormat="1">
      <c r="B36" s="172" t="s">
        <v>500</v>
      </c>
      <c r="C36" s="268" t="s">
        <v>127</v>
      </c>
      <c r="D36" s="876">
        <f>INDEX(Data!$F$14:$F$30,MATCH($D$6-1,Data!$C$14:$C$30,0),0)/IF('RFPR cover'!$C$6="ED1",Data!$E$17,Data!$E$14)</f>
        <v>1.0526208235414325</v>
      </c>
      <c r="E36" s="877"/>
      <c r="F36" s="877"/>
      <c r="G36" s="877"/>
      <c r="H36" s="877"/>
      <c r="I36" s="877"/>
      <c r="J36" s="877"/>
      <c r="K36" s="877"/>
      <c r="L36" s="235"/>
      <c r="N36" s="213"/>
    </row>
    <row r="37" spans="2:14" s="35" customFormat="1">
      <c r="B37" s="51"/>
      <c r="C37" s="479"/>
      <c r="D37" s="480"/>
      <c r="E37" s="480"/>
      <c r="F37" s="480"/>
      <c r="G37" s="480"/>
      <c r="H37" s="480"/>
      <c r="I37" s="480"/>
      <c r="J37" s="480"/>
      <c r="K37" s="480"/>
      <c r="N37" s="226"/>
    </row>
    <row r="38" spans="2:14" s="2" customFormat="1">
      <c r="B38" s="12" t="s">
        <v>333</v>
      </c>
      <c r="C38" s="267" t="s">
        <v>128</v>
      </c>
      <c r="D38" s="730">
        <f t="shared" ref="D38:K38" si="8">D29*D34</f>
        <v>1643.180948116013</v>
      </c>
      <c r="E38" s="730">
        <f t="shared" si="8"/>
        <v>1700.1036762012945</v>
      </c>
      <c r="F38" s="730">
        <f t="shared" si="8"/>
        <v>1772.5543522832108</v>
      </c>
      <c r="G38" s="730">
        <f t="shared" si="8"/>
        <v>1833.2963860710074</v>
      </c>
      <c r="H38" s="730">
        <f t="shared" si="8"/>
        <v>1890.3479451493874</v>
      </c>
      <c r="I38" s="730">
        <f t="shared" si="8"/>
        <v>1946.8711701312625</v>
      </c>
      <c r="J38" s="730">
        <f t="shared" si="8"/>
        <v>2022.4148511676078</v>
      </c>
      <c r="K38" s="730">
        <f t="shared" si="8"/>
        <v>2099.3570096272911</v>
      </c>
      <c r="N38" s="130"/>
    </row>
    <row r="39" spans="2:14" s="2" customFormat="1">
      <c r="B39" s="12"/>
      <c r="C39" s="211"/>
      <c r="D39" s="211"/>
      <c r="E39" s="211"/>
      <c r="F39" s="211"/>
      <c r="G39" s="211"/>
      <c r="H39" s="211"/>
      <c r="I39" s="211"/>
      <c r="J39" s="211"/>
      <c r="K39" s="211"/>
      <c r="N39" s="130"/>
    </row>
    <row r="40" spans="2:14" s="2" customFormat="1">
      <c r="B40" s="508" t="s">
        <v>336</v>
      </c>
      <c r="C40" s="211" t="s">
        <v>339</v>
      </c>
      <c r="D40" s="410">
        <f>INDEX(Data!$K$73:$T$100,MATCH('RFPR cover'!$C$5,Data!$B$73:$B$100,0),MATCH('R9 - RAV'!D$6,Data!$K$72:$T$72,0))</f>
        <v>2.5499999999999998E-2</v>
      </c>
      <c r="E40" s="411">
        <f>INDEX(Data!$K$73:$T$100,MATCH('RFPR cover'!$C$5,Data!$B$73:$B$100,0),MATCH('R9 - RAV'!E$6,Data!$K$72:$T$72,0))</f>
        <v>2.4199999999999999E-2</v>
      </c>
      <c r="F40" s="411">
        <f>INDEX(Data!$K$73:$T$100,MATCH('RFPR cover'!$C$5,Data!$B$73:$B$100,0),MATCH('R9 - RAV'!F$6,Data!$K$72:$T$72,0))</f>
        <v>2.29E-2</v>
      </c>
      <c r="G40" s="411">
        <f>INDEX(Data!$K$73:$T$100,MATCH('RFPR cover'!$C$5,Data!$B$73:$B$100,0),MATCH('R9 - RAV'!G$6,Data!$K$72:$T$72,0))</f>
        <v>2.0899999999999998E-2</v>
      </c>
      <c r="H40" s="411">
        <f>INDEX(Data!$K$73:$T$100,MATCH('RFPR cover'!$C$5,Data!$B$73:$B$100,0),MATCH('R9 - RAV'!H$6,Data!$K$72:$T$72,0))</f>
        <v>1.9400000000000001E-2</v>
      </c>
      <c r="I40" s="411">
        <f>INDEX(Data!$K$73:$T$100,MATCH('RFPR cover'!$C$5,Data!$B$73:$B$100,0),MATCH('R9 - RAV'!I$6,Data!$K$72:$T$72,0))</f>
        <v>1.78E-2</v>
      </c>
      <c r="J40" s="411">
        <f>INDEX(Data!$K$73:$T$100,MATCH('RFPR cover'!$C$5,Data!$B$73:$B$100,0),MATCH('R9 - RAV'!J$6,Data!$K$72:$T$72,0))</f>
        <v>1.6299999999999999E-2</v>
      </c>
      <c r="K40" s="412">
        <f>INDEX(Data!$K$73:$T$100,MATCH('RFPR cover'!$C$5,Data!$B$73:$B$100,0),MATCH('R9 - RAV'!K$6,Data!$K$72:$T$72,0))</f>
        <v>1.4800000000000001E-2</v>
      </c>
      <c r="N40" s="130"/>
    </row>
    <row r="41" spans="2:14" s="2" customFormat="1">
      <c r="B41" s="508" t="s">
        <v>337</v>
      </c>
      <c r="C41" s="211" t="s">
        <v>339</v>
      </c>
      <c r="D41" s="413">
        <f>'RFPR cover'!$C$10</f>
        <v>0.06</v>
      </c>
      <c r="E41" s="414">
        <f>'RFPR cover'!$C$10</f>
        <v>0.06</v>
      </c>
      <c r="F41" s="414">
        <f>'RFPR cover'!$C$10</f>
        <v>0.06</v>
      </c>
      <c r="G41" s="414">
        <f>'RFPR cover'!$C$10</f>
        <v>0.06</v>
      </c>
      <c r="H41" s="414">
        <f>'RFPR cover'!$C$10</f>
        <v>0.06</v>
      </c>
      <c r="I41" s="414">
        <f>'RFPR cover'!$C$10</f>
        <v>0.06</v>
      </c>
      <c r="J41" s="414">
        <f>'RFPR cover'!$C$10</f>
        <v>0.06</v>
      </c>
      <c r="K41" s="415">
        <f>'RFPR cover'!$C$10</f>
        <v>0.06</v>
      </c>
      <c r="N41" s="130"/>
    </row>
    <row r="42" spans="2:14" s="2" customFormat="1">
      <c r="B42" s="508" t="s">
        <v>338</v>
      </c>
      <c r="C42" s="211" t="s">
        <v>7</v>
      </c>
      <c r="D42" s="416">
        <f>'RFPR cover'!$C$12</f>
        <v>0.65</v>
      </c>
      <c r="E42" s="417">
        <f>'RFPR cover'!$C$12</f>
        <v>0.65</v>
      </c>
      <c r="F42" s="417">
        <f>'RFPR cover'!$C$12</f>
        <v>0.65</v>
      </c>
      <c r="G42" s="417">
        <f>'RFPR cover'!$C$12</f>
        <v>0.65</v>
      </c>
      <c r="H42" s="417">
        <f>'RFPR cover'!$C$12</f>
        <v>0.65</v>
      </c>
      <c r="I42" s="417">
        <f>'RFPR cover'!$C$12</f>
        <v>0.65</v>
      </c>
      <c r="J42" s="417">
        <f>'RFPR cover'!$C$12</f>
        <v>0.65</v>
      </c>
      <c r="K42" s="418">
        <f>'RFPR cover'!$C$12</f>
        <v>0.65</v>
      </c>
      <c r="N42" s="130"/>
    </row>
    <row r="43" spans="2:14">
      <c r="B43" s="201" t="s">
        <v>272</v>
      </c>
      <c r="C43" s="398" t="s">
        <v>339</v>
      </c>
      <c r="D43" s="407">
        <f t="shared" ref="D43:K43" si="9">D40*D42+D41*(1-D42)</f>
        <v>3.7574999999999997E-2</v>
      </c>
      <c r="E43" s="408">
        <f t="shared" si="9"/>
        <v>3.6729999999999999E-2</v>
      </c>
      <c r="F43" s="408">
        <f t="shared" si="9"/>
        <v>3.5885E-2</v>
      </c>
      <c r="G43" s="408">
        <f t="shared" si="9"/>
        <v>3.4584999999999998E-2</v>
      </c>
      <c r="H43" s="408">
        <f t="shared" si="9"/>
        <v>3.3610000000000001E-2</v>
      </c>
      <c r="I43" s="408">
        <f t="shared" si="9"/>
        <v>3.2570000000000002E-2</v>
      </c>
      <c r="J43" s="408">
        <f t="shared" si="9"/>
        <v>3.1594999999999998E-2</v>
      </c>
      <c r="K43" s="409">
        <f t="shared" si="9"/>
        <v>3.0619999999999998E-2</v>
      </c>
      <c r="L43" s="212"/>
    </row>
    <row r="44" spans="2:14">
      <c r="C44" s="224"/>
      <c r="D44" s="219"/>
      <c r="E44" s="219"/>
      <c r="F44" s="219"/>
      <c r="G44" s="219"/>
      <c r="H44" s="219"/>
      <c r="I44" s="219"/>
      <c r="J44" s="219"/>
      <c r="K44" s="219"/>
    </row>
    <row r="45" spans="2:14">
      <c r="B45" s="373" t="s">
        <v>340</v>
      </c>
      <c r="C45" s="398" t="str">
        <f>'RFPR cover'!$C$14</f>
        <v>£m 12/13</v>
      </c>
      <c r="D45" s="96">
        <f t="shared" ref="D45:K45" si="10">D47*D42</f>
        <v>978.06225530406471</v>
      </c>
      <c r="E45" s="97">
        <f t="shared" si="10"/>
        <v>983.21014354238878</v>
      </c>
      <c r="F45" s="97">
        <f t="shared" si="10"/>
        <v>988.50533101855433</v>
      </c>
      <c r="G45" s="97">
        <f t="shared" si="10"/>
        <v>996.77821511337834</v>
      </c>
      <c r="H45" s="97">
        <f t="shared" si="10"/>
        <v>1005.6046982490029</v>
      </c>
      <c r="I45" s="97">
        <f t="shared" si="10"/>
        <v>1017.579647830945</v>
      </c>
      <c r="J45" s="97">
        <f t="shared" si="10"/>
        <v>1033.2406849301976</v>
      </c>
      <c r="K45" s="98">
        <f t="shared" si="10"/>
        <v>1048.822289704495</v>
      </c>
    </row>
    <row r="46" spans="2:14">
      <c r="B46" s="373" t="s">
        <v>231</v>
      </c>
      <c r="C46" s="398" t="str">
        <f>'RFPR cover'!$C$14</f>
        <v>£m 12/13</v>
      </c>
      <c r="D46" s="523">
        <f t="shared" ref="D46:K46" si="11">D47*(1-D42)</f>
        <v>526.64890670218858</v>
      </c>
      <c r="E46" s="524">
        <f t="shared" si="11"/>
        <v>529.4208465228246</v>
      </c>
      <c r="F46" s="524">
        <f t="shared" si="11"/>
        <v>532.272101317683</v>
      </c>
      <c r="G46" s="524">
        <f t="shared" si="11"/>
        <v>536.72673121489606</v>
      </c>
      <c r="H46" s="524">
        <f t="shared" si="11"/>
        <v>541.47945290330927</v>
      </c>
      <c r="I46" s="524">
        <f t="shared" si="11"/>
        <v>547.92750267820099</v>
      </c>
      <c r="J46" s="524">
        <f t="shared" si="11"/>
        <v>556.36036880856796</v>
      </c>
      <c r="K46" s="525">
        <f t="shared" si="11"/>
        <v>564.75046368703579</v>
      </c>
    </row>
    <row r="47" spans="2:14">
      <c r="B47" s="201" t="s">
        <v>230</v>
      </c>
      <c r="C47" s="211" t="str">
        <f>'RFPR cover'!$C$14</f>
        <v>£m 12/13</v>
      </c>
      <c r="D47" s="103">
        <f t="shared" ref="D47:K47" si="12">AVERAGE(D16,D29*(1/(1+D43)))</f>
        <v>1504.7111620062533</v>
      </c>
      <c r="E47" s="104">
        <f t="shared" si="12"/>
        <v>1512.6309900652134</v>
      </c>
      <c r="F47" s="104">
        <f t="shared" si="12"/>
        <v>1520.7774323362373</v>
      </c>
      <c r="G47" s="104">
        <f t="shared" si="12"/>
        <v>1533.5049463282744</v>
      </c>
      <c r="H47" s="104">
        <f t="shared" si="12"/>
        <v>1547.0841511523122</v>
      </c>
      <c r="I47" s="104">
        <f t="shared" si="12"/>
        <v>1565.507150509146</v>
      </c>
      <c r="J47" s="104">
        <f t="shared" si="12"/>
        <v>1589.6010537387656</v>
      </c>
      <c r="K47" s="105">
        <f t="shared" si="12"/>
        <v>1613.5727533915308</v>
      </c>
      <c r="N47" s="215"/>
    </row>
    <row r="48" spans="2:14">
      <c r="B48" s="201"/>
      <c r="C48" s="211"/>
      <c r="D48" s="211"/>
      <c r="E48" s="211"/>
      <c r="F48" s="211"/>
      <c r="G48" s="211"/>
      <c r="H48" s="211"/>
      <c r="I48" s="211"/>
      <c r="J48" s="211"/>
      <c r="K48" s="211"/>
      <c r="N48" s="215"/>
    </row>
    <row r="49" spans="2:14">
      <c r="B49" s="373" t="s">
        <v>341</v>
      </c>
      <c r="C49" s="398" t="str">
        <f>'RFPR cover'!$C$14</f>
        <v>£m 12/13</v>
      </c>
      <c r="D49" s="733">
        <f>D40*D45</f>
        <v>24.94058751025365</v>
      </c>
      <c r="E49" s="734">
        <f t="shared" ref="D49:K50" si="13">E40*E45</f>
        <v>23.793685473725809</v>
      </c>
      <c r="F49" s="734">
        <f t="shared" si="13"/>
        <v>22.636772080324896</v>
      </c>
      <c r="G49" s="734">
        <f t="shared" si="13"/>
        <v>20.832664695869607</v>
      </c>
      <c r="H49" s="734">
        <f t="shared" si="13"/>
        <v>19.508731146030659</v>
      </c>
      <c r="I49" s="734">
        <f t="shared" si="13"/>
        <v>18.112917731390819</v>
      </c>
      <c r="J49" s="734">
        <f t="shared" si="13"/>
        <v>16.841823164362221</v>
      </c>
      <c r="K49" s="735">
        <f t="shared" si="13"/>
        <v>15.522569887626526</v>
      </c>
    </row>
    <row r="50" spans="2:14">
      <c r="B50" s="373" t="s">
        <v>228</v>
      </c>
      <c r="C50" s="398" t="str">
        <f>'RFPR cover'!$C$14</f>
        <v>£m 12/13</v>
      </c>
      <c r="D50" s="93">
        <f t="shared" si="13"/>
        <v>31.598934402131313</v>
      </c>
      <c r="E50" s="94">
        <f t="shared" si="13"/>
        <v>31.765250791369475</v>
      </c>
      <c r="F50" s="94">
        <f t="shared" si="13"/>
        <v>31.936326079060979</v>
      </c>
      <c r="G50" s="94">
        <f t="shared" si="13"/>
        <v>32.203603872893765</v>
      </c>
      <c r="H50" s="94">
        <f t="shared" si="13"/>
        <v>32.488767174198557</v>
      </c>
      <c r="I50" s="94">
        <f t="shared" si="13"/>
        <v>32.875650160692061</v>
      </c>
      <c r="J50" s="94">
        <f t="shared" si="13"/>
        <v>33.381622128514074</v>
      </c>
      <c r="K50" s="95">
        <f t="shared" si="13"/>
        <v>33.885027821222145</v>
      </c>
      <c r="N50" s="215"/>
    </row>
    <row r="51" spans="2:14">
      <c r="B51" s="201" t="s">
        <v>343</v>
      </c>
      <c r="C51" s="398" t="str">
        <f>'RFPR cover'!$C$14</f>
        <v>£m 12/13</v>
      </c>
      <c r="D51" s="103">
        <f>SUM(D49:D50)</f>
        <v>56.539521912384963</v>
      </c>
      <c r="E51" s="104">
        <f t="shared" ref="E51:K51" si="14">SUM(E49:E50)</f>
        <v>55.558936265095284</v>
      </c>
      <c r="F51" s="104">
        <f t="shared" si="14"/>
        <v>54.573098159385879</v>
      </c>
      <c r="G51" s="104">
        <f t="shared" si="14"/>
        <v>53.036268568763376</v>
      </c>
      <c r="H51" s="104">
        <f t="shared" si="14"/>
        <v>51.997498320229212</v>
      </c>
      <c r="I51" s="104">
        <f t="shared" si="14"/>
        <v>50.988567892082884</v>
      </c>
      <c r="J51" s="104">
        <f t="shared" si="14"/>
        <v>50.223445292876292</v>
      </c>
      <c r="K51" s="105">
        <f t="shared" si="14"/>
        <v>49.40759770884867</v>
      </c>
      <c r="N51" s="215"/>
    </row>
    <row r="53" spans="2:14" s="31" customFormat="1">
      <c r="B53" s="373" t="s">
        <v>340</v>
      </c>
      <c r="C53" s="267" t="s">
        <v>128</v>
      </c>
      <c r="D53" s="96">
        <f t="shared" ref="D53:K54" si="15">D$35*D45</f>
        <v>1037.0557886187776</v>
      </c>
      <c r="E53" s="97">
        <f t="shared" si="15"/>
        <v>1064.8526508943894</v>
      </c>
      <c r="F53" s="97">
        <f t="shared" si="15"/>
        <v>1110.6489160709052</v>
      </c>
      <c r="G53" s="97">
        <f t="shared" si="15"/>
        <v>1154.1646779088219</v>
      </c>
      <c r="H53" s="97">
        <f t="shared" si="15"/>
        <v>1194.5272737651444</v>
      </c>
      <c r="I53" s="97">
        <f t="shared" si="15"/>
        <v>1229.3007358044933</v>
      </c>
      <c r="J53" s="97">
        <f t="shared" si="15"/>
        <v>1274.7449421925735</v>
      </c>
      <c r="K53" s="98">
        <f t="shared" si="15"/>
        <v>1327.2881986451903</v>
      </c>
      <c r="L53" s="235"/>
      <c r="N53" s="213"/>
    </row>
    <row r="54" spans="2:14" s="31" customFormat="1">
      <c r="B54" s="373" t="s">
        <v>231</v>
      </c>
      <c r="C54" s="267" t="s">
        <v>128</v>
      </c>
      <c r="D54" s="523">
        <f t="shared" si="15"/>
        <v>558.41465541011087</v>
      </c>
      <c r="E54" s="524">
        <f t="shared" si="15"/>
        <v>573.38219663544032</v>
      </c>
      <c r="F54" s="524">
        <f t="shared" si="15"/>
        <v>598.04172403817961</v>
      </c>
      <c r="G54" s="524">
        <f t="shared" si="15"/>
        <v>621.47328810475028</v>
      </c>
      <c r="H54" s="524">
        <f t="shared" si="15"/>
        <v>643.20699356584703</v>
      </c>
      <c r="I54" s="524">
        <f t="shared" si="15"/>
        <v>661.93116543318854</v>
      </c>
      <c r="J54" s="524">
        <f t="shared" si="15"/>
        <v>686.4011227190781</v>
      </c>
      <c r="K54" s="525">
        <f t="shared" si="15"/>
        <v>714.69364542433323</v>
      </c>
      <c r="L54" s="235"/>
      <c r="N54" s="213"/>
    </row>
    <row r="55" spans="2:14">
      <c r="B55" s="201" t="s">
        <v>342</v>
      </c>
      <c r="C55" s="267" t="s">
        <v>128</v>
      </c>
      <c r="D55" s="736">
        <f>SUM(D53:D54)</f>
        <v>1595.4704440288883</v>
      </c>
      <c r="E55" s="737">
        <f t="shared" ref="E55:K55" si="16">SUM(E53:E54)</f>
        <v>1638.2348475298297</v>
      </c>
      <c r="F55" s="737">
        <f t="shared" si="16"/>
        <v>1708.6906401090848</v>
      </c>
      <c r="G55" s="737">
        <f t="shared" si="16"/>
        <v>1775.6379660135722</v>
      </c>
      <c r="H55" s="737">
        <f t="shared" si="16"/>
        <v>1837.7342673309913</v>
      </c>
      <c r="I55" s="737">
        <f t="shared" si="16"/>
        <v>1891.231901237682</v>
      </c>
      <c r="J55" s="737">
        <f t="shared" si="16"/>
        <v>1961.1460649116516</v>
      </c>
      <c r="K55" s="738">
        <f t="shared" si="16"/>
        <v>2041.9818440695235</v>
      </c>
    </row>
    <row r="56" spans="2:14" s="31" customFormat="1">
      <c r="B56" s="201"/>
      <c r="C56" s="211"/>
      <c r="D56" s="211"/>
      <c r="E56" s="211"/>
      <c r="F56" s="211"/>
      <c r="G56" s="211"/>
      <c r="H56" s="211"/>
      <c r="I56" s="211"/>
      <c r="J56" s="211"/>
      <c r="K56" s="211"/>
      <c r="L56" s="235"/>
      <c r="N56" s="213"/>
    </row>
    <row r="57" spans="2:14" s="31" customFormat="1">
      <c r="B57" s="373" t="s">
        <v>341</v>
      </c>
      <c r="C57" s="267" t="s">
        <v>128</v>
      </c>
      <c r="D57" s="96">
        <f t="shared" ref="D57:K58" si="17">D$35*D49</f>
        <v>26.444922609778828</v>
      </c>
      <c r="E57" s="97">
        <f t="shared" si="17"/>
        <v>25.769434151644223</v>
      </c>
      <c r="F57" s="97">
        <f t="shared" si="17"/>
        <v>25.433860178023728</v>
      </c>
      <c r="G57" s="97">
        <f t="shared" si="17"/>
        <v>24.122041768294373</v>
      </c>
      <c r="H57" s="97">
        <f t="shared" si="17"/>
        <v>23.173829111043805</v>
      </c>
      <c r="I57" s="97">
        <f t="shared" si="17"/>
        <v>21.88155309731998</v>
      </c>
      <c r="J57" s="97">
        <f t="shared" si="17"/>
        <v>20.778342557738949</v>
      </c>
      <c r="K57" s="98">
        <f t="shared" si="17"/>
        <v>19.643865339948814</v>
      </c>
      <c r="L57" s="235"/>
      <c r="N57" s="213"/>
    </row>
    <row r="58" spans="2:14">
      <c r="B58" s="373" t="s">
        <v>237</v>
      </c>
      <c r="C58" s="267" t="s">
        <v>128</v>
      </c>
      <c r="D58" s="739">
        <f t="shared" si="17"/>
        <v>33.504879324606655</v>
      </c>
      <c r="E58" s="740">
        <f t="shared" si="17"/>
        <v>34.402931798126417</v>
      </c>
      <c r="F58" s="740">
        <f t="shared" si="17"/>
        <v>35.882503442290776</v>
      </c>
      <c r="G58" s="740">
        <f t="shared" si="17"/>
        <v>37.288397286285019</v>
      </c>
      <c r="H58" s="740">
        <f t="shared" si="17"/>
        <v>38.592419613950824</v>
      </c>
      <c r="I58" s="740">
        <f t="shared" si="17"/>
        <v>39.715869925991313</v>
      </c>
      <c r="J58" s="740">
        <f t="shared" si="17"/>
        <v>41.184067363144685</v>
      </c>
      <c r="K58" s="741">
        <f t="shared" si="17"/>
        <v>42.881618725459994</v>
      </c>
    </row>
    <row r="59" spans="2:14">
      <c r="B59" s="201" t="s">
        <v>343</v>
      </c>
      <c r="C59" s="267" t="s">
        <v>128</v>
      </c>
      <c r="D59" s="103">
        <f t="shared" ref="D59:K59" si="18">SUM(D57:D58)</f>
        <v>59.949801934385484</v>
      </c>
      <c r="E59" s="104">
        <f t="shared" si="18"/>
        <v>60.172365949770636</v>
      </c>
      <c r="F59" s="104">
        <f t="shared" si="18"/>
        <v>61.316363620314505</v>
      </c>
      <c r="G59" s="104">
        <f t="shared" si="18"/>
        <v>61.410439054579392</v>
      </c>
      <c r="H59" s="104">
        <f t="shared" si="18"/>
        <v>61.766248724994625</v>
      </c>
      <c r="I59" s="104">
        <f t="shared" si="18"/>
        <v>61.597423023311293</v>
      </c>
      <c r="J59" s="104">
        <f t="shared" si="18"/>
        <v>61.96240992088363</v>
      </c>
      <c r="K59" s="105">
        <f t="shared" si="18"/>
        <v>62.525484065408804</v>
      </c>
    </row>
    <row r="60" spans="2:14">
      <c r="B60" s="14"/>
      <c r="C60" s="236"/>
      <c r="D60" s="236"/>
      <c r="E60" s="236"/>
      <c r="F60" s="236"/>
      <c r="G60" s="236"/>
      <c r="H60" s="236"/>
      <c r="I60" s="236"/>
      <c r="J60" s="236"/>
      <c r="K60" s="236"/>
    </row>
    <row r="61" spans="2:14">
      <c r="B61" s="14"/>
      <c r="C61" s="236"/>
      <c r="D61" s="236"/>
      <c r="E61" s="236"/>
      <c r="F61" s="236"/>
      <c r="G61" s="236"/>
      <c r="H61" s="236"/>
      <c r="I61" s="236"/>
      <c r="J61" s="236"/>
      <c r="K61" s="236"/>
    </row>
    <row r="62" spans="2:14">
      <c r="B62" s="14"/>
      <c r="C62" s="236"/>
      <c r="D62" s="236"/>
      <c r="E62" s="236"/>
      <c r="F62" s="236"/>
      <c r="G62" s="236"/>
      <c r="H62" s="236"/>
      <c r="I62" s="236"/>
      <c r="J62" s="236"/>
      <c r="K62" s="236"/>
    </row>
    <row r="63" spans="2:14">
      <c r="B63" s="14"/>
      <c r="C63" s="236"/>
      <c r="D63" s="236"/>
      <c r="E63" s="236"/>
      <c r="F63" s="236"/>
      <c r="G63" s="236"/>
      <c r="H63" s="236"/>
      <c r="I63" s="236"/>
      <c r="J63" s="236"/>
      <c r="K63" s="236"/>
    </row>
  </sheetData>
  <conditionalFormatting sqref="D6:K6">
    <cfRule type="expression" dxfId="23" priority="13">
      <formula>AND(D$5="Actuals",E$5="Forecast")</formula>
    </cfRule>
  </conditionalFormatting>
  <conditionalFormatting sqref="D5:K5">
    <cfRule type="expression" dxfId="22"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FFFFCC"/>
    <pageSetUpPr fitToPage="1"/>
  </sheetPr>
  <dimension ref="A1:N89"/>
  <sheetViews>
    <sheetView showGridLines="0" zoomScale="80" zoomScaleNormal="80" workbookViewId="0">
      <pane ySplit="6" topLeftCell="A7" activePane="bottomLeft" state="frozen"/>
      <selection activeCell="B75" sqref="A1:XFD1048576"/>
      <selection pane="bottomLeft" activeCell="B29" sqref="B29"/>
    </sheetView>
  </sheetViews>
  <sheetFormatPr defaultRowHeight="12.75"/>
  <cols>
    <col min="1" max="1" width="8.375" customWidth="1"/>
    <col min="2" max="2" width="95.5" customWidth="1"/>
    <col min="3" max="3" width="14.125" customWidth="1"/>
    <col min="4" max="11" width="11.125" customWidth="1"/>
    <col min="12" max="12" width="5" customWidth="1"/>
  </cols>
  <sheetData>
    <row r="1" spans="1:13" s="31" customFormat="1" ht="20.25">
      <c r="A1" s="931" t="s">
        <v>260</v>
      </c>
      <c r="B1" s="927"/>
      <c r="C1" s="257"/>
      <c r="D1" s="257"/>
      <c r="E1" s="257"/>
      <c r="F1" s="257"/>
      <c r="G1" s="257"/>
      <c r="H1" s="257"/>
      <c r="I1" s="258"/>
      <c r="J1" s="258"/>
      <c r="K1" s="259"/>
      <c r="L1" s="260"/>
    </row>
    <row r="2" spans="1:13" s="31" customFormat="1" ht="20.25">
      <c r="A2" s="920" t="str">
        <f>'RFPR cover'!C5</f>
        <v>ENWL</v>
      </c>
      <c r="B2" s="912"/>
      <c r="C2" s="29"/>
      <c r="D2" s="29"/>
      <c r="E2" s="29"/>
      <c r="F2" s="29"/>
      <c r="G2" s="29"/>
      <c r="H2" s="29"/>
      <c r="I2" s="27"/>
      <c r="J2" s="27"/>
      <c r="K2" s="27"/>
      <c r="L2" s="124"/>
    </row>
    <row r="3" spans="1:13" s="31" customFormat="1" ht="20.25">
      <c r="A3" s="923">
        <f>'RFPR cover'!C7</f>
        <v>2020</v>
      </c>
      <c r="B3" s="930"/>
      <c r="C3" s="261"/>
      <c r="D3" s="261"/>
      <c r="E3" s="261"/>
      <c r="F3" s="261"/>
      <c r="G3" s="261"/>
      <c r="H3" s="261"/>
      <c r="I3" s="256"/>
      <c r="J3" s="256"/>
      <c r="K3" s="256"/>
      <c r="L3" s="262"/>
    </row>
    <row r="4" spans="1:13" s="31" customFormat="1" ht="12.75" customHeight="1">
      <c r="A4" s="263"/>
      <c r="B4" s="264"/>
      <c r="C4" s="263"/>
      <c r="D4" s="263"/>
      <c r="E4" s="263"/>
      <c r="F4" s="263"/>
      <c r="G4" s="263"/>
      <c r="H4" s="263"/>
      <c r="I4" s="265"/>
      <c r="J4" s="265"/>
      <c r="K4" s="265"/>
      <c r="L4" s="266"/>
      <c r="M4" s="264"/>
    </row>
    <row r="5" spans="1:13" s="2" customFormat="1">
      <c r="B5" s="3"/>
      <c r="C5" s="3"/>
      <c r="D5" s="391" t="str">
        <f>IF(D6&lt;=('RFPR cover'!$C$7-1),"Actuals","Forecast")</f>
        <v>Actuals</v>
      </c>
      <c r="E5" s="391" t="str">
        <f>IF(E6&lt;=('RFPR cover'!$C$7-1),"Actuals","Forecast")</f>
        <v>Actuals</v>
      </c>
      <c r="F5" s="391" t="str">
        <f>IF(F6&lt;=('RFPR cover'!$C$7-1),"Actuals","Forecast")</f>
        <v>Actuals</v>
      </c>
      <c r="G5" s="391" t="str">
        <f>IF(G6&lt;=('RFPR cover'!$C$7-1),"Actuals","Forecast")</f>
        <v>Actuals</v>
      </c>
      <c r="H5" s="391" t="str">
        <f>IF(H6&lt;=('RFPR cover'!$C$7-1),"Actuals","Forecast")</f>
        <v>Forecast</v>
      </c>
      <c r="I5" s="391" t="str">
        <f>IF(I6&lt;=('RFPR cover'!$C$7-1),"Actuals","Forecast")</f>
        <v>Forecast</v>
      </c>
      <c r="J5" s="391" t="str">
        <f>IF(J6&lt;=('RFPR cover'!$C$7-1),"Actuals","Forecast")</f>
        <v>Forecast</v>
      </c>
      <c r="K5" s="391" t="str">
        <f>IF(K6&lt;=('RFPR cover'!$C$7-1),"Actuals","Forecast")</f>
        <v>Forecast</v>
      </c>
    </row>
    <row r="6" spans="1:13" s="2" customFormat="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3" s="35" customFormat="1">
      <c r="D7" s="431"/>
      <c r="E7" s="431"/>
      <c r="F7" s="431"/>
      <c r="G7" s="431"/>
      <c r="H7" s="431"/>
      <c r="I7" s="431"/>
      <c r="J7" s="431"/>
      <c r="K7" s="431"/>
    </row>
    <row r="8" spans="1:13" s="2" customFormat="1">
      <c r="B8" s="370" t="s">
        <v>357</v>
      </c>
      <c r="C8" s="294"/>
      <c r="D8" s="294"/>
      <c r="E8" s="294"/>
      <c r="F8" s="294"/>
      <c r="G8" s="294"/>
      <c r="H8" s="294"/>
      <c r="I8" s="294"/>
      <c r="J8" s="294"/>
      <c r="K8" s="294"/>
      <c r="L8" s="294"/>
    </row>
    <row r="9" spans="1:13" s="2" customFormat="1">
      <c r="B9" s="370" t="s">
        <v>462</v>
      </c>
      <c r="C9" s="294"/>
      <c r="D9" s="294"/>
      <c r="E9" s="294"/>
      <c r="F9" s="294"/>
      <c r="G9" s="294"/>
      <c r="H9" s="294"/>
      <c r="I9" s="294"/>
      <c r="J9" s="294"/>
      <c r="K9" s="294"/>
      <c r="L9" s="294"/>
    </row>
    <row r="10" spans="1:13" s="2" customFormat="1">
      <c r="B10" s="370" t="s">
        <v>358</v>
      </c>
      <c r="C10" s="294"/>
      <c r="D10" s="294"/>
      <c r="E10" s="294"/>
      <c r="F10" s="294"/>
      <c r="G10" s="294"/>
      <c r="H10" s="294"/>
      <c r="I10" s="294"/>
      <c r="J10" s="294"/>
      <c r="K10" s="294"/>
      <c r="L10" s="294"/>
    </row>
    <row r="11" spans="1:13" s="35" customFormat="1">
      <c r="B11" s="430"/>
    </row>
    <row r="12" spans="1:13">
      <c r="B12" s="200" t="s">
        <v>523</v>
      </c>
      <c r="C12" s="267" t="s">
        <v>128</v>
      </c>
      <c r="D12" s="641">
        <v>30.958269999999999</v>
      </c>
      <c r="E12" s="642">
        <v>33.934068200000006</v>
      </c>
      <c r="F12" s="642">
        <v>20.037819995</v>
      </c>
      <c r="G12" s="642">
        <v>20.265241160000002</v>
      </c>
      <c r="H12" s="642"/>
      <c r="I12" s="642"/>
      <c r="J12" s="642"/>
      <c r="K12" s="643"/>
    </row>
    <row r="13" spans="1:13">
      <c r="B13" s="14"/>
      <c r="C13" s="14"/>
      <c r="D13" s="742"/>
      <c r="E13" s="742"/>
      <c r="F13" s="742"/>
      <c r="G13" s="742"/>
      <c r="H13" s="742"/>
      <c r="I13" s="742"/>
      <c r="J13" s="742"/>
      <c r="K13" s="742"/>
    </row>
    <row r="14" spans="1:13">
      <c r="B14" s="14" t="s">
        <v>461</v>
      </c>
      <c r="C14" s="267"/>
      <c r="D14" s="742"/>
      <c r="E14" s="742"/>
      <c r="F14" s="742"/>
      <c r="G14" s="742"/>
      <c r="H14" s="742"/>
      <c r="I14" s="742"/>
      <c r="J14" s="742"/>
      <c r="K14" s="742"/>
    </row>
    <row r="15" spans="1:13">
      <c r="B15" s="371" t="s">
        <v>483</v>
      </c>
      <c r="C15" s="267" t="s">
        <v>128</v>
      </c>
      <c r="D15" s="597">
        <v>0.6685709660000001</v>
      </c>
      <c r="E15" s="598">
        <v>0.6</v>
      </c>
      <c r="F15" s="598">
        <v>0.51604353400000003</v>
      </c>
      <c r="G15" s="598">
        <v>0.47659571689999997</v>
      </c>
      <c r="H15" s="598"/>
      <c r="I15" s="598"/>
      <c r="J15" s="598"/>
      <c r="K15" s="608"/>
    </row>
    <row r="16" spans="1:13">
      <c r="B16" s="432" t="s">
        <v>22</v>
      </c>
      <c r="C16" s="267" t="s">
        <v>128</v>
      </c>
      <c r="D16" s="597"/>
      <c r="E16" s="598"/>
      <c r="F16" s="598"/>
      <c r="G16" s="598"/>
      <c r="H16" s="598"/>
      <c r="I16" s="598"/>
      <c r="J16" s="598"/>
      <c r="K16" s="608"/>
    </row>
    <row r="17" spans="2:12">
      <c r="B17" s="432" t="s">
        <v>22</v>
      </c>
      <c r="C17" s="267" t="s">
        <v>128</v>
      </c>
      <c r="D17" s="597"/>
      <c r="E17" s="598"/>
      <c r="F17" s="598"/>
      <c r="G17" s="598"/>
      <c r="H17" s="598"/>
      <c r="I17" s="598"/>
      <c r="J17" s="598"/>
      <c r="K17" s="608"/>
    </row>
    <row r="18" spans="2:12">
      <c r="B18" s="432" t="s">
        <v>22</v>
      </c>
      <c r="C18" s="267" t="s">
        <v>128</v>
      </c>
      <c r="D18" s="597"/>
      <c r="E18" s="598"/>
      <c r="F18" s="598"/>
      <c r="G18" s="598"/>
      <c r="H18" s="598"/>
      <c r="I18" s="598"/>
      <c r="J18" s="598"/>
      <c r="K18" s="608"/>
    </row>
    <row r="19" spans="2:12">
      <c r="B19" s="269" t="s">
        <v>359</v>
      </c>
      <c r="C19" s="267" t="s">
        <v>128</v>
      </c>
      <c r="D19" s="743">
        <f>SUM(D15:D18)</f>
        <v>0.6685709660000001</v>
      </c>
      <c r="E19" s="744">
        <f t="shared" ref="E19:K19" si="1">SUM(E15:E18)</f>
        <v>0.6</v>
      </c>
      <c r="F19" s="744">
        <f t="shared" si="1"/>
        <v>0.51604353400000003</v>
      </c>
      <c r="G19" s="744">
        <f t="shared" si="1"/>
        <v>0.47659571689999997</v>
      </c>
      <c r="H19" s="744">
        <f t="shared" si="1"/>
        <v>0</v>
      </c>
      <c r="I19" s="744">
        <f t="shared" si="1"/>
        <v>0</v>
      </c>
      <c r="J19" s="744">
        <f t="shared" si="1"/>
        <v>0</v>
      </c>
      <c r="K19" s="745">
        <f t="shared" si="1"/>
        <v>0</v>
      </c>
    </row>
    <row r="20" spans="2:12" s="31" customFormat="1">
      <c r="B20" s="371"/>
      <c r="C20" s="371"/>
      <c r="D20" s="746"/>
      <c r="E20" s="746"/>
      <c r="F20" s="746"/>
      <c r="G20" s="746"/>
      <c r="H20" s="746"/>
      <c r="I20" s="746"/>
      <c r="J20" s="746"/>
      <c r="K20" s="746"/>
      <c r="L20" s="371"/>
    </row>
    <row r="21" spans="2:12">
      <c r="B21" s="14" t="s">
        <v>332</v>
      </c>
      <c r="C21" s="267"/>
      <c r="D21" s="747"/>
      <c r="E21" s="747"/>
      <c r="F21" s="747"/>
      <c r="G21" s="747"/>
      <c r="H21" s="747"/>
      <c r="I21" s="747"/>
      <c r="J21" s="747"/>
      <c r="K21" s="747"/>
      <c r="L21" s="267"/>
    </row>
    <row r="22" spans="2:12">
      <c r="B22" s="371" t="s">
        <v>484</v>
      </c>
      <c r="C22" s="267" t="s">
        <v>128</v>
      </c>
      <c r="D22" s="863">
        <f>('R5 - Output Incentives'!D102)*INDEX(Data!$G$14:$G$30,MATCH('R10 - Tax'!D$6,Data!$C$14:$C$30,0),1)</f>
        <v>1.6789304653169812</v>
      </c>
      <c r="E22" s="864">
        <f>('R5 - Output Incentives'!E102)*INDEX(Data!$G$14:$G$30,MATCH('R10 - Tax'!E$6,Data!$C$14:$C$30,0),1)</f>
        <v>3.163383349274191</v>
      </c>
      <c r="F22" s="864">
        <f>('R5 - Output Incentives'!F102)*INDEX(Data!$G$14:$G$30,MATCH('R10 - Tax'!F$6,Data!$C$14:$C$30,0),1)</f>
        <v>3.2728885421398495</v>
      </c>
      <c r="G22" s="864">
        <f>('R5 - Output Incentives'!G102)*INDEX(Data!$G$14:$G$30,MATCH('R10 - Tax'!G$6,Data!$C$14:$C$30,0),1)</f>
        <v>3.1762425466331616</v>
      </c>
      <c r="H22" s="866">
        <f>('R5 - Output Incentives'!H102)*INDEX(Data!$G$14:$G$30,MATCH('R10 - Tax'!H$6,Data!$C$14:$C$30,0),1)</f>
        <v>3.0080547545441285</v>
      </c>
      <c r="I22" s="866">
        <f>('R5 - Output Incentives'!I102)*INDEX(Data!$G$14:$G$30,MATCH('R10 - Tax'!I$6,Data!$C$14:$C$30,0),1)</f>
        <v>3.2313096716086962</v>
      </c>
      <c r="J22" s="866">
        <f>('R5 - Output Incentives'!J102)*INDEX(Data!$G$14:$G$30,MATCH('R10 - Tax'!J$6,Data!$C$14:$C$30,0),1)</f>
        <v>4.3394184721884113</v>
      </c>
      <c r="K22" s="867">
        <f>('R5 - Output Incentives'!K102)*INDEX(Data!$G$14:$G$30,MATCH('R10 - Tax'!K$6,Data!$C$14:$C$30,0),1)</f>
        <v>4.4938609528007785</v>
      </c>
    </row>
    <row r="23" spans="2:12">
      <c r="B23" s="371" t="s">
        <v>485</v>
      </c>
      <c r="C23" s="267" t="s">
        <v>128</v>
      </c>
      <c r="D23" s="601">
        <f>('R4 - Totex'!D77-'R4 - Totex'!D79)*D39</f>
        <v>0</v>
      </c>
      <c r="E23" s="603">
        <f>('R4 - Totex'!E77-'R4 - Totex'!E79)*E39</f>
        <v>0</v>
      </c>
      <c r="F23" s="603">
        <f>('R4 - Totex'!F77-'R4 - Totex'!F79)*F39</f>
        <v>0</v>
      </c>
      <c r="G23" s="603">
        <f>('R4 - Totex'!G77-'R4 - Totex'!G79)*G39</f>
        <v>0</v>
      </c>
      <c r="H23" s="868">
        <f>('R4 - Totex'!H77-'R4 - Totex'!H79)*H39</f>
        <v>0</v>
      </c>
      <c r="I23" s="868">
        <f>('R4 - Totex'!I77-'R4 - Totex'!I79)*I39</f>
        <v>0</v>
      </c>
      <c r="J23" s="868">
        <f>('R4 - Totex'!J77-'R4 - Totex'!J79)*J39</f>
        <v>0</v>
      </c>
      <c r="K23" s="869">
        <f>('R4 - Totex'!K77-'R4 - Totex'!K79)*K39</f>
        <v>0</v>
      </c>
    </row>
    <row r="24" spans="2:12">
      <c r="B24" s="371" t="s">
        <v>486</v>
      </c>
      <c r="C24" s="267" t="s">
        <v>128</v>
      </c>
      <c r="D24" s="599">
        <v>0</v>
      </c>
      <c r="E24" s="600">
        <v>6.116851778692153</v>
      </c>
      <c r="F24" s="600">
        <v>-2.1069385766335977</v>
      </c>
      <c r="G24" s="600">
        <v>-0.79041731461578479</v>
      </c>
      <c r="H24" s="600"/>
      <c r="I24" s="600"/>
      <c r="J24" s="600"/>
      <c r="K24" s="609"/>
    </row>
    <row r="25" spans="2:12">
      <c r="B25" s="371" t="s">
        <v>487</v>
      </c>
      <c r="C25" s="267" t="s">
        <v>128</v>
      </c>
      <c r="D25" s="599">
        <v>-1.68673758274159</v>
      </c>
      <c r="E25" s="600">
        <v>-1.1298400791785499</v>
      </c>
      <c r="F25" s="600">
        <v>-2.1358343002691602</v>
      </c>
      <c r="G25" s="600">
        <v>-3.2</v>
      </c>
      <c r="H25" s="600"/>
      <c r="I25" s="600"/>
      <c r="J25" s="600"/>
      <c r="K25" s="609"/>
    </row>
    <row r="26" spans="2:12">
      <c r="B26" s="371" t="s">
        <v>488</v>
      </c>
      <c r="C26" s="267" t="s">
        <v>128</v>
      </c>
      <c r="D26" s="599">
        <v>0</v>
      </c>
      <c r="E26" s="600">
        <v>0</v>
      </c>
      <c r="F26" s="600">
        <v>0</v>
      </c>
      <c r="G26" s="600">
        <v>0</v>
      </c>
      <c r="H26" s="600"/>
      <c r="I26" s="600"/>
      <c r="J26" s="600"/>
      <c r="K26" s="609"/>
    </row>
    <row r="27" spans="2:12">
      <c r="B27" s="371" t="s">
        <v>489</v>
      </c>
      <c r="C27" s="267" t="s">
        <v>128</v>
      </c>
      <c r="D27" s="599">
        <v>0</v>
      </c>
      <c r="E27" s="600">
        <v>0</v>
      </c>
      <c r="F27" s="600">
        <v>0</v>
      </c>
      <c r="G27" s="600">
        <v>0</v>
      </c>
      <c r="H27" s="600"/>
      <c r="I27" s="600"/>
      <c r="J27" s="600"/>
      <c r="K27" s="609"/>
    </row>
    <row r="28" spans="2:12">
      <c r="B28" s="371" t="s">
        <v>565</v>
      </c>
      <c r="C28" s="267" t="s">
        <v>128</v>
      </c>
      <c r="D28" s="599">
        <v>-0.29723833875771533</v>
      </c>
      <c r="E28" s="600">
        <v>0.29985385659623986</v>
      </c>
      <c r="F28" s="600">
        <v>-0.48662701957718113</v>
      </c>
      <c r="G28" s="600">
        <v>-0.90258244381047348</v>
      </c>
      <c r="H28" s="600"/>
      <c r="I28" s="600"/>
      <c r="J28" s="600"/>
      <c r="K28" s="609"/>
    </row>
    <row r="29" spans="2:12">
      <c r="B29" s="432" t="s">
        <v>627</v>
      </c>
      <c r="C29" s="267" t="s">
        <v>128</v>
      </c>
      <c r="D29" s="599">
        <v>-0.18446567004355818</v>
      </c>
      <c r="E29" s="600">
        <v>-0.14062949206075789</v>
      </c>
      <c r="F29" s="600">
        <v>-0.12358412078999997</v>
      </c>
      <c r="G29" s="600">
        <v>4.5179150000000001E-2</v>
      </c>
      <c r="H29" s="600"/>
      <c r="I29" s="600"/>
      <c r="J29" s="600"/>
      <c r="K29" s="609"/>
    </row>
    <row r="30" spans="2:12">
      <c r="B30" s="432" t="s">
        <v>628</v>
      </c>
      <c r="C30" s="267" t="s">
        <v>128</v>
      </c>
      <c r="D30" s="599">
        <v>3.0746505026519864</v>
      </c>
      <c r="E30" s="600">
        <v>1.0028045968765256</v>
      </c>
      <c r="F30" s="600">
        <v>1.0209567221660452</v>
      </c>
      <c r="G30" s="600">
        <v>1.0925125539329197</v>
      </c>
      <c r="H30" s="600"/>
      <c r="I30" s="600"/>
      <c r="J30" s="600"/>
      <c r="K30" s="609"/>
    </row>
    <row r="31" spans="2:12">
      <c r="B31" s="432" t="s">
        <v>629</v>
      </c>
      <c r="C31" s="267" t="s">
        <v>128</v>
      </c>
      <c r="D31" s="599">
        <v>-0.72165120000000005</v>
      </c>
      <c r="E31" s="600">
        <v>-1.6</v>
      </c>
      <c r="F31" s="600">
        <v>-1.21300579</v>
      </c>
      <c r="G31" s="600">
        <v>-1.83645678</v>
      </c>
      <c r="H31" s="600"/>
      <c r="I31" s="600"/>
      <c r="J31" s="600"/>
      <c r="K31" s="609"/>
    </row>
    <row r="32" spans="2:12">
      <c r="B32" s="432" t="s">
        <v>630</v>
      </c>
      <c r="C32" s="267" t="s">
        <v>128</v>
      </c>
      <c r="D32" s="599">
        <v>2.54</v>
      </c>
      <c r="E32" s="600">
        <v>-2.1</v>
      </c>
      <c r="F32" s="600">
        <v>4.5409999999999995</v>
      </c>
      <c r="G32" s="600">
        <v>0</v>
      </c>
      <c r="H32" s="600"/>
      <c r="I32" s="600"/>
      <c r="J32" s="600"/>
      <c r="K32" s="609"/>
    </row>
    <row r="33" spans="2:13">
      <c r="B33" s="432" t="s">
        <v>20</v>
      </c>
      <c r="C33" s="267" t="s">
        <v>128</v>
      </c>
      <c r="D33" s="610"/>
      <c r="E33" s="611"/>
      <c r="F33" s="611"/>
      <c r="G33" s="611"/>
      <c r="H33" s="611"/>
      <c r="I33" s="611"/>
      <c r="J33" s="611"/>
      <c r="K33" s="612"/>
    </row>
    <row r="34" spans="2:13">
      <c r="B34" s="14" t="s">
        <v>176</v>
      </c>
      <c r="C34" s="267" t="s">
        <v>128</v>
      </c>
      <c r="D34" s="748">
        <f t="shared" ref="D34:K34" si="2">SUM(D22:D33)</f>
        <v>4.4034881764261034</v>
      </c>
      <c r="E34" s="749">
        <f t="shared" si="2"/>
        <v>5.6124240101998044</v>
      </c>
      <c r="F34" s="749">
        <f t="shared" si="2"/>
        <v>2.7688554570359551</v>
      </c>
      <c r="G34" s="749">
        <f t="shared" si="2"/>
        <v>-2.4155222878601768</v>
      </c>
      <c r="H34" s="749">
        <f t="shared" si="2"/>
        <v>3.0080547545441285</v>
      </c>
      <c r="I34" s="749">
        <f t="shared" si="2"/>
        <v>3.2313096716086962</v>
      </c>
      <c r="J34" s="749">
        <f t="shared" si="2"/>
        <v>4.3394184721884113</v>
      </c>
      <c r="K34" s="750">
        <f t="shared" si="2"/>
        <v>4.4938609528007785</v>
      </c>
    </row>
    <row r="36" spans="2:13" ht="12.75" customHeight="1">
      <c r="B36" s="828" t="s">
        <v>496</v>
      </c>
      <c r="C36" s="267" t="s">
        <v>128</v>
      </c>
      <c r="D36" s="641"/>
      <c r="E36" s="641"/>
      <c r="F36" s="642"/>
      <c r="G36" s="642"/>
      <c r="H36" s="642">
        <v>28.63335065622546</v>
      </c>
      <c r="I36" s="642">
        <v>22.906884428015523</v>
      </c>
      <c r="J36" s="642">
        <v>22.398610372819668</v>
      </c>
      <c r="K36" s="643">
        <v>25.586660011006209</v>
      </c>
    </row>
    <row r="37" spans="2:13" ht="12.75" customHeight="1">
      <c r="B37" s="828" t="s">
        <v>465</v>
      </c>
      <c r="C37" s="267" t="s">
        <v>128</v>
      </c>
      <c r="D37" s="748">
        <f>D12+D36-D19-D34</f>
        <v>25.886210857573893</v>
      </c>
      <c r="E37" s="749">
        <f>E12+G36-E19-E34</f>
        <v>27.721644189800202</v>
      </c>
      <c r="F37" s="749">
        <f t="shared" ref="F37:K37" si="3">F12+F36-F19-F34</f>
        <v>16.752921003964044</v>
      </c>
      <c r="G37" s="749">
        <f t="shared" si="3"/>
        <v>22.204167730960179</v>
      </c>
      <c r="H37" s="749">
        <f t="shared" si="3"/>
        <v>25.62529590168133</v>
      </c>
      <c r="I37" s="749">
        <f t="shared" si="3"/>
        <v>19.675574756406828</v>
      </c>
      <c r="J37" s="749">
        <f t="shared" si="3"/>
        <v>18.059191900631255</v>
      </c>
      <c r="K37" s="750">
        <f t="shared" si="3"/>
        <v>21.092799058205429</v>
      </c>
    </row>
    <row r="38" spans="2:13" ht="12.75" customHeight="1">
      <c r="B38" s="483"/>
      <c r="C38" s="267"/>
      <c r="D38" s="267"/>
      <c r="E38" s="267"/>
      <c r="F38" s="267"/>
      <c r="G38" s="267"/>
      <c r="H38" s="267"/>
      <c r="I38" s="267"/>
      <c r="J38" s="267"/>
      <c r="K38" s="267"/>
    </row>
    <row r="39" spans="2:13">
      <c r="B39" s="37" t="s">
        <v>473</v>
      </c>
      <c r="C39" s="268" t="s">
        <v>127</v>
      </c>
      <c r="D39" s="113">
        <f>Data!C$34</f>
        <v>1.0603167467048125</v>
      </c>
      <c r="E39" s="113">
        <f>Data!D$34</f>
        <v>1.0830366813119445</v>
      </c>
      <c r="F39" s="113">
        <f>Data!E$34</f>
        <v>1.1235639113109226</v>
      </c>
      <c r="G39" s="113">
        <f>Data!F$34</f>
        <v>1.1578951670583426</v>
      </c>
      <c r="H39" s="113">
        <f>Data!G$34</f>
        <v>1.1878696229692449</v>
      </c>
      <c r="I39" s="113">
        <f>Data!H$34</f>
        <v>1.2080634065597218</v>
      </c>
      <c r="J39" s="113">
        <f>Data!I$34</f>
        <v>1.2337347539491161</v>
      </c>
      <c r="K39" s="113">
        <f>Data!J$34</f>
        <v>1.2655034238633056</v>
      </c>
      <c r="L39" s="267"/>
    </row>
    <row r="40" spans="2:13">
      <c r="B40" s="200"/>
      <c r="C40" s="267"/>
      <c r="D40" s="267"/>
      <c r="E40" s="267"/>
      <c r="F40" s="267"/>
      <c r="G40" s="267"/>
      <c r="H40" s="267"/>
      <c r="I40" s="267"/>
      <c r="J40" s="267"/>
      <c r="K40" s="267"/>
    </row>
    <row r="41" spans="2:13">
      <c r="B41" s="546" t="s">
        <v>466</v>
      </c>
      <c r="C41" s="398" t="str">
        <f>'RFPR cover'!$C$14</f>
        <v>£m 12/13</v>
      </c>
      <c r="D41" s="793">
        <f t="shared" ref="D41:K41" si="4">D37/D39</f>
        <v>24.413658407283933</v>
      </c>
      <c r="E41" s="794">
        <f t="shared" si="4"/>
        <v>25.596219101479907</v>
      </c>
      <c r="F41" s="794">
        <f t="shared" si="4"/>
        <v>14.910518961415828</v>
      </c>
      <c r="G41" s="794">
        <f t="shared" si="4"/>
        <v>19.176319551769389</v>
      </c>
      <c r="H41" s="794">
        <f t="shared" si="4"/>
        <v>21.572481866846083</v>
      </c>
      <c r="I41" s="794">
        <f t="shared" si="4"/>
        <v>16.28687256775553</v>
      </c>
      <c r="J41" s="794">
        <f t="shared" si="4"/>
        <v>14.637823764650213</v>
      </c>
      <c r="K41" s="795">
        <f t="shared" si="4"/>
        <v>16.667516389496377</v>
      </c>
    </row>
    <row r="42" spans="2:13">
      <c r="B42" s="828"/>
      <c r="C42" s="828"/>
      <c r="D42" s="828"/>
      <c r="E42" s="828"/>
      <c r="F42" s="828"/>
      <c r="G42" s="828"/>
      <c r="H42" s="828"/>
      <c r="I42" s="828"/>
      <c r="J42" s="828"/>
      <c r="K42" s="828"/>
    </row>
    <row r="43" spans="2:13">
      <c r="B43" s="836" t="s">
        <v>446</v>
      </c>
      <c r="C43" s="211"/>
      <c r="D43" s="211"/>
      <c r="E43" s="211"/>
      <c r="F43" s="211"/>
      <c r="G43" s="211"/>
      <c r="H43" s="211"/>
      <c r="I43" s="211"/>
      <c r="J43" s="211"/>
      <c r="K43" s="211"/>
    </row>
    <row r="44" spans="2:13">
      <c r="B44" s="370" t="s">
        <v>434</v>
      </c>
      <c r="C44" s="433"/>
      <c r="D44" s="433"/>
      <c r="E44" s="433"/>
      <c r="F44" s="433"/>
      <c r="G44" s="433"/>
      <c r="H44" s="433"/>
      <c r="I44" s="433"/>
      <c r="J44" s="433"/>
      <c r="K44" s="433"/>
      <c r="L44" s="433"/>
      <c r="M44" s="433"/>
    </row>
    <row r="46" spans="2:13" ht="12.75" customHeight="1">
      <c r="B46" s="214" t="s">
        <v>115</v>
      </c>
      <c r="C46" s="156" t="s">
        <v>7</v>
      </c>
      <c r="D46" s="900">
        <f>'RFPR cover'!$C$12</f>
        <v>0.65</v>
      </c>
      <c r="E46" s="901">
        <f>'RFPR cover'!$C$12</f>
        <v>0.65</v>
      </c>
      <c r="F46" s="901">
        <f>'RFPR cover'!$C$12</f>
        <v>0.65</v>
      </c>
      <c r="G46" s="901">
        <f>'RFPR cover'!$C$12</f>
        <v>0.65</v>
      </c>
      <c r="H46" s="901">
        <f>'RFPR cover'!$C$12</f>
        <v>0.65</v>
      </c>
      <c r="I46" s="901">
        <f>'RFPR cover'!$C$12</f>
        <v>0.65</v>
      </c>
      <c r="J46" s="901">
        <f>'RFPR cover'!$C$12</f>
        <v>0.65</v>
      </c>
      <c r="K46" s="902">
        <f>'RFPR cover'!$C$12</f>
        <v>0.65</v>
      </c>
    </row>
    <row r="47" spans="2:13" ht="12.75" customHeight="1">
      <c r="B47" s="214" t="s">
        <v>396</v>
      </c>
      <c r="C47" s="156" t="s">
        <v>7</v>
      </c>
      <c r="D47" s="900">
        <f>'R8 - Net Debt'!D57</f>
        <v>0.61202032526095129</v>
      </c>
      <c r="E47" s="901">
        <f>'R8 - Net Debt'!E57</f>
        <v>0.60988974251806194</v>
      </c>
      <c r="F47" s="901">
        <f>'R8 - Net Debt'!F57</f>
        <v>0.60772765802543072</v>
      </c>
      <c r="G47" s="901">
        <f>'R8 - Net Debt'!G57</f>
        <v>0.62305967574928389</v>
      </c>
      <c r="H47" s="901">
        <f>'R8 - Net Debt'!H57</f>
        <v>0.61813779867252461</v>
      </c>
      <c r="I47" s="901">
        <f>'R8 - Net Debt'!I57</f>
        <v>0.60835167486199238</v>
      </c>
      <c r="J47" s="901">
        <f>'R8 - Net Debt'!J57</f>
        <v>0.6076100258792656</v>
      </c>
      <c r="K47" s="902">
        <f>'R8 - Net Debt'!K57</f>
        <v>0.60018522014191877</v>
      </c>
    </row>
    <row r="48" spans="2:13" ht="12.75" customHeight="1">
      <c r="B48" s="214"/>
      <c r="C48" s="156"/>
      <c r="D48" s="156"/>
      <c r="E48" s="156"/>
      <c r="F48" s="156"/>
      <c r="G48" s="156"/>
      <c r="H48" s="156"/>
      <c r="I48" s="156"/>
      <c r="J48" s="156"/>
      <c r="K48" s="156"/>
      <c r="L48" s="156"/>
    </row>
    <row r="49" spans="2:14" ht="12.75" customHeight="1">
      <c r="B49" s="828" t="s">
        <v>466</v>
      </c>
      <c r="C49" s="267" t="s">
        <v>128</v>
      </c>
      <c r="D49" s="793">
        <f>D37</f>
        <v>25.886210857573893</v>
      </c>
      <c r="E49" s="793">
        <f t="shared" ref="E49:K49" si="5">E37</f>
        <v>27.721644189800202</v>
      </c>
      <c r="F49" s="793">
        <f t="shared" si="5"/>
        <v>16.752921003964044</v>
      </c>
      <c r="G49" s="793">
        <f t="shared" si="5"/>
        <v>22.204167730960179</v>
      </c>
      <c r="H49" s="793">
        <f t="shared" si="5"/>
        <v>25.62529590168133</v>
      </c>
      <c r="I49" s="793">
        <f t="shared" si="5"/>
        <v>19.675574756406828</v>
      </c>
      <c r="J49" s="793">
        <f t="shared" si="5"/>
        <v>18.059191900631255</v>
      </c>
      <c r="K49" s="793">
        <f t="shared" si="5"/>
        <v>21.092799058205429</v>
      </c>
    </row>
    <row r="50" spans="2:14">
      <c r="B50" s="214" t="s">
        <v>447</v>
      </c>
      <c r="C50" s="267" t="s">
        <v>128</v>
      </c>
      <c r="D50" s="793">
        <f>D85-D87</f>
        <v>-0.62422629304645483</v>
      </c>
      <c r="E50" s="793">
        <f t="shared" ref="E50:K50" si="6">E85-E87</f>
        <v>-0.80531173648297294</v>
      </c>
      <c r="F50" s="793">
        <f t="shared" si="6"/>
        <v>-0.96669463054571048</v>
      </c>
      <c r="G50" s="793">
        <f t="shared" si="6"/>
        <v>-0.5494487642031407</v>
      </c>
      <c r="H50" s="793">
        <f t="shared" si="6"/>
        <v>-0.63095077808366162</v>
      </c>
      <c r="I50" s="793">
        <f t="shared" si="6"/>
        <v>-0.81687221249699893</v>
      </c>
      <c r="J50" s="793">
        <f t="shared" si="6"/>
        <v>-0.85736970991269068</v>
      </c>
      <c r="K50" s="793">
        <f t="shared" si="6"/>
        <v>-1.1230291793022751</v>
      </c>
      <c r="L50" s="267"/>
    </row>
    <row r="51" spans="2:14" s="31" customFormat="1">
      <c r="B51" s="837" t="s">
        <v>404</v>
      </c>
      <c r="C51" s="267" t="s">
        <v>128</v>
      </c>
      <c r="D51" s="748">
        <f>SUM(D49:D50)</f>
        <v>25.261984564527438</v>
      </c>
      <c r="E51" s="749">
        <f t="shared" ref="E51:K51" si="7">SUM(E49:E50)</f>
        <v>26.916332453317228</v>
      </c>
      <c r="F51" s="749">
        <f t="shared" si="7"/>
        <v>15.786226373418334</v>
      </c>
      <c r="G51" s="749">
        <f t="shared" si="7"/>
        <v>21.654718966757038</v>
      </c>
      <c r="H51" s="749">
        <f t="shared" si="7"/>
        <v>24.994345123597668</v>
      </c>
      <c r="I51" s="749">
        <f t="shared" si="7"/>
        <v>18.858702543909828</v>
      </c>
      <c r="J51" s="749">
        <f t="shared" si="7"/>
        <v>17.201822190718566</v>
      </c>
      <c r="K51" s="750">
        <f t="shared" si="7"/>
        <v>19.969769878903154</v>
      </c>
      <c r="L51" s="813"/>
    </row>
    <row r="53" spans="2:14">
      <c r="B53" s="837" t="s">
        <v>404</v>
      </c>
      <c r="C53" s="398" t="str">
        <f>'RFPR cover'!$C$14</f>
        <v>£m 12/13</v>
      </c>
      <c r="D53" s="748">
        <f>D51/D39</f>
        <v>23.824941596966273</v>
      </c>
      <c r="E53" s="749">
        <f t="shared" ref="E53:K53" si="8">E51/E39</f>
        <v>24.852650808384375</v>
      </c>
      <c r="F53" s="749">
        <f t="shared" si="8"/>
        <v>14.050136547194446</v>
      </c>
      <c r="G53" s="749">
        <f t="shared" si="8"/>
        <v>18.701795795357981</v>
      </c>
      <c r="H53" s="749">
        <f t="shared" si="8"/>
        <v>21.04132022596961</v>
      </c>
      <c r="I53" s="749">
        <f t="shared" si="8"/>
        <v>15.610689340897215</v>
      </c>
      <c r="J53" s="749">
        <f t="shared" si="8"/>
        <v>13.94288532089778</v>
      </c>
      <c r="K53" s="750">
        <f t="shared" si="8"/>
        <v>15.780099446858712</v>
      </c>
    </row>
    <row r="54" spans="2:14">
      <c r="B54" s="837"/>
      <c r="C54" s="398"/>
      <c r="D54" s="398"/>
      <c r="E54" s="398"/>
      <c r="F54" s="398"/>
      <c r="G54" s="398"/>
      <c r="H54" s="398"/>
      <c r="I54" s="398"/>
      <c r="J54" s="398"/>
      <c r="K54" s="398"/>
    </row>
    <row r="56" spans="2:14">
      <c r="B56" s="796" t="s">
        <v>370</v>
      </c>
      <c r="C56" s="797"/>
      <c r="D56" s="797"/>
      <c r="E56" s="797"/>
      <c r="F56" s="797"/>
      <c r="G56" s="797"/>
      <c r="H56" s="797"/>
      <c r="I56" s="797"/>
      <c r="J56" s="797"/>
      <c r="K56" s="797"/>
      <c r="L56" s="797"/>
      <c r="M56" s="491"/>
    </row>
    <row r="57" spans="2:14" s="31" customFormat="1">
      <c r="B57" s="492"/>
      <c r="C57" s="491"/>
      <c r="D57" s="491"/>
      <c r="E57" s="491"/>
      <c r="F57" s="491"/>
      <c r="G57" s="491"/>
      <c r="H57" s="491"/>
      <c r="I57" s="491"/>
      <c r="J57" s="491"/>
      <c r="K57" s="491"/>
      <c r="L57" s="491"/>
      <c r="M57" s="491"/>
    </row>
    <row r="58" spans="2:14">
      <c r="B58" s="369" t="s">
        <v>467</v>
      </c>
      <c r="C58" s="294"/>
      <c r="D58" s="294"/>
      <c r="E58" s="294"/>
      <c r="F58" s="294"/>
      <c r="G58" s="294"/>
      <c r="H58" s="294"/>
      <c r="I58" s="294"/>
      <c r="J58" s="294"/>
      <c r="K58" s="294"/>
      <c r="L58" s="294"/>
      <c r="M58" s="201"/>
      <c r="N58" s="201"/>
    </row>
    <row r="59" spans="2:14" s="31" customFormat="1">
      <c r="B59" s="374"/>
      <c r="C59" s="35"/>
      <c r="D59" s="35"/>
      <c r="E59" s="35"/>
      <c r="F59" s="35"/>
      <c r="G59" s="35"/>
      <c r="H59" s="35"/>
      <c r="I59" s="35"/>
      <c r="J59" s="35"/>
      <c r="K59" s="35"/>
      <c r="L59" s="35"/>
      <c r="M59" s="37"/>
      <c r="N59" s="37"/>
    </row>
    <row r="60" spans="2:14">
      <c r="B60" s="201" t="s">
        <v>369</v>
      </c>
      <c r="C60" s="211" t="str">
        <f>'RFPR cover'!$C$14</f>
        <v>£m 12/13</v>
      </c>
      <c r="D60" s="585">
        <v>21.201716333898695</v>
      </c>
      <c r="E60" s="586">
        <v>26.285889408089695</v>
      </c>
      <c r="F60" s="586">
        <v>20.70804454913949</v>
      </c>
      <c r="G60" s="586">
        <v>19.654489862721388</v>
      </c>
      <c r="H60" s="586">
        <v>19.401067841159808</v>
      </c>
      <c r="I60" s="586">
        <v>18.489098686169804</v>
      </c>
      <c r="J60" s="586">
        <v>18.283156739611787</v>
      </c>
      <c r="K60" s="688">
        <v>16.916502830003981</v>
      </c>
    </row>
    <row r="61" spans="2:14">
      <c r="B61" s="201" t="s">
        <v>372</v>
      </c>
      <c r="C61" s="211" t="str">
        <f>'RFPR cover'!$C$14</f>
        <v>£m 12/13</v>
      </c>
      <c r="D61" s="593">
        <v>0</v>
      </c>
      <c r="E61" s="594">
        <v>0</v>
      </c>
      <c r="F61" s="594">
        <v>0</v>
      </c>
      <c r="G61" s="594">
        <v>0</v>
      </c>
      <c r="H61" s="594">
        <v>0</v>
      </c>
      <c r="I61" s="594">
        <v>0</v>
      </c>
      <c r="J61" s="594">
        <v>0</v>
      </c>
      <c r="K61" s="687">
        <v>0</v>
      </c>
    </row>
    <row r="62" spans="2:14">
      <c r="B62" s="201" t="s">
        <v>373</v>
      </c>
      <c r="C62" s="211" t="str">
        <f>'RFPR cover'!$C$14</f>
        <v>£m 12/13</v>
      </c>
      <c r="D62" s="649">
        <f t="shared" ref="D62:K62" si="9">SUM(D60:D61)</f>
        <v>21.201716333898695</v>
      </c>
      <c r="E62" s="650">
        <f t="shared" si="9"/>
        <v>26.285889408089695</v>
      </c>
      <c r="F62" s="650">
        <f t="shared" si="9"/>
        <v>20.70804454913949</v>
      </c>
      <c r="G62" s="650">
        <f t="shared" si="9"/>
        <v>19.654489862721388</v>
      </c>
      <c r="H62" s="650">
        <f t="shared" si="9"/>
        <v>19.401067841159808</v>
      </c>
      <c r="I62" s="650">
        <f t="shared" si="9"/>
        <v>18.489098686169804</v>
      </c>
      <c r="J62" s="650">
        <f t="shared" si="9"/>
        <v>18.283156739611787</v>
      </c>
      <c r="K62" s="651">
        <f t="shared" si="9"/>
        <v>16.916502830003981</v>
      </c>
    </row>
    <row r="63" spans="2:14">
      <c r="B63" s="201"/>
      <c r="C63" s="211"/>
      <c r="D63" s="211"/>
      <c r="E63" s="211"/>
      <c r="F63" s="211"/>
      <c r="G63" s="211"/>
      <c r="H63" s="211"/>
      <c r="I63" s="211"/>
      <c r="J63" s="211"/>
      <c r="K63" s="211"/>
      <c r="L63" s="211"/>
    </row>
    <row r="64" spans="2:14">
      <c r="B64" s="514" t="s">
        <v>468</v>
      </c>
      <c r="C64" s="294"/>
      <c r="D64" s="294"/>
      <c r="E64" s="294"/>
      <c r="F64" s="294"/>
      <c r="G64" s="294"/>
      <c r="H64" s="294"/>
      <c r="I64" s="294"/>
      <c r="J64" s="294"/>
      <c r="K64" s="294"/>
      <c r="L64" s="294"/>
    </row>
    <row r="65" spans="2:13" s="31" customFormat="1">
      <c r="B65" s="515"/>
      <c r="C65" s="35"/>
      <c r="D65" s="35"/>
      <c r="E65" s="35"/>
      <c r="F65" s="35"/>
      <c r="G65" s="35"/>
      <c r="H65" s="35"/>
      <c r="I65" s="35"/>
      <c r="J65" s="35"/>
      <c r="K65" s="35"/>
      <c r="L65" s="35"/>
    </row>
    <row r="66" spans="2:13">
      <c r="B66" s="201" t="s">
        <v>360</v>
      </c>
      <c r="C66" s="211" t="str">
        <f>'RFPR cover'!$C$14</f>
        <v>£m 12/13</v>
      </c>
      <c r="D66" s="585">
        <v>20.885918687436362</v>
      </c>
      <c r="E66" s="586">
        <v>26.494933822464123</v>
      </c>
      <c r="F66" s="586">
        <v>20.331560528837826</v>
      </c>
      <c r="G66" s="586">
        <v>18.901406764038953</v>
      </c>
      <c r="H66" s="586">
        <v>18.378258271063608</v>
      </c>
      <c r="I66" s="586">
        <v>18.870547531002622</v>
      </c>
      <c r="J66" s="586">
        <v>18.210884754551948</v>
      </c>
      <c r="K66" s="688">
        <v>17.337734374799833</v>
      </c>
    </row>
    <row r="67" spans="2:13">
      <c r="B67" s="201" t="s">
        <v>375</v>
      </c>
      <c r="C67" s="211" t="str">
        <f>'RFPR cover'!$C$14</f>
        <v>£m 12/13</v>
      </c>
      <c r="D67" s="593">
        <v>0</v>
      </c>
      <c r="E67" s="594">
        <v>0</v>
      </c>
      <c r="F67" s="594">
        <v>0</v>
      </c>
      <c r="G67" s="594">
        <v>0</v>
      </c>
      <c r="H67" s="594">
        <v>0</v>
      </c>
      <c r="I67" s="594">
        <v>0</v>
      </c>
      <c r="J67" s="594">
        <v>0</v>
      </c>
      <c r="K67" s="687">
        <v>0</v>
      </c>
    </row>
    <row r="68" spans="2:13">
      <c r="B68" s="14" t="s">
        <v>376</v>
      </c>
      <c r="C68" s="211" t="str">
        <f>'RFPR cover'!$C$14</f>
        <v>£m 12/13</v>
      </c>
      <c r="D68" s="613">
        <f t="shared" ref="D68:K68" si="10">SUM(D66:D67)</f>
        <v>20.885918687436362</v>
      </c>
      <c r="E68" s="614">
        <f t="shared" si="10"/>
        <v>26.494933822464123</v>
      </c>
      <c r="F68" s="614">
        <f t="shared" si="10"/>
        <v>20.331560528837826</v>
      </c>
      <c r="G68" s="614">
        <f t="shared" si="10"/>
        <v>18.901406764038953</v>
      </c>
      <c r="H68" s="614">
        <f t="shared" si="10"/>
        <v>18.378258271063608</v>
      </c>
      <c r="I68" s="614">
        <f t="shared" si="10"/>
        <v>18.870547531002622</v>
      </c>
      <c r="J68" s="614">
        <f t="shared" si="10"/>
        <v>18.210884754551948</v>
      </c>
      <c r="K68" s="615">
        <f t="shared" si="10"/>
        <v>17.337734374799833</v>
      </c>
    </row>
    <row r="69" spans="2:13" s="31" customFormat="1">
      <c r="B69" s="515"/>
      <c r="C69" s="35"/>
      <c r="D69" s="751"/>
      <c r="E69" s="751"/>
      <c r="F69" s="751"/>
      <c r="G69" s="751"/>
      <c r="H69" s="751"/>
      <c r="I69" s="751"/>
      <c r="J69" s="751"/>
      <c r="K69" s="751"/>
      <c r="L69" s="35"/>
    </row>
    <row r="70" spans="2:13" s="31" customFormat="1">
      <c r="B70" s="516" t="s">
        <v>374</v>
      </c>
      <c r="C70" s="35"/>
      <c r="D70" s="706">
        <f t="shared" ref="D70:K70" si="11">D68-D62</f>
        <v>-0.31579764646233244</v>
      </c>
      <c r="E70" s="707">
        <f t="shared" si="11"/>
        <v>0.20904441437442856</v>
      </c>
      <c r="F70" s="707">
        <f t="shared" si="11"/>
        <v>-0.37648402030166395</v>
      </c>
      <c r="G70" s="707">
        <f t="shared" si="11"/>
        <v>-0.75308309868243484</v>
      </c>
      <c r="H70" s="707">
        <f t="shared" si="11"/>
        <v>-1.0228095700962001</v>
      </c>
      <c r="I70" s="707">
        <f t="shared" si="11"/>
        <v>0.38144884483281771</v>
      </c>
      <c r="J70" s="707">
        <f t="shared" si="11"/>
        <v>-7.2271985059838784E-2</v>
      </c>
      <c r="K70" s="708">
        <f t="shared" si="11"/>
        <v>0.42123154479585168</v>
      </c>
      <c r="L70" s="35"/>
    </row>
    <row r="71" spans="2:13">
      <c r="B71" s="201" t="s">
        <v>371</v>
      </c>
      <c r="C71" s="211" t="str">
        <f>'RFPR cover'!$C$14</f>
        <v>£m 12/13</v>
      </c>
      <c r="D71" s="589">
        <v>0</v>
      </c>
      <c r="E71" s="590">
        <v>0</v>
      </c>
      <c r="F71" s="590">
        <v>0</v>
      </c>
      <c r="G71" s="590">
        <v>0</v>
      </c>
      <c r="H71" s="590">
        <v>0</v>
      </c>
      <c r="I71" s="590">
        <v>0</v>
      </c>
      <c r="J71" s="590">
        <v>-1.1260490629399769</v>
      </c>
      <c r="K71" s="686">
        <v>-1.0410301089265435</v>
      </c>
    </row>
    <row r="72" spans="2:13">
      <c r="B72" s="201" t="s">
        <v>422</v>
      </c>
      <c r="C72" s="211" t="str">
        <f>'RFPR cover'!$C$14</f>
        <v>£m 12/13</v>
      </c>
      <c r="D72" s="589">
        <v>0</v>
      </c>
      <c r="E72" s="590">
        <v>0</v>
      </c>
      <c r="F72" s="590">
        <v>0</v>
      </c>
      <c r="G72" s="590">
        <v>0</v>
      </c>
      <c r="H72" s="590">
        <v>0</v>
      </c>
      <c r="I72" s="590">
        <v>0</v>
      </c>
      <c r="J72" s="590">
        <v>1.160373760417305</v>
      </c>
      <c r="K72" s="686">
        <v>1.160383767626519</v>
      </c>
    </row>
    <row r="73" spans="2:13">
      <c r="B73" s="201" t="s">
        <v>332</v>
      </c>
      <c r="C73" s="211" t="str">
        <f>'RFPR cover'!$C$14</f>
        <v>£m 12/13</v>
      </c>
      <c r="D73" s="752">
        <v>-0.31579764646233244</v>
      </c>
      <c r="E73" s="753">
        <v>0.20904441437442856</v>
      </c>
      <c r="F73" s="753">
        <v>-0.37648402030166395</v>
      </c>
      <c r="G73" s="753">
        <v>-0.75308309868243484</v>
      </c>
      <c r="H73" s="753">
        <v>-1.0228095700962001</v>
      </c>
      <c r="I73" s="753">
        <v>0.38144884483281771</v>
      </c>
      <c r="J73" s="753">
        <v>-0.10659668253716692</v>
      </c>
      <c r="K73" s="754">
        <v>0.30187788609587618</v>
      </c>
    </row>
    <row r="74" spans="2:13">
      <c r="B74" s="201" t="s">
        <v>122</v>
      </c>
      <c r="C74" s="211" t="str">
        <f>'RFPR cover'!$C$14</f>
        <v>£m 12/13</v>
      </c>
      <c r="D74" s="517" t="str">
        <f>IF(ABS(D70-SUM(D71:D73))&lt;'RFPR cover'!$F$14,"OK","ERROR")</f>
        <v>OK</v>
      </c>
      <c r="E74" s="518" t="str">
        <f>IF(ABS(E70-SUM(E71:E73))&lt;'RFPR cover'!$F$14,"OK","ERROR")</f>
        <v>OK</v>
      </c>
      <c r="F74" s="518" t="str">
        <f>IF(ABS(F70-SUM(F71:F73))&lt;'RFPR cover'!$F$14,"OK","ERROR")</f>
        <v>OK</v>
      </c>
      <c r="G74" s="518" t="str">
        <f>IF(ABS(G70-SUM(G71:G73))&lt;'RFPR cover'!$F$14,"OK","ERROR")</f>
        <v>OK</v>
      </c>
      <c r="H74" s="518" t="str">
        <f>IF(ABS(H70-SUM(H71:H73))&lt;'RFPR cover'!$F$14,"OK","ERROR")</f>
        <v>OK</v>
      </c>
      <c r="I74" s="518" t="str">
        <f>IF(ABS(I70-SUM(I71:I73))&lt;'RFPR cover'!$F$14,"OK","ERROR")</f>
        <v>OK</v>
      </c>
      <c r="J74" s="518" t="str">
        <f>IF(ABS(J70-SUM(J71:J73))&lt;'RFPR cover'!$F$14,"OK","ERROR")</f>
        <v>OK</v>
      </c>
      <c r="K74" s="519" t="str">
        <f>IF(ABS(K70-SUM(K71:K73))&lt;'RFPR cover'!$F$14,"OK","ERROR")</f>
        <v>OK</v>
      </c>
    </row>
    <row r="75" spans="2:13">
      <c r="B75" s="201"/>
      <c r="C75" s="201"/>
      <c r="D75" s="201"/>
      <c r="E75" s="201"/>
      <c r="F75" s="201"/>
      <c r="G75" s="201"/>
      <c r="H75" s="201"/>
      <c r="I75" s="201"/>
      <c r="J75" s="201"/>
      <c r="K75" s="201"/>
      <c r="L75" s="201"/>
      <c r="M75" s="201"/>
    </row>
    <row r="77" spans="2:13">
      <c r="B77" s="841" t="s">
        <v>424</v>
      </c>
      <c r="C77" s="841"/>
      <c r="D77" s="841"/>
      <c r="E77" s="841"/>
      <c r="F77" s="841"/>
      <c r="G77" s="841"/>
      <c r="H77" s="841"/>
      <c r="I77" s="841"/>
      <c r="J77" s="841"/>
      <c r="K77" s="841"/>
      <c r="L77" s="841"/>
    </row>
    <row r="79" spans="2:13">
      <c r="B79" s="14" t="s">
        <v>425</v>
      </c>
      <c r="C79" s="212" t="str">
        <f>'RFPR cover'!$C$14</f>
        <v>£m 12/13</v>
      </c>
      <c r="D79" s="613">
        <f t="shared" ref="D79:K79" si="12">D$68-D41</f>
        <v>-3.5277397198475704</v>
      </c>
      <c r="E79" s="614">
        <f t="shared" si="12"/>
        <v>0.89871472098421634</v>
      </c>
      <c r="F79" s="614">
        <f t="shared" si="12"/>
        <v>5.4210415674219981</v>
      </c>
      <c r="G79" s="614">
        <f t="shared" si="12"/>
        <v>-0.27491278773043604</v>
      </c>
      <c r="H79" s="614">
        <f t="shared" si="12"/>
        <v>-3.1942235957824749</v>
      </c>
      <c r="I79" s="614">
        <f t="shared" si="12"/>
        <v>2.5836749632470912</v>
      </c>
      <c r="J79" s="614">
        <f t="shared" si="12"/>
        <v>3.5730609899017356</v>
      </c>
      <c r="K79" s="615">
        <f t="shared" si="12"/>
        <v>0.67021798530345578</v>
      </c>
    </row>
    <row r="80" spans="2:13">
      <c r="B80" s="14"/>
      <c r="C80" s="14"/>
      <c r="D80" s="14"/>
      <c r="E80" s="14"/>
      <c r="F80" s="14"/>
      <c r="G80" s="14"/>
      <c r="H80" s="14"/>
      <c r="I80" s="14"/>
      <c r="J80" s="14"/>
      <c r="K80" s="14"/>
    </row>
    <row r="81" spans="2:11">
      <c r="B81" s="14" t="s">
        <v>436</v>
      </c>
      <c r="C81" s="212" t="str">
        <f>'RFPR cover'!$C$14</f>
        <v>£m 12/13</v>
      </c>
      <c r="D81" s="613">
        <f t="shared" ref="D81:K81" si="13">D$68-D53</f>
        <v>-2.9390229095299105</v>
      </c>
      <c r="E81" s="614">
        <f t="shared" si="13"/>
        <v>1.642283014079748</v>
      </c>
      <c r="F81" s="614">
        <f t="shared" si="13"/>
        <v>6.2814239816433801</v>
      </c>
      <c r="G81" s="614">
        <f t="shared" si="13"/>
        <v>0.19961096868097172</v>
      </c>
      <c r="H81" s="614">
        <f t="shared" si="13"/>
        <v>-2.6630619549060022</v>
      </c>
      <c r="I81" s="614">
        <f t="shared" si="13"/>
        <v>3.2598581901054065</v>
      </c>
      <c r="J81" s="614">
        <f t="shared" si="13"/>
        <v>4.2679994336541682</v>
      </c>
      <c r="K81" s="615">
        <f t="shared" si="13"/>
        <v>1.5576349279411215</v>
      </c>
    </row>
    <row r="83" spans="2:11">
      <c r="B83" s="14" t="s">
        <v>435</v>
      </c>
      <c r="C83" s="212" t="str">
        <f>'RFPR cover'!$C$14</f>
        <v>£m 12/13</v>
      </c>
      <c r="D83" s="613">
        <f>D79-D81</f>
        <v>-0.58871681031765988</v>
      </c>
      <c r="E83" s="614">
        <f t="shared" ref="E83:K83" si="14">E79-E81</f>
        <v>-0.74356829309553163</v>
      </c>
      <c r="F83" s="614">
        <f t="shared" si="14"/>
        <v>-0.86038241422138206</v>
      </c>
      <c r="G83" s="614">
        <f t="shared" si="14"/>
        <v>-0.47452375641140776</v>
      </c>
      <c r="H83" s="614">
        <f t="shared" si="14"/>
        <v>-0.53116164087647277</v>
      </c>
      <c r="I83" s="614">
        <f t="shared" si="14"/>
        <v>-0.67618322685831522</v>
      </c>
      <c r="J83" s="614">
        <f t="shared" si="14"/>
        <v>-0.69493844375243263</v>
      </c>
      <c r="K83" s="615">
        <f t="shared" si="14"/>
        <v>-0.88741694263766568</v>
      </c>
    </row>
    <row r="85" spans="2:11">
      <c r="B85" t="s">
        <v>518</v>
      </c>
      <c r="C85" s="267" t="s">
        <v>128</v>
      </c>
      <c r="D85" s="589">
        <v>2.5348693862869114</v>
      </c>
      <c r="E85" s="589">
        <v>2.5277191646505672</v>
      </c>
      <c r="F85" s="589">
        <v>1.1687455296285234</v>
      </c>
      <c r="G85" s="589">
        <v>1.4235400873705728</v>
      </c>
      <c r="H85" s="589">
        <v>1.9623143496413087</v>
      </c>
      <c r="I85" s="589">
        <v>1.7280938685853593</v>
      </c>
      <c r="J85" s="589">
        <v>2.0716170949397172</v>
      </c>
      <c r="K85" s="589">
        <v>3.2699868155475471</v>
      </c>
    </row>
    <row r="86" spans="2:11">
      <c r="B86" t="s">
        <v>518</v>
      </c>
      <c r="C86" s="398" t="str">
        <f>'RFPR cover'!$C$14</f>
        <v>£m 12/13</v>
      </c>
      <c r="D86" s="793">
        <f>D85/D$39</f>
        <v>2.3906718385469468</v>
      </c>
      <c r="E86" s="793">
        <f t="shared" ref="E86:K86" si="15">E85/E$39</f>
        <v>2.3339183319152181</v>
      </c>
      <c r="F86" s="793">
        <f t="shared" si="15"/>
        <v>1.0402127710428906</v>
      </c>
      <c r="G86" s="793">
        <f t="shared" si="15"/>
        <v>1.2294205277556403</v>
      </c>
      <c r="H86" s="793">
        <f t="shared" si="15"/>
        <v>1.651961050015095</v>
      </c>
      <c r="I86" s="793">
        <f t="shared" si="15"/>
        <v>1.4304661983815576</v>
      </c>
      <c r="J86" s="793">
        <f t="shared" si="15"/>
        <v>1.6791430153917497</v>
      </c>
      <c r="K86" s="793">
        <f t="shared" si="15"/>
        <v>2.5839415001857455</v>
      </c>
    </row>
    <row r="87" spans="2:11">
      <c r="B87" t="s">
        <v>519</v>
      </c>
      <c r="C87" s="267" t="s">
        <v>128</v>
      </c>
      <c r="D87" s="589">
        <v>3.1590956793333662</v>
      </c>
      <c r="E87" s="589">
        <v>3.3330309011335402</v>
      </c>
      <c r="F87" s="589">
        <v>2.1354401601742339</v>
      </c>
      <c r="G87" s="589">
        <v>1.9729888515737135</v>
      </c>
      <c r="H87" s="589">
        <v>2.5932651277249703</v>
      </c>
      <c r="I87" s="589">
        <v>2.5449660810823582</v>
      </c>
      <c r="J87" s="589">
        <v>2.9289868048524079</v>
      </c>
      <c r="K87" s="589">
        <v>4.3930159948498222</v>
      </c>
    </row>
    <row r="88" spans="2:11">
      <c r="B88" t="s">
        <v>519</v>
      </c>
      <c r="C88" s="398" t="str">
        <f>'RFPR cover'!$C$14</f>
        <v>£m 12/13</v>
      </c>
      <c r="D88" s="793">
        <f t="shared" ref="D88:K88" si="16">D87/D$39</f>
        <v>2.9793886488646062</v>
      </c>
      <c r="E88" s="793">
        <f t="shared" si="16"/>
        <v>3.0774866250107507</v>
      </c>
      <c r="F88" s="793">
        <f t="shared" si="16"/>
        <v>1.9005951852642728</v>
      </c>
      <c r="G88" s="793">
        <f t="shared" si="16"/>
        <v>1.7039442841670494</v>
      </c>
      <c r="H88" s="793">
        <f t="shared" si="16"/>
        <v>2.183122690891568</v>
      </c>
      <c r="I88" s="793">
        <f t="shared" si="16"/>
        <v>2.1066494252398709</v>
      </c>
      <c r="J88" s="793">
        <f t="shared" si="16"/>
        <v>2.3740814591441834</v>
      </c>
      <c r="K88" s="793">
        <f t="shared" si="16"/>
        <v>3.471358442823413</v>
      </c>
    </row>
    <row r="89" spans="2:11">
      <c r="B89" t="s">
        <v>521</v>
      </c>
      <c r="C89" s="398" t="str">
        <f>'RFPR cover'!$C$14</f>
        <v>£m 12/13</v>
      </c>
      <c r="D89" s="793">
        <f>D86-D88</f>
        <v>-0.58871681031765943</v>
      </c>
      <c r="E89" s="793">
        <f t="shared" ref="E89:K89" si="17">E86-E88</f>
        <v>-0.74356829309553252</v>
      </c>
      <c r="F89" s="793">
        <f t="shared" si="17"/>
        <v>-0.86038241422138229</v>
      </c>
      <c r="G89" s="793">
        <f t="shared" si="17"/>
        <v>-0.47452375641140909</v>
      </c>
      <c r="H89" s="793">
        <f t="shared" si="17"/>
        <v>-0.531161640876473</v>
      </c>
      <c r="I89" s="793">
        <f t="shared" si="17"/>
        <v>-0.67618322685831322</v>
      </c>
      <c r="J89" s="793">
        <f t="shared" si="17"/>
        <v>-0.69493844375243374</v>
      </c>
      <c r="K89" s="793">
        <f t="shared" si="17"/>
        <v>-0.88741694263766746</v>
      </c>
    </row>
  </sheetData>
  <conditionalFormatting sqref="D6:K7">
    <cfRule type="expression" dxfId="21" priority="69">
      <formula>AND(D$6="Actuals",E$6="Forecast")</formula>
    </cfRule>
  </conditionalFormatting>
  <conditionalFormatting sqref="D5:K5">
    <cfRule type="expression" dxfId="20" priority="44">
      <formula>AND(D$5="Actuals",E$5="Forecast")</formula>
    </cfRule>
  </conditionalFormatting>
  <conditionalFormatting sqref="H36:K36 D36:F36">
    <cfRule type="expression" dxfId="19" priority="12">
      <formula>AND(D$5="Actuals",E$5="Actuals")</formula>
    </cfRule>
  </conditionalFormatting>
  <conditionalFormatting sqref="D12:K12 D15:K19 D24:K33">
    <cfRule type="expression" dxfId="18" priority="11">
      <formula>NOT(AND(D$5="Actuals"))</formula>
    </cfRule>
  </conditionalFormatting>
  <conditionalFormatting sqref="G36">
    <cfRule type="expression" dxfId="17" priority="177">
      <formula>AND(E$5="Actuals",F$5="Actuals")</formula>
    </cfRule>
  </conditionalFormatting>
  <pageMargins left="0.70866141732283472" right="0.70866141732283472" top="0.74803149606299213" bottom="0.74803149606299213" header="0.31496062992125984" footer="0.31496062992125984"/>
  <pageSetup paperSize="8" scale="7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tabColor rgb="FFFFFFCC"/>
    <pageSetUpPr fitToPage="1"/>
  </sheetPr>
  <dimension ref="A1:R15"/>
  <sheetViews>
    <sheetView showGridLines="0" zoomScale="80" zoomScaleNormal="80" workbookViewId="0">
      <pane ySplit="6" topLeftCell="A7" activePane="bottomLeft" state="frozen"/>
      <selection activeCell="B75" sqref="A1:XFD1048576"/>
      <selection pane="bottomLeft" activeCell="C28" sqref="C28"/>
    </sheetView>
  </sheetViews>
  <sheetFormatPr defaultRowHeight="12.75"/>
  <cols>
    <col min="1" max="1" width="8.375" customWidth="1"/>
    <col min="2" max="2" width="83.125" bestFit="1" customWidth="1"/>
    <col min="3" max="3" width="14.125" customWidth="1"/>
    <col min="4" max="11" width="11.125" customWidth="1"/>
    <col min="12" max="12" width="5" customWidth="1"/>
    <col min="17" max="17" width="13.125" customWidth="1"/>
  </cols>
  <sheetData>
    <row r="1" spans="1:18" s="31" customFormat="1" ht="20.25">
      <c r="A1" s="935" t="s">
        <v>259</v>
      </c>
      <c r="B1" s="946"/>
      <c r="C1" s="121"/>
      <c r="D1" s="121"/>
      <c r="E1" s="121"/>
      <c r="F1" s="121"/>
      <c r="G1" s="121"/>
      <c r="H1" s="121"/>
      <c r="I1" s="127"/>
      <c r="J1" s="127"/>
      <c r="K1" s="128"/>
      <c r="L1" s="129"/>
    </row>
    <row r="2" spans="1:18" s="31" customFormat="1" ht="20.25">
      <c r="A2" s="920" t="str">
        <f>'RFPR cover'!C5</f>
        <v>ENWL</v>
      </c>
      <c r="B2" s="912"/>
      <c r="C2" s="29"/>
      <c r="D2" s="29"/>
      <c r="E2" s="29"/>
      <c r="F2" s="29"/>
      <c r="G2" s="29"/>
      <c r="H2" s="29"/>
      <c r="I2" s="27"/>
      <c r="J2" s="27"/>
      <c r="K2" s="27"/>
      <c r="L2" s="124"/>
    </row>
    <row r="3" spans="1:18" s="31" customFormat="1" ht="23.25">
      <c r="A3" s="937">
        <f>'RFPR cover'!C7</f>
        <v>2020</v>
      </c>
      <c r="B3" s="929" t="str">
        <f>'R1 - RoRE'!B3</f>
        <v/>
      </c>
      <c r="C3" s="125"/>
      <c r="D3" s="125"/>
      <c r="E3" s="125"/>
      <c r="F3" s="125"/>
      <c r="G3" s="125"/>
      <c r="H3" s="125"/>
      <c r="I3" s="28"/>
      <c r="J3" s="28"/>
      <c r="K3" s="28"/>
      <c r="L3" s="126"/>
    </row>
    <row r="4" spans="1:18" s="2" customFormat="1" ht="12.75" customHeight="1"/>
    <row r="5" spans="1:18" s="2" customFormat="1">
      <c r="B5" s="3"/>
      <c r="C5" s="3"/>
      <c r="D5" s="391" t="str">
        <f>IF(D6&lt;='RFPR cover'!$C$7,"Actuals","N/A")</f>
        <v>Actuals</v>
      </c>
      <c r="E5" s="392" t="str">
        <f>IF(E6&lt;='RFPR cover'!$C$7,"Actuals","N/A")</f>
        <v>Actuals</v>
      </c>
      <c r="F5" s="392" t="str">
        <f>IF(F6&lt;='RFPR cover'!$C$7,"Actuals","N/A")</f>
        <v>Actuals</v>
      </c>
      <c r="G5" s="392" t="str">
        <f>IF(G6&lt;='RFPR cover'!$C$7,"Actuals","N/A")</f>
        <v>Actuals</v>
      </c>
      <c r="H5" s="392" t="str">
        <f>IF(H6&lt;='RFPR cover'!$C$7,"Actuals","N/A")</f>
        <v>Actuals</v>
      </c>
      <c r="I5" s="392" t="str">
        <f>IF(I6&lt;='RFPR cover'!$C$7,"Actuals","N/A")</f>
        <v>N/A</v>
      </c>
      <c r="J5" s="392" t="str">
        <f>IF(J6&lt;='RFPR cover'!$C$7,"Actuals","N/A")</f>
        <v>N/A</v>
      </c>
      <c r="K5" s="393" t="str">
        <f>IF(K6&lt;='RFPR cover'!$C$7,"Actuals","N/A")</f>
        <v>N/A</v>
      </c>
    </row>
    <row r="6" spans="1:18" s="2" customFormat="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8" s="2" customFormat="1"/>
    <row r="8" spans="1:18">
      <c r="B8" s="14" t="s">
        <v>229</v>
      </c>
      <c r="C8" s="153" t="s">
        <v>128</v>
      </c>
      <c r="D8" s="641">
        <v>30</v>
      </c>
      <c r="E8" s="642">
        <v>81</v>
      </c>
      <c r="F8" s="642">
        <v>75.599999999999994</v>
      </c>
      <c r="G8" s="642">
        <v>46.3</v>
      </c>
      <c r="H8" s="642">
        <v>38.299999999999997</v>
      </c>
      <c r="I8" s="642"/>
      <c r="J8" s="642"/>
      <c r="K8" s="643"/>
    </row>
    <row r="9" spans="1:18">
      <c r="B9" s="15" t="s">
        <v>105</v>
      </c>
      <c r="C9" s="14"/>
      <c r="D9" s="755"/>
      <c r="E9" s="755"/>
      <c r="F9" s="755"/>
      <c r="G9" s="755"/>
      <c r="H9" s="755"/>
      <c r="I9" s="755"/>
      <c r="J9" s="755"/>
      <c r="K9" s="755"/>
    </row>
    <row r="10" spans="1:18">
      <c r="B10" s="432" t="s">
        <v>22</v>
      </c>
      <c r="C10" s="153" t="s">
        <v>128</v>
      </c>
      <c r="D10" s="597"/>
      <c r="E10" s="598"/>
      <c r="F10" s="598"/>
      <c r="G10" s="598"/>
      <c r="H10" s="598"/>
      <c r="I10" s="598"/>
      <c r="J10" s="598"/>
      <c r="K10" s="608"/>
    </row>
    <row r="11" spans="1:18">
      <c r="B11" s="432" t="s">
        <v>22</v>
      </c>
      <c r="C11" s="153" t="s">
        <v>128</v>
      </c>
      <c r="D11" s="599"/>
      <c r="E11" s="600"/>
      <c r="F11" s="600"/>
      <c r="G11" s="600"/>
      <c r="H11" s="600"/>
      <c r="I11" s="600"/>
      <c r="J11" s="600"/>
      <c r="K11" s="609"/>
    </row>
    <row r="12" spans="1:18">
      <c r="B12" s="432" t="s">
        <v>20</v>
      </c>
      <c r="C12" s="153" t="s">
        <v>128</v>
      </c>
      <c r="D12" s="610"/>
      <c r="E12" s="611"/>
      <c r="F12" s="611"/>
      <c r="G12" s="611"/>
      <c r="H12" s="611"/>
      <c r="I12" s="611"/>
      <c r="J12" s="611"/>
      <c r="K12" s="612"/>
      <c r="Q12" s="217"/>
    </row>
    <row r="13" spans="1:18">
      <c r="B13" s="14" t="s">
        <v>106</v>
      </c>
      <c r="C13" s="153" t="s">
        <v>128</v>
      </c>
      <c r="D13" s="743">
        <f>D8-SUM(D10:D12)</f>
        <v>30</v>
      </c>
      <c r="E13" s="744">
        <f t="shared" ref="E13:K13" si="1">E8-SUM(E10:E12)</f>
        <v>81</v>
      </c>
      <c r="F13" s="744">
        <f t="shared" si="1"/>
        <v>75.599999999999994</v>
      </c>
      <c r="G13" s="744">
        <f t="shared" si="1"/>
        <v>46.3</v>
      </c>
      <c r="H13" s="744">
        <f t="shared" si="1"/>
        <v>38.299999999999997</v>
      </c>
      <c r="I13" s="744">
        <f t="shared" si="1"/>
        <v>0</v>
      </c>
      <c r="J13" s="744">
        <f t="shared" si="1"/>
        <v>0</v>
      </c>
      <c r="K13" s="745">
        <f t="shared" si="1"/>
        <v>0</v>
      </c>
      <c r="R13" s="216"/>
    </row>
    <row r="14" spans="1:18">
      <c r="C14" s="14"/>
      <c r="Q14" s="217"/>
    </row>
    <row r="15" spans="1:18">
      <c r="B15" s="14" t="s">
        <v>495</v>
      </c>
      <c r="C15" s="153" t="s">
        <v>128</v>
      </c>
      <c r="D15" s="597">
        <v>0</v>
      </c>
      <c r="E15" s="598">
        <v>0</v>
      </c>
      <c r="F15" s="598">
        <v>0</v>
      </c>
      <c r="G15" s="598">
        <v>0</v>
      </c>
      <c r="H15" s="598">
        <v>0</v>
      </c>
      <c r="I15" s="598"/>
      <c r="J15" s="598"/>
      <c r="K15" s="608"/>
    </row>
  </sheetData>
  <conditionalFormatting sqref="D6:K6">
    <cfRule type="expression" dxfId="16" priority="10">
      <formula>AND(D$5="Actuals",E$5="N/A")</formula>
    </cfRule>
  </conditionalFormatting>
  <conditionalFormatting sqref="D5:K5">
    <cfRule type="expression" dxfId="15" priority="3">
      <formula>AND(D$5="Actuals",E$5="N/A")</formula>
    </cfRule>
  </conditionalFormatting>
  <conditionalFormatting sqref="D8:K8 D5:K6 D10:K13">
    <cfRule type="expression" dxfId="14" priority="2">
      <formula>D$5="N/A"</formula>
    </cfRule>
  </conditionalFormatting>
  <conditionalFormatting sqref="D15:K15">
    <cfRule type="expression" dxfId="13" priority="1">
      <formula>D$5="N/A"</formula>
    </cfRule>
  </conditionalFormatting>
  <pageMargins left="0.70866141732283472" right="0.70866141732283472" top="0.74803149606299213" bottom="0.74803149606299213" header="0.31496062992125984" footer="0.31496062992125984"/>
  <pageSetup paperSize="8" scale="8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8">
    <tabColor rgb="FFFFFFCC"/>
    <pageSetUpPr fitToPage="1"/>
  </sheetPr>
  <dimension ref="A1:L39"/>
  <sheetViews>
    <sheetView showGridLines="0" zoomScale="70" zoomScaleNormal="70" workbookViewId="0">
      <pane ySplit="6" topLeftCell="A7" activePane="bottomLeft" state="frozen"/>
      <selection activeCell="B75" sqref="A1:XFD1048576"/>
      <selection pane="bottomLeft" activeCell="D24" sqref="D24"/>
    </sheetView>
  </sheetViews>
  <sheetFormatPr defaultRowHeight="12.75"/>
  <cols>
    <col min="1" max="1" width="8.375" customWidth="1"/>
    <col min="2" max="2" width="82" customWidth="1"/>
    <col min="3" max="3" width="14.125" customWidth="1"/>
    <col min="4" max="11" width="11.125" customWidth="1"/>
    <col min="12" max="12" width="5" customWidth="1"/>
  </cols>
  <sheetData>
    <row r="1" spans="1:12" s="31" customFormat="1" ht="20.25">
      <c r="A1" s="931" t="s">
        <v>258</v>
      </c>
      <c r="B1" s="927"/>
      <c r="C1" s="257"/>
      <c r="D1" s="257"/>
      <c r="E1" s="257"/>
      <c r="F1" s="257"/>
      <c r="G1" s="257"/>
      <c r="H1" s="257"/>
      <c r="I1" s="258"/>
      <c r="J1" s="258"/>
      <c r="K1" s="259"/>
      <c r="L1" s="260"/>
    </row>
    <row r="2" spans="1:12" s="31" customFormat="1" ht="20.25">
      <c r="A2" s="920" t="str">
        <f>'RFPR cover'!C5</f>
        <v>ENWL</v>
      </c>
      <c r="B2" s="912"/>
      <c r="C2" s="29"/>
      <c r="D2" s="29"/>
      <c r="E2" s="29"/>
      <c r="F2" s="29"/>
      <c r="G2" s="29"/>
      <c r="H2" s="29"/>
      <c r="I2" s="27"/>
      <c r="J2" s="27"/>
      <c r="K2" s="27"/>
      <c r="L2" s="124"/>
    </row>
    <row r="3" spans="1:12" s="31" customFormat="1" ht="20.25">
      <c r="A3" s="923">
        <f>'RFPR cover'!C7</f>
        <v>2020</v>
      </c>
      <c r="B3" s="930"/>
      <c r="C3" s="261"/>
      <c r="D3" s="261"/>
      <c r="E3" s="261"/>
      <c r="F3" s="261"/>
      <c r="G3" s="261"/>
      <c r="H3" s="261"/>
      <c r="I3" s="256"/>
      <c r="J3" s="256"/>
      <c r="K3" s="256"/>
      <c r="L3" s="262"/>
    </row>
    <row r="4" spans="1:12" s="2" customFormat="1" ht="12.75" customHeight="1">
      <c r="A4" s="35"/>
      <c r="B4" s="270"/>
      <c r="C4" s="31"/>
      <c r="D4" s="271"/>
      <c r="E4" s="271"/>
      <c r="F4" s="35"/>
      <c r="G4" s="35"/>
      <c r="H4" s="35"/>
      <c r="I4" s="35"/>
      <c r="J4" s="35"/>
      <c r="K4" s="35"/>
    </row>
    <row r="5" spans="1:12" s="2" customFormat="1" ht="12.75" customHeight="1">
      <c r="A5" s="35"/>
      <c r="B5" s="270"/>
      <c r="C5" s="31"/>
      <c r="D5" s="391" t="str">
        <f>IF(D6&lt;='RFPR cover'!$C$7,"Actuals","Forecast")</f>
        <v>Actuals</v>
      </c>
      <c r="E5" s="392" t="str">
        <f>IF(E6&lt;='RFPR cover'!$C$7,"Actuals","Forecast")</f>
        <v>Actuals</v>
      </c>
      <c r="F5" s="392" t="str">
        <f>IF(F6&lt;='RFPR cover'!$C$7,"Actuals","Forecast")</f>
        <v>Actuals</v>
      </c>
      <c r="G5" s="392" t="str">
        <f>IF(G6&lt;='RFPR cover'!$C$7,"Actuals","Forecast")</f>
        <v>Actuals</v>
      </c>
      <c r="H5" s="392" t="str">
        <f>IF(H6&lt;='RFPR cover'!$C$7,"Actuals","Forecast")</f>
        <v>Actuals</v>
      </c>
      <c r="I5" s="392" t="str">
        <f>IF(I6&lt;='RFPR cover'!$C$7,"Actuals","Forecast")</f>
        <v>Forecast</v>
      </c>
      <c r="J5" s="392" t="str">
        <f>IF(J6&lt;='RFPR cover'!$C$7,"Actuals","Forecast")</f>
        <v>Forecast</v>
      </c>
      <c r="K5" s="393" t="str">
        <f>IF(K6&lt;='RFPR cover'!$C$7,"Actuals","Forecast")</f>
        <v>Forecast</v>
      </c>
    </row>
    <row r="6" spans="1:12" s="2" customFormat="1">
      <c r="A6" s="35"/>
      <c r="B6" s="35"/>
      <c r="C6" s="3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2" s="2" customFormat="1">
      <c r="A7" s="35"/>
      <c r="B7" s="35"/>
      <c r="C7" s="31"/>
      <c r="D7" s="31"/>
      <c r="E7" s="31"/>
      <c r="F7" s="31"/>
      <c r="G7" s="31"/>
      <c r="H7" s="31"/>
      <c r="I7" s="31"/>
      <c r="J7" s="31"/>
      <c r="K7" s="31"/>
      <c r="L7" s="31"/>
    </row>
    <row r="8" spans="1:12">
      <c r="B8" s="14" t="s">
        <v>384</v>
      </c>
      <c r="C8" s="153" t="s">
        <v>128</v>
      </c>
      <c r="D8" s="756">
        <v>11.000400000000001</v>
      </c>
      <c r="E8" s="757">
        <v>11.300400000000002</v>
      </c>
      <c r="F8" s="757">
        <v>17.3004</v>
      </c>
      <c r="G8" s="757">
        <v>17.758000000000003</v>
      </c>
      <c r="H8" s="757">
        <v>18.3</v>
      </c>
      <c r="I8" s="757"/>
      <c r="J8" s="757"/>
      <c r="K8" s="758"/>
    </row>
    <row r="9" spans="1:12">
      <c r="B9" s="16" t="s">
        <v>24</v>
      </c>
      <c r="D9" s="755"/>
      <c r="E9" s="755"/>
      <c r="F9" s="755"/>
      <c r="G9" s="755"/>
      <c r="H9" s="755"/>
      <c r="I9" s="755"/>
      <c r="J9" s="755"/>
      <c r="K9" s="755"/>
    </row>
    <row r="10" spans="1:12">
      <c r="B10" t="s">
        <v>23</v>
      </c>
      <c r="C10" s="153" t="s">
        <v>128</v>
      </c>
      <c r="D10" s="680">
        <v>11.000400000000001</v>
      </c>
      <c r="E10" s="681">
        <v>11.111206659510641</v>
      </c>
      <c r="F10" s="681">
        <v>16.954391999999999</v>
      </c>
      <c r="G10" s="681">
        <v>17.402840000000001</v>
      </c>
      <c r="H10" s="681">
        <v>17.934000000000001</v>
      </c>
      <c r="I10" s="681"/>
      <c r="J10" s="681"/>
      <c r="K10" s="682"/>
    </row>
    <row r="11" spans="1:12">
      <c r="B11" t="s">
        <v>25</v>
      </c>
      <c r="C11" s="153" t="s">
        <v>128</v>
      </c>
      <c r="D11" s="759">
        <v>0</v>
      </c>
      <c r="E11" s="760">
        <v>0.1891933404893606</v>
      </c>
      <c r="F11" s="760">
        <v>0.34600799999999998</v>
      </c>
      <c r="G11" s="760">
        <v>0.35515999999999998</v>
      </c>
      <c r="H11" s="760">
        <v>0.36599999999999999</v>
      </c>
      <c r="I11" s="760"/>
      <c r="J11" s="760"/>
      <c r="K11" s="761"/>
    </row>
    <row r="12" spans="1:12">
      <c r="D12" s="755"/>
      <c r="E12" s="755"/>
      <c r="F12" s="755"/>
      <c r="G12" s="755"/>
      <c r="H12" s="755"/>
      <c r="I12" s="755"/>
      <c r="J12" s="755"/>
      <c r="K12" s="755"/>
    </row>
    <row r="13" spans="1:12">
      <c r="D13" s="755"/>
      <c r="E13" s="755"/>
      <c r="F13" s="755"/>
      <c r="G13" s="755"/>
      <c r="H13" s="755"/>
      <c r="I13" s="755"/>
      <c r="J13" s="755"/>
      <c r="K13" s="755"/>
    </row>
    <row r="14" spans="1:12">
      <c r="B14" t="s">
        <v>23</v>
      </c>
      <c r="C14" s="211" t="str">
        <f>'RFPR cover'!$C$14</f>
        <v>£m 12/13</v>
      </c>
      <c r="D14" s="17">
        <f>D10/Data!C$34</f>
        <v>10.374635724830689</v>
      </c>
      <c r="E14" s="17">
        <f>E10/Data!D$34</f>
        <v>10.259307788219138</v>
      </c>
      <c r="F14" s="17">
        <f>F10/Data!E$34</f>
        <v>15.089833190012659</v>
      </c>
      <c r="G14" s="17">
        <f>G10/Data!F$34</f>
        <v>15.029719870247224</v>
      </c>
      <c r="H14" s="17">
        <f>H10/Data!G$34</f>
        <v>15.097616483508922</v>
      </c>
      <c r="I14" s="17">
        <f>I10/Data!H$34</f>
        <v>0</v>
      </c>
      <c r="J14" s="17">
        <f>J10/Data!I$34</f>
        <v>0</v>
      </c>
      <c r="K14" s="17">
        <f>K10/Data!J$34</f>
        <v>0</v>
      </c>
    </row>
    <row r="15" spans="1:12">
      <c r="D15" s="755"/>
      <c r="E15" s="755"/>
      <c r="F15" s="755"/>
      <c r="G15" s="755"/>
      <c r="H15" s="755"/>
      <c r="I15" s="755"/>
      <c r="J15" s="755"/>
      <c r="K15" s="755"/>
    </row>
    <row r="16" spans="1:12">
      <c r="D16" s="755"/>
      <c r="E16" s="755"/>
      <c r="F16" s="755"/>
      <c r="G16" s="755"/>
      <c r="H16" s="755"/>
      <c r="I16" s="755"/>
      <c r="J16" s="755"/>
      <c r="K16" s="755"/>
    </row>
    <row r="17" spans="2:11" s="2" customFormat="1">
      <c r="B17" s="14" t="s">
        <v>312</v>
      </c>
      <c r="C17" s="211" t="str">
        <f>'RFPR cover'!$C$14</f>
        <v>£m 12/13</v>
      </c>
      <c r="D17" s="762">
        <v>15.825859714506272</v>
      </c>
      <c r="E17" s="762">
        <v>15.825859714506272</v>
      </c>
      <c r="F17" s="762">
        <v>15.825859714506272</v>
      </c>
      <c r="G17" s="762">
        <v>11.599633422263759</v>
      </c>
      <c r="H17" s="762">
        <v>11.599633422263759</v>
      </c>
      <c r="I17" s="762">
        <v>11.599633422263759</v>
      </c>
      <c r="J17" s="762">
        <v>16.999633422263759</v>
      </c>
      <c r="K17" s="762">
        <v>16.999633422263759</v>
      </c>
    </row>
    <row r="18" spans="2:11" s="2" customFormat="1">
      <c r="B18" s="201" t="s">
        <v>313</v>
      </c>
      <c r="C18" s="211" t="str">
        <f>'RFPR cover'!$C$14</f>
        <v>£m 12/13</v>
      </c>
      <c r="D18" s="762">
        <v>-1.1737737077574799</v>
      </c>
      <c r="E18" s="762">
        <v>-1.1737737077574799</v>
      </c>
      <c r="F18" s="762">
        <v>-1.1737737077574799</v>
      </c>
      <c r="G18" s="762">
        <v>-5.4</v>
      </c>
      <c r="H18" s="762">
        <v>-5.4</v>
      </c>
      <c r="I18" s="762">
        <v>-5.4</v>
      </c>
      <c r="J18" s="762">
        <v>0</v>
      </c>
      <c r="K18" s="762">
        <v>0</v>
      </c>
    </row>
    <row r="19" spans="2:11" s="2" customFormat="1">
      <c r="B19" s="14" t="s">
        <v>314</v>
      </c>
      <c r="C19" s="211" t="str">
        <f>'RFPR cover'!$C$14</f>
        <v>£m 12/13</v>
      </c>
      <c r="D19" s="17">
        <f>D17-D18</f>
        <v>16.999633422263752</v>
      </c>
      <c r="E19" s="17">
        <f t="shared" ref="E19:K19" si="1">E17-E18</f>
        <v>16.999633422263752</v>
      </c>
      <c r="F19" s="17">
        <f t="shared" si="1"/>
        <v>16.999633422263752</v>
      </c>
      <c r="G19" s="17">
        <f t="shared" si="1"/>
        <v>16.999633422263759</v>
      </c>
      <c r="H19" s="17">
        <f t="shared" si="1"/>
        <v>16.999633422263759</v>
      </c>
      <c r="I19" s="17">
        <f t="shared" si="1"/>
        <v>16.999633422263759</v>
      </c>
      <c r="J19" s="17">
        <f t="shared" si="1"/>
        <v>16.999633422263759</v>
      </c>
      <c r="K19" s="17">
        <f t="shared" si="1"/>
        <v>16.999633422263759</v>
      </c>
    </row>
    <row r="20" spans="2:11" s="2" customFormat="1">
      <c r="B20" s="14"/>
      <c r="C20" s="14"/>
      <c r="D20" s="14"/>
      <c r="E20" s="14"/>
      <c r="F20" s="14"/>
      <c r="G20" s="14"/>
      <c r="H20" s="14"/>
      <c r="I20" s="14"/>
      <c r="J20" s="14"/>
      <c r="K20" s="14"/>
    </row>
    <row r="21" spans="2:11" s="2" customFormat="1">
      <c r="B21" s="14"/>
      <c r="C21" s="14"/>
      <c r="D21" s="998" t="s">
        <v>118</v>
      </c>
      <c r="E21" s="14"/>
      <c r="F21" s="14"/>
      <c r="G21" s="14"/>
      <c r="H21" s="14"/>
      <c r="I21" s="14"/>
      <c r="J21" s="14"/>
      <c r="K21" s="14"/>
    </row>
    <row r="22" spans="2:11" s="2" customFormat="1" ht="12.75" customHeight="1">
      <c r="B22" s="14"/>
      <c r="C22" s="14"/>
      <c r="D22" s="999"/>
      <c r="E22" s="14"/>
      <c r="F22" s="14"/>
      <c r="G22" s="14"/>
      <c r="H22" s="14"/>
      <c r="I22" s="14"/>
      <c r="J22" s="14"/>
      <c r="K22" s="14"/>
    </row>
    <row r="23" spans="2:11">
      <c r="C23" s="14"/>
      <c r="D23" s="1000"/>
      <c r="E23" s="14"/>
    </row>
    <row r="24" spans="2:11">
      <c r="B24" s="14" t="s">
        <v>117</v>
      </c>
      <c r="C24" s="14"/>
      <c r="D24" s="526">
        <v>42460</v>
      </c>
    </row>
    <row r="25" spans="2:11">
      <c r="B25" s="14"/>
      <c r="C25" s="14"/>
      <c r="D25" s="40"/>
      <c r="E25" s="41"/>
      <c r="F25" s="41"/>
    </row>
    <row r="26" spans="2:11">
      <c r="B26" s="201" t="s">
        <v>311</v>
      </c>
      <c r="C26" s="14"/>
      <c r="D26" s="364" t="s">
        <v>631</v>
      </c>
      <c r="E26" s="41"/>
      <c r="F26" s="41"/>
    </row>
    <row r="27" spans="2:11">
      <c r="B27" s="201"/>
      <c r="C27" s="14"/>
      <c r="D27" s="40"/>
      <c r="E27" s="41"/>
      <c r="F27" s="41"/>
    </row>
    <row r="28" spans="2:11">
      <c r="B28" s="14"/>
      <c r="D28" s="363" t="s">
        <v>281</v>
      </c>
      <c r="E28" s="41"/>
      <c r="F28" s="41"/>
    </row>
    <row r="29" spans="2:11">
      <c r="B29" t="s">
        <v>26</v>
      </c>
      <c r="D29" s="762">
        <v>116.43641199999999</v>
      </c>
    </row>
    <row r="30" spans="2:11">
      <c r="B30" t="s">
        <v>27</v>
      </c>
      <c r="D30" s="762">
        <v>1232.563588</v>
      </c>
    </row>
    <row r="31" spans="2:11">
      <c r="D31" s="755"/>
    </row>
    <row r="32" spans="2:11">
      <c r="B32" t="s">
        <v>28</v>
      </c>
      <c r="D32" s="762">
        <v>113.70000000000002</v>
      </c>
    </row>
    <row r="33" spans="2:4">
      <c r="B33" t="s">
        <v>29</v>
      </c>
      <c r="D33" s="762">
        <v>1092.6999999999998</v>
      </c>
    </row>
    <row r="34" spans="2:4">
      <c r="D34" s="755"/>
    </row>
    <row r="35" spans="2:4">
      <c r="B35" s="43" t="s">
        <v>31</v>
      </c>
      <c r="D35" s="17">
        <f>D29-D32</f>
        <v>2.736411999999973</v>
      </c>
    </row>
    <row r="36" spans="2:4">
      <c r="B36" s="43" t="s">
        <v>30</v>
      </c>
      <c r="D36" s="17">
        <f>D30-D33</f>
        <v>139.86358800000016</v>
      </c>
    </row>
    <row r="37" spans="2:4">
      <c r="D37" s="755"/>
    </row>
    <row r="38" spans="2:4">
      <c r="B38" t="s">
        <v>32</v>
      </c>
      <c r="D38" s="762">
        <v>2.736411999999973</v>
      </c>
    </row>
    <row r="39" spans="2:4">
      <c r="B39" t="s">
        <v>33</v>
      </c>
      <c r="D39" s="762">
        <v>139.86358800000016</v>
      </c>
    </row>
  </sheetData>
  <mergeCells count="1">
    <mergeCell ref="D21:D23"/>
  </mergeCells>
  <conditionalFormatting sqref="D6:J6">
    <cfRule type="expression" dxfId="12" priority="16">
      <formula>AND(D$4="Actuals",E$4="Forecast")</formula>
    </cfRule>
  </conditionalFormatting>
  <conditionalFormatting sqref="D11:K11">
    <cfRule type="expression" dxfId="11" priority="10">
      <formula>D$5="Forecast"</formula>
    </cfRule>
    <cfRule type="expression" dxfId="10" priority="11">
      <formula>D$5="Actuals"</formula>
    </cfRule>
  </conditionalFormatting>
  <conditionalFormatting sqref="D8:K8">
    <cfRule type="expression" dxfId="9" priority="14">
      <formula>D$5="Forecast"</formula>
    </cfRule>
    <cfRule type="expression" dxfId="8" priority="15">
      <formula>D$5="Actuals"</formula>
    </cfRule>
  </conditionalFormatting>
  <conditionalFormatting sqref="D10:K10">
    <cfRule type="expression" dxfId="7" priority="12">
      <formula>D$5="Forecast"</formula>
    </cfRule>
    <cfRule type="expression" dxfId="6" priority="13">
      <formula>D$5="Actuals"</formula>
    </cfRule>
  </conditionalFormatting>
  <conditionalFormatting sqref="D5:K6">
    <cfRule type="expression" dxfId="5" priority="9">
      <formula>AND(D$5="Actuals",E$5="Forecast")</formula>
    </cfRule>
  </conditionalFormatting>
  <conditionalFormatting sqref="D21">
    <cfRule type="expression" dxfId="4" priority="6">
      <formula>AND(E$4="Actuals",F$4="Forecast")</formula>
    </cfRule>
  </conditionalFormatting>
  <conditionalFormatting sqref="K6">
    <cfRule type="expression" dxfId="3" priority="112">
      <formula>AND(K$4="Actuals",#REF!="Forecast")</formula>
    </cfRule>
  </conditionalFormatting>
  <conditionalFormatting sqref="K5">
    <cfRule type="expression" dxfId="2" priority="114">
      <formula>AND(K$5="Actuals",#REF!="Forecast")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9">
    <tabColor rgb="FFFFFFCC"/>
    <pageSetUpPr fitToPage="1"/>
  </sheetPr>
  <dimension ref="A1:S21"/>
  <sheetViews>
    <sheetView showGridLines="0" zoomScale="80" zoomScaleNormal="80" workbookViewId="0">
      <pane ySplit="6" topLeftCell="A7" activePane="bottomLeft" state="frozen"/>
      <selection activeCell="B75" sqref="A1:XFD1048576"/>
      <selection pane="bottomLeft" activeCell="G30" sqref="G30"/>
    </sheetView>
  </sheetViews>
  <sheetFormatPr defaultRowHeight="12.75"/>
  <cols>
    <col min="1" max="1" width="8.375" customWidth="1"/>
    <col min="2" max="2" width="70.75" customWidth="1"/>
    <col min="3" max="3" width="14.125" customWidth="1"/>
    <col min="4" max="11" width="11.125" customWidth="1"/>
    <col min="12" max="12" width="5" customWidth="1"/>
  </cols>
  <sheetData>
    <row r="1" spans="1:19" s="31" customFormat="1" ht="20.25">
      <c r="A1" s="917" t="s">
        <v>257</v>
      </c>
      <c r="B1" s="927"/>
      <c r="C1" s="257"/>
      <c r="D1" s="257"/>
      <c r="E1" s="257"/>
      <c r="F1" s="257"/>
      <c r="G1" s="257"/>
      <c r="H1" s="257"/>
      <c r="I1" s="258"/>
      <c r="J1" s="258"/>
      <c r="K1" s="259"/>
      <c r="L1" s="365"/>
      <c r="M1" s="33"/>
      <c r="N1" s="33"/>
      <c r="O1" s="32" t="s">
        <v>84</v>
      </c>
      <c r="P1" s="33"/>
      <c r="Q1" s="33"/>
      <c r="R1" s="33"/>
      <c r="S1" s="33"/>
    </row>
    <row r="2" spans="1:19" s="31" customFormat="1" ht="20.25">
      <c r="A2" s="920" t="str">
        <f>'RFPR cover'!C5</f>
        <v>ENWL</v>
      </c>
      <c r="B2" s="912"/>
      <c r="C2" s="29"/>
      <c r="D2" s="29"/>
      <c r="E2" s="29"/>
      <c r="F2" s="29"/>
      <c r="G2" s="29"/>
      <c r="H2" s="29"/>
      <c r="I2" s="27"/>
      <c r="J2" s="27"/>
      <c r="K2" s="27"/>
      <c r="L2" s="124"/>
      <c r="M2" s="33"/>
      <c r="N2" s="33"/>
      <c r="O2" s="32" t="s">
        <v>84</v>
      </c>
      <c r="P2" s="33"/>
      <c r="Q2" s="33"/>
      <c r="R2" s="33"/>
      <c r="S2" s="33"/>
    </row>
    <row r="3" spans="1:19" s="31" customFormat="1" ht="20.25">
      <c r="A3" s="923">
        <f>'RFPR cover'!C7</f>
        <v>2020</v>
      </c>
      <c r="B3" s="930"/>
      <c r="C3" s="261"/>
      <c r="D3" s="261"/>
      <c r="E3" s="261"/>
      <c r="F3" s="261"/>
      <c r="G3" s="261"/>
      <c r="H3" s="261"/>
      <c r="I3" s="256"/>
      <c r="J3" s="256"/>
      <c r="K3" s="256"/>
      <c r="L3" s="262"/>
      <c r="M3" s="33"/>
      <c r="N3" s="33"/>
      <c r="O3" s="32" t="s">
        <v>84</v>
      </c>
      <c r="P3" s="33"/>
      <c r="Q3" s="33"/>
      <c r="R3" s="33"/>
      <c r="S3" s="33"/>
    </row>
    <row r="4" spans="1:19" s="2" customFormat="1" ht="12.75" customHeight="1">
      <c r="M4" s="33"/>
      <c r="N4" s="33"/>
      <c r="O4" s="32" t="s">
        <v>84</v>
      </c>
      <c r="P4" s="33"/>
      <c r="Q4" s="33"/>
      <c r="R4" s="33"/>
      <c r="S4" s="33"/>
    </row>
    <row r="5" spans="1:19" s="2" customFormat="1" ht="12.75" customHeight="1">
      <c r="B5" s="3"/>
      <c r="C5" s="3"/>
      <c r="D5" s="391" t="str">
        <f>IF(D6&lt;='RFPR cover'!$C$7,"Actuals","Forecast")</f>
        <v>Actuals</v>
      </c>
      <c r="E5" s="392" t="str">
        <f>IF(E6&lt;='RFPR cover'!$C$7,"Actuals","Forecast")</f>
        <v>Actuals</v>
      </c>
      <c r="F5" s="392" t="str">
        <f>IF(F6&lt;='RFPR cover'!$C$7,"Actuals","Forecast")</f>
        <v>Actuals</v>
      </c>
      <c r="G5" s="392" t="str">
        <f>IF(G6&lt;='RFPR cover'!$C$7,"Actuals","Forecast")</f>
        <v>Actuals</v>
      </c>
      <c r="H5" s="392" t="str">
        <f>IF(H6&lt;='RFPR cover'!$C$7,"Actuals","Forecast")</f>
        <v>Actuals</v>
      </c>
      <c r="I5" s="392" t="str">
        <f>IF(I6&lt;='RFPR cover'!$C$7,"Actuals","Forecast")</f>
        <v>Forecast</v>
      </c>
      <c r="J5" s="392" t="str">
        <f>IF(J6&lt;='RFPR cover'!$C$7,"Actuals","Forecast")</f>
        <v>Forecast</v>
      </c>
      <c r="K5" s="393" t="str">
        <f>IF(K6&lt;='RFPR cover'!$C$7,"Actuals","Forecast")</f>
        <v>Forecast</v>
      </c>
      <c r="M5" s="33"/>
      <c r="N5" s="33"/>
      <c r="O5" s="32" t="s">
        <v>84</v>
      </c>
      <c r="P5" s="33"/>
      <c r="Q5" s="33"/>
      <c r="R5" s="33"/>
      <c r="S5" s="33"/>
    </row>
    <row r="6" spans="1:19" s="2" customFormat="1">
      <c r="C6" s="14"/>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9">
      <c r="D7" s="766"/>
      <c r="E7" s="766"/>
      <c r="F7" s="766"/>
      <c r="G7" s="766"/>
      <c r="H7" s="766"/>
      <c r="I7" s="766"/>
      <c r="J7" s="766"/>
      <c r="K7" s="766"/>
    </row>
    <row r="8" spans="1:19">
      <c r="B8" s="51" t="s">
        <v>458</v>
      </c>
      <c r="C8" s="211" t="str">
        <f>'RFPR cover'!$C$14</f>
        <v>£m 12/13</v>
      </c>
      <c r="D8" s="763">
        <f>(D16+D21)/Data!C34</f>
        <v>2.2983320857408271E-2</v>
      </c>
      <c r="E8" s="763">
        <f>(E16+E21)/Data!D34</f>
        <v>8.0374009026687593E-3</v>
      </c>
      <c r="F8" s="763">
        <f>(F16+F21)/Data!E34</f>
        <v>1.8229910905648433E-2</v>
      </c>
      <c r="G8" s="763">
        <f>(G16+G21)/Data!F34</f>
        <v>3.7257777065949432E-2</v>
      </c>
      <c r="H8" s="763">
        <f>(H16+H21)/Data!G34</f>
        <v>4.0563135009343963E-2</v>
      </c>
      <c r="I8" s="763">
        <f>(I16+I21)/Data!H34</f>
        <v>6.6527878728221093E-2</v>
      </c>
      <c r="J8" s="763">
        <f>(J16+J21)/Data!I34</f>
        <v>6.6772167144603767E-2</v>
      </c>
      <c r="K8" s="763">
        <f>(K16+K21)/Data!J34</f>
        <v>6.6677777965834809E-2</v>
      </c>
    </row>
    <row r="9" spans="1:19">
      <c r="D9" s="766"/>
      <c r="E9" s="766"/>
      <c r="F9" s="766"/>
      <c r="G9" s="766"/>
      <c r="H9" s="766"/>
      <c r="I9" s="766"/>
      <c r="J9" s="766"/>
      <c r="K9" s="766"/>
    </row>
    <row r="10" spans="1:19">
      <c r="B10" s="14" t="s">
        <v>442</v>
      </c>
      <c r="D10" s="766"/>
      <c r="E10" s="766"/>
      <c r="F10" s="766"/>
      <c r="G10" s="766"/>
      <c r="H10" s="766"/>
      <c r="I10" s="766"/>
      <c r="J10" s="766"/>
      <c r="K10" s="766"/>
    </row>
    <row r="11" spans="1:19">
      <c r="B11" s="44" t="s">
        <v>36</v>
      </c>
      <c r="C11" s="153" t="s">
        <v>128</v>
      </c>
      <c r="D11" s="641">
        <v>0</v>
      </c>
      <c r="E11" s="642">
        <v>0</v>
      </c>
      <c r="F11" s="642">
        <v>0</v>
      </c>
      <c r="G11" s="642">
        <v>0</v>
      </c>
      <c r="H11" s="642">
        <v>0</v>
      </c>
      <c r="I11" s="642">
        <v>0</v>
      </c>
      <c r="J11" s="642">
        <v>0</v>
      </c>
      <c r="K11" s="643">
        <v>0</v>
      </c>
    </row>
    <row r="12" spans="1:19">
      <c r="B12" s="44" t="s">
        <v>36</v>
      </c>
      <c r="C12" s="153" t="s">
        <v>128</v>
      </c>
      <c r="D12" s="641">
        <v>0</v>
      </c>
      <c r="E12" s="642">
        <v>0</v>
      </c>
      <c r="F12" s="642">
        <v>0</v>
      </c>
      <c r="G12" s="642">
        <v>0</v>
      </c>
      <c r="H12" s="642">
        <v>0</v>
      </c>
      <c r="I12" s="642">
        <v>0</v>
      </c>
      <c r="J12" s="642">
        <v>0</v>
      </c>
      <c r="K12" s="643">
        <v>0</v>
      </c>
    </row>
    <row r="13" spans="1:19">
      <c r="B13" s="44" t="s">
        <v>20</v>
      </c>
      <c r="C13" s="153" t="s">
        <v>128</v>
      </c>
      <c r="D13" s="641">
        <v>0</v>
      </c>
      <c r="E13" s="642">
        <v>0</v>
      </c>
      <c r="F13" s="642">
        <v>0</v>
      </c>
      <c r="G13" s="642">
        <v>0</v>
      </c>
      <c r="H13" s="642">
        <v>0</v>
      </c>
      <c r="I13" s="642">
        <v>0</v>
      </c>
      <c r="J13" s="642">
        <v>0</v>
      </c>
      <c r="K13" s="643">
        <v>0</v>
      </c>
    </row>
    <row r="14" spans="1:19">
      <c r="B14" s="14" t="s">
        <v>455</v>
      </c>
      <c r="C14" s="153" t="s">
        <v>128</v>
      </c>
      <c r="D14" s="763">
        <f>SUM(D11:D13)</f>
        <v>0</v>
      </c>
      <c r="E14" s="764">
        <f t="shared" ref="E14:K14" si="1">SUM(E11:E13)</f>
        <v>0</v>
      </c>
      <c r="F14" s="764">
        <f t="shared" si="1"/>
        <v>0</v>
      </c>
      <c r="G14" s="764">
        <f t="shared" si="1"/>
        <v>0</v>
      </c>
      <c r="H14" s="764">
        <f t="shared" si="1"/>
        <v>0</v>
      </c>
      <c r="I14" s="764">
        <f t="shared" si="1"/>
        <v>0</v>
      </c>
      <c r="J14" s="764">
        <f t="shared" si="1"/>
        <v>0</v>
      </c>
      <c r="K14" s="765">
        <f t="shared" si="1"/>
        <v>0</v>
      </c>
    </row>
    <row r="15" spans="1:19">
      <c r="B15" s="35" t="s">
        <v>449</v>
      </c>
      <c r="C15" s="153" t="s">
        <v>128</v>
      </c>
      <c r="D15" s="641">
        <v>0</v>
      </c>
      <c r="E15" s="642">
        <v>0</v>
      </c>
      <c r="F15" s="642">
        <v>0</v>
      </c>
      <c r="G15" s="642">
        <v>0</v>
      </c>
      <c r="H15" s="642">
        <v>0</v>
      </c>
      <c r="I15" s="642">
        <v>0</v>
      </c>
      <c r="J15" s="642">
        <v>0</v>
      </c>
      <c r="K15" s="643">
        <v>0</v>
      </c>
    </row>
    <row r="16" spans="1:19">
      <c r="B16" s="51" t="s">
        <v>456</v>
      </c>
      <c r="C16" s="153" t="s">
        <v>128</v>
      </c>
      <c r="D16" s="763">
        <f>D14-D15</f>
        <v>0</v>
      </c>
      <c r="E16" s="763">
        <f t="shared" ref="E16:K16" si="2">E14-E15</f>
        <v>0</v>
      </c>
      <c r="F16" s="763">
        <f t="shared" si="2"/>
        <v>0</v>
      </c>
      <c r="G16" s="763">
        <f t="shared" si="2"/>
        <v>0</v>
      </c>
      <c r="H16" s="763">
        <f t="shared" si="2"/>
        <v>0</v>
      </c>
      <c r="I16" s="763">
        <f t="shared" si="2"/>
        <v>0</v>
      </c>
      <c r="J16" s="763">
        <f t="shared" si="2"/>
        <v>0</v>
      </c>
      <c r="K16" s="763">
        <f t="shared" si="2"/>
        <v>0</v>
      </c>
    </row>
    <row r="18" spans="2:11">
      <c r="B18" s="14" t="s">
        <v>453</v>
      </c>
      <c r="D18" s="766"/>
      <c r="E18" s="766"/>
      <c r="F18" s="766"/>
      <c r="G18" s="766"/>
      <c r="H18" s="766"/>
      <c r="I18" s="766"/>
      <c r="J18" s="766"/>
      <c r="K18" s="766"/>
    </row>
    <row r="19" spans="2:11">
      <c r="B19" s="851" t="s">
        <v>454</v>
      </c>
      <c r="C19" s="153" t="s">
        <v>128</v>
      </c>
      <c r="D19" s="641">
        <v>3.0461999999999999E-2</v>
      </c>
      <c r="E19" s="642">
        <v>1.0881E-2</v>
      </c>
      <c r="F19" s="642">
        <v>2.5286999999999997E-2</v>
      </c>
      <c r="G19" s="642">
        <v>5.3260000000000002E-2</v>
      </c>
      <c r="H19" s="642">
        <v>5.9486068999999996E-2</v>
      </c>
      <c r="I19" s="642">
        <v>9.9222093589638058E-2</v>
      </c>
      <c r="J19" s="642">
        <v>0.101702645929379</v>
      </c>
      <c r="K19" s="643">
        <v>0.10417402013748299</v>
      </c>
    </row>
    <row r="20" spans="2:11">
      <c r="B20" s="35" t="s">
        <v>449</v>
      </c>
      <c r="C20" s="153" t="s">
        <v>128</v>
      </c>
      <c r="D20" s="641">
        <v>6.0924000000000004E-3</v>
      </c>
      <c r="E20" s="642">
        <v>2.1762000000000001E-3</v>
      </c>
      <c r="F20" s="642">
        <v>4.8045299999999996E-3</v>
      </c>
      <c r="G20" s="642">
        <v>1.0119400000000001E-2</v>
      </c>
      <c r="H20" s="642">
        <v>1.130235311E-2</v>
      </c>
      <c r="I20" s="642">
        <v>1.8852197782031233E-2</v>
      </c>
      <c r="J20" s="642">
        <v>1.9323502726582009E-2</v>
      </c>
      <c r="K20" s="643">
        <v>1.9793063826121768E-2</v>
      </c>
    </row>
    <row r="21" spans="2:11">
      <c r="B21" s="51" t="s">
        <v>457</v>
      </c>
      <c r="C21" s="153" t="s">
        <v>128</v>
      </c>
      <c r="D21" s="763">
        <f>D19-D20</f>
        <v>2.4369599999999998E-2</v>
      </c>
      <c r="E21" s="763">
        <f t="shared" ref="E21:K21" si="3">E19-E20</f>
        <v>8.7048000000000004E-3</v>
      </c>
      <c r="F21" s="763">
        <f t="shared" si="3"/>
        <v>2.0482469999999996E-2</v>
      </c>
      <c r="G21" s="763">
        <f t="shared" si="3"/>
        <v>4.3140600000000001E-2</v>
      </c>
      <c r="H21" s="763">
        <f t="shared" si="3"/>
        <v>4.8183715889999992E-2</v>
      </c>
      <c r="I21" s="763">
        <f t="shared" si="3"/>
        <v>8.0369895807606825E-2</v>
      </c>
      <c r="J21" s="763">
        <f t="shared" si="3"/>
        <v>8.2379143202796989E-2</v>
      </c>
      <c r="K21" s="763">
        <f t="shared" si="3"/>
        <v>8.4380956311361222E-2</v>
      </c>
    </row>
  </sheetData>
  <conditionalFormatting sqref="D6:K6">
    <cfRule type="expression" dxfId="1" priority="11">
      <formula>AND(D$4="Actuals",E$4="Forecast")</formula>
    </cfRule>
  </conditionalFormatting>
  <conditionalFormatting sqref="D5:K6">
    <cfRule type="expression" dxfId="0" priority="4">
      <formula>AND(D$5="Actuals",E$5="Forecast")</formula>
    </cfRule>
  </conditionalFormatting>
  <pageMargins left="0.70866141732283472" right="0.70866141732283472" top="0.74803149606299213" bottom="0.74803149606299213" header="0.31496062992125984" footer="0.31496062992125984"/>
  <pageSetup paperSize="8" scale="9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Procedure" ma:contentTypeID="0x010100BEF857C979C03448B587B28C0D35960500299C6ADD4A6AB54A9176CBB9E1C669A7" ma:contentTypeVersion="12" ma:contentTypeDescription="This is used to produce internal procedure" ma:contentTypeScope="" ma:versionID="afa9eba955e40daec69419ac2750c779">
  <xsd:schema xmlns:xsd="http://www.w3.org/2001/XMLSchema" xmlns:xs="http://www.w3.org/2001/XMLSchema" xmlns:p="http://schemas.microsoft.com/office/2006/metadata/properties" xmlns:ns2="http://schemas.microsoft.com/sharepoint/v3/fields" xmlns:ns3="631298fc-6a88-4548-b7d9-3b164918c4a3" targetNamespace="http://schemas.microsoft.com/office/2006/metadata/properties" ma:root="true" ma:fieldsID="8709a988f41297bdc56398bcb6fb9dd5" ns2:_="" ns3:_="">
    <xsd:import namespace="http://schemas.microsoft.com/sharepoint/v3/fields"/>
    <xsd:import namespace="631298fc-6a88-4548-b7d9-3b164918c4a3"/>
    <xsd:element name="properties">
      <xsd:complexType>
        <xsd:sequence>
          <xsd:element name="documentManagement">
            <xsd:complexType>
              <xsd:all>
                <xsd:element ref="ns3:Recipient" minOccurs="0"/>
                <xsd:element ref="ns2:_Status" minOccurs="0"/>
                <xsd:element ref="ns3:Applicable_x0020_Start_x0020_Date" minOccurs="0"/>
                <xsd:element ref="ns3:Applicable_x0020_Duration" minOccurs="0"/>
                <xsd:element ref="ns3:Classification" minOccurs="0"/>
                <xsd:element ref="ns3: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0"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Recipient" ma:index="9" nillable="true" ma:displayName="Recipient" ma:description="Internal or external person(s) or group (eg Exec, SMT or Authority).  For Legal Advice put recipient of advice." ma:internalName="Recipient">
      <xsd:simpleType>
        <xsd:restriction base="dms:Text">
          <xsd:maxLength value="255"/>
        </xsd:restriction>
      </xsd:simpleType>
    </xsd:element>
    <xsd:element name="Applicable_x0020_Start_x0020_Date" ma:index="11"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12"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Classification" ma:index="1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pplicable_x0020_Start_x0020_Date xmlns="631298fc-6a88-4548-b7d9-3b164918c4a3" xsi:nil="true"/>
    <Applicable_x0020_Duration xmlns="631298fc-6a88-4548-b7d9-3b164918c4a3">-</Applicable_x0020_Duration>
    <Classification xmlns="631298fc-6a88-4548-b7d9-3b164918c4a3">Unclassified</Classification>
    <Recipient xmlns="631298fc-6a88-4548-b7d9-3b164918c4a3" xsi:nil="true"/>
    <_Status xmlns="http://schemas.microsoft.com/sharepoint/v3/fields">Draft</_Status>
    <Descriptor xmlns="631298fc-6a88-4548-b7d9-3b164918c4a3" xsi:nil="true"/>
  </documentManagement>
</p:properties>
</file>

<file path=customXml/item3.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ca9306fc-8436-45f0-b931-e34f519be3a3" ContentTypeId="0x010100BEF857C979C03448B587B28C0D359605" PreviousValue="true"/>
</file>

<file path=customXml/itemProps1.xml><?xml version="1.0" encoding="utf-8"?>
<ds:datastoreItem xmlns:ds="http://schemas.openxmlformats.org/officeDocument/2006/customXml" ds:itemID="{24AE012C-75D0-4C37-8533-38FAA86823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285FE4-1466-4BF7-8FA9-67F63A3D57B8}">
  <ds:schemaRefs>
    <ds:schemaRef ds:uri="http://purl.org/dc/elements/1.1/"/>
    <ds:schemaRef ds:uri="http://schemas.microsoft.com/office/2006/documentManagement/types"/>
    <ds:schemaRef ds:uri="http://schemas.microsoft.com/office/infopath/2007/PartnerControls"/>
    <ds:schemaRef ds:uri="http://schemas.microsoft.com/office/2006/metadata/properties"/>
    <ds:schemaRef ds:uri="631298fc-6a88-4548-b7d9-3b164918c4a3"/>
    <ds:schemaRef ds:uri="http://schemas.openxmlformats.org/package/2006/metadata/core-properties"/>
    <ds:schemaRef ds:uri="http://purl.org/dc/terms/"/>
    <ds:schemaRef ds:uri="http://schemas.microsoft.com/sharepoint/v3/fields"/>
    <ds:schemaRef ds:uri="http://www.w3.org/XML/1998/namespace"/>
    <ds:schemaRef ds:uri="http://purl.org/dc/dcmitype/"/>
  </ds:schemaRefs>
</ds:datastoreItem>
</file>

<file path=customXml/itemProps3.xml><?xml version="1.0" encoding="utf-8"?>
<ds:datastoreItem xmlns:ds="http://schemas.openxmlformats.org/officeDocument/2006/customXml" ds:itemID="{23302359-0A5A-443C-AC8D-7BDD5B842A3E}">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5.xml><?xml version="1.0" encoding="utf-8"?>
<ds:datastoreItem xmlns:ds="http://schemas.openxmlformats.org/officeDocument/2006/customXml" ds:itemID="{FDAA1E34-FF0B-44F6-BCB0-892CEABC3557}">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RFPR cover</vt:lpstr>
      <vt:lpstr>Data</vt:lpstr>
      <vt:lpstr>Content &amp; Version Control</vt:lpstr>
      <vt:lpstr>Change log</vt:lpstr>
      <vt:lpstr>R1 - RoRE</vt:lpstr>
      <vt:lpstr>R2 - Revenue</vt:lpstr>
      <vt:lpstr>R3 - Rec to totex</vt:lpstr>
      <vt:lpstr>R4 - Totex</vt:lpstr>
      <vt:lpstr>R5 - Output Incentives</vt:lpstr>
      <vt:lpstr>R6 - Innovation</vt:lpstr>
      <vt:lpstr>R7 - Financing</vt:lpstr>
      <vt:lpstr>R8 - Net Debt</vt:lpstr>
      <vt:lpstr>R9 - RAV</vt:lpstr>
      <vt:lpstr>R10 - Tax</vt:lpstr>
      <vt:lpstr>R11 - Dividends</vt:lpstr>
      <vt:lpstr>R12 - Pensions</vt:lpstr>
      <vt:lpstr>R13 - Other Activities </vt:lpstr>
      <vt:lpstr>Navigate</vt:lpstr>
      <vt:lpstr>'Change log'!Print_Area</vt:lpstr>
      <vt:lpstr>'Content &amp; Version Control'!Print_Area</vt:lpstr>
      <vt:lpstr>'R1 - RoRE'!Print_Area</vt:lpstr>
      <vt:lpstr>'R10 - Tax'!Print_Area</vt:lpstr>
      <vt:lpstr>'R11 - Dividends'!Print_Area</vt:lpstr>
      <vt:lpstr>'R12 - Pensions'!Print_Area</vt:lpstr>
      <vt:lpstr>'R13 - Other Activities '!Print_Area</vt:lpstr>
      <vt:lpstr>'R2 - Revenue'!Print_Area</vt:lpstr>
      <vt:lpstr>'R3 - Rec to totex'!Print_Area</vt:lpstr>
      <vt:lpstr>'R4 - Totex'!Print_Area</vt:lpstr>
      <vt:lpstr>'R5 - Output Incentives'!Print_Area</vt:lpstr>
      <vt:lpstr>'R6 - Innovation'!Print_Area</vt:lpstr>
      <vt:lpstr>'R7 - Financing'!Print_Area</vt:lpstr>
      <vt:lpstr>'R8 - Net Debt'!Print_Area</vt:lpstr>
      <vt:lpstr>'R9 - RAV'!Print_Area</vt:lpstr>
      <vt:lpstr>'RFPR cover'!Print_Area</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Mick Watson</dc:creator>
  <cp:lastModifiedBy>Dave Ball</cp:lastModifiedBy>
  <cp:lastPrinted>2018-10-02T10:25:02Z</cp:lastPrinted>
  <dcterms:created xsi:type="dcterms:W3CDTF">2018-06-13T08:32:09Z</dcterms:created>
  <dcterms:modified xsi:type="dcterms:W3CDTF">2020-07-30T08:46:28Z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76c3927d-9d0f-4b5b-afc3-851e8447321f</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10" name="ContentTypeId">
    <vt:lpwstr>0x010100BEF857C979C03448B587B28C0D35960500299C6ADD4A6AB54A9176CBB9E1C669A7</vt:lpwstr>
  </property>
  <property fmtid="{D5CDD505-2E9C-101B-9397-08002B2CF9AE}" pid="11" name="BJSCc5a055b0-1bed-4579_x">
    <vt:lpwstr/>
  </property>
  <property fmtid="{D5CDD505-2E9C-101B-9397-08002B2CF9AE}" pid="12" name="BJSCSummaryMarking">
    <vt:lpwstr>OFFICIAL</vt:lpwstr>
  </property>
  <property fmtid="{D5CDD505-2E9C-101B-9397-08002B2CF9AE}" pid="13"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4" name="BJSCdd9eba61-d6b9-469b_x">
    <vt:lpwstr/>
  </property>
  <property fmtid="{D5CDD505-2E9C-101B-9397-08002B2CF9AE}" pid="15" name="Publication Date:">
    <vt:filetime>2018-10-01T10:01:08Z</vt:filetime>
  </property>
  <property fmtid="{D5CDD505-2E9C-101B-9397-08002B2CF9AE}" pid="16" name="::">
    <vt:lpwstr>-Main Document</vt:lpwstr>
  </property>
  <property fmtid="{D5CDD505-2E9C-101B-9397-08002B2CF9AE}" pid="17" name="Classification">
    <vt:lpwstr>Unclassified</vt:lpwstr>
  </property>
  <property fmtid="{D5CDD505-2E9C-101B-9397-08002B2CF9AE}" pid="18"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9" name="bjDocumentLabelXML-0">
    <vt:lpwstr>nternal/label"&gt;&lt;element uid="id_classification_nonbusiness" value="" /&gt;&lt;/sisl&gt;</vt:lpwstr>
  </property>
  <property fmtid="{D5CDD505-2E9C-101B-9397-08002B2CF9AE}" pid="20" name="bjDocumentSecurityLabel">
    <vt:lpwstr>OFFICIAL</vt:lpwstr>
  </property>
</Properties>
</file>