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hannah.greaves\Desktop\ENW\Regulatory Information\Use of System Charges\Historical charges\2014-2015\"/>
    </mc:Choice>
  </mc:AlternateContent>
  <bookViews>
    <workbookView xWindow="0" yWindow="0" windowWidth="25200" windowHeight="11985" tabRatio="913" firstSheet="16" activeTab="24"/>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RP 1.3" sheetId="18" r:id="rId12"/>
    <sheet name="RRP 2.3" sheetId="4" r:id="rId13"/>
    <sheet name="RRP 2.4" sheetId="3" r:id="rId14"/>
    <sheet name="RRP 2.6" sheetId="2" r:id="rId15"/>
    <sheet name="RRP 5.1" sheetId="1" r:id="rId16"/>
    <sheet name="Summary of revenue" sheetId="21" r:id="rId17"/>
    <sheet name="Calc-MEAV" sheetId="16" r:id="rId18"/>
    <sheet name="Calc-Units" sheetId="19" r:id="rId19"/>
    <sheet name="Calc-Net capex" sheetId="12" r:id="rId20"/>
    <sheet name="Calc DNO Opex Allocation" sheetId="13" r:id="rId21"/>
    <sheet name="Calc-Drivers" sheetId="7" r:id="rId22"/>
    <sheet name="DNO Final Allocation" sheetId="17" r:id="rId23"/>
    <sheet name="Allocation Summary" sheetId="23" r:id="rId24"/>
    <sheet name="Results" sheetId="36" r:id="rId25"/>
  </sheets>
  <externalReferences>
    <externalReference r:id="rId26"/>
    <externalReference r:id="rId27"/>
    <externalReference r:id="rId28"/>
    <externalReference r:id="rId29"/>
  </externalReferences>
  <definedNames>
    <definedName name="_xlnm._FilterDatabase" localSheetId="0" hidden="1">Index!$A$9:$B$33</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5">'RRP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I164" i="16" l="1"/>
  <c r="G89" i="3"/>
  <c r="F89" i="3"/>
  <c r="E89" i="3"/>
  <c r="L10" i="3"/>
  <c r="G30" i="4"/>
  <c r="G31" i="4"/>
  <c r="G33" i="4"/>
  <c r="G34" i="4"/>
  <c r="F34" i="4"/>
  <c r="E34" i="4"/>
  <c r="Q19" i="10"/>
  <c r="T19" i="10"/>
  <c r="S19" i="10"/>
  <c r="P19" i="10"/>
  <c r="O19" i="10"/>
  <c r="Q18" i="10"/>
  <c r="T18" i="10"/>
  <c r="S18" i="10"/>
  <c r="P18" i="10"/>
  <c r="O18" i="10"/>
  <c r="Q16" i="10"/>
  <c r="S16" i="10"/>
  <c r="T16" i="10"/>
  <c r="P16" i="10"/>
  <c r="O16" i="10"/>
  <c r="Q15" i="10"/>
  <c r="T15" i="10"/>
  <c r="S15" i="10"/>
  <c r="P15" i="10"/>
  <c r="O15" i="10"/>
  <c r="Q14" i="10"/>
  <c r="S14" i="10"/>
  <c r="T14" i="10"/>
  <c r="P14" i="10"/>
  <c r="O14" i="10"/>
  <c r="Q13" i="10"/>
  <c r="S13" i="10"/>
  <c r="T13" i="10"/>
  <c r="P13" i="10"/>
  <c r="O13" i="10"/>
  <c r="Q12" i="10"/>
  <c r="S12" i="10"/>
  <c r="T12" i="10"/>
  <c r="P12" i="10"/>
  <c r="O12" i="10"/>
  <c r="Q11" i="10"/>
  <c r="S11" i="10"/>
  <c r="T11" i="10"/>
  <c r="P11" i="10"/>
  <c r="O11" i="10"/>
  <c r="B19" i="26"/>
  <c r="A1" i="37"/>
  <c r="O29" i="17"/>
  <c r="O34" i="17"/>
  <c r="O39" i="17"/>
  <c r="P29" i="17"/>
  <c r="P34" i="17"/>
  <c r="P39" i="17"/>
  <c r="Q29" i="17"/>
  <c r="Q34" i="17"/>
  <c r="Q39" i="17"/>
  <c r="R29" i="17"/>
  <c r="R34" i="17"/>
  <c r="R39" i="17"/>
  <c r="S29" i="17"/>
  <c r="S34" i="17"/>
  <c r="S39" i="17"/>
  <c r="N39" i="17"/>
  <c r="O31" i="17"/>
  <c r="O32" i="17"/>
  <c r="P31" i="17"/>
  <c r="P32" i="17"/>
  <c r="Q31" i="17"/>
  <c r="Q32" i="17"/>
  <c r="R31" i="17"/>
  <c r="R32" i="17"/>
  <c r="S31" i="17"/>
  <c r="S32" i="17"/>
  <c r="S25" i="17"/>
  <c r="O33" i="17"/>
  <c r="D8" i="17"/>
  <c r="O14" i="17"/>
  <c r="O16" i="17"/>
  <c r="D10" i="17"/>
  <c r="O20" i="17"/>
  <c r="D11" i="17"/>
  <c r="O21" i="17"/>
  <c r="D12" i="17"/>
  <c r="D13" i="17"/>
  <c r="O9" i="17"/>
  <c r="D16" i="17"/>
  <c r="O17" i="17"/>
  <c r="D17" i="17"/>
  <c r="O18" i="17"/>
  <c r="D18" i="17"/>
  <c r="O19" i="17"/>
  <c r="D19" i="17"/>
  <c r="D20" i="17"/>
  <c r="D21" i="17"/>
  <c r="D22" i="17"/>
  <c r="P9" i="17"/>
  <c r="E16" i="17"/>
  <c r="P17" i="17"/>
  <c r="E17" i="17"/>
  <c r="P18" i="17"/>
  <c r="E18" i="17"/>
  <c r="P19" i="17"/>
  <c r="E19" i="17"/>
  <c r="P33" i="17"/>
  <c r="E8" i="17"/>
  <c r="P14" i="17"/>
  <c r="P16" i="17"/>
  <c r="E10" i="17"/>
  <c r="P20" i="17"/>
  <c r="E11" i="17"/>
  <c r="E13" i="17"/>
  <c r="E20" i="17"/>
  <c r="E21" i="17"/>
  <c r="E22" i="17"/>
  <c r="Q9" i="17"/>
  <c r="G16" i="17"/>
  <c r="Q17" i="17"/>
  <c r="G17" i="17"/>
  <c r="Q18" i="17"/>
  <c r="G18" i="17"/>
  <c r="Q19" i="17"/>
  <c r="G19" i="17"/>
  <c r="Q33" i="17"/>
  <c r="G8" i="17"/>
  <c r="Q14" i="17"/>
  <c r="Q16" i="17"/>
  <c r="G10" i="17"/>
  <c r="Q20" i="17"/>
  <c r="G11" i="17"/>
  <c r="G13" i="17"/>
  <c r="G20" i="17"/>
  <c r="G21" i="17"/>
  <c r="G22" i="17"/>
  <c r="R9" i="17"/>
  <c r="H16" i="17"/>
  <c r="R17" i="17"/>
  <c r="H17" i="17"/>
  <c r="R18" i="17"/>
  <c r="H18" i="17"/>
  <c r="R19" i="17"/>
  <c r="H19" i="17"/>
  <c r="R33" i="17"/>
  <c r="H8" i="17"/>
  <c r="R14" i="17"/>
  <c r="R16" i="17"/>
  <c r="H10" i="17"/>
  <c r="R20" i="17"/>
  <c r="H11" i="17"/>
  <c r="H13" i="17"/>
  <c r="H20" i="17"/>
  <c r="H21" i="17"/>
  <c r="H22" i="17"/>
  <c r="S9" i="17"/>
  <c r="I16" i="17"/>
  <c r="S17" i="17"/>
  <c r="I17" i="17"/>
  <c r="S18" i="17"/>
  <c r="I18" i="17"/>
  <c r="S19" i="17"/>
  <c r="I19" i="17"/>
  <c r="S33" i="17"/>
  <c r="I8" i="17"/>
  <c r="S14" i="17"/>
  <c r="S16" i="17"/>
  <c r="I10" i="17"/>
  <c r="S20" i="17"/>
  <c r="I11" i="17"/>
  <c r="I13" i="17"/>
  <c r="I20" i="17"/>
  <c r="I21" i="17"/>
  <c r="I22" i="17"/>
  <c r="C45" i="17"/>
  <c r="C96" i="12"/>
  <c r="C39" i="12"/>
  <c r="F39" i="12"/>
  <c r="I39" i="12"/>
  <c r="C49" i="12"/>
  <c r="F49" i="12"/>
  <c r="G6" i="12"/>
  <c r="C50" i="12"/>
  <c r="C51" i="12"/>
  <c r="C110" i="12"/>
  <c r="C97" i="12"/>
  <c r="C40" i="12"/>
  <c r="C55" i="12"/>
  <c r="F40" i="12"/>
  <c r="I40" i="12"/>
  <c r="F50" i="12"/>
  <c r="G7" i="12"/>
  <c r="C98" i="12"/>
  <c r="C41" i="12"/>
  <c r="F41" i="12"/>
  <c r="I41" i="12"/>
  <c r="F51" i="12"/>
  <c r="G8" i="12"/>
  <c r="C52" i="12"/>
  <c r="D32" i="7"/>
  <c r="C32" i="7"/>
  <c r="E32" i="7"/>
  <c r="C99" i="12"/>
  <c r="C42" i="12"/>
  <c r="F42" i="12"/>
  <c r="I42" i="12"/>
  <c r="F52" i="12"/>
  <c r="G9" i="12"/>
  <c r="C53" i="12"/>
  <c r="C100" i="12"/>
  <c r="C43" i="12"/>
  <c r="F43" i="12"/>
  <c r="I43" i="12"/>
  <c r="F53" i="12"/>
  <c r="G10" i="12"/>
  <c r="H6" i="12"/>
  <c r="D17" i="7"/>
  <c r="I45" i="17"/>
  <c r="N45" i="17"/>
  <c r="I46" i="17"/>
  <c r="C46" i="17"/>
  <c r="N46" i="17"/>
  <c r="G6" i="16"/>
  <c r="G7" i="16"/>
  <c r="G8" i="16"/>
  <c r="G9" i="16"/>
  <c r="G10" i="16"/>
  <c r="G11" i="16"/>
  <c r="H6" i="16"/>
  <c r="D22" i="7"/>
  <c r="O6" i="13"/>
  <c r="C22" i="7"/>
  <c r="P6" i="13"/>
  <c r="D6" i="13"/>
  <c r="E6" i="13"/>
  <c r="F6" i="13"/>
  <c r="H6" i="13"/>
  <c r="I6" i="13"/>
  <c r="V6" i="13"/>
  <c r="AC6" i="13"/>
  <c r="AT6" i="13"/>
  <c r="O7" i="13"/>
  <c r="P7" i="13"/>
  <c r="D7" i="13"/>
  <c r="E7" i="13"/>
  <c r="F7" i="13"/>
  <c r="G7" i="13"/>
  <c r="H7" i="13"/>
  <c r="I7" i="13"/>
  <c r="V7" i="13"/>
  <c r="AC7" i="13"/>
  <c r="AT7" i="13"/>
  <c r="O8" i="13"/>
  <c r="P8" i="13"/>
  <c r="D8" i="13"/>
  <c r="I8" i="13"/>
  <c r="V8" i="13"/>
  <c r="AC8" i="13"/>
  <c r="AT8" i="13"/>
  <c r="O9" i="13"/>
  <c r="P9" i="13"/>
  <c r="D9" i="13"/>
  <c r="E9" i="13"/>
  <c r="F9" i="13"/>
  <c r="G9" i="13"/>
  <c r="H9" i="13"/>
  <c r="I9" i="13"/>
  <c r="V9" i="13"/>
  <c r="AC9" i="13"/>
  <c r="AT9" i="13"/>
  <c r="O10" i="13"/>
  <c r="P10" i="13"/>
  <c r="D10" i="13"/>
  <c r="E10" i="13"/>
  <c r="F10" i="13"/>
  <c r="G10" i="13"/>
  <c r="H10" i="13"/>
  <c r="I10" i="13"/>
  <c r="V10" i="13"/>
  <c r="AC10" i="13"/>
  <c r="AT10" i="13"/>
  <c r="O11" i="13"/>
  <c r="P11" i="13"/>
  <c r="D11" i="13"/>
  <c r="E11" i="13"/>
  <c r="F11" i="13"/>
  <c r="H11" i="13"/>
  <c r="I11" i="13"/>
  <c r="V11" i="13"/>
  <c r="AC11" i="13"/>
  <c r="AT11" i="13"/>
  <c r="O12" i="13"/>
  <c r="P12" i="13"/>
  <c r="D12" i="13"/>
  <c r="I12" i="13"/>
  <c r="V12" i="13"/>
  <c r="AC12" i="13"/>
  <c r="AT12" i="13"/>
  <c r="O13" i="13"/>
  <c r="P13" i="13"/>
  <c r="D13" i="13"/>
  <c r="I13" i="13"/>
  <c r="V13" i="13"/>
  <c r="AC13" i="13"/>
  <c r="AT13" i="13"/>
  <c r="O14" i="13"/>
  <c r="P14" i="13"/>
  <c r="D14" i="13"/>
  <c r="I14" i="13"/>
  <c r="V14" i="13"/>
  <c r="AC14" i="13"/>
  <c r="AT14" i="13"/>
  <c r="O15" i="13"/>
  <c r="P15" i="13"/>
  <c r="D15" i="13"/>
  <c r="I15" i="13"/>
  <c r="V15" i="13"/>
  <c r="AC15" i="13"/>
  <c r="AT15" i="13"/>
  <c r="O16" i="13"/>
  <c r="P16" i="13"/>
  <c r="D16" i="13"/>
  <c r="I16" i="13"/>
  <c r="V16" i="13"/>
  <c r="AC16" i="13"/>
  <c r="AT16" i="13"/>
  <c r="O17" i="13"/>
  <c r="P17" i="13"/>
  <c r="D17" i="13"/>
  <c r="I17" i="13"/>
  <c r="V17" i="13"/>
  <c r="AC17" i="13"/>
  <c r="AT17" i="13"/>
  <c r="O18" i="13"/>
  <c r="P18" i="13"/>
  <c r="D18" i="13"/>
  <c r="I18" i="13"/>
  <c r="V18" i="13"/>
  <c r="AC18" i="13"/>
  <c r="AT18" i="13"/>
  <c r="O19" i="13"/>
  <c r="P19" i="13"/>
  <c r="D19" i="13"/>
  <c r="I19" i="13"/>
  <c r="V19" i="13"/>
  <c r="AC19" i="13"/>
  <c r="AT19" i="13"/>
  <c r="O20" i="13"/>
  <c r="P20" i="13"/>
  <c r="D20" i="13"/>
  <c r="I20" i="13"/>
  <c r="V20" i="13"/>
  <c r="AC20" i="13"/>
  <c r="AT20" i="13"/>
  <c r="AC21" i="13"/>
  <c r="AT21" i="13"/>
  <c r="AC22" i="13"/>
  <c r="AT22" i="13"/>
  <c r="O23" i="13"/>
  <c r="P23" i="13"/>
  <c r="D23" i="13"/>
  <c r="I23" i="13"/>
  <c r="V23" i="13"/>
  <c r="AC23" i="13"/>
  <c r="AT23" i="13"/>
  <c r="O24" i="13"/>
  <c r="P24" i="13"/>
  <c r="D24" i="13"/>
  <c r="I24" i="13"/>
  <c r="V24" i="13"/>
  <c r="AC24" i="13"/>
  <c r="AT24" i="13"/>
  <c r="O25" i="13"/>
  <c r="P25" i="13"/>
  <c r="D25" i="13"/>
  <c r="I25" i="13"/>
  <c r="V25" i="13"/>
  <c r="AC25" i="13"/>
  <c r="AT25" i="13"/>
  <c r="O26" i="13"/>
  <c r="P26" i="13"/>
  <c r="D26" i="13"/>
  <c r="I26" i="13"/>
  <c r="V26" i="13"/>
  <c r="AC26" i="13"/>
  <c r="AT26" i="13"/>
  <c r="AC27" i="13"/>
  <c r="AT27" i="13"/>
  <c r="AC28" i="13"/>
  <c r="AT28" i="13"/>
  <c r="AC29" i="13"/>
  <c r="AT29" i="13"/>
  <c r="AC30" i="13"/>
  <c r="AT30" i="13"/>
  <c r="AC31" i="13"/>
  <c r="AT31" i="13"/>
  <c r="AC32" i="13"/>
  <c r="AT32" i="13"/>
  <c r="AC33" i="13"/>
  <c r="AT33" i="13"/>
  <c r="AC34" i="13"/>
  <c r="AT34" i="13"/>
  <c r="AC35" i="13"/>
  <c r="AT35" i="13"/>
  <c r="AC36" i="13"/>
  <c r="AT36" i="13"/>
  <c r="AC37" i="13"/>
  <c r="AT37" i="13"/>
  <c r="AC38" i="13"/>
  <c r="AT38" i="13"/>
  <c r="AT40" i="13"/>
  <c r="H9" i="16"/>
  <c r="H10" i="16"/>
  <c r="G22" i="7"/>
  <c r="L6" i="13"/>
  <c r="S6" i="13"/>
  <c r="Z6" i="13"/>
  <c r="AQ6" i="13"/>
  <c r="L7" i="13"/>
  <c r="S7" i="13"/>
  <c r="Z7" i="13"/>
  <c r="AQ7" i="13"/>
  <c r="L8" i="13"/>
  <c r="S8" i="13"/>
  <c r="Z8" i="13"/>
  <c r="AQ8" i="13"/>
  <c r="L9" i="13"/>
  <c r="S9" i="13"/>
  <c r="Z9" i="13"/>
  <c r="AQ9" i="13"/>
  <c r="L10" i="13"/>
  <c r="S10" i="13"/>
  <c r="Z10" i="13"/>
  <c r="AQ10" i="13"/>
  <c r="L11" i="13"/>
  <c r="S11" i="13"/>
  <c r="Z11" i="13"/>
  <c r="AQ11" i="13"/>
  <c r="L12" i="13"/>
  <c r="S12" i="13"/>
  <c r="Z12" i="13"/>
  <c r="AQ12" i="13"/>
  <c r="L13" i="13"/>
  <c r="S13" i="13"/>
  <c r="Z13" i="13"/>
  <c r="AQ13" i="13"/>
  <c r="L14" i="13"/>
  <c r="S14" i="13"/>
  <c r="Z14" i="13"/>
  <c r="AQ14" i="13"/>
  <c r="L15" i="13"/>
  <c r="S15" i="13"/>
  <c r="Z15" i="13"/>
  <c r="AQ15" i="13"/>
  <c r="L16" i="13"/>
  <c r="S16" i="13"/>
  <c r="Z16" i="13"/>
  <c r="AQ16" i="13"/>
  <c r="L17" i="13"/>
  <c r="S17" i="13"/>
  <c r="Z17" i="13"/>
  <c r="AQ17" i="13"/>
  <c r="L18" i="13"/>
  <c r="S18" i="13"/>
  <c r="Z18" i="13"/>
  <c r="AQ18" i="13"/>
  <c r="L19" i="13"/>
  <c r="S19" i="13"/>
  <c r="Z19" i="13"/>
  <c r="AQ19" i="13"/>
  <c r="L20" i="13"/>
  <c r="S20" i="13"/>
  <c r="Z20" i="13"/>
  <c r="AQ20" i="13"/>
  <c r="Z21" i="13"/>
  <c r="AQ21" i="13"/>
  <c r="Z22" i="13"/>
  <c r="AQ22" i="13"/>
  <c r="L23" i="13"/>
  <c r="S23" i="13"/>
  <c r="Z23" i="13"/>
  <c r="AQ23" i="13"/>
  <c r="L24" i="13"/>
  <c r="S24" i="13"/>
  <c r="Z24" i="13"/>
  <c r="AQ24" i="13"/>
  <c r="L25" i="13"/>
  <c r="S25" i="13"/>
  <c r="Z25" i="13"/>
  <c r="AQ25" i="13"/>
  <c r="L26" i="13"/>
  <c r="S26" i="13"/>
  <c r="Z26" i="13"/>
  <c r="AQ26" i="13"/>
  <c r="Z27" i="13"/>
  <c r="AQ27" i="13"/>
  <c r="Z28" i="13"/>
  <c r="AQ28" i="13"/>
  <c r="Z29" i="13"/>
  <c r="AQ29" i="13"/>
  <c r="Z30" i="13"/>
  <c r="AQ30" i="13"/>
  <c r="Z31" i="13"/>
  <c r="AQ31" i="13"/>
  <c r="Z32" i="13"/>
  <c r="AQ32" i="13"/>
  <c r="Z33" i="13"/>
  <c r="AQ33" i="13"/>
  <c r="Z34" i="13"/>
  <c r="AQ34" i="13"/>
  <c r="Z35" i="13"/>
  <c r="AQ35" i="13"/>
  <c r="Z36" i="13"/>
  <c r="AQ36" i="13"/>
  <c r="Z37" i="13"/>
  <c r="AQ37" i="13"/>
  <c r="Z38" i="13"/>
  <c r="AQ38" i="13"/>
  <c r="AQ40" i="13"/>
  <c r="H8" i="16"/>
  <c r="F22" i="7"/>
  <c r="M6" i="13"/>
  <c r="T6" i="13"/>
  <c r="AA6" i="13"/>
  <c r="AR6" i="13"/>
  <c r="M7" i="13"/>
  <c r="T7" i="13"/>
  <c r="AA7" i="13"/>
  <c r="AR7" i="13"/>
  <c r="M8" i="13"/>
  <c r="T8" i="13"/>
  <c r="AA8" i="13"/>
  <c r="AR8" i="13"/>
  <c r="M9" i="13"/>
  <c r="T9" i="13"/>
  <c r="AA9" i="13"/>
  <c r="AR9" i="13"/>
  <c r="M10" i="13"/>
  <c r="T10" i="13"/>
  <c r="AA10" i="13"/>
  <c r="AR10" i="13"/>
  <c r="M11" i="13"/>
  <c r="T11" i="13"/>
  <c r="AA11" i="13"/>
  <c r="AR11" i="13"/>
  <c r="M12" i="13"/>
  <c r="T12" i="13"/>
  <c r="AA12" i="13"/>
  <c r="AR12" i="13"/>
  <c r="M13" i="13"/>
  <c r="T13" i="13"/>
  <c r="AA13" i="13"/>
  <c r="AR13" i="13"/>
  <c r="M14" i="13"/>
  <c r="T14" i="13"/>
  <c r="AA14" i="13"/>
  <c r="AR14" i="13"/>
  <c r="M15" i="13"/>
  <c r="T15" i="13"/>
  <c r="AA15" i="13"/>
  <c r="AR15" i="13"/>
  <c r="M16" i="13"/>
  <c r="T16" i="13"/>
  <c r="AA16" i="13"/>
  <c r="AR16" i="13"/>
  <c r="M17" i="13"/>
  <c r="T17" i="13"/>
  <c r="AA17" i="13"/>
  <c r="AR17" i="13"/>
  <c r="M18" i="13"/>
  <c r="T18" i="13"/>
  <c r="AA18" i="13"/>
  <c r="AR18" i="13"/>
  <c r="M19" i="13"/>
  <c r="T19" i="13"/>
  <c r="AA19" i="13"/>
  <c r="AR19" i="13"/>
  <c r="M20" i="13"/>
  <c r="T20" i="13"/>
  <c r="AA20" i="13"/>
  <c r="AR20" i="13"/>
  <c r="AA21" i="13"/>
  <c r="AR21" i="13"/>
  <c r="AA22" i="13"/>
  <c r="AR22" i="13"/>
  <c r="M23" i="13"/>
  <c r="T23" i="13"/>
  <c r="AA23" i="13"/>
  <c r="AR23" i="13"/>
  <c r="M24" i="13"/>
  <c r="T24" i="13"/>
  <c r="AA24" i="13"/>
  <c r="AR24" i="13"/>
  <c r="M25" i="13"/>
  <c r="T25" i="13"/>
  <c r="AA25" i="13"/>
  <c r="AR25" i="13"/>
  <c r="M26" i="13"/>
  <c r="T26" i="13"/>
  <c r="AA26" i="13"/>
  <c r="AR26" i="13"/>
  <c r="AA27" i="13"/>
  <c r="AR27" i="13"/>
  <c r="AA28" i="13"/>
  <c r="AR28" i="13"/>
  <c r="AA29" i="13"/>
  <c r="AR29" i="13"/>
  <c r="AA30" i="13"/>
  <c r="AR30" i="13"/>
  <c r="AA31" i="13"/>
  <c r="AR31" i="13"/>
  <c r="AA32" i="13"/>
  <c r="AR32" i="13"/>
  <c r="AA33" i="13"/>
  <c r="AR33" i="13"/>
  <c r="AA34" i="13"/>
  <c r="AR34" i="13"/>
  <c r="AA35" i="13"/>
  <c r="AR35" i="13"/>
  <c r="AA36" i="13"/>
  <c r="AR36" i="13"/>
  <c r="AA37" i="13"/>
  <c r="AR37" i="13"/>
  <c r="AA38" i="13"/>
  <c r="AR38" i="13"/>
  <c r="AR40" i="13"/>
  <c r="H7" i="16"/>
  <c r="E22" i="7"/>
  <c r="N6" i="13"/>
  <c r="U6" i="13"/>
  <c r="AB6" i="13"/>
  <c r="AS6" i="13"/>
  <c r="N7" i="13"/>
  <c r="U7" i="13"/>
  <c r="AB7" i="13"/>
  <c r="AS7" i="13"/>
  <c r="N8" i="13"/>
  <c r="U8" i="13"/>
  <c r="AB8" i="13"/>
  <c r="AS8" i="13"/>
  <c r="N9" i="13"/>
  <c r="U9" i="13"/>
  <c r="AB9" i="13"/>
  <c r="AS9" i="13"/>
  <c r="N10" i="13"/>
  <c r="U10" i="13"/>
  <c r="AB10" i="13"/>
  <c r="AS10" i="13"/>
  <c r="N11" i="13"/>
  <c r="U11" i="13"/>
  <c r="AB11" i="13"/>
  <c r="AS11" i="13"/>
  <c r="N12" i="13"/>
  <c r="U12" i="13"/>
  <c r="AB12" i="13"/>
  <c r="AS12" i="13"/>
  <c r="N13" i="13"/>
  <c r="U13" i="13"/>
  <c r="AB13" i="13"/>
  <c r="AS13" i="13"/>
  <c r="N14" i="13"/>
  <c r="U14" i="13"/>
  <c r="AB14" i="13"/>
  <c r="AS14" i="13"/>
  <c r="N15" i="13"/>
  <c r="U15" i="13"/>
  <c r="AB15" i="13"/>
  <c r="AS15" i="13"/>
  <c r="N16" i="13"/>
  <c r="U16" i="13"/>
  <c r="AB16" i="13"/>
  <c r="AS16" i="13"/>
  <c r="N17" i="13"/>
  <c r="U17" i="13"/>
  <c r="AB17" i="13"/>
  <c r="AS17" i="13"/>
  <c r="N18" i="13"/>
  <c r="U18" i="13"/>
  <c r="AB18" i="13"/>
  <c r="AS18" i="13"/>
  <c r="N19" i="13"/>
  <c r="U19" i="13"/>
  <c r="AB19" i="13"/>
  <c r="AS19" i="13"/>
  <c r="N20" i="13"/>
  <c r="U20" i="13"/>
  <c r="AB20" i="13"/>
  <c r="AS20" i="13"/>
  <c r="AB21" i="13"/>
  <c r="AS21" i="13"/>
  <c r="AB22" i="13"/>
  <c r="AS22" i="13"/>
  <c r="N23" i="13"/>
  <c r="U23" i="13"/>
  <c r="AB23" i="13"/>
  <c r="AS23" i="13"/>
  <c r="N24" i="13"/>
  <c r="U24" i="13"/>
  <c r="AB24" i="13"/>
  <c r="AS24" i="13"/>
  <c r="N25" i="13"/>
  <c r="U25" i="13"/>
  <c r="AB25" i="13"/>
  <c r="AS25" i="13"/>
  <c r="N26" i="13"/>
  <c r="U26" i="13"/>
  <c r="AB26" i="13"/>
  <c r="AS26" i="13"/>
  <c r="AB27" i="13"/>
  <c r="AS27" i="13"/>
  <c r="AB28" i="13"/>
  <c r="AS28" i="13"/>
  <c r="AB29" i="13"/>
  <c r="AS29" i="13"/>
  <c r="AB30" i="13"/>
  <c r="AS30" i="13"/>
  <c r="AB31" i="13"/>
  <c r="AS31" i="13"/>
  <c r="AB32" i="13"/>
  <c r="AS32" i="13"/>
  <c r="AB33" i="13"/>
  <c r="AS33" i="13"/>
  <c r="AB34" i="13"/>
  <c r="AS34" i="13"/>
  <c r="AB35" i="13"/>
  <c r="AS35" i="13"/>
  <c r="AB36" i="13"/>
  <c r="AS36" i="13"/>
  <c r="AB37" i="13"/>
  <c r="AS37" i="13"/>
  <c r="AB38" i="13"/>
  <c r="AS38" i="13"/>
  <c r="AS40" i="13"/>
  <c r="W6" i="13"/>
  <c r="AD6" i="13"/>
  <c r="AU6" i="13"/>
  <c r="W7" i="13"/>
  <c r="AD7" i="13"/>
  <c r="AU7" i="13"/>
  <c r="W8" i="13"/>
  <c r="AD8" i="13"/>
  <c r="AU8" i="13"/>
  <c r="W9" i="13"/>
  <c r="AD9" i="13"/>
  <c r="AU9" i="13"/>
  <c r="W10" i="13"/>
  <c r="AD10" i="13"/>
  <c r="AU10" i="13"/>
  <c r="W11" i="13"/>
  <c r="AD11" i="13"/>
  <c r="AU11" i="13"/>
  <c r="W12" i="13"/>
  <c r="AD12" i="13"/>
  <c r="AU12" i="13"/>
  <c r="W13" i="13"/>
  <c r="AD13" i="13"/>
  <c r="AU13" i="13"/>
  <c r="W14" i="13"/>
  <c r="AD14" i="13"/>
  <c r="AU14" i="13"/>
  <c r="W15" i="13"/>
  <c r="AD15" i="13"/>
  <c r="AU15" i="13"/>
  <c r="W16" i="13"/>
  <c r="AD16" i="13"/>
  <c r="AU16" i="13"/>
  <c r="W17" i="13"/>
  <c r="AD17" i="13"/>
  <c r="AU17" i="13"/>
  <c r="W18" i="13"/>
  <c r="AD18" i="13"/>
  <c r="AU18" i="13"/>
  <c r="W19" i="13"/>
  <c r="AD19" i="13"/>
  <c r="AU19" i="13"/>
  <c r="W20" i="13"/>
  <c r="AD20" i="13"/>
  <c r="AU20" i="13"/>
  <c r="AD21" i="13"/>
  <c r="AU21" i="13"/>
  <c r="AD22" i="13"/>
  <c r="AU22" i="13"/>
  <c r="W23" i="13"/>
  <c r="AD23" i="13"/>
  <c r="AU23" i="13"/>
  <c r="W24" i="13"/>
  <c r="AD24" i="13"/>
  <c r="AU24" i="13"/>
  <c r="W25" i="13"/>
  <c r="AD25" i="13"/>
  <c r="AU25" i="13"/>
  <c r="W26" i="13"/>
  <c r="AD26" i="13"/>
  <c r="AU26" i="13"/>
  <c r="AD27" i="13"/>
  <c r="AU27" i="13"/>
  <c r="AD28" i="13"/>
  <c r="AU28" i="13"/>
  <c r="AD29" i="13"/>
  <c r="AU29" i="13"/>
  <c r="AD30" i="13"/>
  <c r="AU30" i="13"/>
  <c r="AD31" i="13"/>
  <c r="AU31" i="13"/>
  <c r="AD32" i="13"/>
  <c r="AU32" i="13"/>
  <c r="AD33" i="13"/>
  <c r="AU33" i="13"/>
  <c r="AD34" i="13"/>
  <c r="AU34" i="13"/>
  <c r="AD35" i="13"/>
  <c r="AU35" i="13"/>
  <c r="AD36" i="13"/>
  <c r="AU36" i="13"/>
  <c r="AD37" i="13"/>
  <c r="AU37" i="13"/>
  <c r="AD38" i="13"/>
  <c r="AU38" i="13"/>
  <c r="AU40" i="13"/>
  <c r="AQ39" i="13"/>
  <c r="AT41" i="13"/>
  <c r="I47" i="17"/>
  <c r="C47" i="17"/>
  <c r="N47" i="17"/>
  <c r="N49" i="17"/>
  <c r="H9" i="12"/>
  <c r="H10" i="12"/>
  <c r="G17" i="7"/>
  <c r="E45" i="17"/>
  <c r="K45" i="17"/>
  <c r="E46" i="17"/>
  <c r="K46" i="17"/>
  <c r="AQ41" i="13"/>
  <c r="E47" i="17"/>
  <c r="K47" i="17"/>
  <c r="K49" i="17"/>
  <c r="AR41" i="13"/>
  <c r="G47" i="17"/>
  <c r="L47" i="17"/>
  <c r="H8" i="12"/>
  <c r="F17" i="7"/>
  <c r="G45" i="17"/>
  <c r="L45" i="17"/>
  <c r="G46" i="17"/>
  <c r="L46" i="17"/>
  <c r="L49" i="17"/>
  <c r="AS41" i="13"/>
  <c r="H47" i="17"/>
  <c r="M47" i="17"/>
  <c r="H7" i="12"/>
  <c r="E17" i="7"/>
  <c r="H45" i="17"/>
  <c r="M45" i="17"/>
  <c r="H46" i="17"/>
  <c r="M46" i="17"/>
  <c r="M49" i="17"/>
  <c r="AU41" i="13"/>
  <c r="J47" i="17"/>
  <c r="O47" i="17"/>
  <c r="C17" i="7"/>
  <c r="J45" i="17"/>
  <c r="O45" i="17"/>
  <c r="J46" i="17"/>
  <c r="O46" i="17"/>
  <c r="O49" i="17"/>
  <c r="N50" i="17"/>
  <c r="O50" i="17"/>
  <c r="D36" i="13"/>
  <c r="I36" i="13"/>
  <c r="P64" i="17"/>
  <c r="F59" i="17"/>
  <c r="F60" i="17"/>
  <c r="F61" i="17"/>
  <c r="F62" i="17"/>
  <c r="F63" i="17"/>
  <c r="F64" i="17"/>
  <c r="P61" i="17"/>
  <c r="P63" i="17"/>
  <c r="P67" i="17"/>
  <c r="J65" i="21"/>
  <c r="Q61" i="17"/>
  <c r="Q63" i="17"/>
  <c r="Q64" i="17"/>
  <c r="Q67" i="17"/>
  <c r="R67" i="17"/>
  <c r="I73" i="17"/>
  <c r="M50" i="17"/>
  <c r="H73" i="17"/>
  <c r="L50" i="17"/>
  <c r="G73" i="17"/>
  <c r="K50" i="17"/>
  <c r="F73" i="17"/>
  <c r="P66" i="17"/>
  <c r="Q66" i="17"/>
  <c r="R66" i="17"/>
  <c r="J73" i="17"/>
  <c r="R64" i="17"/>
  <c r="R63" i="17"/>
  <c r="R61" i="17"/>
  <c r="C90" i="12"/>
  <c r="C22" i="12"/>
  <c r="C89" i="12"/>
  <c r="C21" i="12"/>
  <c r="C88" i="12"/>
  <c r="C20" i="12"/>
  <c r="C87" i="12"/>
  <c r="C19" i="12"/>
  <c r="G20" i="7"/>
  <c r="F20" i="7"/>
  <c r="D20" i="7"/>
  <c r="G19" i="7"/>
  <c r="F19" i="7"/>
  <c r="D19" i="7"/>
  <c r="H27" i="7"/>
  <c r="H26" i="7"/>
  <c r="H25" i="7"/>
  <c r="H22" i="7"/>
  <c r="H21" i="7"/>
  <c r="H20" i="7"/>
  <c r="H19" i="7"/>
  <c r="H18" i="7"/>
  <c r="F21" i="12"/>
  <c r="F22" i="12"/>
  <c r="I227" i="27"/>
  <c r="J227" i="27"/>
  <c r="K227" i="27"/>
  <c r="L227" i="27"/>
  <c r="M227" i="27"/>
  <c r="I250" i="27"/>
  <c r="J250" i="27"/>
  <c r="K250" i="27"/>
  <c r="L250" i="27"/>
  <c r="M250" i="27"/>
  <c r="C66" i="12"/>
  <c r="F19" i="12"/>
  <c r="I19" i="12"/>
  <c r="C28" i="12"/>
  <c r="F28" i="12"/>
  <c r="C67" i="12"/>
  <c r="F20" i="12"/>
  <c r="I20" i="12"/>
  <c r="C29" i="12"/>
  <c r="F29" i="12"/>
  <c r="C68" i="12"/>
  <c r="I21" i="12"/>
  <c r="C30" i="12"/>
  <c r="F30" i="12"/>
  <c r="C69" i="12"/>
  <c r="I22" i="12"/>
  <c r="C31" i="12"/>
  <c r="F31" i="12"/>
  <c r="A1" i="36"/>
  <c r="C77" i="12"/>
  <c r="C75" i="12"/>
  <c r="C76" i="12"/>
  <c r="AA46" i="13"/>
  <c r="AA47" i="13"/>
  <c r="AA48" i="13"/>
  <c r="E10" i="23"/>
  <c r="AC46" i="13"/>
  <c r="AC47" i="13"/>
  <c r="AC48" i="13"/>
  <c r="C10" i="23"/>
  <c r="A1" i="26"/>
  <c r="C78" i="12"/>
  <c r="C79" i="12"/>
  <c r="O146" i="6"/>
  <c r="P146" i="6"/>
  <c r="Q146" i="6"/>
  <c r="S146" i="6"/>
  <c r="T146" i="6"/>
  <c r="O147" i="6"/>
  <c r="P147" i="6"/>
  <c r="Q147" i="6"/>
  <c r="S147" i="6"/>
  <c r="T147" i="6"/>
  <c r="O148" i="6"/>
  <c r="P148" i="6"/>
  <c r="Q148" i="6"/>
  <c r="S148" i="6"/>
  <c r="T148" i="6"/>
  <c r="O151" i="6"/>
  <c r="P151" i="6"/>
  <c r="Q151" i="6"/>
  <c r="S151" i="6"/>
  <c r="T151" i="6"/>
  <c r="O152" i="6"/>
  <c r="P152" i="6"/>
  <c r="Q152" i="6"/>
  <c r="S152" i="6"/>
  <c r="T152" i="6"/>
  <c r="O153" i="6"/>
  <c r="P153" i="6"/>
  <c r="Q153" i="6"/>
  <c r="S153" i="6"/>
  <c r="T153" i="6"/>
  <c r="I116" i="10"/>
  <c r="J116" i="10"/>
  <c r="K116" i="10"/>
  <c r="L116" i="10"/>
  <c r="M116" i="10"/>
  <c r="N116" i="10"/>
  <c r="O116" i="10"/>
  <c r="P116" i="10"/>
  <c r="Q116" i="10"/>
  <c r="R116" i="10"/>
  <c r="S116" i="10"/>
  <c r="T116" i="10"/>
  <c r="U116" i="10"/>
  <c r="V116" i="10"/>
  <c r="W116" i="10"/>
  <c r="X116" i="10"/>
  <c r="Y116" i="10"/>
  <c r="Z116" i="10"/>
  <c r="AA116" i="10"/>
  <c r="AB116" i="10"/>
  <c r="AC116" i="10"/>
  <c r="AD116" i="10"/>
  <c r="AE116" i="10"/>
  <c r="AF116" i="10"/>
  <c r="AG116" i="10"/>
  <c r="AH116" i="10"/>
  <c r="P36" i="13"/>
  <c r="P38" i="13"/>
  <c r="P37" i="13"/>
  <c r="P35" i="13"/>
  <c r="P34" i="13"/>
  <c r="P33" i="13"/>
  <c r="P32" i="13"/>
  <c r="P31" i="13"/>
  <c r="P30" i="13"/>
  <c r="P29" i="13"/>
  <c r="P28" i="13"/>
  <c r="P27" i="13"/>
  <c r="P22" i="13"/>
  <c r="P21" i="13"/>
  <c r="M39" i="10"/>
  <c r="L39" i="10"/>
  <c r="M38" i="10"/>
  <c r="L38" i="10"/>
  <c r="M35" i="10"/>
  <c r="M36" i="10"/>
  <c r="M37" i="10"/>
  <c r="L35" i="10"/>
  <c r="L36" i="10"/>
  <c r="L37" i="10"/>
  <c r="M34" i="10"/>
  <c r="L34" i="10"/>
  <c r="M27" i="10"/>
  <c r="M28" i="10"/>
  <c r="M29" i="10"/>
  <c r="L27" i="10"/>
  <c r="L28" i="10"/>
  <c r="L29" i="10"/>
  <c r="K29" i="10"/>
  <c r="J29" i="10"/>
  <c r="I29" i="10"/>
  <c r="H29" i="10"/>
  <c r="G29" i="10"/>
  <c r="F29" i="10"/>
  <c r="E29" i="10"/>
  <c r="D29" i="10"/>
  <c r="M26" i="10"/>
  <c r="L26" i="10"/>
  <c r="D37" i="28"/>
  <c r="E37" i="28"/>
  <c r="F37" i="28"/>
  <c r="G37" i="28"/>
  <c r="H37" i="28"/>
  <c r="I37" i="28"/>
  <c r="J37" i="28"/>
  <c r="K37" i="28"/>
  <c r="L37" i="28"/>
  <c r="M37" i="28"/>
  <c r="D46" i="28"/>
  <c r="E46" i="28"/>
  <c r="F46" i="28"/>
  <c r="G46" i="28"/>
  <c r="H46" i="28"/>
  <c r="I46" i="28"/>
  <c r="J46" i="28"/>
  <c r="K46" i="28"/>
  <c r="L46" i="28"/>
  <c r="M46" i="28"/>
  <c r="E55" i="28"/>
  <c r="C61" i="28"/>
  <c r="K61" i="28"/>
  <c r="S61" i="28"/>
  <c r="C62" i="28"/>
  <c r="K62" i="28"/>
  <c r="S62" i="28"/>
  <c r="C63" i="28"/>
  <c r="K63" i="28"/>
  <c r="S63" i="28"/>
  <c r="C64" i="28"/>
  <c r="K64" i="28"/>
  <c r="S64" i="28"/>
  <c r="D65" i="28"/>
  <c r="E65" i="28"/>
  <c r="F65" i="28"/>
  <c r="G65" i="28"/>
  <c r="H65" i="28"/>
  <c r="L65" i="28"/>
  <c r="M65" i="28"/>
  <c r="N65" i="28"/>
  <c r="O65" i="28"/>
  <c r="P65" i="28"/>
  <c r="T65" i="28"/>
  <c r="U65" i="28"/>
  <c r="V65" i="28"/>
  <c r="W65" i="28"/>
  <c r="X65" i="28"/>
  <c r="C74" i="28"/>
  <c r="D74" i="28"/>
  <c r="E74" i="28"/>
  <c r="F74" i="28"/>
  <c r="G74" i="28"/>
  <c r="H74" i="28"/>
  <c r="K74" i="28"/>
  <c r="L74" i="28"/>
  <c r="M74" i="28"/>
  <c r="N74" i="28"/>
  <c r="O74" i="28"/>
  <c r="P74" i="28"/>
  <c r="S74" i="28"/>
  <c r="T74" i="28"/>
  <c r="U74" i="28"/>
  <c r="V74" i="28"/>
  <c r="W74" i="28"/>
  <c r="X74" i="28"/>
  <c r="C79" i="28"/>
  <c r="K79" i="28"/>
  <c r="S79" i="28"/>
  <c r="C80" i="28"/>
  <c r="K80" i="28"/>
  <c r="S80" i="28"/>
  <c r="C81" i="28"/>
  <c r="K81" i="28"/>
  <c r="S81" i="28"/>
  <c r="C82" i="28"/>
  <c r="K82" i="28"/>
  <c r="S82" i="28"/>
  <c r="D83" i="28"/>
  <c r="E83" i="28"/>
  <c r="F83" i="28"/>
  <c r="G83" i="28"/>
  <c r="H83" i="28"/>
  <c r="K83" i="28"/>
  <c r="L83" i="28"/>
  <c r="M83" i="28"/>
  <c r="N83" i="28"/>
  <c r="O83" i="28"/>
  <c r="P83" i="28"/>
  <c r="S83" i="28"/>
  <c r="T83" i="28"/>
  <c r="U83" i="28"/>
  <c r="V83" i="28"/>
  <c r="W83" i="28"/>
  <c r="X83" i="28"/>
  <c r="C88" i="28"/>
  <c r="D88" i="28"/>
  <c r="E88" i="28"/>
  <c r="F88" i="28"/>
  <c r="G88" i="28"/>
  <c r="K88" i="28"/>
  <c r="L88" i="28"/>
  <c r="M88" i="28"/>
  <c r="N88" i="28"/>
  <c r="O88" i="28"/>
  <c r="S88" i="28"/>
  <c r="T88" i="28"/>
  <c r="U88" i="28"/>
  <c r="V88" i="28"/>
  <c r="W88" i="28"/>
  <c r="C89" i="28"/>
  <c r="D89" i="28"/>
  <c r="E89" i="28"/>
  <c r="F89" i="28"/>
  <c r="G89" i="28"/>
  <c r="K89" i="28"/>
  <c r="L89" i="28"/>
  <c r="M89" i="28"/>
  <c r="N89" i="28"/>
  <c r="O89" i="28"/>
  <c r="S89" i="28"/>
  <c r="T89" i="28"/>
  <c r="U89" i="28"/>
  <c r="V89" i="28"/>
  <c r="W89" i="28"/>
  <c r="C90" i="28"/>
  <c r="D90" i="28"/>
  <c r="E90" i="28"/>
  <c r="F90" i="28"/>
  <c r="G90" i="28"/>
  <c r="K90" i="28"/>
  <c r="L90" i="28"/>
  <c r="M90" i="28"/>
  <c r="N90" i="28"/>
  <c r="O90" i="28"/>
  <c r="S90" i="28"/>
  <c r="T90" i="28"/>
  <c r="U90" i="28"/>
  <c r="V90" i="28"/>
  <c r="W90" i="28"/>
  <c r="C91" i="28"/>
  <c r="D91" i="28"/>
  <c r="E91" i="28"/>
  <c r="F91" i="28"/>
  <c r="G91" i="28"/>
  <c r="K91" i="28"/>
  <c r="L91" i="28"/>
  <c r="M91" i="28"/>
  <c r="N91" i="28"/>
  <c r="O91" i="28"/>
  <c r="S91" i="28"/>
  <c r="T91" i="28"/>
  <c r="U91" i="28"/>
  <c r="V91" i="28"/>
  <c r="W91" i="28"/>
  <c r="E101" i="28"/>
  <c r="C107" i="28"/>
  <c r="D97" i="28"/>
  <c r="K107" i="28"/>
  <c r="F97" i="28"/>
  <c r="S107" i="28"/>
  <c r="G97" i="28"/>
  <c r="C108" i="28"/>
  <c r="D98" i="28"/>
  <c r="C98" i="28"/>
  <c r="K108" i="28"/>
  <c r="S108" i="28"/>
  <c r="G98" i="28"/>
  <c r="C109" i="28"/>
  <c r="D99" i="28"/>
  <c r="C99" i="28"/>
  <c r="K109" i="28"/>
  <c r="F99" i="28"/>
  <c r="S109" i="28"/>
  <c r="G99" i="28"/>
  <c r="H99" i="28"/>
  <c r="C110" i="28"/>
  <c r="D100" i="28"/>
  <c r="C100" i="28"/>
  <c r="K110" i="28"/>
  <c r="F100" i="28"/>
  <c r="S110" i="28"/>
  <c r="G100" i="28"/>
  <c r="D111" i="28"/>
  <c r="E111" i="28"/>
  <c r="F111" i="28"/>
  <c r="G111" i="28"/>
  <c r="H111" i="28"/>
  <c r="L111" i="28"/>
  <c r="M111" i="28"/>
  <c r="N111" i="28"/>
  <c r="O111" i="28"/>
  <c r="P111" i="28"/>
  <c r="T111" i="28"/>
  <c r="U111" i="28"/>
  <c r="V111" i="28"/>
  <c r="W111" i="28"/>
  <c r="X111" i="28"/>
  <c r="C120" i="28"/>
  <c r="D120" i="28"/>
  <c r="E120" i="28"/>
  <c r="F120" i="28"/>
  <c r="H120" i="28"/>
  <c r="K120" i="28"/>
  <c r="L120" i="28"/>
  <c r="M120" i="28"/>
  <c r="N120" i="28"/>
  <c r="O120" i="28"/>
  <c r="P120" i="28"/>
  <c r="S120" i="28"/>
  <c r="T120" i="28"/>
  <c r="U120" i="28"/>
  <c r="V120" i="28"/>
  <c r="W120" i="28"/>
  <c r="X120" i="28"/>
  <c r="C125" i="28"/>
  <c r="K125" i="28"/>
  <c r="S125" i="28"/>
  <c r="C126" i="28"/>
  <c r="K126" i="28"/>
  <c r="S126" i="28"/>
  <c r="C127" i="28"/>
  <c r="K127" i="28"/>
  <c r="S127" i="28"/>
  <c r="C128" i="28"/>
  <c r="K128" i="28"/>
  <c r="S128" i="28"/>
  <c r="D129" i="28"/>
  <c r="E129" i="28"/>
  <c r="F129" i="28"/>
  <c r="H129" i="28"/>
  <c r="L129" i="28"/>
  <c r="M129" i="28"/>
  <c r="N129" i="28"/>
  <c r="P129" i="28"/>
  <c r="T129" i="28"/>
  <c r="U129" i="28"/>
  <c r="V129" i="28"/>
  <c r="X129" i="28"/>
  <c r="C134" i="28"/>
  <c r="D134" i="28"/>
  <c r="E134" i="28"/>
  <c r="F134" i="28"/>
  <c r="K134" i="28"/>
  <c r="N134" i="28"/>
  <c r="S134" i="28"/>
  <c r="T134" i="28"/>
  <c r="U134" i="28"/>
  <c r="V134" i="28"/>
  <c r="C135" i="28"/>
  <c r="D135" i="28"/>
  <c r="E135" i="28"/>
  <c r="F135" i="28"/>
  <c r="K135" i="28"/>
  <c r="L135" i="28"/>
  <c r="M135" i="28"/>
  <c r="N135" i="28"/>
  <c r="S135" i="28"/>
  <c r="T135" i="28"/>
  <c r="U135" i="28"/>
  <c r="V135" i="28"/>
  <c r="C136" i="28"/>
  <c r="D136" i="28"/>
  <c r="E136" i="28"/>
  <c r="F136" i="28"/>
  <c r="K136" i="28"/>
  <c r="L136" i="28"/>
  <c r="M136" i="28"/>
  <c r="N136" i="28"/>
  <c r="S136" i="28"/>
  <c r="T136" i="28"/>
  <c r="U136" i="28"/>
  <c r="V136" i="28"/>
  <c r="C137" i="28"/>
  <c r="D137" i="28"/>
  <c r="E137" i="28"/>
  <c r="F137" i="28"/>
  <c r="K137" i="28"/>
  <c r="L137" i="28"/>
  <c r="M137" i="28"/>
  <c r="N137" i="28"/>
  <c r="S137" i="28"/>
  <c r="T137" i="28"/>
  <c r="U137" i="28"/>
  <c r="V137" i="28"/>
  <c r="Q138" i="6"/>
  <c r="S138" i="6"/>
  <c r="Q137" i="6"/>
  <c r="S137" i="6"/>
  <c r="T137" i="6"/>
  <c r="P137" i="6"/>
  <c r="O137" i="6"/>
  <c r="Q136" i="6"/>
  <c r="T136" i="6"/>
  <c r="S136" i="6"/>
  <c r="P136" i="6"/>
  <c r="O136" i="6"/>
  <c r="Q135" i="6"/>
  <c r="S135" i="6"/>
  <c r="P135" i="6"/>
  <c r="O135" i="6"/>
  <c r="Q134" i="6"/>
  <c r="T134" i="6"/>
  <c r="S134" i="6"/>
  <c r="P134" i="6"/>
  <c r="O134" i="6"/>
  <c r="Q133" i="6"/>
  <c r="T133" i="6"/>
  <c r="S133" i="6"/>
  <c r="P133" i="6"/>
  <c r="O133" i="6"/>
  <c r="Q132" i="6"/>
  <c r="T132" i="6"/>
  <c r="S132" i="6"/>
  <c r="P132" i="6"/>
  <c r="O132" i="6"/>
  <c r="Q131" i="6"/>
  <c r="T131" i="6"/>
  <c r="S131" i="6"/>
  <c r="P131" i="6"/>
  <c r="O131" i="6"/>
  <c r="Q130" i="6"/>
  <c r="S130" i="6"/>
  <c r="T130" i="6"/>
  <c r="P130" i="6"/>
  <c r="O130" i="6"/>
  <c r="P129" i="6"/>
  <c r="Q128" i="6"/>
  <c r="T128" i="6"/>
  <c r="S128" i="6"/>
  <c r="P128" i="6"/>
  <c r="O128" i="6"/>
  <c r="Q127" i="6"/>
  <c r="T127" i="6"/>
  <c r="S127" i="6"/>
  <c r="P127" i="6"/>
  <c r="O127" i="6"/>
  <c r="Q126" i="6"/>
  <c r="T126" i="6"/>
  <c r="S126" i="6"/>
  <c r="P126" i="6"/>
  <c r="O126" i="6"/>
  <c r="Q125" i="6"/>
  <c r="S125" i="6"/>
  <c r="P125" i="6"/>
  <c r="O125" i="6"/>
  <c r="Q124" i="6"/>
  <c r="S124" i="6"/>
  <c r="T124" i="6"/>
  <c r="P124" i="6"/>
  <c r="O124" i="6"/>
  <c r="Q123" i="6"/>
  <c r="S123" i="6"/>
  <c r="P123" i="6"/>
  <c r="O123" i="6"/>
  <c r="Q122" i="6"/>
  <c r="T122" i="6"/>
  <c r="S122" i="6"/>
  <c r="P122" i="6"/>
  <c r="O122" i="6"/>
  <c r="Q121" i="6"/>
  <c r="S121" i="6"/>
  <c r="P121" i="6"/>
  <c r="O121" i="6"/>
  <c r="P120" i="6"/>
  <c r="Q119" i="6"/>
  <c r="S119" i="6"/>
  <c r="T119" i="6"/>
  <c r="P119" i="6"/>
  <c r="O119" i="6"/>
  <c r="Q118" i="6"/>
  <c r="T118" i="6"/>
  <c r="S118" i="6"/>
  <c r="P118" i="6"/>
  <c r="O118" i="6"/>
  <c r="Q117" i="6"/>
  <c r="T117" i="6"/>
  <c r="S117" i="6"/>
  <c r="P117" i="6"/>
  <c r="O117" i="6"/>
  <c r="Q116" i="6"/>
  <c r="T116" i="6"/>
  <c r="S116" i="6"/>
  <c r="P116" i="6"/>
  <c r="O116" i="6"/>
  <c r="Q115" i="6"/>
  <c r="S115" i="6"/>
  <c r="P115" i="6"/>
  <c r="O115" i="6"/>
  <c r="P114" i="6"/>
  <c r="Q113" i="6"/>
  <c r="S113" i="6"/>
  <c r="P113" i="6"/>
  <c r="O113" i="6"/>
  <c r="Q112" i="6"/>
  <c r="T112" i="6"/>
  <c r="S112" i="6"/>
  <c r="P112" i="6"/>
  <c r="O112" i="6"/>
  <c r="Q111" i="6"/>
  <c r="T111" i="6"/>
  <c r="S111" i="6"/>
  <c r="P111" i="6"/>
  <c r="O111" i="6"/>
  <c r="Q110" i="6"/>
  <c r="T110" i="6"/>
  <c r="S110" i="6"/>
  <c r="P110" i="6"/>
  <c r="O110" i="6"/>
  <c r="Q109" i="6"/>
  <c r="S109" i="6"/>
  <c r="T109" i="6"/>
  <c r="P109" i="6"/>
  <c r="O109" i="6"/>
  <c r="Q101" i="6"/>
  <c r="Q100" i="6"/>
  <c r="T100" i="6"/>
  <c r="S100" i="6"/>
  <c r="P100" i="6"/>
  <c r="O100" i="6"/>
  <c r="Q99" i="6"/>
  <c r="T99" i="6"/>
  <c r="S99" i="6"/>
  <c r="P99" i="6"/>
  <c r="O99" i="6"/>
  <c r="Q98" i="6"/>
  <c r="T98" i="6"/>
  <c r="S98" i="6"/>
  <c r="P98" i="6"/>
  <c r="O98" i="6"/>
  <c r="Q97" i="6"/>
  <c r="T97" i="6"/>
  <c r="S97" i="6"/>
  <c r="P97" i="6"/>
  <c r="O97" i="6"/>
  <c r="Q96" i="6"/>
  <c r="T96" i="6"/>
  <c r="S96" i="6"/>
  <c r="P96" i="6"/>
  <c r="O96" i="6"/>
  <c r="Q95" i="6"/>
  <c r="T95" i="6"/>
  <c r="S95" i="6"/>
  <c r="P95" i="6"/>
  <c r="O95" i="6"/>
  <c r="Q94" i="6"/>
  <c r="S94" i="6"/>
  <c r="T94" i="6"/>
  <c r="P94" i="6"/>
  <c r="O94" i="6"/>
  <c r="Q93" i="6"/>
  <c r="T93" i="6"/>
  <c r="S93" i="6"/>
  <c r="P93" i="6"/>
  <c r="O93" i="6"/>
  <c r="Q92" i="6"/>
  <c r="T92" i="6"/>
  <c r="S92" i="6"/>
  <c r="P92" i="6"/>
  <c r="O92" i="6"/>
  <c r="Q91" i="6"/>
  <c r="T91" i="6"/>
  <c r="S91" i="6"/>
  <c r="P91" i="6"/>
  <c r="O91" i="6"/>
  <c r="Q90" i="6"/>
  <c r="S90" i="6"/>
  <c r="P90" i="6"/>
  <c r="O90" i="6"/>
  <c r="Q89" i="6"/>
  <c r="T89" i="6"/>
  <c r="S89" i="6"/>
  <c r="P89" i="6"/>
  <c r="O89" i="6"/>
  <c r="Q88" i="6"/>
  <c r="S88" i="6"/>
  <c r="T88" i="6"/>
  <c r="P88" i="6"/>
  <c r="O88" i="6"/>
  <c r="Q87" i="6"/>
  <c r="S87" i="6"/>
  <c r="T87" i="6"/>
  <c r="P87" i="6"/>
  <c r="O87" i="6"/>
  <c r="Q86" i="6"/>
  <c r="S86" i="6"/>
  <c r="T86" i="6"/>
  <c r="P86" i="6"/>
  <c r="O86" i="6"/>
  <c r="Q85" i="6"/>
  <c r="T85" i="6"/>
  <c r="S85" i="6"/>
  <c r="P85" i="6"/>
  <c r="O85" i="6"/>
  <c r="Q84" i="6"/>
  <c r="S84" i="6"/>
  <c r="T84" i="6"/>
  <c r="P84" i="6"/>
  <c r="O84" i="6"/>
  <c r="Q83" i="6"/>
  <c r="S83" i="6"/>
  <c r="P83" i="6"/>
  <c r="O83" i="6"/>
  <c r="Q82" i="6"/>
  <c r="S82" i="6"/>
  <c r="P82" i="6"/>
  <c r="O82" i="6"/>
  <c r="Q81" i="6"/>
  <c r="S81" i="6"/>
  <c r="P81" i="6"/>
  <c r="O81" i="6"/>
  <c r="Q80" i="6"/>
  <c r="S80" i="6"/>
  <c r="T80" i="6"/>
  <c r="P80" i="6"/>
  <c r="O80" i="6"/>
  <c r="Q79" i="6"/>
  <c r="S79" i="6"/>
  <c r="T79" i="6"/>
  <c r="P79" i="6"/>
  <c r="O79" i="6"/>
  <c r="Q78" i="6"/>
  <c r="T78" i="6"/>
  <c r="S78" i="6"/>
  <c r="P78" i="6"/>
  <c r="O78" i="6"/>
  <c r="Q77" i="6"/>
  <c r="S77" i="6"/>
  <c r="T77" i="6"/>
  <c r="P77" i="6"/>
  <c r="O77" i="6"/>
  <c r="Q76" i="6"/>
  <c r="S76" i="6"/>
  <c r="P76" i="6"/>
  <c r="O76" i="6"/>
  <c r="P56" i="6"/>
  <c r="Q67" i="6"/>
  <c r="S67" i="6"/>
  <c r="P67" i="6"/>
  <c r="O67" i="6"/>
  <c r="Q66" i="6"/>
  <c r="S66" i="6"/>
  <c r="P66" i="6"/>
  <c r="O66" i="6"/>
  <c r="Q65" i="6"/>
  <c r="S65" i="6"/>
  <c r="P65" i="6"/>
  <c r="O65" i="6"/>
  <c r="Q64" i="6"/>
  <c r="T64" i="6"/>
  <c r="S64" i="6"/>
  <c r="P64" i="6"/>
  <c r="O64" i="6"/>
  <c r="Q63" i="6"/>
  <c r="S63" i="6"/>
  <c r="T63" i="6"/>
  <c r="P63" i="6"/>
  <c r="O63" i="6"/>
  <c r="Q61" i="6"/>
  <c r="S61" i="6"/>
  <c r="P61" i="6"/>
  <c r="O61" i="6"/>
  <c r="Q60" i="6"/>
  <c r="S60" i="6"/>
  <c r="T60" i="6"/>
  <c r="P60" i="6"/>
  <c r="O60" i="6"/>
  <c r="Q59" i="6"/>
  <c r="S59" i="6"/>
  <c r="T59" i="6"/>
  <c r="P59" i="6"/>
  <c r="O59" i="6"/>
  <c r="Q58" i="6"/>
  <c r="T58" i="6"/>
  <c r="S58" i="6"/>
  <c r="P58" i="6"/>
  <c r="O58" i="6"/>
  <c r="Q57" i="6"/>
  <c r="S57" i="6"/>
  <c r="P57" i="6"/>
  <c r="O57" i="6"/>
  <c r="Q55" i="6"/>
  <c r="S55" i="6"/>
  <c r="P55" i="6"/>
  <c r="O55" i="6"/>
  <c r="Q54" i="6"/>
  <c r="S54" i="6"/>
  <c r="P54" i="6"/>
  <c r="O54" i="6"/>
  <c r="Q53" i="6"/>
  <c r="S53" i="6"/>
  <c r="T53" i="6"/>
  <c r="P53" i="6"/>
  <c r="O53" i="6"/>
  <c r="Q52" i="6"/>
  <c r="T52" i="6"/>
  <c r="S52" i="6"/>
  <c r="P52" i="6"/>
  <c r="O52" i="6"/>
  <c r="Q51" i="6"/>
  <c r="S51" i="6"/>
  <c r="T51" i="6"/>
  <c r="P51" i="6"/>
  <c r="O51" i="6"/>
  <c r="Q49" i="6"/>
  <c r="S49" i="6"/>
  <c r="T49" i="6"/>
  <c r="P49" i="6"/>
  <c r="O49" i="6"/>
  <c r="Q48" i="6"/>
  <c r="S48" i="6"/>
  <c r="T48" i="6"/>
  <c r="P48" i="6"/>
  <c r="O48" i="6"/>
  <c r="Q46" i="6"/>
  <c r="S46" i="6"/>
  <c r="T46" i="6"/>
  <c r="P46" i="6"/>
  <c r="O46" i="6"/>
  <c r="Q45" i="6"/>
  <c r="T45" i="6"/>
  <c r="S45" i="6"/>
  <c r="P45" i="6"/>
  <c r="O45" i="6"/>
  <c r="Q44" i="6"/>
  <c r="S44" i="6"/>
  <c r="T44" i="6"/>
  <c r="P44" i="6"/>
  <c r="O44" i="6"/>
  <c r="Q43" i="6"/>
  <c r="S43" i="6"/>
  <c r="T43" i="6"/>
  <c r="P43" i="6"/>
  <c r="O43" i="6"/>
  <c r="Q34" i="6"/>
  <c r="S34" i="6"/>
  <c r="P34" i="6"/>
  <c r="P33" i="6"/>
  <c r="P32" i="6"/>
  <c r="P31" i="6"/>
  <c r="P28" i="6"/>
  <c r="S28" i="6"/>
  <c r="O27" i="6"/>
  <c r="P27" i="6"/>
  <c r="P26" i="6"/>
  <c r="P25" i="6"/>
  <c r="P24" i="6"/>
  <c r="Q22" i="6"/>
  <c r="S22" i="6"/>
  <c r="T22" i="6"/>
  <c r="P22" i="6"/>
  <c r="P21" i="6"/>
  <c r="P20" i="6"/>
  <c r="P19" i="6"/>
  <c r="P18" i="6"/>
  <c r="P16" i="6"/>
  <c r="P15" i="6"/>
  <c r="P13" i="6"/>
  <c r="P12" i="6"/>
  <c r="S11" i="6"/>
  <c r="P11" i="6"/>
  <c r="Q10" i="6"/>
  <c r="S10" i="6"/>
  <c r="P10" i="6"/>
  <c r="O10" i="6"/>
  <c r="O14" i="27"/>
  <c r="P14" i="27"/>
  <c r="Q14" i="27"/>
  <c r="S14" i="27"/>
  <c r="O20" i="27"/>
  <c r="P20" i="27"/>
  <c r="Q20" i="27"/>
  <c r="T20" i="27"/>
  <c r="S20" i="27"/>
  <c r="O21" i="27"/>
  <c r="P21" i="27"/>
  <c r="Q21" i="27"/>
  <c r="S21" i="27"/>
  <c r="T21" i="27"/>
  <c r="D22" i="27"/>
  <c r="E22" i="27"/>
  <c r="F22" i="27"/>
  <c r="G22" i="27"/>
  <c r="H22" i="27"/>
  <c r="P22" i="27"/>
  <c r="I22" i="27"/>
  <c r="J22" i="27"/>
  <c r="K22" i="27"/>
  <c r="L22" i="27"/>
  <c r="M22" i="27"/>
  <c r="I29" i="27"/>
  <c r="J29" i="27"/>
  <c r="K29" i="27"/>
  <c r="L29" i="27"/>
  <c r="M29" i="27"/>
  <c r="M30" i="27"/>
  <c r="M31" i="27"/>
  <c r="I30" i="27"/>
  <c r="I31" i="27"/>
  <c r="J30" i="27"/>
  <c r="J31" i="27"/>
  <c r="K30" i="27"/>
  <c r="L30" i="27"/>
  <c r="L31" i="27"/>
  <c r="D31" i="27"/>
  <c r="E31" i="27"/>
  <c r="F31" i="27"/>
  <c r="G31" i="27"/>
  <c r="H31" i="27"/>
  <c r="I33" i="27"/>
  <c r="J33" i="27"/>
  <c r="K33" i="27"/>
  <c r="L33" i="27"/>
  <c r="M33" i="27"/>
  <c r="I34" i="27"/>
  <c r="J34" i="27"/>
  <c r="J35" i="27"/>
  <c r="K34" i="27"/>
  <c r="L34" i="27"/>
  <c r="L35" i="27"/>
  <c r="M34" i="27"/>
  <c r="D35" i="27"/>
  <c r="E35" i="27"/>
  <c r="F35" i="27"/>
  <c r="G35" i="27"/>
  <c r="H35" i="27"/>
  <c r="Q35" i="27"/>
  <c r="P35" i="27"/>
  <c r="I37" i="27"/>
  <c r="J37" i="27"/>
  <c r="K37" i="27"/>
  <c r="L37" i="27"/>
  <c r="M37" i="27"/>
  <c r="I38" i="27"/>
  <c r="I39" i="27"/>
  <c r="J38" i="27"/>
  <c r="J39" i="27"/>
  <c r="K38" i="27"/>
  <c r="L38" i="27"/>
  <c r="L39" i="27"/>
  <c r="M38" i="27"/>
  <c r="M39" i="27"/>
  <c r="D39" i="27"/>
  <c r="E39" i="27"/>
  <c r="F39" i="27"/>
  <c r="G39" i="27"/>
  <c r="H39" i="27"/>
  <c r="P39" i="27"/>
  <c r="I41" i="27"/>
  <c r="J41" i="27"/>
  <c r="K41" i="27"/>
  <c r="L41" i="27"/>
  <c r="M41" i="27"/>
  <c r="I42" i="27"/>
  <c r="J42" i="27"/>
  <c r="J43" i="27"/>
  <c r="K42" i="27"/>
  <c r="L42" i="27"/>
  <c r="L43" i="27"/>
  <c r="M42" i="27"/>
  <c r="D43" i="27"/>
  <c r="E43" i="27"/>
  <c r="F43" i="27"/>
  <c r="G43" i="27"/>
  <c r="H43" i="27"/>
  <c r="Q43" i="27"/>
  <c r="T43" i="27"/>
  <c r="P43" i="27"/>
  <c r="D52" i="27"/>
  <c r="E52" i="27"/>
  <c r="F52" i="27"/>
  <c r="G52" i="27"/>
  <c r="H52" i="27"/>
  <c r="I52" i="27"/>
  <c r="J52" i="27"/>
  <c r="K52" i="27"/>
  <c r="L52" i="27"/>
  <c r="M52" i="27"/>
  <c r="D53" i="27"/>
  <c r="E53" i="27"/>
  <c r="F53" i="27"/>
  <c r="G53" i="27"/>
  <c r="H53" i="27"/>
  <c r="I53" i="27"/>
  <c r="J53" i="27"/>
  <c r="K53" i="27"/>
  <c r="L53" i="27"/>
  <c r="M53" i="27"/>
  <c r="I54" i="27"/>
  <c r="J54" i="27"/>
  <c r="K54" i="27"/>
  <c r="K55" i="27"/>
  <c r="K58" i="27"/>
  <c r="K59" i="27"/>
  <c r="K60" i="27"/>
  <c r="K61" i="27"/>
  <c r="K64" i="27"/>
  <c r="K65" i="27"/>
  <c r="K66" i="27"/>
  <c r="K67" i="27"/>
  <c r="K70" i="27"/>
  <c r="K71" i="27"/>
  <c r="K72" i="27"/>
  <c r="K73" i="27"/>
  <c r="K75" i="27"/>
  <c r="L54" i="27"/>
  <c r="M54" i="27"/>
  <c r="I55" i="27"/>
  <c r="J55" i="27"/>
  <c r="L55" i="27"/>
  <c r="M55" i="27"/>
  <c r="D56" i="27"/>
  <c r="E56" i="27"/>
  <c r="F56" i="27"/>
  <c r="G56" i="27"/>
  <c r="H56" i="27"/>
  <c r="D58" i="27"/>
  <c r="E58" i="27"/>
  <c r="F58" i="27"/>
  <c r="G58" i="27"/>
  <c r="H58" i="27"/>
  <c r="I58" i="27"/>
  <c r="J58" i="27"/>
  <c r="L58" i="27"/>
  <c r="M58" i="27"/>
  <c r="D59" i="27"/>
  <c r="E59" i="27"/>
  <c r="F59" i="27"/>
  <c r="G59" i="27"/>
  <c r="H59" i="27"/>
  <c r="I59" i="27"/>
  <c r="J59" i="27"/>
  <c r="L59" i="27"/>
  <c r="M59" i="27"/>
  <c r="I60" i="27"/>
  <c r="J60" i="27"/>
  <c r="L60" i="27"/>
  <c r="M60" i="27"/>
  <c r="I61" i="27"/>
  <c r="J61" i="27"/>
  <c r="L61" i="27"/>
  <c r="M61" i="27"/>
  <c r="D62" i="27"/>
  <c r="E62" i="27"/>
  <c r="F62" i="27"/>
  <c r="G62" i="27"/>
  <c r="H62" i="27"/>
  <c r="D64" i="27"/>
  <c r="E64" i="27"/>
  <c r="F64" i="27"/>
  <c r="G64" i="27"/>
  <c r="H64" i="27"/>
  <c r="I64" i="27"/>
  <c r="J64" i="27"/>
  <c r="L64" i="27"/>
  <c r="M64" i="27"/>
  <c r="D65" i="27"/>
  <c r="E65" i="27"/>
  <c r="F65" i="27"/>
  <c r="G65" i="27"/>
  <c r="H65" i="27"/>
  <c r="I65" i="27"/>
  <c r="J65" i="27"/>
  <c r="L65" i="27"/>
  <c r="M65" i="27"/>
  <c r="I66" i="27"/>
  <c r="J66" i="27"/>
  <c r="L66" i="27"/>
  <c r="M66" i="27"/>
  <c r="I67" i="27"/>
  <c r="J67" i="27"/>
  <c r="L67" i="27"/>
  <c r="M67" i="27"/>
  <c r="D68" i="27"/>
  <c r="E68" i="27"/>
  <c r="F68" i="27"/>
  <c r="G68" i="27"/>
  <c r="H68" i="27"/>
  <c r="D70" i="27"/>
  <c r="E70" i="27"/>
  <c r="F70" i="27"/>
  <c r="G70" i="27"/>
  <c r="H70" i="27"/>
  <c r="I70" i="27"/>
  <c r="J70" i="27"/>
  <c r="L70" i="27"/>
  <c r="M70" i="27"/>
  <c r="D71" i="27"/>
  <c r="E71" i="27"/>
  <c r="F71" i="27"/>
  <c r="G71" i="27"/>
  <c r="G75" i="27"/>
  <c r="H71" i="27"/>
  <c r="I71" i="27"/>
  <c r="J71" i="27"/>
  <c r="L71" i="27"/>
  <c r="M71" i="27"/>
  <c r="I72" i="27"/>
  <c r="J72" i="27"/>
  <c r="L72" i="27"/>
  <c r="M72" i="27"/>
  <c r="I73" i="27"/>
  <c r="J73" i="27"/>
  <c r="L73" i="27"/>
  <c r="M73" i="27"/>
  <c r="D74" i="27"/>
  <c r="E74" i="27"/>
  <c r="F74" i="27"/>
  <c r="G74" i="27"/>
  <c r="H74" i="27"/>
  <c r="I87" i="27"/>
  <c r="J87" i="27"/>
  <c r="K87" i="27"/>
  <c r="L87" i="27"/>
  <c r="M87" i="27"/>
  <c r="I93" i="27"/>
  <c r="J93" i="27"/>
  <c r="K93" i="27"/>
  <c r="L93" i="27"/>
  <c r="M93" i="27"/>
  <c r="I99" i="27"/>
  <c r="J99" i="27"/>
  <c r="K99" i="27"/>
  <c r="L99" i="27"/>
  <c r="M99" i="27"/>
  <c r="I105" i="27"/>
  <c r="J105" i="27"/>
  <c r="K105" i="27"/>
  <c r="L105" i="27"/>
  <c r="M105" i="27"/>
  <c r="D106" i="27"/>
  <c r="E106" i="27"/>
  <c r="F106" i="27"/>
  <c r="G106" i="27"/>
  <c r="H106" i="27"/>
  <c r="L106" i="27"/>
  <c r="I118" i="27"/>
  <c r="J118" i="27"/>
  <c r="K118" i="27"/>
  <c r="L118" i="27"/>
  <c r="M118" i="27"/>
  <c r="I124" i="27"/>
  <c r="J124" i="27"/>
  <c r="K124" i="27"/>
  <c r="L124" i="27"/>
  <c r="M124" i="27"/>
  <c r="I130" i="27"/>
  <c r="J130" i="27"/>
  <c r="K130" i="27"/>
  <c r="L130" i="27"/>
  <c r="M130" i="27"/>
  <c r="I136" i="27"/>
  <c r="J136" i="27"/>
  <c r="K136" i="27"/>
  <c r="L136" i="27"/>
  <c r="M136" i="27"/>
  <c r="D137" i="27"/>
  <c r="E137" i="27"/>
  <c r="F137" i="27"/>
  <c r="G137" i="27"/>
  <c r="H137" i="27"/>
  <c r="I149" i="27"/>
  <c r="J149" i="27"/>
  <c r="K149" i="27"/>
  <c r="L149" i="27"/>
  <c r="M149" i="27"/>
  <c r="I152" i="27"/>
  <c r="J152" i="27"/>
  <c r="K152" i="27"/>
  <c r="L152" i="27"/>
  <c r="M152" i="27"/>
  <c r="I153" i="27"/>
  <c r="J153" i="27"/>
  <c r="K153" i="27"/>
  <c r="L153" i="27"/>
  <c r="M153" i="27"/>
  <c r="M161" i="27"/>
  <c r="M169" i="27"/>
  <c r="M177" i="27"/>
  <c r="M178" i="27"/>
  <c r="O153" i="27"/>
  <c r="P153" i="27"/>
  <c r="Q153" i="27"/>
  <c r="I157" i="27"/>
  <c r="J157" i="27"/>
  <c r="K157" i="27"/>
  <c r="L157" i="27"/>
  <c r="M157" i="27"/>
  <c r="I160" i="27"/>
  <c r="J160" i="27"/>
  <c r="K160" i="27"/>
  <c r="L160" i="27"/>
  <c r="M160" i="27"/>
  <c r="I161" i="27"/>
  <c r="J161" i="27"/>
  <c r="K161" i="27"/>
  <c r="K169" i="27"/>
  <c r="K177" i="27"/>
  <c r="K178" i="27"/>
  <c r="L161" i="27"/>
  <c r="O161" i="27"/>
  <c r="P161" i="27"/>
  <c r="P169" i="27"/>
  <c r="P177" i="27"/>
  <c r="P178" i="27"/>
  <c r="Q161" i="27"/>
  <c r="I165" i="27"/>
  <c r="J165" i="27"/>
  <c r="K165" i="27"/>
  <c r="L165" i="27"/>
  <c r="M165" i="27"/>
  <c r="I168" i="27"/>
  <c r="J168" i="27"/>
  <c r="K168" i="27"/>
  <c r="L168" i="27"/>
  <c r="M168" i="27"/>
  <c r="I169" i="27"/>
  <c r="J169" i="27"/>
  <c r="L169" i="27"/>
  <c r="O169" i="27"/>
  <c r="Q169" i="27"/>
  <c r="I173" i="27"/>
  <c r="J173" i="27"/>
  <c r="K173" i="27"/>
  <c r="L173" i="27"/>
  <c r="M173" i="27"/>
  <c r="I176" i="27"/>
  <c r="J176" i="27"/>
  <c r="K176" i="27"/>
  <c r="L176" i="27"/>
  <c r="M176" i="27"/>
  <c r="I177" i="27"/>
  <c r="J177" i="27"/>
  <c r="L177" i="27"/>
  <c r="O177" i="27"/>
  <c r="Q177" i="27"/>
  <c r="T177" i="27"/>
  <c r="D178" i="27"/>
  <c r="E178" i="27"/>
  <c r="F178" i="27"/>
  <c r="G178" i="27"/>
  <c r="H178" i="27"/>
  <c r="I178" i="27"/>
  <c r="I188" i="27"/>
  <c r="J188" i="27"/>
  <c r="K188" i="27"/>
  <c r="L188" i="27"/>
  <c r="M188" i="27"/>
  <c r="I191" i="27"/>
  <c r="J191" i="27"/>
  <c r="K191" i="27"/>
  <c r="L191" i="27"/>
  <c r="M191" i="27"/>
  <c r="I192" i="27"/>
  <c r="J192" i="27"/>
  <c r="K192" i="27"/>
  <c r="L192" i="27"/>
  <c r="M192" i="27"/>
  <c r="O192" i="27"/>
  <c r="P192" i="27"/>
  <c r="Q192" i="27"/>
  <c r="I196" i="27"/>
  <c r="J196" i="27"/>
  <c r="K196" i="27"/>
  <c r="L196" i="27"/>
  <c r="M196" i="27"/>
  <c r="I199" i="27"/>
  <c r="J199" i="27"/>
  <c r="K199" i="27"/>
  <c r="L199" i="27"/>
  <c r="M199" i="27"/>
  <c r="I200" i="27"/>
  <c r="I208" i="27"/>
  <c r="I216" i="27"/>
  <c r="I217" i="27"/>
  <c r="J200" i="27"/>
  <c r="K200" i="27"/>
  <c r="L200" i="27"/>
  <c r="M200" i="27"/>
  <c r="M208" i="27"/>
  <c r="M216" i="27"/>
  <c r="M217" i="27"/>
  <c r="O200" i="27"/>
  <c r="P200" i="27"/>
  <c r="Q200" i="27"/>
  <c r="I204" i="27"/>
  <c r="J204" i="27"/>
  <c r="K204" i="27"/>
  <c r="L204" i="27"/>
  <c r="M204" i="27"/>
  <c r="I207" i="27"/>
  <c r="J207" i="27"/>
  <c r="K207" i="27"/>
  <c r="L207" i="27"/>
  <c r="M207" i="27"/>
  <c r="J208" i="27"/>
  <c r="K208" i="27"/>
  <c r="L208" i="27"/>
  <c r="O208" i="27"/>
  <c r="P208" i="27"/>
  <c r="Q208" i="27"/>
  <c r="I212" i="27"/>
  <c r="J212" i="27"/>
  <c r="K212" i="27"/>
  <c r="L212" i="27"/>
  <c r="M212" i="27"/>
  <c r="I215" i="27"/>
  <c r="J215" i="27"/>
  <c r="K215" i="27"/>
  <c r="L215" i="27"/>
  <c r="M215" i="27"/>
  <c r="J216" i="27"/>
  <c r="K216" i="27"/>
  <c r="L216" i="27"/>
  <c r="O216" i="27"/>
  <c r="O217" i="27"/>
  <c r="P216" i="27"/>
  <c r="Q216" i="27"/>
  <c r="T216" i="27"/>
  <c r="D217" i="27"/>
  <c r="E217" i="27"/>
  <c r="F217" i="27"/>
  <c r="G217" i="27"/>
  <c r="H217" i="27"/>
  <c r="P217" i="27"/>
  <c r="O227" i="27"/>
  <c r="P227" i="27"/>
  <c r="Q227" i="27"/>
  <c r="Q231" i="27"/>
  <c r="Q235" i="27"/>
  <c r="Q239" i="27"/>
  <c r="Q240" i="27"/>
  <c r="I231" i="27"/>
  <c r="J231" i="27"/>
  <c r="K231" i="27"/>
  <c r="L231" i="27"/>
  <c r="M231" i="27"/>
  <c r="S231" i="27"/>
  <c r="O231" i="27"/>
  <c r="P231" i="27"/>
  <c r="I235" i="27"/>
  <c r="J235" i="27"/>
  <c r="K235" i="27"/>
  <c r="L235" i="27"/>
  <c r="M235" i="27"/>
  <c r="O235" i="27"/>
  <c r="P235" i="27"/>
  <c r="I239" i="27"/>
  <c r="J239" i="27"/>
  <c r="J240" i="27"/>
  <c r="K239" i="27"/>
  <c r="L239" i="27"/>
  <c r="M239" i="27"/>
  <c r="S239" i="27"/>
  <c r="O239" i="27"/>
  <c r="P239" i="27"/>
  <c r="T239" i="27"/>
  <c r="D240" i="27"/>
  <c r="E240" i="27"/>
  <c r="F240" i="27"/>
  <c r="F11" i="27"/>
  <c r="G240" i="27"/>
  <c r="G11" i="27"/>
  <c r="H240" i="27"/>
  <c r="H11" i="27"/>
  <c r="O250" i="27"/>
  <c r="P250" i="27"/>
  <c r="Q250" i="27"/>
  <c r="I254" i="27"/>
  <c r="J254" i="27"/>
  <c r="K254" i="27"/>
  <c r="L254" i="27"/>
  <c r="M254" i="27"/>
  <c r="O254" i="27"/>
  <c r="P254" i="27"/>
  <c r="Q254" i="27"/>
  <c r="I258" i="27"/>
  <c r="J258" i="27"/>
  <c r="K258" i="27"/>
  <c r="L258" i="27"/>
  <c r="M258" i="27"/>
  <c r="S258" i="27"/>
  <c r="O258" i="27"/>
  <c r="P258" i="27"/>
  <c r="P262" i="27"/>
  <c r="P263" i="27"/>
  <c r="Q258" i="27"/>
  <c r="T258" i="27"/>
  <c r="I262" i="27"/>
  <c r="J262" i="27"/>
  <c r="K262" i="27"/>
  <c r="L262" i="27"/>
  <c r="L263" i="27"/>
  <c r="L12" i="27"/>
  <c r="M262" i="27"/>
  <c r="O262" i="27"/>
  <c r="O263" i="27"/>
  <c r="Q262" i="27"/>
  <c r="T262" i="27"/>
  <c r="D263" i="27"/>
  <c r="D12" i="27"/>
  <c r="E263" i="27"/>
  <c r="E12" i="27"/>
  <c r="F263" i="27"/>
  <c r="F12" i="27"/>
  <c r="G263" i="27"/>
  <c r="G12" i="27"/>
  <c r="H263" i="27"/>
  <c r="H12" i="27"/>
  <c r="P12" i="27"/>
  <c r="I27" i="17"/>
  <c r="AN6" i="13"/>
  <c r="AN7" i="13"/>
  <c r="AM8" i="13"/>
  <c r="AM9" i="13"/>
  <c r="AN10" i="13"/>
  <c r="AN11" i="13"/>
  <c r="O36" i="13"/>
  <c r="L36" i="13"/>
  <c r="M36" i="13"/>
  <c r="N36" i="13"/>
  <c r="O7" i="17"/>
  <c r="P7" i="17"/>
  <c r="Q7" i="17"/>
  <c r="R7" i="17"/>
  <c r="S7" i="17"/>
  <c r="O8" i="17"/>
  <c r="P8" i="17"/>
  <c r="Q8" i="17"/>
  <c r="R8" i="17"/>
  <c r="S8" i="17"/>
  <c r="O10" i="17"/>
  <c r="P10" i="17"/>
  <c r="Q10" i="17"/>
  <c r="R10" i="17"/>
  <c r="S10" i="17"/>
  <c r="O11" i="17"/>
  <c r="Q11" i="17"/>
  <c r="S11" i="17"/>
  <c r="P12" i="17"/>
  <c r="S12" i="17"/>
  <c r="O15" i="17"/>
  <c r="P15" i="17"/>
  <c r="Q15" i="17"/>
  <c r="R15" i="17"/>
  <c r="S15" i="17"/>
  <c r="P21" i="17"/>
  <c r="Q21" i="17"/>
  <c r="R21" i="17"/>
  <c r="S21" i="17"/>
  <c r="O22" i="17"/>
  <c r="P22" i="17"/>
  <c r="Q22" i="17"/>
  <c r="R22" i="17"/>
  <c r="S22" i="17"/>
  <c r="O23" i="17"/>
  <c r="P23" i="17"/>
  <c r="Q23" i="17"/>
  <c r="R23" i="17"/>
  <c r="S23" i="17"/>
  <c r="S24" i="17"/>
  <c r="O27" i="17"/>
  <c r="P28" i="17"/>
  <c r="AN9" i="13"/>
  <c r="AM13" i="13"/>
  <c r="AM20" i="13"/>
  <c r="D21" i="13"/>
  <c r="I21" i="13"/>
  <c r="L21" i="13"/>
  <c r="M21" i="13"/>
  <c r="N21" i="13"/>
  <c r="O21" i="13"/>
  <c r="D22" i="13"/>
  <c r="I22" i="13"/>
  <c r="L22" i="13"/>
  <c r="M22" i="13"/>
  <c r="N22" i="13"/>
  <c r="O22" i="13"/>
  <c r="AN26" i="13"/>
  <c r="D27" i="13"/>
  <c r="AM27" i="13"/>
  <c r="L27" i="13"/>
  <c r="M27" i="13"/>
  <c r="N27" i="13"/>
  <c r="O27" i="13"/>
  <c r="D28" i="13"/>
  <c r="I28" i="13"/>
  <c r="L28" i="13"/>
  <c r="M28" i="13"/>
  <c r="N28" i="13"/>
  <c r="O28" i="13"/>
  <c r="D29" i="13"/>
  <c r="AM29" i="13"/>
  <c r="L29" i="13"/>
  <c r="M29" i="13"/>
  <c r="N29" i="13"/>
  <c r="O29" i="13"/>
  <c r="D30" i="13"/>
  <c r="I30" i="13"/>
  <c r="L30" i="13"/>
  <c r="M30" i="13"/>
  <c r="N30" i="13"/>
  <c r="O30" i="13"/>
  <c r="D31" i="13"/>
  <c r="I31" i="13"/>
  <c r="L31" i="13"/>
  <c r="M31" i="13"/>
  <c r="N31" i="13"/>
  <c r="O31" i="13"/>
  <c r="D32" i="13"/>
  <c r="AM32" i="13"/>
  <c r="L32" i="13"/>
  <c r="M32" i="13"/>
  <c r="N32" i="13"/>
  <c r="O32" i="13"/>
  <c r="D33" i="13"/>
  <c r="AM33" i="13"/>
  <c r="L33" i="13"/>
  <c r="M33" i="13"/>
  <c r="N33" i="13"/>
  <c r="O33" i="13"/>
  <c r="D34" i="13"/>
  <c r="I34" i="13"/>
  <c r="L34" i="13"/>
  <c r="M34" i="13"/>
  <c r="N34" i="13"/>
  <c r="O34" i="13"/>
  <c r="D35" i="13"/>
  <c r="L35" i="13"/>
  <c r="M35" i="13"/>
  <c r="N35" i="13"/>
  <c r="O35" i="13"/>
  <c r="D37" i="13"/>
  <c r="I37" i="13"/>
  <c r="L37" i="13"/>
  <c r="M37" i="13"/>
  <c r="N37" i="13"/>
  <c r="O37" i="13"/>
  <c r="D38" i="13"/>
  <c r="AM38" i="13"/>
  <c r="L38" i="13"/>
  <c r="M38" i="13"/>
  <c r="N38" i="13"/>
  <c r="O38" i="13"/>
  <c r="B3" i="19"/>
  <c r="B4" i="19"/>
  <c r="B5" i="19"/>
  <c r="B6" i="19"/>
  <c r="T254" i="27"/>
  <c r="F55" i="28"/>
  <c r="L74" i="27"/>
  <c r="J74" i="27"/>
  <c r="M68" i="27"/>
  <c r="K68" i="27"/>
  <c r="I68" i="27"/>
  <c r="L62" i="27"/>
  <c r="J62" i="27"/>
  <c r="M56" i="27"/>
  <c r="I56" i="27"/>
  <c r="O12" i="6"/>
  <c r="S15" i="6"/>
  <c r="Q19" i="6"/>
  <c r="T19" i="6"/>
  <c r="O20" i="6"/>
  <c r="O22" i="6"/>
  <c r="O24" i="6"/>
  <c r="S27" i="6"/>
  <c r="Q31" i="6"/>
  <c r="T31" i="6"/>
  <c r="O32" i="6"/>
  <c r="Q33" i="6"/>
  <c r="T34" i="6"/>
  <c r="O34" i="6"/>
  <c r="S101" i="6"/>
  <c r="Q114" i="6"/>
  <c r="M10" i="28"/>
  <c r="M25" i="28"/>
  <c r="K10" i="28"/>
  <c r="K25" i="28"/>
  <c r="I10" i="28"/>
  <c r="I25" i="28"/>
  <c r="G10" i="28"/>
  <c r="G25" i="28"/>
  <c r="E10" i="28"/>
  <c r="E25" i="28"/>
  <c r="J263" i="27"/>
  <c r="J12" i="27"/>
  <c r="S153" i="27"/>
  <c r="M106" i="27"/>
  <c r="K106" i="27"/>
  <c r="I106" i="27"/>
  <c r="M74" i="27"/>
  <c r="K74" i="27"/>
  <c r="I74" i="27"/>
  <c r="L68" i="27"/>
  <c r="J68" i="27"/>
  <c r="M62" i="27"/>
  <c r="K62" i="27"/>
  <c r="I62" i="27"/>
  <c r="L56" i="27"/>
  <c r="J56" i="27"/>
  <c r="S22" i="27"/>
  <c r="T14" i="27"/>
  <c r="T10" i="6"/>
  <c r="S12" i="6"/>
  <c r="Q15" i="6"/>
  <c r="T15" i="6"/>
  <c r="O16" i="6"/>
  <c r="O18" i="6"/>
  <c r="O19" i="6"/>
  <c r="Q25" i="6"/>
  <c r="T25" i="6"/>
  <c r="O26" i="6"/>
  <c r="O30" i="6"/>
  <c r="O31" i="6"/>
  <c r="S33" i="6"/>
  <c r="T33" i="6"/>
  <c r="T55" i="6"/>
  <c r="T61" i="6"/>
  <c r="T67" i="6"/>
  <c r="T76" i="6"/>
  <c r="T82" i="6"/>
  <c r="T90" i="6"/>
  <c r="T113" i="6"/>
  <c r="O114" i="6"/>
  <c r="S114" i="6"/>
  <c r="T114" i="6"/>
  <c r="T115" i="6"/>
  <c r="T125" i="6"/>
  <c r="S129" i="28"/>
  <c r="C129" i="28"/>
  <c r="S111" i="28"/>
  <c r="C111" i="28"/>
  <c r="AM30" i="13"/>
  <c r="AN31" i="13"/>
  <c r="AN30" i="13"/>
  <c r="D11" i="27"/>
  <c r="D13" i="27"/>
  <c r="C55" i="28"/>
  <c r="D55" i="28"/>
  <c r="H10" i="27"/>
  <c r="P10" i="27"/>
  <c r="F10" i="27"/>
  <c r="D10" i="27"/>
  <c r="G10" i="27"/>
  <c r="Q21" i="6"/>
  <c r="AM6" i="13"/>
  <c r="S200" i="27"/>
  <c r="T200" i="27"/>
  <c r="J217" i="27"/>
  <c r="Q178" i="27"/>
  <c r="T153" i="27"/>
  <c r="S21" i="6"/>
  <c r="Q120" i="6"/>
  <c r="S129" i="6"/>
  <c r="Q56" i="6"/>
  <c r="O129" i="6"/>
  <c r="P138" i="6"/>
  <c r="P29" i="6"/>
  <c r="Q62" i="6"/>
  <c r="F98" i="28"/>
  <c r="K111" i="28"/>
  <c r="I38" i="13"/>
  <c r="AM35" i="13"/>
  <c r="P31" i="27"/>
  <c r="Q31" i="27"/>
  <c r="O31" i="27"/>
  <c r="S177" i="27"/>
  <c r="T169" i="27"/>
  <c r="S161" i="27"/>
  <c r="O178" i="27"/>
  <c r="L178" i="27"/>
  <c r="J178" i="27"/>
  <c r="S20" i="6"/>
  <c r="S120" i="6"/>
  <c r="T120" i="6"/>
  <c r="O120" i="6"/>
  <c r="J75" i="27"/>
  <c r="I35" i="27"/>
  <c r="I27" i="13"/>
  <c r="AN27" i="13"/>
  <c r="K137" i="27"/>
  <c r="K56" i="27"/>
  <c r="O39" i="27"/>
  <c r="Q39" i="27"/>
  <c r="O13" i="6"/>
  <c r="Q13" i="6"/>
  <c r="S13" i="6"/>
  <c r="T13" i="6"/>
  <c r="Q28" i="6"/>
  <c r="T28" i="6"/>
  <c r="O28" i="6"/>
  <c r="P50" i="6"/>
  <c r="P17" i="6"/>
  <c r="Q11" i="6"/>
  <c r="T11" i="6"/>
  <c r="O11" i="6"/>
  <c r="S65" i="28"/>
  <c r="S262" i="27"/>
  <c r="M240" i="27"/>
  <c r="S235" i="27"/>
  <c r="I240" i="27"/>
  <c r="I11" i="27"/>
  <c r="K240" i="27"/>
  <c r="K11" i="27"/>
  <c r="F75" i="27"/>
  <c r="I43" i="27"/>
  <c r="S24" i="6"/>
  <c r="O25" i="6"/>
  <c r="Q27" i="6"/>
  <c r="T27" i="6"/>
  <c r="S32" i="6"/>
  <c r="G55" i="28"/>
  <c r="H55" i="28"/>
  <c r="L10" i="28"/>
  <c r="L25" i="28"/>
  <c r="J10" i="28"/>
  <c r="J25" i="28"/>
  <c r="H10" i="28"/>
  <c r="H25" i="28"/>
  <c r="F10" i="28"/>
  <c r="F25" i="28"/>
  <c r="D10" i="28"/>
  <c r="D25" i="28"/>
  <c r="I263" i="27"/>
  <c r="I12" i="27"/>
  <c r="K263" i="27"/>
  <c r="K12" i="27"/>
  <c r="Q263" i="27"/>
  <c r="S250" i="27"/>
  <c r="T235" i="27"/>
  <c r="O240" i="27"/>
  <c r="L240" i="27"/>
  <c r="L11" i="27"/>
  <c r="S227" i="27"/>
  <c r="S240" i="27"/>
  <c r="T240" i="27"/>
  <c r="S208" i="27"/>
  <c r="T208" i="27"/>
  <c r="K217" i="27"/>
  <c r="Q217" i="27"/>
  <c r="S192" i="27"/>
  <c r="J137" i="27"/>
  <c r="J106" i="27"/>
  <c r="E75" i="27"/>
  <c r="M75" i="27"/>
  <c r="I75" i="27"/>
  <c r="L75" i="27"/>
  <c r="H75" i="27"/>
  <c r="D75" i="27"/>
  <c r="K39" i="27"/>
  <c r="K31" i="27"/>
  <c r="Q12" i="6"/>
  <c r="T12" i="6"/>
  <c r="Q16" i="6"/>
  <c r="Q20" i="6"/>
  <c r="T20" i="6"/>
  <c r="O21" i="6"/>
  <c r="Q24" i="6"/>
  <c r="T24" i="6"/>
  <c r="S26" i="6"/>
  <c r="Q32" i="6"/>
  <c r="T32" i="6"/>
  <c r="O33" i="6"/>
  <c r="O101" i="6"/>
  <c r="Q129" i="6"/>
  <c r="T129" i="6"/>
  <c r="K129" i="28"/>
  <c r="T161" i="27"/>
  <c r="T192" i="27"/>
  <c r="T227" i="27"/>
  <c r="T263" i="27"/>
  <c r="T250" i="27"/>
  <c r="M11" i="27"/>
  <c r="P62" i="6"/>
  <c r="T178" i="27"/>
  <c r="AM11" i="13"/>
  <c r="AN32" i="13"/>
  <c r="G59" i="17"/>
  <c r="G62" i="17"/>
  <c r="G63" i="17"/>
  <c r="G61" i="17"/>
  <c r="G60" i="17"/>
  <c r="H100" i="28"/>
  <c r="H98" i="28"/>
  <c r="C83" i="28"/>
  <c r="C65" i="28"/>
  <c r="K65" i="28"/>
  <c r="D26" i="17"/>
  <c r="P27" i="17"/>
  <c r="G64" i="17"/>
  <c r="AM37" i="13"/>
  <c r="I32" i="13"/>
  <c r="W32" i="13"/>
  <c r="AN22" i="13"/>
  <c r="V27" i="13"/>
  <c r="AM26" i="13"/>
  <c r="AM16" i="13"/>
  <c r="AM12" i="13"/>
  <c r="I26" i="17"/>
  <c r="W37" i="13"/>
  <c r="E11" i="19"/>
  <c r="AM10" i="13"/>
  <c r="AM7" i="13"/>
  <c r="I29" i="13"/>
  <c r="W29" i="13"/>
  <c r="F11" i="17"/>
  <c r="AM22" i="13"/>
  <c r="AM36" i="13"/>
  <c r="U27" i="13"/>
  <c r="AN23" i="13"/>
  <c r="AM17" i="13"/>
  <c r="AN15" i="13"/>
  <c r="G26" i="17"/>
  <c r="AN8" i="13"/>
  <c r="AN37" i="13"/>
  <c r="D11" i="19"/>
  <c r="AN28" i="13"/>
  <c r="AM28" i="13"/>
  <c r="AM34" i="13"/>
  <c r="AN36" i="13"/>
  <c r="S32" i="13"/>
  <c r="AM23" i="13"/>
  <c r="AN17" i="13"/>
  <c r="AN13" i="13"/>
  <c r="W27" i="13"/>
  <c r="S27" i="13"/>
  <c r="W38" i="13"/>
  <c r="H26" i="17"/>
  <c r="T138" i="6"/>
  <c r="O138" i="6"/>
  <c r="T121" i="6"/>
  <c r="T123" i="6"/>
  <c r="T135" i="6"/>
  <c r="T101" i="6"/>
  <c r="T81" i="6"/>
  <c r="T83" i="6"/>
  <c r="T54" i="6"/>
  <c r="T57" i="6"/>
  <c r="T65" i="6"/>
  <c r="T66" i="6"/>
  <c r="T32" i="13"/>
  <c r="W28" i="13"/>
  <c r="U28" i="13"/>
  <c r="V28" i="13"/>
  <c r="T28" i="13"/>
  <c r="S28" i="13"/>
  <c r="U29" i="13"/>
  <c r="AN33" i="13"/>
  <c r="AN34" i="13"/>
  <c r="AM31" i="13"/>
  <c r="AM18" i="13"/>
  <c r="AN29" i="13"/>
  <c r="I33" i="13"/>
  <c r="W33" i="13"/>
  <c r="AN24" i="13"/>
  <c r="AM14" i="13"/>
  <c r="AM24" i="13"/>
  <c r="G39" i="13"/>
  <c r="H39" i="13"/>
  <c r="F39" i="13"/>
  <c r="F12" i="19"/>
  <c r="F11" i="19"/>
  <c r="S47" i="6"/>
  <c r="D15" i="27"/>
  <c r="D16" i="27"/>
  <c r="Q12" i="27"/>
  <c r="T12" i="27"/>
  <c r="O12" i="27"/>
  <c r="M10" i="27"/>
  <c r="S62" i="6"/>
  <c r="T62" i="6"/>
  <c r="Q50" i="6"/>
  <c r="S50" i="6"/>
  <c r="T50" i="6"/>
  <c r="O50" i="6"/>
  <c r="V29" i="13"/>
  <c r="AN38" i="13"/>
  <c r="AN21" i="13"/>
  <c r="AM21" i="13"/>
  <c r="AM19" i="13"/>
  <c r="S254" i="27"/>
  <c r="E10" i="27"/>
  <c r="K43" i="27"/>
  <c r="K35" i="27"/>
  <c r="O22" i="27"/>
  <c r="S16" i="6"/>
  <c r="T16" i="6"/>
  <c r="S19" i="6"/>
  <c r="G101" i="28"/>
  <c r="S14" i="6"/>
  <c r="D39" i="13"/>
  <c r="P101" i="6"/>
  <c r="V32" i="13"/>
  <c r="T38" i="13"/>
  <c r="T29" i="13"/>
  <c r="K10" i="27"/>
  <c r="T21" i="6"/>
  <c r="AN25" i="13"/>
  <c r="AM15" i="13"/>
  <c r="S216" i="27"/>
  <c r="S169" i="27"/>
  <c r="S18" i="6"/>
  <c r="Q30" i="6"/>
  <c r="AM25" i="13"/>
  <c r="AN19" i="13"/>
  <c r="S31" i="6"/>
  <c r="V38" i="13"/>
  <c r="U37" i="13"/>
  <c r="U32" i="13"/>
  <c r="T27" i="13"/>
  <c r="U33" i="13"/>
  <c r="AN35" i="13"/>
  <c r="I35" i="13"/>
  <c r="U35" i="13"/>
  <c r="B20" i="19"/>
  <c r="B21" i="19"/>
  <c r="U38" i="13"/>
  <c r="S38" i="13"/>
  <c r="AN20" i="13"/>
  <c r="AN18" i="13"/>
  <c r="AN16" i="13"/>
  <c r="AN14" i="13"/>
  <c r="AN12" i="13"/>
  <c r="H27" i="17"/>
  <c r="G27" i="17"/>
  <c r="E27" i="17"/>
  <c r="D27" i="17"/>
  <c r="M43" i="27"/>
  <c r="S43" i="27"/>
  <c r="M263" i="27"/>
  <c r="M12" i="27"/>
  <c r="M13" i="27"/>
  <c r="S263" i="27"/>
  <c r="S39" i="27"/>
  <c r="S12" i="27"/>
  <c r="M35" i="27"/>
  <c r="S35" i="27"/>
  <c r="T35" i="27"/>
  <c r="L13" i="27"/>
  <c r="L15" i="27"/>
  <c r="K13" i="27"/>
  <c r="K16" i="27"/>
  <c r="S31" i="27"/>
  <c r="G13" i="27"/>
  <c r="O43" i="27"/>
  <c r="T39" i="27"/>
  <c r="O35" i="27"/>
  <c r="J11" i="27"/>
  <c r="J13" i="27"/>
  <c r="J16" i="27"/>
  <c r="D266" i="27"/>
  <c r="P240" i="27"/>
  <c r="E11" i="27"/>
  <c r="E13" i="27"/>
  <c r="H13" i="27"/>
  <c r="P11" i="27"/>
  <c r="O11" i="27"/>
  <c r="F13" i="27"/>
  <c r="Q11" i="27"/>
  <c r="Q10" i="27"/>
  <c r="O10" i="27"/>
  <c r="G16" i="27"/>
  <c r="G15" i="27"/>
  <c r="T231" i="27"/>
  <c r="T31" i="27"/>
  <c r="L16" i="27"/>
  <c r="I13" i="27"/>
  <c r="S11" i="27"/>
  <c r="J15" i="27"/>
  <c r="I10" i="27"/>
  <c r="L217" i="27"/>
  <c r="L10" i="27"/>
  <c r="S217" i="27"/>
  <c r="T217" i="27"/>
  <c r="J10" i="27"/>
  <c r="S178" i="27"/>
  <c r="S10" i="27"/>
  <c r="T10" i="27"/>
  <c r="I137" i="27"/>
  <c r="L137" i="27"/>
  <c r="M137" i="27"/>
  <c r="Q22" i="27"/>
  <c r="T22" i="27"/>
  <c r="O62" i="6"/>
  <c r="S29" i="6"/>
  <c r="S37" i="13"/>
  <c r="S23" i="6"/>
  <c r="S56" i="6"/>
  <c r="T56" i="6"/>
  <c r="O56" i="6"/>
  <c r="O23" i="6"/>
  <c r="Q23" i="6"/>
  <c r="P23" i="6"/>
  <c r="S17" i="6"/>
  <c r="P47" i="6"/>
  <c r="P14" i="6"/>
  <c r="Q47" i="6"/>
  <c r="O47" i="6"/>
  <c r="Q14" i="6"/>
  <c r="O15" i="6"/>
  <c r="Q18" i="6"/>
  <c r="T18" i="6"/>
  <c r="S30" i="6"/>
  <c r="S25" i="6"/>
  <c r="Q26" i="6"/>
  <c r="T26" i="6"/>
  <c r="P30" i="6"/>
  <c r="H97" i="28"/>
  <c r="H101" i="28"/>
  <c r="F101" i="28"/>
  <c r="C97" i="28"/>
  <c r="C101" i="28"/>
  <c r="D101" i="28"/>
  <c r="V34" i="13"/>
  <c r="T34" i="13"/>
  <c r="W34" i="13"/>
  <c r="U34" i="13"/>
  <c r="S34" i="13"/>
  <c r="V31" i="13"/>
  <c r="T31" i="13"/>
  <c r="U31" i="13"/>
  <c r="S31" i="13"/>
  <c r="W31" i="13"/>
  <c r="S22" i="13"/>
  <c r="U22" i="13"/>
  <c r="W22" i="13"/>
  <c r="T22" i="13"/>
  <c r="V22" i="13"/>
  <c r="W36" i="13"/>
  <c r="S36" i="13"/>
  <c r="T36" i="13"/>
  <c r="V36" i="13"/>
  <c r="U36" i="13"/>
  <c r="W30" i="13"/>
  <c r="T30" i="13"/>
  <c r="V30" i="13"/>
  <c r="S30" i="13"/>
  <c r="U30" i="13"/>
  <c r="W21" i="13"/>
  <c r="U21" i="13"/>
  <c r="S21" i="13"/>
  <c r="T21" i="13"/>
  <c r="V21" i="13"/>
  <c r="T37" i="13"/>
  <c r="V37" i="13"/>
  <c r="E12" i="19"/>
  <c r="S29" i="13"/>
  <c r="AM39" i="13"/>
  <c r="Q27" i="17"/>
  <c r="Q28" i="17"/>
  <c r="AN39" i="13"/>
  <c r="E26" i="17"/>
  <c r="S35" i="13"/>
  <c r="F20" i="19"/>
  <c r="F21" i="19"/>
  <c r="T47" i="6"/>
  <c r="T14" i="6"/>
  <c r="T23" i="6"/>
  <c r="T30" i="6"/>
  <c r="S33" i="13"/>
  <c r="V33" i="13"/>
  <c r="T33" i="13"/>
  <c r="E39" i="13"/>
  <c r="I39" i="13"/>
  <c r="M15" i="27"/>
  <c r="M16" i="27"/>
  <c r="T11" i="27"/>
  <c r="K15" i="27"/>
  <c r="O17" i="6"/>
  <c r="Q17" i="6"/>
  <c r="T17" i="6"/>
  <c r="V35" i="13"/>
  <c r="W35" i="13"/>
  <c r="T35" i="13"/>
  <c r="E15" i="27"/>
  <c r="E16" i="27"/>
  <c r="H16" i="27"/>
  <c r="P13" i="27"/>
  <c r="H15" i="27"/>
  <c r="P15" i="27"/>
  <c r="F15" i="27"/>
  <c r="O15" i="27"/>
  <c r="Q13" i="27"/>
  <c r="O13" i="27"/>
  <c r="F16" i="27"/>
  <c r="I15" i="27"/>
  <c r="S15" i="27"/>
  <c r="S13" i="27"/>
  <c r="T13" i="27"/>
  <c r="I16" i="27"/>
  <c r="O29" i="6"/>
  <c r="Q29" i="6"/>
  <c r="T29" i="6"/>
  <c r="S35" i="6"/>
  <c r="S68" i="6"/>
  <c r="O14" i="6"/>
  <c r="Q68" i="6"/>
  <c r="O68" i="6"/>
  <c r="P35" i="6"/>
  <c r="P68" i="6"/>
  <c r="P35" i="17"/>
  <c r="P36" i="17"/>
  <c r="E28" i="17"/>
  <c r="R28" i="17"/>
  <c r="R27" i="17"/>
  <c r="S35" i="17"/>
  <c r="S36" i="17"/>
  <c r="Q35" i="17"/>
  <c r="Q36" i="17"/>
  <c r="I11" i="16"/>
  <c r="I28" i="17"/>
  <c r="Q15" i="27"/>
  <c r="T15" i="27"/>
  <c r="I53" i="12"/>
  <c r="I52" i="12"/>
  <c r="T68" i="6"/>
  <c r="I50" i="12"/>
  <c r="I51" i="12"/>
  <c r="I49" i="12"/>
  <c r="Q35" i="6"/>
  <c r="T35" i="6"/>
  <c r="O35" i="6"/>
  <c r="R35" i="17"/>
  <c r="R36" i="17"/>
  <c r="S27" i="17"/>
  <c r="S28" i="17"/>
  <c r="G28" i="17"/>
  <c r="O35" i="17"/>
  <c r="O36" i="17"/>
  <c r="S37" i="17"/>
  <c r="J51" i="12"/>
  <c r="J49" i="12"/>
  <c r="J50" i="12"/>
  <c r="J53" i="12"/>
  <c r="J52" i="12"/>
  <c r="H28" i="17"/>
  <c r="D28" i="17"/>
  <c r="C49" i="17"/>
  <c r="H11" i="16"/>
  <c r="AB47" i="13"/>
  <c r="AB40" i="13"/>
  <c r="U39" i="13"/>
  <c r="AB46" i="13"/>
  <c r="T39" i="13"/>
  <c r="C7" i="23"/>
  <c r="B6" i="23"/>
  <c r="F6" i="23"/>
  <c r="C6" i="23"/>
  <c r="B7" i="23"/>
  <c r="F7" i="23"/>
  <c r="AB48" i="13"/>
  <c r="D10" i="23"/>
  <c r="S39" i="13"/>
  <c r="Z47" i="13"/>
  <c r="AB49" i="13"/>
  <c r="AA40" i="13"/>
  <c r="E7" i="23"/>
  <c r="D7" i="23"/>
  <c r="E6" i="23"/>
  <c r="D6" i="23"/>
  <c r="AC40" i="13"/>
  <c r="AD47" i="13"/>
  <c r="AD46" i="13"/>
  <c r="AD40" i="13"/>
  <c r="V39" i="13"/>
  <c r="Z46" i="13"/>
  <c r="Z40" i="13"/>
  <c r="Z39" i="13"/>
  <c r="AA49" i="13"/>
  <c r="AD48" i="13"/>
  <c r="B10" i="23"/>
  <c r="AD49" i="13"/>
  <c r="AC49" i="13"/>
  <c r="Z41" i="13"/>
  <c r="AA41" i="13"/>
  <c r="Z48" i="13"/>
  <c r="F10" i="23"/>
  <c r="Z49" i="13"/>
  <c r="AB41" i="13"/>
  <c r="AD41" i="13"/>
  <c r="AC41" i="13"/>
  <c r="F5" i="23"/>
  <c r="D5" i="23"/>
  <c r="B8" i="23"/>
  <c r="C8" i="23"/>
  <c r="B5" i="23"/>
  <c r="E5" i="23"/>
  <c r="C5" i="23"/>
  <c r="E8" i="23"/>
  <c r="D8" i="23"/>
  <c r="F8" i="23"/>
  <c r="D73" i="17"/>
  <c r="E20" i="19"/>
  <c r="E21" i="19"/>
  <c r="L73" i="17"/>
  <c r="L75" i="17"/>
  <c r="D20" i="19"/>
  <c r="D21" i="19"/>
  <c r="M73" i="17"/>
  <c r="M75" i="17"/>
  <c r="C20" i="19"/>
  <c r="C21" i="19"/>
  <c r="N73" i="17"/>
  <c r="N75" i="17"/>
  <c r="O73" i="17"/>
  <c r="O75" i="17"/>
  <c r="P73" i="17"/>
  <c r="P75" i="17"/>
  <c r="R75" i="17"/>
  <c r="L79" i="17"/>
  <c r="S79" i="17"/>
  <c r="M79" i="17"/>
  <c r="N79" i="17"/>
  <c r="O79" i="17"/>
  <c r="P79" i="17"/>
  <c r="R79" i="17"/>
  <c r="F9" i="23"/>
  <c r="G9" i="23"/>
  <c r="AJ6" i="13"/>
  <c r="AJ7" i="13"/>
  <c r="AJ8" i="13"/>
  <c r="AJ9" i="13"/>
  <c r="AJ10" i="13"/>
  <c r="AJ11" i="13"/>
  <c r="AJ12" i="13"/>
  <c r="AJ13" i="13"/>
  <c r="AJ14" i="13"/>
  <c r="AJ15" i="13"/>
  <c r="AJ16" i="13"/>
  <c r="AJ17" i="13"/>
  <c r="AJ18" i="13"/>
  <c r="AJ19" i="13"/>
  <c r="AJ20" i="13"/>
  <c r="AJ21" i="13"/>
  <c r="AJ22" i="13"/>
  <c r="AJ23" i="13"/>
  <c r="AJ24" i="13"/>
  <c r="AJ25" i="13"/>
  <c r="AJ26" i="13"/>
  <c r="AJ27" i="13"/>
  <c r="AJ28" i="13"/>
  <c r="AJ29" i="13"/>
  <c r="AJ30" i="13"/>
  <c r="AJ31" i="13"/>
  <c r="AJ32" i="13"/>
  <c r="AJ33" i="13"/>
  <c r="AJ34" i="13"/>
  <c r="AJ35" i="13"/>
  <c r="AJ36" i="13"/>
  <c r="AJ37" i="13"/>
  <c r="AJ38" i="13"/>
  <c r="AJ40" i="13"/>
  <c r="AG6" i="13"/>
  <c r="AG7" i="13"/>
  <c r="AG8" i="13"/>
  <c r="AG9" i="13"/>
  <c r="AG10" i="13"/>
  <c r="AG11" i="13"/>
  <c r="AG12" i="13"/>
  <c r="AG13" i="13"/>
  <c r="AG14" i="13"/>
  <c r="AG15" i="13"/>
  <c r="AG16" i="13"/>
  <c r="AG17" i="13"/>
  <c r="AG18" i="13"/>
  <c r="AG19" i="13"/>
  <c r="AG20" i="13"/>
  <c r="AG21" i="13"/>
  <c r="AG22" i="13"/>
  <c r="AG23" i="13"/>
  <c r="AG24" i="13"/>
  <c r="AG25" i="13"/>
  <c r="AG26" i="13"/>
  <c r="AG27" i="13"/>
  <c r="AG28" i="13"/>
  <c r="AG29" i="13"/>
  <c r="AG30" i="13"/>
  <c r="AG31" i="13"/>
  <c r="AG32" i="13"/>
  <c r="AG33" i="13"/>
  <c r="AG34" i="13"/>
  <c r="AG35" i="13"/>
  <c r="AG36" i="13"/>
  <c r="AG37" i="13"/>
  <c r="AG38" i="13"/>
  <c r="AG40" i="13"/>
  <c r="AH6" i="13"/>
  <c r="AH7" i="13"/>
  <c r="AH8" i="13"/>
  <c r="AH9" i="13"/>
  <c r="AH10" i="13"/>
  <c r="AH11" i="13"/>
  <c r="AH12" i="13"/>
  <c r="AH13" i="13"/>
  <c r="AH14" i="13"/>
  <c r="AH15" i="13"/>
  <c r="AH16" i="13"/>
  <c r="AH17" i="13"/>
  <c r="AH18" i="13"/>
  <c r="AH19" i="13"/>
  <c r="AH20" i="13"/>
  <c r="AH21" i="13"/>
  <c r="AH22" i="13"/>
  <c r="AH23" i="13"/>
  <c r="AH24" i="13"/>
  <c r="AH25" i="13"/>
  <c r="AH26" i="13"/>
  <c r="AH27" i="13"/>
  <c r="AH28" i="13"/>
  <c r="AH29" i="13"/>
  <c r="AH30" i="13"/>
  <c r="AH31" i="13"/>
  <c r="AH32" i="13"/>
  <c r="AH33" i="13"/>
  <c r="AH34" i="13"/>
  <c r="AH35" i="13"/>
  <c r="AH36" i="13"/>
  <c r="AH37" i="13"/>
  <c r="AH38" i="13"/>
  <c r="AH40" i="13"/>
  <c r="AI6" i="13"/>
  <c r="AI7" i="13"/>
  <c r="AI8" i="13"/>
  <c r="AI9" i="13"/>
  <c r="AI10" i="13"/>
  <c r="AI11" i="13"/>
  <c r="AI12" i="13"/>
  <c r="AI13" i="13"/>
  <c r="AI14" i="13"/>
  <c r="AI15" i="13"/>
  <c r="AI16" i="13"/>
  <c r="AI17" i="13"/>
  <c r="AI18" i="13"/>
  <c r="AI19" i="13"/>
  <c r="AI20" i="13"/>
  <c r="AI21" i="13"/>
  <c r="AI22" i="13"/>
  <c r="AI23" i="13"/>
  <c r="AI24" i="13"/>
  <c r="AI25" i="13"/>
  <c r="AI26" i="13"/>
  <c r="AI27" i="13"/>
  <c r="AI28" i="13"/>
  <c r="AI29" i="13"/>
  <c r="AI30" i="13"/>
  <c r="AI31" i="13"/>
  <c r="AI32" i="13"/>
  <c r="AI33" i="13"/>
  <c r="AI34" i="13"/>
  <c r="AI35" i="13"/>
  <c r="AI36" i="13"/>
  <c r="AI37" i="13"/>
  <c r="AI38" i="13"/>
  <c r="AI40" i="13"/>
  <c r="AG39" i="13"/>
  <c r="AJ41" i="13"/>
  <c r="AI41" i="13"/>
  <c r="AH41" i="13"/>
  <c r="AG41" i="13"/>
  <c r="BA6" i="13"/>
  <c r="BA7" i="13"/>
  <c r="BA8" i="13"/>
  <c r="BA9" i="13"/>
  <c r="BA10" i="13"/>
  <c r="BA11" i="13"/>
  <c r="BA12" i="13"/>
  <c r="BA13" i="13"/>
  <c r="BA14" i="13"/>
  <c r="BA15" i="13"/>
  <c r="BA16" i="13"/>
  <c r="BA17" i="13"/>
  <c r="BA18" i="13"/>
  <c r="BA19" i="13"/>
  <c r="BA20" i="13"/>
  <c r="BA21" i="13"/>
  <c r="BA22" i="13"/>
  <c r="BA23" i="13"/>
  <c r="BA24" i="13"/>
  <c r="BA25" i="13"/>
  <c r="BA26" i="13"/>
  <c r="BA27" i="13"/>
  <c r="BA28" i="13"/>
  <c r="BA29" i="13"/>
  <c r="BA30" i="13"/>
  <c r="BA31" i="13"/>
  <c r="BA32" i="13"/>
  <c r="BA33" i="13"/>
  <c r="BA34" i="13"/>
  <c r="BA35" i="13"/>
  <c r="BA36" i="13"/>
  <c r="BA37" i="13"/>
  <c r="BA38" i="13"/>
  <c r="BA40" i="13"/>
  <c r="AX6" i="13"/>
  <c r="AX7" i="13"/>
  <c r="AX8" i="13"/>
  <c r="AX9" i="13"/>
  <c r="AX10" i="13"/>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37" i="13"/>
  <c r="AX38" i="13"/>
  <c r="AX40" i="13"/>
  <c r="AY6" i="13"/>
  <c r="AY7" i="13"/>
  <c r="AY8" i="13"/>
  <c r="AY9" i="13"/>
  <c r="AY10" i="13"/>
  <c r="AY11" i="13"/>
  <c r="AY12" i="13"/>
  <c r="AY13" i="13"/>
  <c r="AY14" i="13"/>
  <c r="AY15" i="13"/>
  <c r="AY16" i="13"/>
  <c r="AY17" i="13"/>
  <c r="AY18" i="13"/>
  <c r="AY19" i="13"/>
  <c r="AY20" i="13"/>
  <c r="AY21" i="13"/>
  <c r="AY22" i="13"/>
  <c r="AY23" i="13"/>
  <c r="AY24" i="13"/>
  <c r="AY25" i="13"/>
  <c r="AY26" i="13"/>
  <c r="AY27" i="13"/>
  <c r="AY28" i="13"/>
  <c r="AY29" i="13"/>
  <c r="AY30" i="13"/>
  <c r="AY31" i="13"/>
  <c r="AY32" i="13"/>
  <c r="AY33" i="13"/>
  <c r="AY34" i="13"/>
  <c r="AY35" i="13"/>
  <c r="AY36" i="13"/>
  <c r="AY37" i="13"/>
  <c r="AY38" i="13"/>
  <c r="AY40" i="13"/>
  <c r="AZ6" i="13"/>
  <c r="AZ7" i="13"/>
  <c r="AZ8" i="13"/>
  <c r="AZ9" i="13"/>
  <c r="AZ10" i="13"/>
  <c r="AZ11" i="13"/>
  <c r="AZ12" i="13"/>
  <c r="AZ13" i="13"/>
  <c r="AZ14" i="13"/>
  <c r="AZ15" i="13"/>
  <c r="AZ16" i="13"/>
  <c r="AZ17" i="13"/>
  <c r="AZ18" i="13"/>
  <c r="AZ19" i="13"/>
  <c r="AZ20" i="13"/>
  <c r="AZ21" i="13"/>
  <c r="AZ22" i="13"/>
  <c r="AZ23" i="13"/>
  <c r="AZ24" i="13"/>
  <c r="AZ25" i="13"/>
  <c r="AZ26" i="13"/>
  <c r="AZ27" i="13"/>
  <c r="AZ28" i="13"/>
  <c r="AZ29" i="13"/>
  <c r="AZ30" i="13"/>
  <c r="AZ31" i="13"/>
  <c r="AZ32" i="13"/>
  <c r="AZ33" i="13"/>
  <c r="AZ34" i="13"/>
  <c r="AZ35" i="13"/>
  <c r="AZ36" i="13"/>
  <c r="AZ37" i="13"/>
  <c r="AZ38" i="13"/>
  <c r="AZ40" i="13"/>
  <c r="AX39" i="13"/>
  <c r="BA41" i="13"/>
  <c r="AX41" i="13"/>
  <c r="AY41" i="13"/>
  <c r="AZ41" i="13"/>
  <c r="C9" i="23"/>
  <c r="B9" i="23"/>
  <c r="C6" i="36"/>
  <c r="D9" i="23"/>
  <c r="E9" i="23"/>
  <c r="D6" i="36"/>
  <c r="E6" i="36"/>
  <c r="F6" i="36"/>
</calcChain>
</file>

<file path=xl/sharedStrings.xml><?xml version="1.0" encoding="utf-8"?>
<sst xmlns="http://schemas.openxmlformats.org/spreadsheetml/2006/main" count="4132" uniqueCount="1058">
  <si>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</si>
  <si>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</si>
  <si>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</si>
  <si>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</si>
  <si>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</si>
  <si>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</si>
  <si>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</si>
  <si>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</si>
  <si>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</si>
  <si>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</si>
  <si>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</si>
  <si>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</si>
  <si>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</si>
  <si>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</si>
  <si>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</si>
  <si>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</si>
  <si>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</si>
  <si>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</si>
  <si>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</si>
  <si>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</si>
  <si>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</si>
  <si>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</si>
  <si>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</si>
  <si>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</si>
  <si>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</si>
  <si>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</si>
  <si>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</si>
  <si>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</si>
  <si>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</si>
  <si>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</si>
  <si>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</si>
  <si>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</si>
  <si>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</si>
  <si>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</si>
  <si>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</si>
  <si>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</si>
  <si>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</si>
  <si>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</si>
  <si>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</si>
  <si>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</si>
  <si>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</si>
  <si>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</si>
  <si>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</si>
  <si>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</si>
  <si>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</si>
  <si>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</si>
  <si>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</si>
  <si>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</si>
  <si>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</si>
  <si>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</si>
  <si>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</si>
  <si>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</si>
  <si>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</si>
  <si>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</si>
  <si>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</si>
  <si>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</si>
  <si>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</si>
  <si>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</si>
  <si>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</si>
  <si>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</si>
  <si>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</si>
  <si>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</si>
  <si>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</si>
  <si>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</si>
  <si>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</si>
  <si>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</si>
  <si>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</si>
  <si>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</si>
  <si>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</si>
  <si>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</si>
  <si>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</si>
  <si>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</si>
  <si>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</si>
  <si>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</si>
  <si>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</si>
  <si>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</si>
  <si>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</si>
  <si>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</si>
  <si>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</si>
  <si>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</si>
  <si>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</si>
  <si>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</si>
  <si>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</si>
  <si>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</si>
  <si>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</si>
  <si>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</si>
  <si>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</si>
  <si>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</si>
  <si>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</si>
  <si>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</si>
  <si>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</si>
  <si>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</si>
  <si>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</si>
  <si>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</si>
  <si>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</si>
  <si>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</si>
  <si>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</si>
  <si>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</si>
  <si>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</si>
  <si>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</si>
  <si>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</si>
  <si>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</si>
  <si>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</si>
  <si>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</si>
  <si>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</si>
  <si>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</si>
  <si>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</si>
  <si>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</si>
  <si>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</si>
  <si>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</si>
  <si>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</si>
  <si>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</si>
  <si>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</si>
  <si>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</si>
  <si>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</si>
  <si>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</si>
  <si>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</si>
  <si>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</si>
  <si>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</si>
  <si>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</si>
  <si>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</si>
  <si>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</si>
  <si>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</si>
  <si>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</si>
  <si>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</si>
  <si>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</si>
  <si>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</si>
  <si>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</si>
  <si>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</si>
  <si>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</si>
  <si>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</si>
  <si>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</si>
  <si>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</si>
  <si>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</si>
  <si>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</si>
  <si>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</si>
  <si>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</si>
  <si>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</si>
  <si>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</si>
  <si>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</si>
  <si>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</si>
  <si>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</si>
  <si>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</si>
  <si>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</si>
  <si>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</si>
  <si>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</si>
  <si>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</si>
  <si>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</si>
  <si>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</si>
  <si>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</si>
  <si>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</si>
  <si>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</si>
  <si>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</si>
  <si>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</si>
  <si>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</si>
  <si>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</si>
  <si>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</si>
  <si>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</si>
  <si>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</si>
  <si>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</si>
  <si>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</si>
  <si>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</si>
  <si>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</si>
  <si>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</si>
  <si>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</si>
  <si>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</si>
  <si>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</si>
  <si>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</si>
  <si>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</si>
  <si>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</si>
  <si>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</si>
  <si>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</si>
  <si>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</si>
  <si>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</si>
  <si>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</si>
  <si>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</si>
  <si>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</si>
  <si>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</si>
  <si>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</si>
  <si>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</si>
  <si>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</si>
  <si>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</si>
  <si>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</si>
  <si>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</si>
  <si>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</si>
  <si>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</si>
  <si>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</si>
  <si>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</si>
  <si>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</si>
  <si>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</si>
  <si>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</si>
  <si>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</si>
  <si>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</si>
  <si>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</si>
  <si>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</si>
  <si>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</si>
  <si>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</si>
  <si>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</si>
  <si>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</si>
  <si>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</si>
  <si>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</si>
  <si>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</si>
  <si>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</si>
  <si>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</si>
  <si>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</si>
  <si>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</si>
  <si>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</si>
  <si>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</si>
  <si>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</si>
  <si>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</si>
  <si>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</si>
  <si>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</si>
  <si>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</si>
  <si>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</si>
  <si>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</si>
  <si>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</si>
  <si>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Index</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</si>
  <si>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</si>
  <si>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</si>
  <si>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</si>
  <si>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</si>
  <si>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</si>
  <si>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</si>
  <si>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</si>
  <si>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</si>
  <si>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</si>
  <si>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</si>
  <si>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</si>
  <si>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</si>
  <si>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</si>
  <si>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</si>
  <si>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</si>
  <si>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</si>
  <si>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</si>
  <si>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</si>
  <si>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</si>
  <si>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</si>
  <si>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</si>
  <si>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</si>
  <si>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</si>
  <si>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</si>
  <si>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</si>
  <si>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</si>
  <si>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</si>
  <si>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</si>
  <si>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</si>
  <si>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</si>
  <si>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</si>
  <si>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</si>
  <si>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</si>
  <si>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</si>
  <si>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</si>
  <si>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</si>
  <si>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</si>
  <si>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</si>
  <si>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</si>
  <si>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</si>
  <si>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</si>
  <si>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</si>
  <si>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</si>
  <si>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</si>
  <si>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</si>
  <si>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</si>
  <si>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</si>
  <si>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</si>
  <si>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</si>
  <si>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</si>
  <si>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</si>
  <si>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</si>
  <si>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</si>
  <si>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</si>
  <si>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</si>
  <si>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</si>
  <si>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</si>
  <si>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</si>
  <si>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</si>
  <si>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</si>
  <si>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</si>
  <si>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</si>
  <si>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</si>
  <si>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</si>
  <si>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</si>
  <si>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</si>
  <si>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</si>
  <si>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</si>
  <si>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</si>
  <si>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</si>
  <si>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</si>
  <si>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</si>
  <si>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</si>
  <si>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</si>
  <si>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</si>
  <si>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</si>
  <si>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</si>
  <si>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</si>
  <si>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</si>
  <si>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</si>
  <si>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</si>
  <si>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</si>
  <si>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</si>
  <si>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</si>
  <si>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</si>
  <si>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</si>
  <si>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</si>
  <si>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</si>
  <si>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</si>
  <si>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</si>
  <si>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</si>
  <si>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</si>
  <si>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</si>
  <si>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</si>
  <si>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</si>
  <si>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</si>
  <si>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</si>
  <si>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</si>
  <si>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</si>
  <si>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</si>
  <si>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</si>
  <si>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</si>
  <si>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</si>
  <si>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</si>
  <si>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</si>
  <si>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</si>
  <si>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</si>
  <si>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</si>
  <si>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</si>
  <si>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</si>
  <si>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</si>
  <si>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</si>
  <si>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</si>
  <si>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</si>
  <si>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</si>
  <si>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</si>
  <si>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</si>
  <si>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</si>
  <si>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</si>
  <si>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</si>
  <si>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</si>
  <si>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</si>
  <si>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</si>
  <si>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</si>
  <si>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</si>
  <si>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</si>
  <si>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</si>
  <si>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</si>
  <si>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</si>
  <si>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</si>
  <si>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</si>
  <si>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</si>
  <si>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</si>
  <si>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</si>
  <si>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</si>
  <si>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</si>
  <si>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</si>
  <si>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</si>
  <si>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</si>
  <si>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</si>
  <si>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</si>
  <si>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</si>
  <si>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</si>
  <si>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</si>
  <si>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</si>
  <si>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</si>
  <si>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</si>
  <si>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</si>
  <si>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</si>
  <si>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</si>
  <si>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</si>
  <si>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</si>
  <si>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</si>
  <si>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</si>
  <si>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</si>
  <si>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</si>
  <si>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</si>
  <si>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</si>
  <si>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Sum connecions/reinforcement/replacement capex -see below</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</si>
  <si>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</si>
  <si>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</si>
  <si>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</si>
  <si>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</si>
  <si>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</si>
  <si>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</si>
  <si>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</si>
  <si>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</si>
  <si>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</si>
  <si>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</si>
  <si>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</si>
  <si>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</si>
  <si>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</si>
  <si>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</si>
  <si>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</si>
  <si>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</si>
  <si>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</si>
  <si>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</si>
  <si>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</si>
  <si>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</si>
  <si>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</si>
  <si>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</si>
  <si>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</si>
  <si>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</si>
  <si>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</si>
  <si>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</si>
  <si>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</si>
  <si>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</si>
  <si>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Total Net Capex</t>
  </si>
  <si>
    <t>% of Total</t>
  </si>
  <si>
    <t>Net Capex</t>
  </si>
  <si>
    <t>Opex only on p/kWh throughput</t>
  </si>
  <si>
    <t>HV/LV</t>
  </si>
  <si>
    <t>Cash typical costs (excluding disallowed related party margins)</t>
  </si>
  <si>
    <t>Memorandum Information - Scottish DNOs 132kV</t>
  </si>
  <si>
    <t>NET CAPEX SPLIT FROM "CALC -NET CAPEX" SHEET</t>
  </si>
  <si>
    <t>CAUTION - THIS PACK DOES NOT BALANCE</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</si>
  <si>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</si>
  <si>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</si>
  <si>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</si>
  <si>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</si>
  <si>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</si>
  <si>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</si>
  <si>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</si>
  <si>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</si>
  <si>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</si>
  <si>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</si>
  <si>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</si>
  <si>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</si>
  <si>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</si>
  <si>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</si>
  <si>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</si>
  <si>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</si>
  <si>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</si>
  <si>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</si>
  <si>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</si>
  <si>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</si>
  <si>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</si>
  <si>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</si>
  <si>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</si>
  <si>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</si>
  <si>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</si>
  <si>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</si>
  <si>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</si>
  <si>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</si>
  <si>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</si>
  <si>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</si>
  <si>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</si>
  <si>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</si>
  <si>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</si>
  <si>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</si>
  <si>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</si>
  <si>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</si>
  <si>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</si>
  <si>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</si>
  <si>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</si>
  <si>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</si>
  <si>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</si>
  <si>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</si>
  <si>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</si>
  <si>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</si>
  <si>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</si>
  <si>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</si>
  <si>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</si>
  <si>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MEAV by Voltage Level</t>
  </si>
  <si>
    <t>Total MEAV</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</si>
  <si>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</si>
  <si>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</si>
  <si>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</si>
  <si>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</si>
  <si>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</si>
  <si>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</si>
  <si>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</si>
  <si>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</si>
  <si>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</si>
  <si>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</si>
  <si>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</si>
  <si>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</si>
  <si>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</si>
  <si>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</si>
  <si>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</si>
  <si>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</si>
  <si>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</si>
  <si>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</si>
  <si>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</si>
  <si>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</si>
  <si>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</si>
  <si>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</si>
  <si>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</si>
  <si>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</si>
  <si>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</si>
  <si>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</si>
  <si>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</si>
  <si>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</si>
  <si>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</si>
  <si>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</si>
  <si>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</si>
  <si>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</si>
  <si>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</si>
  <si>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</si>
  <si>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</si>
  <si>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</si>
  <si>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</si>
  <si>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</si>
  <si>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</si>
  <si>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</si>
  <si>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</si>
  <si>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</si>
  <si>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</si>
  <si>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</si>
  <si>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</si>
  <si>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</si>
  <si>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</si>
  <si>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</si>
  <si>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</si>
  <si>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</si>
  <si>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</si>
  <si>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</si>
  <si>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</si>
  <si>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</si>
  <si>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</si>
  <si>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</si>
  <si>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</si>
  <si>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</si>
  <si>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</si>
  <si>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</si>
  <si>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</si>
  <si>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</si>
  <si>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</si>
  <si>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</si>
  <si>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</si>
  <si>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</si>
  <si>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</si>
  <si>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</si>
  <si>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</si>
  <si>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</si>
  <si>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</si>
  <si>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</si>
  <si>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</si>
  <si>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</si>
  <si>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</si>
  <si>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</si>
  <si>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</si>
  <si>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</si>
  <si>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</si>
  <si>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</si>
  <si>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</si>
  <si>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</si>
  <si>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</si>
  <si>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</si>
  <si>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</si>
  <si>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</si>
  <si>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</si>
  <si>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</si>
  <si>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</si>
  <si>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</si>
  <si>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</si>
  <si>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</si>
  <si>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</si>
  <si>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</si>
  <si>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</si>
  <si>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</si>
  <si>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</si>
  <si>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</si>
  <si>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</si>
  <si>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</si>
  <si>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</si>
  <si>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</si>
  <si>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</si>
  <si>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</si>
  <si>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</si>
  <si>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</si>
  <si>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</si>
  <si>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</si>
  <si>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</si>
  <si>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</si>
  <si>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</si>
  <si>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</si>
  <si>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</si>
  <si>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</si>
  <si>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</si>
  <si>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</si>
  <si>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</si>
  <si>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</si>
  <si>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</si>
  <si>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</si>
  <si>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</si>
  <si>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</si>
  <si>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</si>
  <si>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</si>
  <si>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</si>
  <si>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</si>
  <si>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</si>
  <si>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</si>
  <si>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</si>
  <si>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</si>
  <si>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</si>
  <si>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</si>
  <si>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</si>
  <si>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</si>
  <si>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</si>
  <si>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</si>
  <si>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</si>
  <si>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</si>
  <si>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</si>
  <si>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</si>
  <si>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</si>
  <si>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</si>
  <si>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</si>
  <si>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</si>
  <si>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</si>
  <si>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</si>
  <si>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</si>
  <si>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</si>
  <si>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</si>
  <si>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</si>
  <si>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</si>
  <si>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</si>
  <si>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</si>
  <si>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</si>
  <si>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</si>
  <si>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</si>
  <si>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</si>
  <si>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</si>
  <si>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</si>
  <si>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</si>
  <si>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</si>
  <si>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</si>
  <si>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</si>
  <si>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</si>
  <si>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</si>
  <si>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</si>
  <si>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</si>
  <si>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</si>
  <si>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</si>
  <si>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</si>
  <si>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</si>
  <si>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</si>
  <si>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</si>
  <si>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</si>
  <si>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</si>
  <si>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</si>
  <si>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</si>
  <si>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</si>
  <si>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</si>
  <si>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</si>
  <si>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</si>
  <si>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</si>
  <si>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</si>
  <si>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</si>
  <si>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</si>
  <si>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</si>
  <si>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</si>
  <si>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</si>
  <si>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</si>
  <si>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</si>
  <si>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</si>
  <si>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</si>
  <si>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</si>
  <si>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</si>
  <si>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</si>
  <si>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</si>
  <si>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</si>
  <si>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</si>
  <si>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</si>
  <si>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</si>
  <si>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</si>
  <si>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</si>
  <si>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</si>
  <si>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</si>
  <si>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</si>
  <si>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</si>
  <si>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</si>
  <si>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</si>
  <si>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</si>
  <si>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</si>
  <si>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</si>
  <si>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</si>
  <si>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</si>
  <si>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</si>
  <si>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</si>
  <si>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</si>
  <si>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</si>
  <si>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</si>
  <si>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</si>
  <si>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</si>
  <si>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</si>
  <si>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</si>
  <si>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</si>
  <si>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</si>
  <si>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</si>
  <si>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</si>
  <si>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</si>
  <si>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</si>
  <si>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</si>
  <si>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</si>
  <si>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</si>
  <si>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</si>
  <si>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</si>
  <si>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</si>
  <si>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</si>
  <si>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</si>
  <si>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</si>
  <si>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</si>
  <si>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</si>
  <si>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</si>
  <si>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</si>
  <si>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</si>
  <si>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</si>
  <si>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</si>
  <si>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</si>
  <si>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</si>
  <si>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</si>
  <si>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</si>
  <si>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</si>
  <si>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</si>
  <si>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</si>
  <si>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</si>
  <si>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</si>
  <si>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</si>
  <si>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</si>
  <si>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</si>
  <si>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</si>
  <si>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</si>
  <si>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</si>
  <si>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</si>
  <si>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</si>
  <si>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</si>
  <si>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</si>
  <si>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</si>
  <si>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</si>
  <si>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</si>
  <si>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</si>
  <si>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</si>
  <si>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</si>
  <si>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</si>
  <si>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</si>
  <si>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</si>
  <si>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</si>
  <si>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</si>
  <si>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</si>
  <si>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</si>
  <si>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</si>
  <si>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</si>
  <si>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</si>
  <si>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</si>
  <si>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</si>
  <si>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</si>
  <si>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</si>
  <si>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</si>
  <si>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</si>
  <si>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</si>
  <si>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</si>
  <si>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</si>
  <si>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</si>
  <si>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</si>
  <si>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</si>
  <si>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</si>
  <si>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</si>
  <si>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</si>
  <si>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</si>
  <si>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</si>
  <si>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</si>
  <si>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</si>
  <si>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</si>
  <si>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</si>
  <si>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</si>
  <si>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</si>
  <si>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</si>
  <si>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</si>
  <si>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</si>
  <si>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</si>
  <si>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</si>
  <si>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</si>
  <si>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</si>
  <si>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</si>
  <si>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</si>
  <si>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</si>
  <si>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</si>
  <si>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</si>
  <si>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</si>
  <si>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</si>
  <si>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</si>
  <si>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</si>
  <si>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</si>
  <si>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</si>
  <si>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</si>
  <si>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</si>
  <si>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</si>
  <si>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</si>
  <si>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</si>
  <si>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</si>
  <si>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</si>
  <si>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</si>
  <si>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</si>
  <si>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</si>
  <si>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</si>
  <si>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</si>
  <si>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</si>
  <si>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</si>
  <si>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</si>
  <si>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</si>
  <si>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</si>
  <si>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</si>
  <si>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</si>
  <si>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</si>
  <si>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</si>
  <si>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</si>
  <si>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</si>
  <si>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</si>
  <si>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</si>
  <si>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</si>
  <si>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</si>
  <si>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</si>
  <si>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</si>
  <si>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</si>
  <si>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</si>
  <si>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</si>
  <si>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</si>
  <si>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</si>
  <si>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</si>
  <si>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</si>
  <si>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</si>
  <si>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</si>
  <si>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</si>
  <si>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</si>
  <si>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</si>
  <si>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</si>
  <si>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</si>
  <si>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</si>
  <si>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</si>
  <si>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</si>
  <si>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</si>
  <si>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</si>
  <si>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</si>
  <si>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</si>
  <si>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</si>
  <si>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</si>
  <si>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</si>
  <si>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</si>
  <si>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</si>
  <si>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</si>
  <si>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</si>
  <si>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</si>
  <si>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</si>
  <si>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</si>
  <si>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</si>
  <si>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</si>
  <si>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</si>
  <si>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</si>
  <si>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</si>
  <si>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</si>
  <si>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</si>
  <si>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</si>
  <si>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</si>
  <si>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</si>
  <si>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</si>
  <si>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</si>
  <si>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</si>
  <si>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</si>
  <si>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</si>
  <si>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</si>
  <si>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</si>
  <si>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</si>
  <si>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</si>
  <si>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</si>
  <si>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</si>
  <si>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</si>
  <si>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</si>
  <si>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</si>
  <si>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</si>
  <si>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</si>
  <si>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</si>
  <si>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</si>
  <si>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</si>
  <si>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</si>
  <si>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</si>
  <si>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</si>
  <si>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</si>
  <si>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</si>
  <si>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</si>
  <si>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</si>
  <si>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</si>
  <si>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</si>
  <si>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</si>
  <si>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</si>
  <si>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</si>
  <si>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</si>
  <si>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</si>
  <si>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</si>
  <si>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</si>
  <si>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</si>
  <si>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</si>
  <si>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</si>
  <si>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</si>
  <si>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</si>
  <si>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</si>
  <si>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</si>
  <si>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</si>
  <si>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</si>
  <si>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</si>
  <si>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</si>
  <si>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</si>
  <si>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</si>
  <si>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</si>
  <si>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</si>
  <si>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</si>
  <si>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</si>
  <si>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</si>
  <si>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</si>
  <si>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</si>
  <si>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</si>
  <si>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</si>
  <si>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</si>
  <si>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</si>
  <si>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</si>
  <si>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</si>
  <si>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</si>
  <si>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</si>
  <si>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</si>
  <si>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</si>
  <si>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</si>
  <si>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</si>
  <si>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</si>
  <si>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</si>
  <si>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</si>
  <si>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</si>
  <si>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</si>
  <si>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</si>
  <si>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</si>
  <si>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</si>
  <si>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</si>
  <si>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</si>
  <si>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</si>
  <si>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</si>
  <si>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</si>
  <si>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</si>
  <si>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</si>
  <si>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</si>
  <si>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</si>
  <si>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</si>
  <si>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</si>
  <si>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</si>
  <si>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</si>
  <si>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</si>
  <si>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</si>
  <si>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</si>
  <si>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</si>
  <si>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</si>
  <si>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</si>
  <si>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</si>
  <si>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</si>
  <si>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</si>
  <si>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</si>
  <si>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</si>
  <si>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</si>
  <si>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</si>
  <si>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</si>
  <si>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</si>
  <si>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</si>
  <si>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Use these buttons to select a LR1 data source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</si>
  <si>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</si>
  <si>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</si>
  <si>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</si>
  <si>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</si>
  <si>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</si>
  <si>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</si>
  <si>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</si>
  <si>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</si>
  <si>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</si>
  <si>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</si>
  <si>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</si>
  <si>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</si>
  <si>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</si>
  <si>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</si>
  <si>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</si>
  <si>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</si>
  <si>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</si>
  <si>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</si>
  <si>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</si>
  <si>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</si>
  <si>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</si>
  <si>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</si>
  <si>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</si>
  <si>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</si>
  <si>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</si>
  <si>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</si>
  <si>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</si>
  <si>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</si>
  <si>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</si>
  <si>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</si>
  <si>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</si>
  <si>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</si>
  <si>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</si>
  <si>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</si>
  <si>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</si>
  <si>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</si>
  <si>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</si>
  <si>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</si>
  <si>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</si>
  <si>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</si>
  <si>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</si>
  <si>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</si>
  <si>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</si>
  <si>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</si>
  <si>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Sheet</t>
  </si>
  <si>
    <t>Inputs</t>
  </si>
  <si>
    <t>Description / instructions</t>
  </si>
  <si>
    <t>Use copy-paste to replace the entire contents of this sheet with your input data</t>
  </si>
  <si>
    <t>Use copy-paste to replace rows 1 to 50 with your input data, and populate cells shaded in blue in rows 61 to 63</t>
  </si>
  <si>
    <t>Use copy-paste to replace rows 18 to 163 with your input data; do not change formulas in rows 1 to 12</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</si>
  <si>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</si>
  <si>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</si>
  <si>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</si>
  <si>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</si>
  <si>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</si>
  <si>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Technical notes</t>
  </si>
  <si>
    <t>We have built this workbook by modifying the DCP 129 model published on dcusa.co.uk.</t>
  </si>
  <si>
    <t>Do not change anything in this calculation sheet</t>
  </si>
  <si>
    <t>Do not change anything in this calculation sheet; use the results to populate your CDCM tariff model</t>
  </si>
  <si>
    <t>We have not tried to ensure compliance with the legal text as a whole or consistency with any method M model published by any DNO.</t>
  </si>
  <si>
    <t>We have made changes for DCP 118 on the basis of the DCP 118 change report, the DCP 118 RFI workbooks and the DCP 118 legal text.</t>
  </si>
  <si>
    <t>Electricity North West</t>
  </si>
  <si>
    <t>-</t>
  </si>
  <si>
    <t>0</t>
  </si>
  <si>
    <t>Carlisle North (80015180)</t>
  </si>
  <si>
    <t>132</t>
  </si>
  <si>
    <t>11</t>
  </si>
  <si>
    <t>c</t>
  </si>
  <si>
    <t>2014</t>
  </si>
  <si>
    <t>Winter</t>
  </si>
  <si>
    <t>N</t>
  </si>
  <si>
    <t>West Didsbury BSP (90021310)</t>
  </si>
  <si>
    <t>33</t>
  </si>
  <si>
    <t>a</t>
  </si>
  <si>
    <t>Current</t>
  </si>
  <si>
    <t>Kearsley/Agecroft/Frederick Road 132kV Circuits (80019171)</t>
  </si>
  <si>
    <t>b</t>
  </si>
  <si>
    <t>Adswood BSP (80015001)</t>
  </si>
  <si>
    <t>Wigan GSP (Project - Orrell (90018846))</t>
  </si>
  <si>
    <t>f</t>
  </si>
  <si>
    <t>Stuart Street BSP (80010378)</t>
  </si>
  <si>
    <t>Bloom Street BSP (Bloom St-Stuart St 80018305)</t>
  </si>
  <si>
    <t>2015</t>
  </si>
  <si>
    <t>Longsight (Project W Didsbury - Moss Side 33kV Circuits (80016929))</t>
  </si>
  <si>
    <t>Northenden Primary (80016667)</t>
  </si>
  <si>
    <t>6.6</t>
  </si>
  <si>
    <t>Chorley South (80014674)</t>
  </si>
  <si>
    <t>Bury-Heap Bridge-Dumers Lane 33kV Circuit (80015083)</t>
  </si>
  <si>
    <t>Redbank-Ancoats North 33kV Circuits (80015034)</t>
  </si>
  <si>
    <t>Kendal-Wasset 33kV circuits (80014673)</t>
  </si>
  <si>
    <t>Peel BSP (80015453)</t>
  </si>
  <si>
    <t>Summer</t>
  </si>
  <si>
    <t>Levenshulme Primary (80015111)</t>
  </si>
  <si>
    <t>Kirkby Stephen Primary (80015218)</t>
  </si>
  <si>
    <t>Bedford (Project - Bedford/Kirkhall Lane (80014999))</t>
  </si>
  <si>
    <t>Marple Primary (80017079)</t>
  </si>
  <si>
    <t>Vernon Park - Heaton Norris 33kV Circuits (80015081)</t>
  </si>
  <si>
    <t>Upholland Primary (80015179)</t>
  </si>
  <si>
    <t>ENW</t>
  </si>
  <si>
    <t>UUES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</si>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</sst>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 numFmtId="184" formatCode="_-* #,##0.0_-;\-* #,##0.0_-;_-* &quot;-&quot;??_-;_-@_-"/>
  </numFmts>
  <fonts count="83">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sz val="8"/>
      <name val="Arial"/>
      <family val="2"/>
    </font>
    <font>
      <b/>
      <sz val="8"/>
      <name val="Arial"/>
      <family val="2"/>
    </font>
    <font>
      <sz val="8"/>
      <color indexed="12"/>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11"/>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5"/>
      <color theme="1"/>
      <name val="Calibri"/>
      <family val="2"/>
      <scheme val="minor"/>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rgb="FFFF0000"/>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s>
  <borders count="8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s>
  <cellStyleXfs count="119">
    <xf numFmtId="0" fontId="0" fillId="0" borderId="0"/>
    <xf numFmtId="0" fontId="8" fillId="0" borderId="0"/>
    <xf numFmtId="0" fontId="48" fillId="0" borderId="0"/>
    <xf numFmtId="0" fontId="48" fillId="0" borderId="0">
      <alignment vertical="center"/>
    </xf>
    <xf numFmtId="0" fontId="8" fillId="0" borderId="0"/>
    <xf numFmtId="0" fontId="48"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alignment vertical="top"/>
      <protection locked="0"/>
    </xf>
    <xf numFmtId="0" fontId="3" fillId="0" borderId="0"/>
    <xf numFmtId="0" fontId="8" fillId="0" borderId="0"/>
    <xf numFmtId="0" fontId="48" fillId="0" borderId="0"/>
    <xf numFmtId="0" fontId="48" fillId="0" borderId="0"/>
    <xf numFmtId="0" fontId="5" fillId="0" borderId="0"/>
    <xf numFmtId="0" fontId="48" fillId="0" borderId="0"/>
    <xf numFmtId="0" fontId="48" fillId="0" borderId="0"/>
    <xf numFmtId="0" fontId="48" fillId="0" borderId="0"/>
    <xf numFmtId="0" fontId="49" fillId="0" borderId="0"/>
    <xf numFmtId="0" fontId="48"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8" fillId="0" borderId="0"/>
    <xf numFmtId="0" fontId="49"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260">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9" fontId="0" fillId="0" borderId="2" xfId="33"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1" fontId="11" fillId="0" borderId="0" xfId="26" applyNumberFormat="1" applyFont="1" applyFill="1" applyBorder="1" applyAlignment="1" applyProtection="1">
      <alignment wrapText="1"/>
    </xf>
    <xf numFmtId="0" fontId="11" fillId="0" borderId="0" xfId="26" applyFont="1" applyFill="1" applyBorder="1" applyAlignment="1" applyProtection="1"/>
    <xf numFmtId="0" fontId="10" fillId="0" borderId="0" xfId="26" applyFont="1" applyFill="1" applyBorder="1" applyProtection="1"/>
    <xf numFmtId="0" fontId="11" fillId="0" borderId="0" xfId="26" applyFont="1" applyFill="1" applyBorder="1" applyProtection="1"/>
    <xf numFmtId="0" fontId="0" fillId="0" borderId="0" xfId="0" applyFill="1" applyBorder="1"/>
    <xf numFmtId="1" fontId="10" fillId="0" borderId="0" xfId="26" applyNumberFormat="1" applyFont="1" applyFill="1" applyBorder="1" applyAlignment="1" applyProtection="1">
      <alignment wrapText="1"/>
    </xf>
    <xf numFmtId="1" fontId="11" fillId="0" borderId="0" xfId="26" applyNumberFormat="1" applyFont="1" applyFill="1" applyBorder="1" applyAlignment="1" applyProtection="1">
      <alignment horizontal="center" wrapText="1"/>
    </xf>
    <xf numFmtId="1" fontId="11" fillId="0" borderId="0" xfId="26" applyNumberFormat="1" applyFont="1" applyFill="1" applyBorder="1" applyAlignment="1" applyProtection="1">
      <alignment horizontal="centerContinuous" wrapText="1"/>
    </xf>
    <xf numFmtId="1" fontId="11" fillId="0" borderId="0" xfId="26" applyNumberFormat="1" applyFont="1" applyFill="1" applyBorder="1" applyAlignment="1" applyProtection="1">
      <alignment horizontal="center" vertical="center" wrapText="1"/>
    </xf>
    <xf numFmtId="1" fontId="10" fillId="0" borderId="0" xfId="26" applyNumberFormat="1" applyFont="1" applyFill="1" applyBorder="1" applyProtection="1"/>
    <xf numFmtId="1" fontId="10" fillId="0" borderId="0" xfId="26" applyNumberFormat="1" applyFont="1" applyFill="1" applyBorder="1" applyAlignment="1" applyProtection="1">
      <alignment horizontal="center"/>
    </xf>
    <xf numFmtId="0" fontId="10" fillId="0" borderId="0" xfId="0" applyFont="1" applyFill="1" applyBorder="1" applyAlignment="1" applyProtection="1"/>
    <xf numFmtId="167" fontId="12" fillId="0" borderId="0" xfId="0" applyNumberFormat="1" applyFont="1" applyFill="1" applyBorder="1" applyAlignment="1" applyProtection="1">
      <alignment horizontal="center" vertical="center"/>
      <protection locked="0"/>
    </xf>
    <xf numFmtId="0" fontId="10" fillId="0" borderId="0" xfId="26" applyFont="1" applyFill="1" applyBorder="1" applyAlignment="1" applyProtection="1">
      <alignment horizontal="center"/>
    </xf>
    <xf numFmtId="167" fontId="10" fillId="0" borderId="0" xfId="0" applyNumberFormat="1" applyFont="1" applyFill="1" applyBorder="1" applyAlignment="1" applyProtection="1">
      <alignment horizontal="center" vertical="center"/>
    </xf>
    <xf numFmtId="167" fontId="10" fillId="0" borderId="0" xfId="27" applyNumberFormat="1" applyFont="1" applyFill="1" applyBorder="1" applyAlignment="1" applyProtection="1">
      <alignment horizontal="center" vertical="center"/>
    </xf>
    <xf numFmtId="1" fontId="11" fillId="0" borderId="0" xfId="26" applyNumberFormat="1" applyFont="1" applyFill="1" applyBorder="1" applyProtection="1"/>
    <xf numFmtId="168" fontId="12" fillId="0" borderId="0" xfId="26" applyNumberFormat="1" applyFont="1" applyFill="1" applyBorder="1" applyProtection="1"/>
    <xf numFmtId="0" fontId="10" fillId="0" borderId="0" xfId="22" applyFont="1" applyFill="1" applyBorder="1" applyAlignment="1" applyProtection="1"/>
    <xf numFmtId="1" fontId="10" fillId="0" borderId="0" xfId="27" applyNumberFormat="1" applyFont="1" applyFill="1" applyBorder="1" applyAlignment="1" applyProtection="1">
      <alignment horizontal="center" vertical="center"/>
    </xf>
    <xf numFmtId="2" fontId="10" fillId="0" borderId="0" xfId="0" applyNumberFormat="1" applyFont="1" applyFill="1" applyBorder="1" applyAlignment="1" applyProtection="1">
      <alignment horizontal="center" vertical="center"/>
    </xf>
    <xf numFmtId="2" fontId="0" fillId="0" borderId="0" xfId="0" applyNumberFormat="1" applyBorder="1"/>
    <xf numFmtId="9" fontId="0" fillId="0" borderId="0" xfId="33" applyFont="1" applyBorder="1"/>
    <xf numFmtId="0" fontId="5" fillId="0" borderId="4" xfId="0" applyFont="1" applyFill="1" applyBorder="1"/>
    <xf numFmtId="9" fontId="0" fillId="0" borderId="4" xfId="33" applyFont="1" applyBorder="1"/>
    <xf numFmtId="10" fontId="0" fillId="0" borderId="6" xfId="0" applyNumberFormat="1" applyBorder="1" applyAlignment="1">
      <alignment vertical="top"/>
    </xf>
    <xf numFmtId="9" fontId="0" fillId="0" borderId="9" xfId="33" applyFon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4" fillId="0" borderId="9" xfId="33" applyNumberFormat="1" applyFont="1" applyBorder="1" applyAlignment="1" applyProtection="1">
      <alignment horizontal="center" vertical="center" wrapText="1"/>
    </xf>
    <xf numFmtId="167" fontId="14" fillId="0" borderId="0" xfId="32" applyNumberFormat="1" applyFont="1" applyBorder="1" applyAlignment="1" applyProtection="1">
      <alignment horizontal="center" vertical="center" wrapText="1"/>
    </xf>
    <xf numFmtId="167" fontId="14"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4" fillId="0" borderId="9" xfId="33" applyNumberFormat="1" applyFont="1" applyFill="1" applyBorder="1" applyAlignment="1" applyProtection="1">
      <alignment horizontal="center" vertical="center" wrapText="1"/>
    </xf>
    <xf numFmtId="167" fontId="14"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4" fillId="0" borderId="2" xfId="32" applyFont="1" applyBorder="1" applyAlignment="1">
      <alignment horizontal="left" vertical="center" wrapText="1"/>
    </xf>
    <xf numFmtId="164" fontId="14" fillId="0" borderId="9" xfId="33" applyNumberFormat="1" applyFont="1" applyBorder="1" applyAlignment="1">
      <alignment horizontal="center" vertical="center" wrapText="1"/>
    </xf>
    <xf numFmtId="0" fontId="14" fillId="0" borderId="1" xfId="32" applyFont="1" applyBorder="1" applyAlignment="1">
      <alignment horizontal="left" vertical="center" wrapText="1"/>
    </xf>
    <xf numFmtId="0" fontId="14" fillId="0" borderId="3" xfId="32" applyFont="1" applyBorder="1" applyAlignment="1">
      <alignment horizontal="left" vertical="center" wrapText="1"/>
    </xf>
    <xf numFmtId="0" fontId="22" fillId="0" borderId="0" xfId="0" applyFont="1" applyFill="1" applyBorder="1" applyAlignment="1"/>
    <xf numFmtId="0" fontId="22" fillId="0" borderId="0" xfId="0" applyFont="1" applyFill="1" applyBorder="1" applyAlignment="1">
      <alignment horizontal="center"/>
    </xf>
    <xf numFmtId="167" fontId="23" fillId="0" borderId="0" xfId="32" applyNumberFormat="1" applyFont="1" applyFill="1" applyBorder="1" applyAlignment="1" applyProtection="1">
      <alignment horizontal="left" vertical="center" wrapText="1"/>
    </xf>
    <xf numFmtId="164" fontId="23" fillId="0" borderId="0" xfId="33" applyNumberFormat="1" applyFont="1" applyFill="1" applyBorder="1" applyAlignment="1" applyProtection="1">
      <alignment horizontal="center" vertical="center" wrapText="1"/>
    </xf>
    <xf numFmtId="167" fontId="23" fillId="0" borderId="0" xfId="32" applyNumberFormat="1" applyFont="1" applyFill="1" applyBorder="1" applyAlignment="1" applyProtection="1">
      <alignment horizontal="center" vertical="center" wrapText="1"/>
    </xf>
    <xf numFmtId="167" fontId="22" fillId="0" borderId="0" xfId="0" applyNumberFormat="1" applyFont="1" applyFill="1" applyBorder="1" applyAlignment="1"/>
    <xf numFmtId="9" fontId="22" fillId="0" borderId="0" xfId="33" applyFont="1" applyFill="1" applyBorder="1" applyAlignment="1"/>
    <xf numFmtId="166" fontId="22" fillId="0" borderId="0" xfId="0" applyNumberFormat="1" applyFont="1" applyFill="1" applyBorder="1" applyAlignment="1"/>
    <xf numFmtId="1" fontId="22" fillId="0" borderId="0" xfId="0" applyNumberFormat="1" applyFont="1" applyFill="1" applyBorder="1" applyAlignment="1">
      <alignment horizontal="center"/>
    </xf>
    <xf numFmtId="0" fontId="22"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3" fillId="0" borderId="0" xfId="0" applyFont="1" applyFill="1" applyBorder="1" applyAlignment="1">
      <alignment horizontal="center" vertical="top" wrapText="1"/>
    </xf>
    <xf numFmtId="0" fontId="0" fillId="0" borderId="9" xfId="0" applyBorder="1" applyAlignment="1">
      <alignment wrapText="1"/>
    </xf>
    <xf numFmtId="0" fontId="14" fillId="0" borderId="6" xfId="32" applyFont="1" applyBorder="1" applyAlignment="1">
      <alignment horizontal="center" vertical="center" wrapText="1"/>
    </xf>
    <xf numFmtId="0" fontId="14" fillId="0" borderId="9" xfId="32" applyFont="1" applyBorder="1" applyAlignment="1">
      <alignment horizontal="center" vertical="center" wrapText="1"/>
    </xf>
    <xf numFmtId="167" fontId="14" fillId="0" borderId="1" xfId="32" applyNumberFormat="1" applyFont="1" applyBorder="1" applyAlignment="1" applyProtection="1">
      <alignment horizontal="left" vertical="center" wrapText="1"/>
    </xf>
    <xf numFmtId="167" fontId="14" fillId="0" borderId="2" xfId="32" applyNumberFormat="1" applyFont="1" applyBorder="1" applyAlignment="1" applyProtection="1">
      <alignment horizontal="left" vertical="center" wrapText="1"/>
    </xf>
    <xf numFmtId="167" fontId="14" fillId="0" borderId="2" xfId="32" applyNumberFormat="1" applyFont="1" applyFill="1" applyBorder="1" applyAlignment="1" applyProtection="1">
      <alignment horizontal="left" vertical="center" wrapText="1"/>
    </xf>
    <xf numFmtId="0" fontId="15" fillId="0" borderId="4" xfId="32" applyFont="1" applyBorder="1" applyAlignment="1">
      <alignment horizontal="left" vertical="center" wrapText="1"/>
    </xf>
    <xf numFmtId="167" fontId="14" fillId="0" borderId="2" xfId="32" applyNumberFormat="1" applyFont="1" applyBorder="1" applyAlignment="1" applyProtection="1">
      <alignment horizontal="center" vertical="center" wrapText="1"/>
    </xf>
    <xf numFmtId="167" fontId="14" fillId="0" borderId="1" xfId="32" applyNumberFormat="1" applyFont="1" applyBorder="1" applyAlignment="1" applyProtection="1">
      <alignment horizontal="center" vertical="center" wrapText="1"/>
    </xf>
    <xf numFmtId="167" fontId="14" fillId="0" borderId="2" xfId="32" applyNumberFormat="1" applyFont="1" applyFill="1" applyBorder="1" applyAlignment="1" applyProtection="1">
      <alignment horizontal="center" vertical="center" wrapText="1"/>
    </xf>
    <xf numFmtId="167" fontId="14" fillId="0" borderId="1" xfId="32" applyNumberFormat="1" applyFont="1" applyBorder="1" applyAlignment="1">
      <alignment horizontal="center" vertical="center" wrapText="1"/>
    </xf>
    <xf numFmtId="167" fontId="14" fillId="0" borderId="2" xfId="32" applyNumberFormat="1" applyFont="1" applyBorder="1" applyAlignment="1">
      <alignment horizontal="center" vertical="center" wrapText="1"/>
    </xf>
    <xf numFmtId="167" fontId="14" fillId="0" borderId="3" xfId="32" applyNumberFormat="1" applyFont="1" applyBorder="1" applyAlignment="1">
      <alignment horizontal="center" vertical="center" wrapText="1"/>
    </xf>
    <xf numFmtId="167" fontId="15" fillId="0" borderId="4" xfId="32" applyNumberFormat="1" applyFont="1" applyBorder="1" applyAlignment="1">
      <alignment horizontal="center" vertical="center" wrapText="1"/>
    </xf>
    <xf numFmtId="167" fontId="15" fillId="0" borderId="1" xfId="32" applyNumberFormat="1" applyFont="1" applyBorder="1" applyAlignment="1">
      <alignment horizontal="center" vertical="center" wrapText="1"/>
    </xf>
    <xf numFmtId="0" fontId="7" fillId="0" borderId="3" xfId="0" applyFont="1" applyBorder="1" applyAlignment="1">
      <alignment vertical="top"/>
    </xf>
    <xf numFmtId="167" fontId="14" fillId="0" borderId="0" xfId="32" applyNumberFormat="1" applyFont="1" applyBorder="1" applyAlignment="1">
      <alignment horizontal="center" vertical="center" wrapText="1"/>
    </xf>
    <xf numFmtId="167" fontId="14"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4"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4"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5" fillId="0" borderId="0" xfId="32" applyFont="1" applyBorder="1" applyAlignment="1">
      <alignment horizontal="left" vertical="center" wrapText="1"/>
    </xf>
    <xf numFmtId="167" fontId="15" fillId="0" borderId="0" xfId="32" applyNumberFormat="1" applyFont="1" applyBorder="1" applyAlignment="1">
      <alignment horizontal="center" vertical="center" wrapText="1"/>
    </xf>
    <xf numFmtId="9" fontId="14"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7" fillId="0" borderId="0" xfId="0" applyFont="1"/>
    <xf numFmtId="169" fontId="4" fillId="7" borderId="0" xfId="0" applyNumberFormat="1" applyFont="1" applyFill="1" applyAlignment="1">
      <alignment vertical="center" wrapText="1"/>
    </xf>
    <xf numFmtId="0" fontId="9" fillId="3" borderId="0" xfId="0" applyFont="1" applyFill="1"/>
    <xf numFmtId="0" fontId="18" fillId="3" borderId="0" xfId="0" applyFont="1" applyFill="1"/>
    <xf numFmtId="171" fontId="0" fillId="0" borderId="0" xfId="0" applyNumberFormat="1" applyFill="1" applyAlignment="1"/>
    <xf numFmtId="3" fontId="0" fillId="0" borderId="0" xfId="0" applyNumberFormat="1" applyFill="1" applyAlignment="1"/>
    <xf numFmtId="167" fontId="15"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6" fillId="8" borderId="0" xfId="0" applyFont="1" applyFill="1"/>
    <xf numFmtId="167" fontId="16" fillId="8" borderId="0" xfId="0" applyNumberFormat="1" applyFont="1" applyFill="1"/>
    <xf numFmtId="167" fontId="5" fillId="8" borderId="0" xfId="0" applyNumberFormat="1" applyFont="1" applyFill="1"/>
    <xf numFmtId="164" fontId="0" fillId="0" borderId="0" xfId="33" applyNumberFormat="1" applyFont="1" applyAlignment="1"/>
    <xf numFmtId="10" fontId="16"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4" fillId="0" borderId="3" xfId="32" applyNumberFormat="1" applyFont="1" applyBorder="1" applyAlignment="1" applyProtection="1">
      <alignment horizontal="left" vertical="center" wrapText="1"/>
    </xf>
    <xf numFmtId="9" fontId="14" fillId="0" borderId="1" xfId="33" applyFont="1" applyBorder="1" applyAlignment="1" applyProtection="1">
      <alignment horizontal="center" vertical="center" wrapText="1"/>
    </xf>
    <xf numFmtId="9" fontId="14"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4" fillId="0" borderId="11" xfId="33" applyNumberFormat="1" applyFont="1" applyBorder="1" applyAlignment="1" applyProtection="1">
      <alignment horizontal="center" vertical="center" wrapText="1"/>
    </xf>
    <xf numFmtId="167" fontId="14"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9" fontId="10" fillId="0" borderId="0" xfId="33" applyFont="1" applyFill="1" applyBorder="1" applyProtection="1"/>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4" fillId="0" borderId="8" xfId="32" applyNumberFormat="1" applyFont="1" applyBorder="1" applyAlignment="1" applyProtection="1">
      <alignment horizontal="center" vertical="center" wrapText="1"/>
    </xf>
    <xf numFmtId="0" fontId="21" fillId="0" borderId="0" xfId="0" applyFont="1" applyBorder="1" applyAlignment="1">
      <alignment vertical="top" wrapText="1"/>
    </xf>
    <xf numFmtId="0" fontId="15"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4" fillId="0" borderId="6" xfId="33" applyNumberFormat="1" applyFont="1" applyFill="1" applyBorder="1" applyAlignment="1" applyProtection="1">
      <alignment horizontal="center" vertical="center" wrapText="1"/>
    </xf>
    <xf numFmtId="164" fontId="14"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22" fillId="0" borderId="0" xfId="0" applyFont="1" applyFill="1" applyBorder="1" applyAlignment="1">
      <alignment vertical="top" wrapText="1"/>
    </xf>
    <xf numFmtId="0" fontId="4" fillId="10" borderId="0" xfId="0" applyFont="1" applyFill="1"/>
    <xf numFmtId="0" fontId="24" fillId="0" borderId="0" xfId="0" applyFont="1" applyFill="1" applyAlignment="1"/>
    <xf numFmtId="0" fontId="24" fillId="0" borderId="0" xfId="0" applyFont="1" applyFill="1"/>
    <xf numFmtId="167" fontId="24" fillId="0" borderId="0" xfId="0" applyNumberFormat="1" applyFont="1" applyFill="1"/>
    <xf numFmtId="0" fontId="24" fillId="10" borderId="0" xfId="0" applyFont="1" applyFill="1" applyAlignment="1"/>
    <xf numFmtId="0" fontId="24" fillId="10" borderId="0" xfId="0" applyFont="1" applyFill="1"/>
    <xf numFmtId="167" fontId="24" fillId="10" borderId="0" xfId="0" applyNumberFormat="1" applyFont="1" applyFill="1"/>
    <xf numFmtId="9" fontId="22" fillId="9" borderId="22" xfId="33" applyFont="1" applyFill="1" applyBorder="1" applyAlignment="1"/>
    <xf numFmtId="0" fontId="3" fillId="5" borderId="17" xfId="0" applyFont="1" applyFill="1" applyBorder="1" applyAlignment="1"/>
    <xf numFmtId="0" fontId="22" fillId="0" borderId="0" xfId="0" applyFont="1" applyAlignment="1"/>
    <xf numFmtId="0" fontId="16" fillId="0" borderId="0" xfId="0" applyFont="1" applyFill="1" applyBorder="1" applyAlignment="1"/>
    <xf numFmtId="167" fontId="16"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6"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6" fillId="0" borderId="0" xfId="0" applyFont="1"/>
    <xf numFmtId="164" fontId="0" fillId="0" borderId="0" xfId="33" applyNumberFormat="1" applyFont="1"/>
    <xf numFmtId="0" fontId="25" fillId="0" borderId="0" xfId="0" applyFont="1"/>
    <xf numFmtId="0" fontId="20" fillId="0" borderId="0" xfId="11" applyAlignment="1" applyProtection="1"/>
    <xf numFmtId="0" fontId="5" fillId="0" borderId="0" xfId="16" applyProtection="1"/>
    <xf numFmtId="0" fontId="0" fillId="0" borderId="0" xfId="0" applyProtection="1"/>
    <xf numFmtId="1" fontId="15" fillId="0" borderId="32" xfId="25" applyNumberFormat="1" applyFont="1" applyBorder="1" applyAlignment="1" applyProtection="1">
      <alignment horizontal="center" vertical="center" wrapText="1"/>
    </xf>
    <xf numFmtId="1" fontId="15" fillId="0" borderId="22" xfId="25" applyNumberFormat="1" applyFont="1" applyBorder="1" applyAlignment="1" applyProtection="1">
      <alignment horizontal="center" vertical="center" wrapText="1"/>
    </xf>
    <xf numFmtId="1" fontId="15" fillId="0" borderId="20" xfId="25" applyNumberFormat="1" applyFont="1" applyBorder="1" applyProtection="1"/>
    <xf numFmtId="1" fontId="15" fillId="0" borderId="21" xfId="25" applyNumberFormat="1" applyFont="1" applyBorder="1" applyProtection="1"/>
    <xf numFmtId="1" fontId="14" fillId="0" borderId="17" xfId="25" applyNumberFormat="1" applyFont="1" applyFill="1" applyBorder="1" applyProtection="1"/>
    <xf numFmtId="0" fontId="15" fillId="0" borderId="0" xfId="25" applyFont="1" applyBorder="1" applyAlignment="1" applyProtection="1"/>
    <xf numFmtId="0" fontId="14" fillId="0" borderId="0" xfId="25" applyFont="1" applyBorder="1" applyProtection="1"/>
    <xf numFmtId="1" fontId="14" fillId="0" borderId="32" xfId="25" applyNumberFormat="1" applyFont="1" applyFill="1" applyBorder="1" applyAlignment="1" applyProtection="1">
      <alignment horizontal="center"/>
    </xf>
    <xf numFmtId="1" fontId="14" fillId="0" borderId="34" xfId="25" applyNumberFormat="1" applyFont="1" applyFill="1" applyBorder="1" applyAlignment="1" applyProtection="1">
      <alignment horizontal="center"/>
    </xf>
    <xf numFmtId="1" fontId="14" fillId="0" borderId="35" xfId="25" applyNumberFormat="1" applyFont="1" applyFill="1" applyBorder="1" applyAlignment="1" applyProtection="1">
      <alignment horizontal="center"/>
    </xf>
    <xf numFmtId="1" fontId="14" fillId="0" borderId="36" xfId="25" applyNumberFormat="1" applyFont="1" applyFill="1" applyBorder="1" applyAlignment="1" applyProtection="1">
      <alignment horizontal="center"/>
    </xf>
    <xf numFmtId="0" fontId="15" fillId="0" borderId="0" xfId="25" applyFont="1" applyBorder="1" applyProtection="1"/>
    <xf numFmtId="1" fontId="14" fillId="0" borderId="33" xfId="25" applyNumberFormat="1" applyFont="1" applyFill="1" applyBorder="1" applyAlignment="1" applyProtection="1">
      <alignment horizontal="center"/>
    </xf>
    <xf numFmtId="1" fontId="14" fillId="0" borderId="37" xfId="25" applyNumberFormat="1" applyFont="1" applyFill="1" applyBorder="1" applyAlignment="1" applyProtection="1">
      <alignment horizontal="center"/>
    </xf>
    <xf numFmtId="1" fontId="14" fillId="0" borderId="2" xfId="25" applyNumberFormat="1" applyFont="1" applyFill="1" applyBorder="1" applyAlignment="1" applyProtection="1">
      <alignment horizontal="center"/>
    </xf>
    <xf numFmtId="1" fontId="14" fillId="0" borderId="9" xfId="25" applyNumberFormat="1" applyFont="1" applyFill="1" applyBorder="1" applyAlignment="1" applyProtection="1">
      <alignment horizontal="center"/>
    </xf>
    <xf numFmtId="167" fontId="14" fillId="0" borderId="33" xfId="25" applyNumberFormat="1" applyFont="1" applyFill="1" applyBorder="1" applyAlignment="1" applyProtection="1">
      <alignment horizontal="center"/>
    </xf>
    <xf numFmtId="0" fontId="14" fillId="0" borderId="17" xfId="25" applyFont="1" applyBorder="1" applyProtection="1"/>
    <xf numFmtId="168" fontId="15" fillId="10" borderId="38" xfId="25" applyNumberFormat="1" applyFont="1" applyFill="1" applyBorder="1" applyAlignment="1" applyProtection="1">
      <alignment horizontal="center"/>
    </xf>
    <xf numFmtId="168" fontId="14" fillId="0" borderId="27" xfId="25" applyNumberFormat="1" applyFont="1" applyFill="1" applyBorder="1" applyAlignment="1" applyProtection="1">
      <alignment horizontal="center"/>
    </xf>
    <xf numFmtId="168" fontId="14" fillId="0" borderId="4" xfId="25" applyNumberFormat="1" applyFont="1" applyFill="1" applyBorder="1" applyAlignment="1" applyProtection="1">
      <alignment horizontal="center"/>
    </xf>
    <xf numFmtId="167" fontId="26" fillId="9" borderId="38" xfId="25" applyNumberFormat="1" applyFont="1" applyFill="1" applyBorder="1" applyAlignment="1" applyProtection="1">
      <alignment horizontal="center"/>
      <protection locked="0"/>
    </xf>
    <xf numFmtId="168" fontId="14" fillId="0" borderId="7" xfId="25" applyNumberFormat="1" applyFont="1" applyFill="1" applyBorder="1" applyAlignment="1" applyProtection="1">
      <alignment horizontal="center"/>
    </xf>
    <xf numFmtId="168" fontId="15" fillId="0" borderId="33" xfId="25" applyNumberFormat="1" applyFont="1" applyFill="1" applyBorder="1" applyAlignment="1" applyProtection="1">
      <alignment horizontal="center"/>
    </xf>
    <xf numFmtId="168" fontId="14" fillId="0" borderId="37" xfId="25" applyNumberFormat="1" applyFont="1" applyFill="1" applyBorder="1" applyAlignment="1" applyProtection="1">
      <alignment horizontal="center"/>
    </xf>
    <xf numFmtId="168" fontId="14" fillId="0" borderId="2" xfId="25" applyNumberFormat="1" applyFont="1" applyFill="1" applyBorder="1" applyAlignment="1" applyProtection="1">
      <alignment horizontal="center"/>
    </xf>
    <xf numFmtId="168" fontId="14" fillId="0" borderId="9" xfId="25" applyNumberFormat="1" applyFont="1" applyFill="1" applyBorder="1" applyAlignment="1" applyProtection="1">
      <alignment horizontal="center"/>
    </xf>
    <xf numFmtId="167" fontId="14" fillId="0" borderId="33" xfId="25" applyNumberFormat="1" applyFont="1" applyFill="1" applyBorder="1" applyAlignment="1" applyProtection="1">
      <alignment horizontal="center"/>
      <protection locked="0"/>
    </xf>
    <xf numFmtId="168" fontId="26" fillId="0" borderId="39" xfId="25" applyNumberFormat="1" applyFont="1" applyFill="1" applyBorder="1" applyAlignment="1" applyProtection="1">
      <alignment horizontal="center"/>
    </xf>
    <xf numFmtId="168" fontId="14" fillId="0" borderId="40" xfId="25" applyNumberFormat="1" applyFont="1" applyFill="1" applyBorder="1" applyAlignment="1" applyProtection="1">
      <alignment horizontal="center"/>
    </xf>
    <xf numFmtId="168" fontId="14" fillId="0" borderId="41" xfId="25" applyNumberFormat="1" applyFont="1" applyFill="1" applyBorder="1" applyAlignment="1" applyProtection="1">
      <alignment horizontal="center"/>
    </xf>
    <xf numFmtId="168" fontId="14" fillId="0" borderId="42" xfId="25" applyNumberFormat="1" applyFont="1" applyFill="1" applyBorder="1" applyAlignment="1" applyProtection="1">
      <alignment horizontal="center"/>
    </xf>
    <xf numFmtId="168" fontId="14" fillId="0" borderId="39" xfId="25" applyNumberFormat="1" applyFont="1" applyFill="1" applyBorder="1" applyAlignment="1" applyProtection="1">
      <alignment horizontal="center"/>
    </xf>
    <xf numFmtId="167" fontId="26" fillId="0" borderId="39" xfId="25" applyNumberFormat="1" applyFont="1" applyFill="1" applyBorder="1" applyAlignment="1" applyProtection="1">
      <alignment horizontal="center"/>
      <protection locked="0"/>
    </xf>
    <xf numFmtId="0" fontId="14" fillId="0" borderId="13" xfId="25" applyFont="1" applyBorder="1" applyProtection="1"/>
    <xf numFmtId="0" fontId="15" fillId="0" borderId="14" xfId="25" applyFont="1" applyBorder="1" applyAlignment="1" applyProtection="1"/>
    <xf numFmtId="0" fontId="14" fillId="0" borderId="0" xfId="22" applyFont="1" applyAlignment="1" applyProtection="1"/>
    <xf numFmtId="168" fontId="15" fillId="0" borderId="32" xfId="25" applyNumberFormat="1" applyFont="1" applyFill="1" applyBorder="1" applyAlignment="1" applyProtection="1">
      <alignment horizontal="center"/>
    </xf>
    <xf numFmtId="168" fontId="14" fillId="0" borderId="34" xfId="25" applyNumberFormat="1" applyFont="1" applyFill="1" applyBorder="1" applyAlignment="1" applyProtection="1">
      <alignment horizontal="center"/>
    </xf>
    <xf numFmtId="168" fontId="14" fillId="0" borderId="35" xfId="25" applyNumberFormat="1" applyFont="1" applyFill="1" applyBorder="1" applyAlignment="1" applyProtection="1">
      <alignment horizontal="center"/>
    </xf>
    <xf numFmtId="168" fontId="14" fillId="0" borderId="36" xfId="25" applyNumberFormat="1" applyFont="1" applyFill="1" applyBorder="1" applyAlignment="1" applyProtection="1">
      <alignment horizontal="center"/>
    </xf>
    <xf numFmtId="167" fontId="14" fillId="0" borderId="32" xfId="25" applyNumberFormat="1" applyFont="1" applyFill="1" applyBorder="1" applyAlignment="1" applyProtection="1">
      <alignment horizontal="center"/>
      <protection locked="0"/>
    </xf>
    <xf numFmtId="167" fontId="26" fillId="0" borderId="39" xfId="25" applyNumberFormat="1" applyFont="1" applyFill="1" applyBorder="1" applyAlignment="1" applyProtection="1">
      <alignment horizontal="center"/>
    </xf>
    <xf numFmtId="167" fontId="27" fillId="9" borderId="27" xfId="16" applyNumberFormat="1" applyFont="1" applyFill="1" applyBorder="1" applyAlignment="1" applyProtection="1">
      <alignment horizontal="center" vertical="center"/>
      <protection locked="0"/>
    </xf>
    <xf numFmtId="167" fontId="27" fillId="9" borderId="5" xfId="16" applyNumberFormat="1" applyFont="1" applyFill="1" applyBorder="1" applyAlignment="1" applyProtection="1">
      <alignment horizontal="center" vertical="center"/>
      <protection locked="0"/>
    </xf>
    <xf numFmtId="167" fontId="27" fillId="9" borderId="28" xfId="16" applyNumberFormat="1" applyFont="1" applyFill="1" applyBorder="1" applyAlignment="1" applyProtection="1">
      <alignment horizontal="center" vertical="center"/>
      <protection locked="0"/>
    </xf>
    <xf numFmtId="167" fontId="27" fillId="9" borderId="4" xfId="16" applyNumberFormat="1" applyFont="1" applyFill="1" applyBorder="1" applyAlignment="1" applyProtection="1">
      <alignment horizontal="center" vertical="center"/>
      <protection locked="0"/>
    </xf>
    <xf numFmtId="167" fontId="27" fillId="11" borderId="27" xfId="16" applyNumberFormat="1" applyFont="1" applyFill="1" applyBorder="1" applyAlignment="1" applyProtection="1">
      <alignment horizontal="center" vertical="center"/>
    </xf>
    <xf numFmtId="167" fontId="27" fillId="11" borderId="5" xfId="16" applyNumberFormat="1" applyFont="1" applyFill="1" applyBorder="1" applyAlignment="1" applyProtection="1">
      <alignment horizontal="center" vertical="center"/>
    </xf>
    <xf numFmtId="167" fontId="27" fillId="11" borderId="29" xfId="16" applyNumberFormat="1" applyFont="1" applyFill="1" applyBorder="1" applyAlignment="1" applyProtection="1">
      <alignment horizontal="center" vertical="center"/>
    </xf>
    <xf numFmtId="167" fontId="27" fillId="11" borderId="45" xfId="16" applyNumberFormat="1" applyFont="1" applyFill="1" applyBorder="1" applyAlignment="1" applyProtection="1">
      <alignment horizontal="center" vertical="center"/>
    </xf>
    <xf numFmtId="167" fontId="27" fillId="9" borderId="45" xfId="16" applyNumberFormat="1" applyFont="1" applyFill="1" applyBorder="1" applyAlignment="1" applyProtection="1">
      <alignment horizontal="center" vertical="center"/>
      <protection locked="0"/>
    </xf>
    <xf numFmtId="167" fontId="27" fillId="9" borderId="31" xfId="16" applyNumberFormat="1" applyFont="1" applyFill="1" applyBorder="1" applyAlignment="1" applyProtection="1">
      <alignment horizontal="center" vertical="center"/>
      <protection locked="0"/>
    </xf>
    <xf numFmtId="167" fontId="27"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3" fillId="0" borderId="0" xfId="0" applyFont="1"/>
    <xf numFmtId="0" fontId="28" fillId="0" borderId="0" xfId="0" applyFont="1" applyFill="1" applyBorder="1"/>
    <xf numFmtId="0" fontId="9" fillId="0" borderId="0" xfId="0" applyFont="1"/>
    <xf numFmtId="0" fontId="29"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21" fillId="0" borderId="0" xfId="0" applyNumberFormat="1" applyFont="1" applyProtection="1"/>
    <xf numFmtId="0" fontId="5" fillId="0" borderId="0" xfId="16" applyProtection="1">
      <protection locked="0"/>
    </xf>
    <xf numFmtId="0" fontId="27" fillId="9" borderId="4" xfId="16" applyFont="1" applyFill="1" applyBorder="1" applyAlignment="1" applyProtection="1">
      <alignment horizontal="center" vertical="center"/>
      <protection locked="0"/>
    </xf>
    <xf numFmtId="0" fontId="27" fillId="9" borderId="7" xfId="16" applyFont="1" applyFill="1" applyBorder="1" applyAlignment="1" applyProtection="1">
      <alignment horizontal="center" vertical="center"/>
      <protection locked="0"/>
    </xf>
    <xf numFmtId="166" fontId="27" fillId="9" borderId="27" xfId="16" applyNumberFormat="1" applyFont="1" applyFill="1" applyBorder="1" applyAlignment="1" applyProtection="1">
      <alignment horizontal="center" vertical="center"/>
      <protection locked="0"/>
    </xf>
    <xf numFmtId="166" fontId="27" fillId="9" borderId="5" xfId="16" applyNumberFormat="1" applyFont="1" applyFill="1" applyBorder="1" applyAlignment="1" applyProtection="1">
      <alignment horizontal="center" vertical="center"/>
      <protection locked="0"/>
    </xf>
    <xf numFmtId="166" fontId="27" fillId="9" borderId="28" xfId="16" applyNumberFormat="1" applyFont="1" applyFill="1" applyBorder="1" applyAlignment="1" applyProtection="1">
      <alignment horizontal="center" vertical="center"/>
      <protection locked="0"/>
    </xf>
    <xf numFmtId="166" fontId="27" fillId="9" borderId="4" xfId="16" applyNumberFormat="1" applyFont="1" applyFill="1" applyBorder="1" applyAlignment="1" applyProtection="1">
      <alignment horizontal="center" vertical="center"/>
      <protection locked="0"/>
    </xf>
    <xf numFmtId="0" fontId="27" fillId="9" borderId="1" xfId="16" applyFont="1" applyFill="1" applyBorder="1" applyAlignment="1" applyProtection="1">
      <alignment horizontal="center" vertical="center"/>
      <protection locked="0"/>
    </xf>
    <xf numFmtId="0" fontId="27" fillId="9" borderId="6" xfId="16" applyFont="1" applyFill="1" applyBorder="1" applyAlignment="1" applyProtection="1">
      <alignment horizontal="center" vertical="center"/>
      <protection locked="0"/>
    </xf>
    <xf numFmtId="166" fontId="27" fillId="9" borderId="8" xfId="16" applyNumberFormat="1" applyFont="1" applyFill="1" applyBorder="1" applyAlignment="1" applyProtection="1">
      <alignment horizontal="center" vertical="center"/>
      <protection locked="0"/>
    </xf>
    <xf numFmtId="166" fontId="27" fillId="9" borderId="56" xfId="16" applyNumberFormat="1" applyFont="1" applyFill="1" applyBorder="1" applyAlignment="1" applyProtection="1">
      <alignment horizontal="center" vertical="center"/>
      <protection locked="0"/>
    </xf>
    <xf numFmtId="166" fontId="27" fillId="9" borderId="1" xfId="16" applyNumberFormat="1" applyFont="1" applyFill="1" applyBorder="1" applyAlignment="1" applyProtection="1">
      <alignment horizontal="center" vertical="center"/>
      <protection locked="0"/>
    </xf>
    <xf numFmtId="0" fontId="5" fillId="10" borderId="59" xfId="16" applyFill="1" applyBorder="1" applyProtection="1">
      <protection locked="0"/>
    </xf>
    <xf numFmtId="0" fontId="5" fillId="11" borderId="30" xfId="16" applyFill="1" applyBorder="1" applyAlignment="1" applyProtection="1">
      <alignment horizontal="center" vertical="center"/>
      <protection locked="0"/>
    </xf>
    <xf numFmtId="167" fontId="5" fillId="10" borderId="30" xfId="16" applyNumberFormat="1" applyFill="1" applyBorder="1" applyAlignment="1" applyProtection="1">
      <alignment horizontal="center" vertical="center"/>
      <protection locked="0"/>
    </xf>
    <xf numFmtId="2" fontId="5" fillId="10" borderId="30" xfId="16" applyNumberFormat="1" applyFill="1" applyBorder="1" applyAlignment="1" applyProtection="1">
      <alignment horizontal="center" vertical="center"/>
      <protection locked="0"/>
    </xf>
    <xf numFmtId="2" fontId="5" fillId="10" borderId="60" xfId="16" applyNumberFormat="1" applyFill="1" applyBorder="1" applyAlignment="1" applyProtection="1">
      <alignment horizontal="center" vertical="center"/>
      <protection locked="0"/>
    </xf>
    <xf numFmtId="2" fontId="5" fillId="10" borderId="59" xfId="16" applyNumberFormat="1" applyFill="1" applyBorder="1" applyAlignment="1" applyProtection="1">
      <alignment horizontal="center" vertical="center"/>
      <protection locked="0"/>
    </xf>
    <xf numFmtId="1" fontId="27" fillId="9" borderId="49" xfId="13" applyNumberFormat="1" applyFont="1" applyFill="1" applyBorder="1" applyAlignment="1" applyProtection="1">
      <alignment horizontal="center"/>
      <protection locked="0"/>
    </xf>
    <xf numFmtId="1" fontId="27" fillId="9" borderId="12" xfId="13" applyNumberFormat="1" applyFont="1" applyFill="1" applyBorder="1" applyAlignment="1" applyProtection="1">
      <alignment horizontal="center"/>
      <protection locked="0"/>
    </xf>
    <xf numFmtId="1" fontId="27" fillId="9" borderId="57" xfId="13" applyNumberFormat="1" applyFont="1" applyFill="1" applyBorder="1" applyAlignment="1" applyProtection="1">
      <alignment horizontal="center"/>
      <protection locked="0"/>
    </xf>
    <xf numFmtId="1" fontId="27" fillId="9" borderId="27" xfId="13" applyNumberFormat="1" applyFont="1" applyFill="1" applyBorder="1" applyAlignment="1" applyProtection="1">
      <alignment horizontal="center"/>
      <protection locked="0"/>
    </xf>
    <xf numFmtId="1" fontId="27" fillId="9" borderId="5" xfId="13" applyNumberFormat="1" applyFont="1" applyFill="1" applyBorder="1" applyAlignment="1" applyProtection="1">
      <alignment horizontal="center"/>
      <protection locked="0"/>
    </xf>
    <xf numFmtId="1" fontId="27" fillId="9" borderId="44" xfId="13" applyNumberFormat="1" applyFont="1" applyFill="1" applyBorder="1" applyAlignment="1" applyProtection="1">
      <alignment horizontal="center"/>
      <protection locked="0"/>
    </xf>
    <xf numFmtId="1" fontId="27" fillId="9" borderId="29" xfId="13" applyNumberFormat="1" applyFont="1" applyFill="1" applyBorder="1" applyAlignment="1" applyProtection="1">
      <alignment horizontal="center"/>
      <protection locked="0"/>
    </xf>
    <xf numFmtId="1" fontId="27" fillId="9" borderId="31" xfId="13" applyNumberFormat="1" applyFont="1" applyFill="1" applyBorder="1" applyAlignment="1" applyProtection="1">
      <alignment horizontal="center"/>
      <protection locked="0"/>
    </xf>
    <xf numFmtId="1" fontId="27" fillId="9" borderId="28" xfId="13" applyNumberFormat="1" applyFont="1" applyFill="1" applyBorder="1" applyAlignment="1" applyProtection="1">
      <alignment horizontal="center"/>
      <protection locked="0"/>
    </xf>
    <xf numFmtId="1" fontId="27" fillId="9" borderId="45" xfId="13" applyNumberFormat="1" applyFont="1" applyFill="1" applyBorder="1" applyAlignment="1" applyProtection="1">
      <alignment horizontal="center"/>
      <protection locked="0"/>
    </xf>
    <xf numFmtId="0" fontId="30" fillId="0" borderId="0" xfId="0" applyFont="1" applyProtection="1"/>
    <xf numFmtId="0" fontId="30" fillId="0" borderId="0" xfId="0" applyFont="1" applyBorder="1" applyProtection="1"/>
    <xf numFmtId="0" fontId="31" fillId="0" borderId="0" xfId="0" applyFont="1" applyProtection="1"/>
    <xf numFmtId="0" fontId="8" fillId="0" borderId="0" xfId="28" applyFont="1" applyFill="1" applyBorder="1" applyAlignment="1" applyProtection="1">
      <alignment horizontal="left" vertical="center"/>
    </xf>
    <xf numFmtId="0" fontId="30" fillId="0" borderId="47" xfId="0" applyFont="1" applyBorder="1" applyAlignment="1" applyProtection="1">
      <alignment horizontal="centerContinuous"/>
    </xf>
    <xf numFmtId="2" fontId="27" fillId="9" borderId="37" xfId="0" applyNumberFormat="1" applyFont="1" applyFill="1" applyBorder="1" applyAlignment="1" applyProtection="1">
      <alignment horizontal="center" vertical="center"/>
      <protection locked="0"/>
    </xf>
    <xf numFmtId="2" fontId="27" fillId="9" borderId="50" xfId="0" applyNumberFormat="1" applyFont="1" applyFill="1" applyBorder="1" applyAlignment="1" applyProtection="1">
      <alignment horizontal="center" vertical="center"/>
      <protection locked="0"/>
    </xf>
    <xf numFmtId="168" fontId="27" fillId="0" borderId="58" xfId="26" applyNumberFormat="1" applyFont="1" applyFill="1" applyBorder="1" applyProtection="1"/>
    <xf numFmtId="2" fontId="27" fillId="0" borderId="37" xfId="0" applyNumberFormat="1" applyFont="1" applyFill="1" applyBorder="1" applyAlignment="1" applyProtection="1">
      <alignment horizontal="center" vertical="center"/>
    </xf>
    <xf numFmtId="2" fontId="27" fillId="0" borderId="50" xfId="0" applyNumberFormat="1" applyFont="1" applyFill="1" applyBorder="1" applyAlignment="1" applyProtection="1">
      <alignment horizontal="center" vertical="center"/>
    </xf>
    <xf numFmtId="2" fontId="27" fillId="9" borderId="40" xfId="0" applyNumberFormat="1" applyFont="1" applyFill="1" applyBorder="1" applyAlignment="1" applyProtection="1">
      <alignment horizontal="center" vertical="center"/>
      <protection locked="0"/>
    </xf>
    <xf numFmtId="2" fontId="27" fillId="9" borderId="58" xfId="0" applyNumberFormat="1" applyFont="1" applyFill="1" applyBorder="1" applyAlignment="1" applyProtection="1">
      <alignment horizontal="center" vertical="center"/>
      <protection locked="0"/>
    </xf>
    <xf numFmtId="0" fontId="15" fillId="0" borderId="15" xfId="32" applyFont="1" applyBorder="1"/>
    <xf numFmtId="0" fontId="14" fillId="0" borderId="15" xfId="32" applyFont="1" applyBorder="1"/>
    <xf numFmtId="0" fontId="14" fillId="0" borderId="8" xfId="32" applyFont="1" applyBorder="1"/>
    <xf numFmtId="0" fontId="15" fillId="0" borderId="0" xfId="32" applyFont="1" applyBorder="1"/>
    <xf numFmtId="0" fontId="14" fillId="0" borderId="0" xfId="32" applyFont="1" applyBorder="1"/>
    <xf numFmtId="0" fontId="14" fillId="0" borderId="10" xfId="32" applyFont="1" applyBorder="1"/>
    <xf numFmtId="0" fontId="15" fillId="0" borderId="10" xfId="32" applyFont="1" applyBorder="1" applyAlignment="1">
      <alignment horizontal="center" textRotation="90" wrapText="1"/>
    </xf>
    <xf numFmtId="0" fontId="14" fillId="0" borderId="4" xfId="32" applyFont="1" applyBorder="1"/>
    <xf numFmtId="0" fontId="14" fillId="0" borderId="4" xfId="32" applyFont="1" applyBorder="1" applyAlignment="1">
      <alignment horizontal="center"/>
    </xf>
    <xf numFmtId="0" fontId="14" fillId="0" borderId="1" xfId="32" applyFont="1" applyBorder="1"/>
    <xf numFmtId="0" fontId="14" fillId="0" borderId="1" xfId="32" applyFont="1" applyBorder="1" applyAlignment="1">
      <alignment horizontal="center"/>
    </xf>
    <xf numFmtId="0" fontId="14" fillId="0" borderId="2" xfId="32" applyFont="1" applyBorder="1"/>
    <xf numFmtId="176" fontId="14" fillId="0" borderId="2" xfId="32" applyNumberFormat="1" applyFont="1" applyBorder="1"/>
    <xf numFmtId="37" fontId="14" fillId="0" borderId="10" xfId="32" applyNumberFormat="1" applyFont="1" applyBorder="1"/>
    <xf numFmtId="177" fontId="14" fillId="12" borderId="3" xfId="32" applyNumberFormat="1" applyFont="1" applyFill="1" applyBorder="1"/>
    <xf numFmtId="177" fontId="14" fillId="0" borderId="3" xfId="32" applyNumberFormat="1" applyFont="1" applyBorder="1"/>
    <xf numFmtId="176" fontId="14" fillId="0" borderId="10" xfId="32" applyNumberFormat="1" applyFont="1" applyBorder="1"/>
    <xf numFmtId="0" fontId="14" fillId="0" borderId="3" xfId="32" applyFont="1" applyBorder="1"/>
    <xf numFmtId="176" fontId="14" fillId="0" borderId="3" xfId="32" applyNumberFormat="1" applyFont="1" applyBorder="1"/>
    <xf numFmtId="176" fontId="14" fillId="0" borderId="0" xfId="32" applyNumberFormat="1" applyFont="1" applyBorder="1"/>
    <xf numFmtId="0" fontId="14" fillId="0" borderId="0" xfId="0" applyFont="1" applyBorder="1" applyAlignment="1" applyProtection="1"/>
    <xf numFmtId="0" fontId="15" fillId="0" borderId="0" xfId="0" applyFont="1" applyBorder="1" applyAlignment="1">
      <alignment horizontal="right"/>
    </xf>
    <xf numFmtId="37" fontId="15" fillId="0" borderId="0" xfId="0" applyNumberFormat="1" applyFont="1" applyFill="1" applyBorder="1" applyAlignment="1"/>
    <xf numFmtId="0" fontId="23" fillId="0" borderId="0" xfId="0" applyFont="1" applyBorder="1" applyAlignment="1" applyProtection="1">
      <alignment horizontal="center"/>
    </xf>
    <xf numFmtId="0" fontId="14" fillId="0" borderId="18" xfId="32" applyFont="1" applyBorder="1"/>
    <xf numFmtId="176" fontId="14" fillId="0" borderId="18" xfId="32" applyNumberFormat="1" applyFont="1" applyBorder="1"/>
    <xf numFmtId="37" fontId="14" fillId="0" borderId="12" xfId="32" applyNumberFormat="1" applyFont="1" applyBorder="1"/>
    <xf numFmtId="0" fontId="33" fillId="0" borderId="0" xfId="0" applyFont="1"/>
    <xf numFmtId="0" fontId="34" fillId="0" borderId="4" xfId="32" applyFont="1" applyBorder="1" applyAlignment="1">
      <alignment wrapText="1"/>
    </xf>
    <xf numFmtId="167" fontId="34" fillId="0" borderId="4" xfId="32" applyNumberFormat="1" applyFont="1" applyBorder="1" applyAlignment="1" applyProtection="1">
      <alignment horizontal="center" textRotation="90" wrapText="1"/>
    </xf>
    <xf numFmtId="167" fontId="34" fillId="0" borderId="3" xfId="32" applyNumberFormat="1" applyFont="1" applyBorder="1" applyAlignment="1" applyProtection="1">
      <alignment horizontal="center" textRotation="90" wrapText="1"/>
    </xf>
    <xf numFmtId="0" fontId="35" fillId="0" borderId="10" xfId="32" applyFont="1" applyBorder="1" applyAlignment="1">
      <alignment horizontal="center" textRotation="90" wrapText="1"/>
    </xf>
    <xf numFmtId="0" fontId="37"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8" fillId="0" borderId="0" xfId="0" applyFont="1" applyBorder="1" applyAlignment="1">
      <alignment horizontal="left" vertical="center"/>
    </xf>
    <xf numFmtId="0" fontId="13"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3" fillId="0" borderId="0" xfId="0" applyFont="1" applyBorder="1" applyAlignment="1" applyProtection="1">
      <alignment horizontal="left" vertical="center" wrapText="1"/>
    </xf>
    <xf numFmtId="0" fontId="13"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3" fillId="5" borderId="61" xfId="0" applyFont="1" applyFill="1" applyBorder="1" applyAlignment="1" applyProtection="1">
      <alignment horizontal="center" textRotation="90"/>
    </xf>
    <xf numFmtId="0" fontId="13" fillId="0" borderId="71" xfId="0" applyFont="1" applyBorder="1" applyAlignment="1">
      <alignment horizontal="center"/>
    </xf>
    <xf numFmtId="0" fontId="13" fillId="0" borderId="35" xfId="0" applyFont="1" applyBorder="1" applyAlignment="1">
      <alignment horizontal="center"/>
    </xf>
    <xf numFmtId="0" fontId="13" fillId="0" borderId="14" xfId="0" applyFont="1" applyBorder="1" applyAlignment="1">
      <alignment horizontal="center"/>
    </xf>
    <xf numFmtId="0" fontId="13" fillId="0" borderId="32" xfId="0" applyFont="1" applyBorder="1" applyAlignment="1">
      <alignment horizontal="center"/>
    </xf>
    <xf numFmtId="0" fontId="13" fillId="11" borderId="10" xfId="0" applyFont="1" applyFill="1" applyBorder="1" applyAlignment="1">
      <alignment horizontal="center"/>
    </xf>
    <xf numFmtId="0" fontId="13" fillId="11" borderId="2" xfId="0" applyFont="1" applyFill="1" applyBorder="1" applyAlignment="1">
      <alignment horizontal="center"/>
    </xf>
    <xf numFmtId="0" fontId="13" fillId="11" borderId="0" xfId="0" applyFont="1" applyFill="1" applyBorder="1" applyAlignment="1">
      <alignment horizontal="center"/>
    </xf>
    <xf numFmtId="0" fontId="8" fillId="11" borderId="38" xfId="0" applyFont="1" applyFill="1" applyBorder="1" applyAlignment="1"/>
    <xf numFmtId="174" fontId="19" fillId="11" borderId="4" xfId="0" applyNumberFormat="1" applyFont="1" applyFill="1" applyBorder="1" applyAlignment="1" applyProtection="1"/>
    <xf numFmtId="174" fontId="19" fillId="11" borderId="7" xfId="0" applyNumberFormat="1" applyFont="1" applyFill="1" applyBorder="1" applyAlignment="1" applyProtection="1"/>
    <xf numFmtId="174" fontId="19" fillId="11" borderId="7" xfId="0" applyNumberFormat="1" applyFont="1" applyFill="1" applyBorder="1" applyAlignment="1"/>
    <xf numFmtId="174" fontId="8" fillId="2" borderId="38" xfId="0" applyNumberFormat="1" applyFont="1" applyFill="1" applyBorder="1" applyAlignment="1"/>
    <xf numFmtId="174" fontId="13" fillId="11" borderId="10" xfId="0" applyNumberFormat="1" applyFont="1" applyFill="1" applyBorder="1" applyAlignment="1">
      <alignment horizontal="center"/>
    </xf>
    <xf numFmtId="174" fontId="13" fillId="11" borderId="2" xfId="0" applyNumberFormat="1" applyFont="1" applyFill="1" applyBorder="1" applyAlignment="1">
      <alignment horizontal="center"/>
    </xf>
    <xf numFmtId="174" fontId="8" fillId="11" borderId="38" xfId="0" applyNumberFormat="1" applyFont="1" applyFill="1" applyBorder="1" applyAlignment="1"/>
    <xf numFmtId="174" fontId="19" fillId="11" borderId="5" xfId="0" applyNumberFormat="1" applyFont="1" applyFill="1" applyBorder="1" applyAlignment="1" applyProtection="1"/>
    <xf numFmtId="174" fontId="19" fillId="11" borderId="5" xfId="0" applyNumberFormat="1" applyFont="1" applyFill="1" applyBorder="1" applyAlignment="1"/>
    <xf numFmtId="174" fontId="19" fillId="11" borderId="4" xfId="0" applyNumberFormat="1" applyFont="1" applyFill="1" applyBorder="1" applyAlignment="1"/>
    <xf numFmtId="174" fontId="13" fillId="2" borderId="5" xfId="0" applyNumberFormat="1" applyFont="1" applyFill="1" applyBorder="1" applyAlignment="1"/>
    <xf numFmtId="174" fontId="13" fillId="2" borderId="16" xfId="0" applyNumberFormat="1" applyFont="1" applyFill="1" applyBorder="1" applyAlignment="1"/>
    <xf numFmtId="174" fontId="13" fillId="2" borderId="38" xfId="0" applyNumberFormat="1" applyFont="1" applyFill="1" applyBorder="1" applyAlignment="1"/>
    <xf numFmtId="0" fontId="39" fillId="0" borderId="0" xfId="0" quotePrefix="1" applyFont="1" applyAlignment="1" applyProtection="1"/>
    <xf numFmtId="174" fontId="13" fillId="2" borderId="4" xfId="0" applyNumberFormat="1" applyFont="1" applyFill="1" applyBorder="1" applyAlignment="1"/>
    <xf numFmtId="174" fontId="13" fillId="2" borderId="7" xfId="0" applyNumberFormat="1" applyFont="1" applyFill="1" applyBorder="1" applyAlignment="1"/>
    <xf numFmtId="0" fontId="8" fillId="0" borderId="0" xfId="0" quotePrefix="1" applyFont="1" applyAlignment="1" applyProtection="1"/>
    <xf numFmtId="174" fontId="19" fillId="11" borderId="1" xfId="0" applyNumberFormat="1" applyFont="1" applyFill="1" applyBorder="1" applyAlignment="1"/>
    <xf numFmtId="174" fontId="8" fillId="11" borderId="1" xfId="0" applyNumberFormat="1" applyFont="1" applyFill="1" applyBorder="1" applyAlignment="1"/>
    <xf numFmtId="174" fontId="13" fillId="2" borderId="66" xfId="0" applyNumberFormat="1" applyFont="1" applyFill="1" applyBorder="1" applyAlignment="1"/>
    <xf numFmtId="0" fontId="39" fillId="0" borderId="0" xfId="0" applyFont="1" applyAlignment="1" applyProtection="1"/>
    <xf numFmtId="174" fontId="13" fillId="2" borderId="74" xfId="0" applyNumberFormat="1" applyFont="1" applyFill="1" applyBorder="1" applyAlignment="1"/>
    <xf numFmtId="174" fontId="13" fillId="2" borderId="72" xfId="0" applyNumberFormat="1" applyFont="1" applyFill="1" applyBorder="1" applyAlignment="1"/>
    <xf numFmtId="174" fontId="13" fillId="2" borderId="75" xfId="0" applyNumberFormat="1" applyFont="1" applyFill="1" applyBorder="1" applyAlignment="1"/>
    <xf numFmtId="174" fontId="13" fillId="2" borderId="61" xfId="0" applyNumberFormat="1" applyFont="1" applyFill="1" applyBorder="1" applyAlignment="1"/>
    <xf numFmtId="0" fontId="13" fillId="0" borderId="0" xfId="0" applyFont="1" applyBorder="1" applyAlignment="1">
      <alignment horizontal="center" vertical="center"/>
    </xf>
    <xf numFmtId="0" fontId="19" fillId="0" borderId="0" xfId="0" applyFont="1" applyFill="1" applyBorder="1" applyAlignment="1"/>
    <xf numFmtId="0" fontId="39" fillId="0" borderId="0" xfId="0" applyFont="1" applyBorder="1" applyAlignment="1">
      <alignment horizontal="center"/>
    </xf>
    <xf numFmtId="0" fontId="13" fillId="8" borderId="25" xfId="0" applyFont="1" applyFill="1" applyBorder="1" applyAlignment="1" applyProtection="1">
      <alignment vertical="center" wrapText="1"/>
    </xf>
    <xf numFmtId="0" fontId="13" fillId="8" borderId="26" xfId="0" applyFont="1" applyFill="1" applyBorder="1" applyAlignment="1" applyProtection="1">
      <alignment horizontal="center" vertical="center" wrapText="1"/>
    </xf>
    <xf numFmtId="0" fontId="13" fillId="8" borderId="33" xfId="0" applyFont="1" applyFill="1" applyBorder="1" applyAlignment="1" applyProtection="1">
      <alignment horizontal="center" vertical="center" wrapText="1"/>
    </xf>
    <xf numFmtId="0" fontId="13"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32" fillId="6" borderId="13" xfId="0" applyFont="1" applyFill="1" applyBorder="1" applyAlignment="1">
      <alignment vertical="center"/>
    </xf>
    <xf numFmtId="0" fontId="13"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3" fillId="0" borderId="13" xfId="28" applyFont="1" applyFill="1" applyBorder="1" applyAlignment="1" applyProtection="1">
      <alignment horizontal="center" vertical="center"/>
    </xf>
    <xf numFmtId="0" fontId="13"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168" fontId="19" fillId="0" borderId="39" xfId="25" applyNumberFormat="1" applyFont="1" applyFill="1" applyBorder="1" applyProtection="1"/>
    <xf numFmtId="1" fontId="13" fillId="0" borderId="20" xfId="25" applyNumberFormat="1" applyFont="1" applyBorder="1" applyProtection="1"/>
    <xf numFmtId="1" fontId="13" fillId="0" borderId="21" xfId="25" applyNumberFormat="1" applyFont="1" applyBorder="1" applyProtection="1"/>
    <xf numFmtId="0" fontId="13"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5" fillId="0" borderId="17" xfId="0" applyFont="1" applyFill="1" applyBorder="1" applyAlignment="1" applyProtection="1"/>
    <xf numFmtId="168" fontId="14" fillId="2" borderId="74" xfId="0" applyNumberFormat="1" applyFont="1" applyFill="1" applyBorder="1" applyAlignment="1" applyProtection="1">
      <alignment horizontal="right"/>
    </xf>
    <xf numFmtId="0" fontId="0" fillId="0" borderId="4" xfId="0" applyBorder="1" applyAlignment="1"/>
    <xf numFmtId="0" fontId="42" fillId="0" borderId="0" xfId="0" applyFont="1" applyBorder="1"/>
    <xf numFmtId="0" fontId="43" fillId="0" borderId="0" xfId="0" applyFont="1" applyBorder="1"/>
    <xf numFmtId="0" fontId="42" fillId="0" borderId="0" xfId="0" applyFont="1" applyFill="1" applyBorder="1" applyAlignment="1">
      <alignment vertical="top" wrapText="1"/>
    </xf>
    <xf numFmtId="0" fontId="43" fillId="0" borderId="0" xfId="0" applyFont="1" applyFill="1" applyBorder="1" applyAlignment="1">
      <alignment vertical="top" wrapText="1"/>
    </xf>
    <xf numFmtId="164" fontId="4" fillId="0" borderId="1" xfId="0" applyNumberFormat="1" applyFont="1" applyBorder="1" applyAlignment="1">
      <alignment horizontal="center"/>
    </xf>
    <xf numFmtId="0" fontId="44" fillId="0" borderId="0" xfId="0" applyFont="1"/>
    <xf numFmtId="0" fontId="46" fillId="0" borderId="0" xfId="0" applyFont="1" applyFill="1" applyBorder="1"/>
    <xf numFmtId="0" fontId="46" fillId="0" borderId="0" xfId="0" applyFont="1"/>
    <xf numFmtId="166" fontId="46" fillId="4" borderId="0" xfId="7" applyNumberFormat="1" applyFont="1" applyFill="1"/>
    <xf numFmtId="166" fontId="46" fillId="0" borderId="18" xfId="7" applyNumberFormat="1" applyFont="1" applyBorder="1"/>
    <xf numFmtId="166" fontId="46" fillId="5" borderId="0" xfId="7" applyNumberFormat="1" applyFont="1" applyFill="1" applyBorder="1"/>
    <xf numFmtId="166" fontId="46" fillId="0" borderId="0" xfId="7" applyNumberFormat="1" applyFont="1"/>
    <xf numFmtId="166" fontId="46" fillId="5" borderId="16" xfId="7" applyNumberFormat="1" applyFont="1" applyFill="1" applyBorder="1"/>
    <xf numFmtId="0" fontId="1" fillId="0" borderId="0" xfId="0" applyFont="1"/>
    <xf numFmtId="166" fontId="46" fillId="0" borderId="0" xfId="0" applyNumberFormat="1" applyFont="1"/>
    <xf numFmtId="166" fontId="46" fillId="14" borderId="0" xfId="7" applyNumberFormat="1" applyFont="1" applyFill="1"/>
    <xf numFmtId="166" fontId="46" fillId="5" borderId="16" xfId="0" applyNumberFormat="1" applyFont="1" applyFill="1" applyBorder="1"/>
    <xf numFmtId="166" fontId="46" fillId="4" borderId="0" xfId="0" applyNumberFormat="1" applyFont="1" applyFill="1"/>
    <xf numFmtId="0" fontId="46" fillId="0" borderId="0" xfId="0" applyFont="1" applyBorder="1"/>
    <xf numFmtId="0" fontId="45" fillId="0" borderId="0" xfId="11" applyFont="1" applyAlignment="1" applyProtection="1"/>
    <xf numFmtId="0" fontId="44" fillId="0" borderId="45" xfId="16" applyFont="1" applyBorder="1" applyAlignment="1" applyProtection="1">
      <alignment horizontal="center" vertical="center" wrapText="1"/>
    </xf>
    <xf numFmtId="0" fontId="44" fillId="0" borderId="30" xfId="16" applyFont="1" applyBorder="1" applyAlignment="1" applyProtection="1">
      <alignment horizontal="center" vertical="center" wrapText="1"/>
    </xf>
    <xf numFmtId="0" fontId="44" fillId="0" borderId="29" xfId="16" applyFont="1" applyBorder="1" applyAlignment="1" applyProtection="1">
      <alignment horizontal="center" vertical="center" wrapText="1"/>
    </xf>
    <xf numFmtId="0" fontId="44" fillId="0" borderId="65" xfId="16" applyFont="1" applyBorder="1" applyAlignment="1" applyProtection="1">
      <alignment horizontal="center" vertical="center" wrapText="1"/>
    </xf>
    <xf numFmtId="0" fontId="44" fillId="0" borderId="38" xfId="16" applyFont="1" applyBorder="1" applyAlignment="1" applyProtection="1">
      <alignment horizontal="center" vertical="center" wrapText="1"/>
    </xf>
    <xf numFmtId="0" fontId="44" fillId="0" borderId="31" xfId="16" applyFont="1" applyBorder="1" applyAlignment="1" applyProtection="1">
      <alignment horizontal="center" vertical="center" wrapText="1"/>
    </xf>
    <xf numFmtId="0" fontId="44" fillId="0" borderId="44" xfId="16" applyFont="1" applyBorder="1" applyAlignment="1" applyProtection="1">
      <alignment horizontal="center" vertical="center" wrapText="1"/>
    </xf>
    <xf numFmtId="0" fontId="44" fillId="0" borderId="0" xfId="16" applyFont="1" applyProtection="1"/>
    <xf numFmtId="0" fontId="44" fillId="0" borderId="69" xfId="16" applyFont="1" applyBorder="1" applyAlignment="1" applyProtection="1">
      <alignment horizontal="centerContinuous" vertical="center"/>
    </xf>
    <xf numFmtId="0" fontId="44" fillId="0" borderId="48" xfId="16" applyFont="1" applyBorder="1" applyAlignment="1" applyProtection="1">
      <alignment horizontal="centerContinuous" vertical="center"/>
    </xf>
    <xf numFmtId="0" fontId="44" fillId="0" borderId="67" xfId="16" applyFont="1" applyBorder="1" applyAlignment="1" applyProtection="1">
      <alignment horizontal="centerContinuous" vertical="center"/>
    </xf>
    <xf numFmtId="0" fontId="44" fillId="0" borderId="81" xfId="16" applyFont="1" applyBorder="1" applyAlignment="1" applyProtection="1">
      <alignment horizontal="centerContinuous" vertical="center"/>
    </xf>
    <xf numFmtId="0" fontId="44" fillId="0" borderId="82" xfId="16" applyFont="1" applyBorder="1" applyAlignment="1" applyProtection="1">
      <alignment horizontal="centerContinuous" vertical="center"/>
    </xf>
    <xf numFmtId="0" fontId="44" fillId="0" borderId="49" xfId="16" applyFont="1" applyBorder="1" applyAlignment="1" applyProtection="1">
      <alignment horizontal="center" vertical="center" wrapText="1"/>
    </xf>
    <xf numFmtId="0" fontId="44" fillId="0" borderId="3" xfId="16" applyFont="1" applyBorder="1" applyAlignment="1" applyProtection="1">
      <alignment horizontal="center" vertical="center" wrapText="1"/>
    </xf>
    <xf numFmtId="0" fontId="44" fillId="0" borderId="57" xfId="16" applyFont="1" applyBorder="1" applyAlignment="1" applyProtection="1">
      <alignment horizontal="center" vertical="center" wrapText="1"/>
    </xf>
    <xf numFmtId="0" fontId="44" fillId="0" borderId="12" xfId="16" applyFont="1" applyBorder="1" applyAlignment="1" applyProtection="1">
      <alignment horizontal="center" vertical="center" wrapText="1"/>
    </xf>
    <xf numFmtId="0" fontId="44" fillId="0" borderId="27" xfId="16" applyFont="1" applyBorder="1" applyAlignment="1" applyProtection="1">
      <alignment horizontal="center" vertical="center" wrapText="1"/>
    </xf>
    <xf numFmtId="0" fontId="44" fillId="0" borderId="4" xfId="16" applyFont="1" applyBorder="1" applyAlignment="1" applyProtection="1">
      <alignment horizontal="center" vertical="center" wrapText="1"/>
    </xf>
    <xf numFmtId="0" fontId="44" fillId="0" borderId="28" xfId="16" applyFont="1" applyBorder="1" applyAlignment="1" applyProtection="1">
      <alignment horizontal="center" vertical="center" wrapText="1"/>
    </xf>
    <xf numFmtId="0" fontId="1" fillId="0" borderId="50" xfId="16" applyNumberFormat="1" applyFont="1" applyBorder="1" applyAlignment="1" applyProtection="1">
      <alignment horizontal="center" wrapText="1"/>
    </xf>
    <xf numFmtId="0" fontId="1" fillId="0" borderId="58" xfId="16" applyNumberFormat="1" applyFont="1" applyBorder="1" applyAlignment="1" applyProtection="1">
      <alignment horizontal="center" wrapText="1"/>
    </xf>
    <xf numFmtId="0" fontId="44" fillId="0" borderId="37" xfId="16" applyFont="1" applyBorder="1" applyAlignment="1" applyProtection="1">
      <alignment horizontal="left" indent="1"/>
    </xf>
    <xf numFmtId="0" fontId="44" fillId="0" borderId="9" xfId="16" applyFont="1" applyBorder="1" applyAlignment="1" applyProtection="1">
      <alignment horizontal="center"/>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44" fillId="0" borderId="0" xfId="16" applyFont="1" applyBorder="1" applyAlignment="1" applyProtection="1">
      <alignment horizontal="left" wrapText="1" indent="1"/>
    </xf>
    <xf numFmtId="0" fontId="44" fillId="0" borderId="0" xfId="16" applyFont="1" applyAlignment="1" applyProtection="1">
      <alignment horizontal="left" wrapText="1" indent="1"/>
    </xf>
    <xf numFmtId="0" fontId="1" fillId="0" borderId="0" xfId="16" applyNumberFormat="1" applyFont="1" applyAlignment="1" applyProtection="1">
      <alignment horizontal="center" wrapText="1"/>
    </xf>
    <xf numFmtId="0" fontId="44" fillId="0" borderId="6" xfId="16" applyFont="1" applyBorder="1" applyAlignment="1" applyProtection="1">
      <alignment horizontal="center"/>
    </xf>
    <xf numFmtId="0" fontId="44" fillId="0" borderId="17" xfId="16" applyFont="1" applyBorder="1" applyAlignment="1" applyProtection="1">
      <alignment horizontal="left" indent="1"/>
    </xf>
    <xf numFmtId="0" fontId="1" fillId="0" borderId="0" xfId="16" applyFont="1" applyBorder="1" applyProtection="1"/>
    <xf numFmtId="0" fontId="44" fillId="0" borderId="5" xfId="16" applyFont="1" applyBorder="1" applyAlignment="1" applyProtection="1">
      <alignment horizontal="center" vertical="center" wrapText="1"/>
    </xf>
    <xf numFmtId="0" fontId="44" fillId="0" borderId="49" xfId="16" applyFont="1" applyFill="1" applyBorder="1" applyAlignment="1" applyProtection="1">
      <alignment horizontal="center" vertical="center"/>
    </xf>
    <xf numFmtId="0" fontId="44" fillId="0" borderId="3" xfId="16" applyFont="1" applyFill="1" applyBorder="1" applyAlignment="1" applyProtection="1">
      <alignment horizontal="center" vertical="center"/>
    </xf>
    <xf numFmtId="0" fontId="44" fillId="0" borderId="57" xfId="16" applyFont="1" applyFill="1" applyBorder="1" applyAlignment="1" applyProtection="1">
      <alignment horizontal="center" vertical="center"/>
    </xf>
    <xf numFmtId="0" fontId="44" fillId="0" borderId="12" xfId="16" applyFont="1" applyFill="1" applyBorder="1" applyAlignment="1" applyProtection="1">
      <alignment horizontal="center" vertical="center"/>
    </xf>
    <xf numFmtId="9" fontId="1" fillId="0" borderId="22" xfId="33" applyFont="1" applyBorder="1" applyAlignment="1" applyProtection="1">
      <alignment horizontal="center" vertical="center"/>
    </xf>
    <xf numFmtId="0" fontId="44" fillId="0" borderId="4" xfId="16" applyFont="1" applyBorder="1" applyAlignment="1" applyProtection="1">
      <alignment horizontal="center" vertical="center"/>
    </xf>
    <xf numFmtId="0" fontId="44" fillId="0" borderId="7" xfId="16" applyFont="1" applyBorder="1" applyAlignment="1" applyProtection="1">
      <alignment horizontal="center" vertical="center"/>
    </xf>
    <xf numFmtId="0" fontId="44" fillId="0" borderId="27" xfId="16" applyFont="1" applyBorder="1" applyAlignment="1" applyProtection="1">
      <alignment horizontal="center" vertical="center"/>
    </xf>
    <xf numFmtId="0" fontId="44" fillId="0" borderId="28" xfId="16"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27" xfId="13" applyFont="1" applyBorder="1" applyAlignment="1" applyProtection="1">
      <alignment horizontal="center"/>
    </xf>
    <xf numFmtId="0" fontId="1" fillId="0" borderId="4" xfId="13" applyFont="1" applyBorder="1" applyAlignment="1" applyProtection="1">
      <alignment horizontal="center"/>
    </xf>
    <xf numFmtId="0" fontId="1" fillId="0" borderId="28"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44" fillId="0" borderId="69" xfId="25" applyNumberFormat="1" applyFont="1" applyBorder="1" applyAlignment="1" applyProtection="1">
      <alignment horizontal="centerContinuous" wrapText="1"/>
    </xf>
    <xf numFmtId="1" fontId="44" fillId="0" borderId="55" xfId="25" applyNumberFormat="1" applyFont="1" applyBorder="1" applyAlignment="1" applyProtection="1">
      <alignment horizontal="center" vertical="center" wrapText="1"/>
    </xf>
    <xf numFmtId="1" fontId="44" fillId="0" borderId="56" xfId="25" applyNumberFormat="1" applyFont="1" applyBorder="1" applyAlignment="1" applyProtection="1">
      <alignment horizontal="center" vertical="center" wrapText="1"/>
    </xf>
    <xf numFmtId="1" fontId="44" fillId="0" borderId="20" xfId="25" applyNumberFormat="1" applyFont="1" applyBorder="1" applyProtection="1"/>
    <xf numFmtId="1" fontId="44" fillId="0" borderId="21" xfId="25" applyNumberFormat="1" applyFont="1" applyBorder="1" applyProtection="1"/>
    <xf numFmtId="1" fontId="44" fillId="0" borderId="40" xfId="25" applyNumberFormat="1" applyFont="1" applyBorder="1" applyAlignment="1" applyProtection="1">
      <alignment horizontal="center"/>
    </xf>
    <xf numFmtId="1" fontId="44" fillId="0" borderId="58" xfId="25" applyNumberFormat="1" applyFont="1" applyBorder="1" applyAlignment="1" applyProtection="1">
      <alignment horizontal="center"/>
    </xf>
    <xf numFmtId="1" fontId="1" fillId="0" borderId="17" xfId="25" applyNumberFormat="1" applyFont="1" applyFill="1" applyBorder="1" applyProtection="1"/>
    <xf numFmtId="0" fontId="44" fillId="0" borderId="0" xfId="25" applyFont="1" applyBorder="1" applyAlignment="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0" fontId="44" fillId="0" borderId="0" xfId="25" applyFont="1" applyBorder="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44" fillId="0" borderId="14" xfId="25" applyFont="1" applyBorder="1" applyAlignment="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44" fillId="0" borderId="14" xfId="25" applyFont="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44"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7" fillId="0" borderId="0" xfId="0" applyFont="1" applyBorder="1"/>
    <xf numFmtId="0" fontId="47" fillId="0" borderId="0" xfId="0" applyFont="1" applyFill="1" applyBorder="1" applyAlignment="1">
      <alignment vertical="top" wrapText="1"/>
    </xf>
    <xf numFmtId="0" fontId="50"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8" fillId="12" borderId="0" xfId="19" applyFill="1" applyBorder="1" applyAlignment="1" applyProtection="1">
      <alignment horizontal="center" vertical="center"/>
    </xf>
    <xf numFmtId="0" fontId="51" fillId="12" borderId="0" xfId="19" applyFont="1" applyFill="1" applyBorder="1" applyAlignment="1" applyProtection="1">
      <alignment horizontal="center" vertical="center"/>
    </xf>
    <xf numFmtId="0" fontId="48" fillId="12" borderId="0" xfId="19" applyFill="1" applyBorder="1" applyAlignment="1" applyProtection="1"/>
    <xf numFmtId="0" fontId="6" fillId="12" borderId="0" xfId="31" applyFill="1" applyBorder="1" applyProtection="1"/>
    <xf numFmtId="0" fontId="52" fillId="12" borderId="0" xfId="19" applyFont="1" applyFill="1" applyBorder="1" applyAlignment="1" applyProtection="1">
      <alignment horizontal="left"/>
    </xf>
    <xf numFmtId="0" fontId="48" fillId="12" borderId="0" xfId="19" applyFill="1" applyBorder="1" applyAlignment="1" applyProtection="1">
      <alignment horizontal="center"/>
    </xf>
    <xf numFmtId="0" fontId="52" fillId="12" borderId="21" xfId="19" applyFont="1" applyFill="1" applyBorder="1" applyAlignment="1" applyProtection="1">
      <alignment horizontal="left"/>
    </xf>
    <xf numFmtId="0" fontId="48" fillId="12" borderId="21" xfId="19" applyFill="1" applyBorder="1" applyAlignment="1" applyProtection="1"/>
    <xf numFmtId="0" fontId="48" fillId="12" borderId="21" xfId="19" applyFill="1" applyBorder="1" applyAlignment="1" applyProtection="1">
      <alignment horizontal="center"/>
    </xf>
    <xf numFmtId="0" fontId="48" fillId="12" borderId="21" xfId="19" applyFill="1" applyBorder="1" applyAlignment="1" applyProtection="1">
      <alignment horizontal="center" vertical="center"/>
    </xf>
    <xf numFmtId="0" fontId="6" fillId="12" borderId="21" xfId="31" applyFill="1" applyBorder="1" applyProtection="1"/>
    <xf numFmtId="0" fontId="48" fillId="0" borderId="0" xfId="19" applyProtection="1"/>
    <xf numFmtId="0" fontId="48" fillId="0" borderId="0" xfId="19" applyAlignment="1" applyProtection="1">
      <alignment horizontal="center"/>
    </xf>
    <xf numFmtId="0" fontId="48" fillId="0" borderId="0" xfId="19" applyAlignment="1" applyProtection="1">
      <alignment horizontal="center" vertical="center"/>
    </xf>
    <xf numFmtId="0" fontId="6" fillId="0" borderId="0" xfId="31" applyProtection="1"/>
    <xf numFmtId="0" fontId="44" fillId="0" borderId="0" xfId="19" applyFont="1" applyProtection="1"/>
    <xf numFmtId="0" fontId="44" fillId="0" borderId="34" xfId="19" applyFont="1" applyBorder="1" applyProtection="1"/>
    <xf numFmtId="0" fontId="44" fillId="0" borderId="69" xfId="19" applyFont="1" applyBorder="1" applyAlignment="1" applyProtection="1">
      <alignment horizontal="centerContinuous" vertical="center"/>
    </xf>
    <xf numFmtId="0" fontId="44" fillId="0" borderId="48" xfId="19" applyFont="1" applyBorder="1" applyAlignment="1" applyProtection="1">
      <alignment horizontal="centerContinuous" vertical="center"/>
    </xf>
    <xf numFmtId="0" fontId="48" fillId="0" borderId="47" xfId="19" applyBorder="1" applyAlignment="1" applyProtection="1">
      <alignment horizontal="centerContinuous" vertical="center"/>
    </xf>
    <xf numFmtId="0" fontId="48" fillId="0" borderId="48" xfId="19" applyBorder="1" applyAlignment="1" applyProtection="1">
      <alignment horizontal="centerContinuous" vertical="center"/>
    </xf>
    <xf numFmtId="0" fontId="44" fillId="0" borderId="67" xfId="19" applyFont="1" applyBorder="1" applyAlignment="1" applyProtection="1">
      <alignment horizontal="centerContinuous" vertical="center"/>
    </xf>
    <xf numFmtId="0" fontId="44" fillId="0" borderId="81" xfId="19" applyFont="1" applyBorder="1" applyAlignment="1" applyProtection="1">
      <alignment horizontal="centerContinuous" vertical="center"/>
    </xf>
    <xf numFmtId="0" fontId="44" fillId="0" borderId="82" xfId="19" applyFont="1" applyBorder="1" applyAlignment="1" applyProtection="1">
      <alignment horizontal="centerContinuous" vertical="center"/>
    </xf>
    <xf numFmtId="0" fontId="48" fillId="0" borderId="49" xfId="19" applyBorder="1" applyProtection="1"/>
    <xf numFmtId="0" fontId="44" fillId="0" borderId="49" xfId="19" applyFont="1" applyBorder="1" applyAlignment="1" applyProtection="1">
      <alignment horizontal="center" vertical="center" wrapText="1"/>
    </xf>
    <xf numFmtId="0" fontId="44" fillId="0" borderId="3" xfId="19" applyFont="1" applyBorder="1" applyAlignment="1" applyProtection="1">
      <alignment horizontal="center" vertical="center" wrapText="1"/>
    </xf>
    <xf numFmtId="0" fontId="44" fillId="0" borderId="57" xfId="19" applyFont="1" applyBorder="1" applyAlignment="1" applyProtection="1">
      <alignment horizontal="center" vertical="center" wrapText="1"/>
    </xf>
    <xf numFmtId="0" fontId="44" fillId="0" borderId="12" xfId="19" applyFont="1" applyBorder="1" applyAlignment="1" applyProtection="1">
      <alignment horizontal="center" vertical="center" wrapText="1"/>
    </xf>
    <xf numFmtId="0" fontId="44" fillId="0" borderId="27" xfId="19" applyFont="1" applyBorder="1" applyAlignment="1" applyProtection="1">
      <alignment horizontal="center" vertical="center" wrapText="1"/>
    </xf>
    <xf numFmtId="0" fontId="44" fillId="0" borderId="4" xfId="19" applyFont="1" applyBorder="1" applyAlignment="1" applyProtection="1">
      <alignment horizontal="center" vertical="center" wrapText="1"/>
    </xf>
    <xf numFmtId="0" fontId="44" fillId="0" borderId="28" xfId="19" applyFont="1" applyBorder="1" applyAlignment="1" applyProtection="1">
      <alignment horizontal="center" vertical="center" wrapText="1"/>
    </xf>
    <xf numFmtId="0" fontId="48" fillId="0" borderId="17" xfId="19" applyBorder="1" applyProtection="1"/>
    <xf numFmtId="0" fontId="48" fillId="0" borderId="50" xfId="19" applyNumberFormat="1" applyFont="1" applyBorder="1" applyAlignment="1" applyProtection="1">
      <alignment horizontal="center" wrapText="1"/>
    </xf>
    <xf numFmtId="167" fontId="48" fillId="15" borderId="12" xfId="19" applyNumberFormat="1" applyFont="1" applyFill="1" applyBorder="1" applyAlignment="1" applyProtection="1">
      <alignment horizontal="center" vertical="center"/>
    </xf>
    <xf numFmtId="167" fontId="48" fillId="15" borderId="57" xfId="19" applyNumberFormat="1" applyFont="1" applyFill="1" applyBorder="1" applyAlignment="1" applyProtection="1">
      <alignment horizontal="center" vertical="center"/>
    </xf>
    <xf numFmtId="167" fontId="48" fillId="15" borderId="3" xfId="19" applyNumberFormat="1" applyFont="1" applyFill="1" applyBorder="1" applyAlignment="1" applyProtection="1">
      <alignment horizontal="center" vertical="center"/>
    </xf>
    <xf numFmtId="167" fontId="48" fillId="10" borderId="27" xfId="19" applyNumberFormat="1" applyFill="1" applyBorder="1" applyAlignment="1" applyProtection="1">
      <alignment horizontal="center" vertical="center"/>
    </xf>
    <xf numFmtId="167" fontId="48" fillId="10" borderId="4" xfId="19" applyNumberFormat="1" applyFill="1" applyBorder="1" applyAlignment="1" applyProtection="1">
      <alignment horizontal="center" vertical="center"/>
    </xf>
    <xf numFmtId="167" fontId="48" fillId="10" borderId="28" xfId="19" applyNumberFormat="1" applyFill="1" applyBorder="1" applyAlignment="1" applyProtection="1">
      <alignment horizontal="center" vertical="center"/>
    </xf>
    <xf numFmtId="164" fontId="48" fillId="10" borderId="28" xfId="33" applyNumberFormat="1" applyFont="1" applyFill="1" applyBorder="1" applyAlignment="1" applyProtection="1">
      <alignment horizontal="center" vertical="center"/>
    </xf>
    <xf numFmtId="167" fontId="48" fillId="15" borderId="49" xfId="19" applyNumberFormat="1" applyFont="1" applyFill="1" applyBorder="1" applyAlignment="1" applyProtection="1">
      <alignment horizontal="center" vertical="center"/>
    </xf>
    <xf numFmtId="0" fontId="48" fillId="0" borderId="17" xfId="19" applyFill="1" applyBorder="1" applyProtection="1"/>
    <xf numFmtId="167" fontId="44" fillId="10" borderId="27" xfId="19" applyNumberFormat="1" applyFont="1" applyFill="1" applyBorder="1" applyAlignment="1" applyProtection="1">
      <alignment horizontal="center" vertical="center"/>
    </xf>
    <xf numFmtId="167" fontId="44" fillId="10" borderId="4" xfId="19" applyNumberFormat="1" applyFont="1" applyFill="1" applyBorder="1" applyAlignment="1" applyProtection="1">
      <alignment horizontal="center" vertical="center"/>
    </xf>
    <xf numFmtId="167" fontId="44" fillId="10" borderId="28" xfId="19" applyNumberFormat="1" applyFont="1" applyFill="1" applyBorder="1" applyAlignment="1" applyProtection="1">
      <alignment horizontal="center" vertical="center"/>
    </xf>
    <xf numFmtId="167" fontId="44" fillId="10" borderId="5" xfId="19" applyNumberFormat="1" applyFont="1" applyFill="1" applyBorder="1" applyAlignment="1" applyProtection="1">
      <alignment horizontal="center" vertical="center"/>
    </xf>
    <xf numFmtId="167" fontId="27" fillId="9" borderId="27" xfId="19" applyNumberFormat="1" applyFont="1" applyFill="1" applyBorder="1" applyAlignment="1" applyProtection="1">
      <alignment horizontal="center" vertical="center"/>
      <protection locked="0"/>
    </xf>
    <xf numFmtId="167" fontId="44" fillId="10" borderId="55" xfId="19" applyNumberFormat="1" applyFont="1" applyFill="1" applyBorder="1" applyAlignment="1" applyProtection="1">
      <alignment horizontal="center" vertical="center"/>
    </xf>
    <xf numFmtId="167" fontId="44" fillId="10" borderId="8" xfId="19" applyNumberFormat="1" applyFont="1" applyFill="1" applyBorder="1" applyAlignment="1" applyProtection="1">
      <alignment horizontal="center" vertical="center"/>
    </xf>
    <xf numFmtId="167" fontId="44" fillId="10" borderId="56" xfId="19" applyNumberFormat="1" applyFont="1" applyFill="1" applyBorder="1" applyAlignment="1" applyProtection="1">
      <alignment horizontal="center" vertical="center"/>
    </xf>
    <xf numFmtId="167" fontId="44" fillId="10" borderId="1" xfId="19" applyNumberFormat="1" applyFont="1" applyFill="1" applyBorder="1" applyAlignment="1" applyProtection="1">
      <alignment horizontal="center" vertical="center"/>
    </xf>
    <xf numFmtId="0" fontId="48" fillId="0" borderId="20" xfId="19" applyBorder="1" applyProtection="1"/>
    <xf numFmtId="0" fontId="48" fillId="0" borderId="58" xfId="19" applyNumberFormat="1" applyFont="1" applyBorder="1" applyAlignment="1" applyProtection="1">
      <alignment horizontal="center" wrapText="1"/>
    </xf>
    <xf numFmtId="167" fontId="48" fillId="0" borderId="29" xfId="19" applyNumberFormat="1" applyFont="1" applyFill="1" applyBorder="1" applyAlignment="1" applyProtection="1">
      <alignment horizontal="center" vertical="center"/>
    </xf>
    <xf numFmtId="167" fontId="48" fillId="0" borderId="45" xfId="19" applyNumberFormat="1" applyFont="1" applyFill="1" applyBorder="1" applyAlignment="1" applyProtection="1">
      <alignment horizontal="center" vertical="center"/>
    </xf>
    <xf numFmtId="167" fontId="48" fillId="0" borderId="31" xfId="19" applyNumberFormat="1" applyFont="1" applyFill="1" applyBorder="1" applyAlignment="1" applyProtection="1">
      <alignment horizontal="center" vertical="center"/>
    </xf>
    <xf numFmtId="167" fontId="48" fillId="0" borderId="30" xfId="19" applyNumberFormat="1" applyFont="1" applyFill="1" applyBorder="1" applyAlignment="1" applyProtection="1">
      <alignment horizontal="center" vertical="center"/>
    </xf>
    <xf numFmtId="167" fontId="48" fillId="11" borderId="27" xfId="19" applyNumberFormat="1" applyFill="1" applyBorder="1" applyAlignment="1" applyProtection="1">
      <alignment horizontal="center" vertical="center"/>
    </xf>
    <xf numFmtId="167" fontId="48" fillId="11" borderId="4" xfId="19" applyNumberFormat="1" applyFill="1" applyBorder="1" applyAlignment="1" applyProtection="1">
      <alignment horizontal="center" vertical="center"/>
    </xf>
    <xf numFmtId="167" fontId="48" fillId="11" borderId="28" xfId="19" applyNumberFormat="1" applyFill="1" applyBorder="1" applyAlignment="1" applyProtection="1">
      <alignment horizontal="center" vertical="center"/>
    </xf>
    <xf numFmtId="164" fontId="48" fillId="11" borderId="28" xfId="33" applyNumberFormat="1" applyFont="1" applyFill="1" applyBorder="1" applyAlignment="1" applyProtection="1">
      <alignment horizontal="center" vertical="center"/>
    </xf>
    <xf numFmtId="167" fontId="27" fillId="9" borderId="5" xfId="19" applyNumberFormat="1" applyFont="1" applyFill="1" applyBorder="1" applyAlignment="1" applyProtection="1">
      <alignment horizontal="center" vertical="center"/>
      <protection locked="0"/>
    </xf>
    <xf numFmtId="167" fontId="27" fillId="9" borderId="28" xfId="19" applyNumberFormat="1" applyFont="1" applyFill="1" applyBorder="1" applyAlignment="1" applyProtection="1">
      <alignment horizontal="center" vertical="center"/>
      <protection locked="0"/>
    </xf>
    <xf numFmtId="167" fontId="27" fillId="9" borderId="4" xfId="19" applyNumberFormat="1" applyFont="1" applyFill="1" applyBorder="1" applyAlignment="1" applyProtection="1">
      <alignment horizontal="center" vertical="center"/>
      <protection locked="0"/>
    </xf>
    <xf numFmtId="167" fontId="44" fillId="10" borderId="29" xfId="19" applyNumberFormat="1" applyFont="1" applyFill="1" applyBorder="1" applyAlignment="1" applyProtection="1">
      <alignment horizontal="center" vertical="center"/>
    </xf>
    <xf numFmtId="167" fontId="44" fillId="10" borderId="45" xfId="19" applyNumberFormat="1" applyFont="1" applyFill="1" applyBorder="1" applyAlignment="1" applyProtection="1">
      <alignment horizontal="center" vertical="center"/>
    </xf>
    <xf numFmtId="167" fontId="44" fillId="10" borderId="31" xfId="19" applyNumberFormat="1" applyFont="1" applyFill="1" applyBorder="1" applyAlignment="1" applyProtection="1">
      <alignment horizontal="center" vertical="center"/>
    </xf>
    <xf numFmtId="167" fontId="44" fillId="10" borderId="30" xfId="19" applyNumberFormat="1" applyFont="1" applyFill="1" applyBorder="1" applyAlignment="1" applyProtection="1">
      <alignment horizontal="center" vertical="center"/>
    </xf>
    <xf numFmtId="167" fontId="48" fillId="10" borderId="29" xfId="19" applyNumberFormat="1" applyFill="1" applyBorder="1" applyAlignment="1" applyProtection="1">
      <alignment horizontal="center" vertical="center"/>
    </xf>
    <xf numFmtId="167" fontId="48" fillId="10" borderId="30" xfId="19" applyNumberFormat="1" applyFill="1" applyBorder="1" applyAlignment="1" applyProtection="1">
      <alignment horizontal="center" vertical="center"/>
    </xf>
    <xf numFmtId="167" fontId="48" fillId="10" borderId="31" xfId="19" applyNumberFormat="1" applyFill="1" applyBorder="1" applyAlignment="1" applyProtection="1">
      <alignment horizontal="center" vertical="center"/>
    </xf>
    <xf numFmtId="164" fontId="48" fillId="10" borderId="31" xfId="33" applyNumberFormat="1" applyFont="1" applyFill="1" applyBorder="1" applyAlignment="1" applyProtection="1">
      <alignment horizontal="center" vertical="center"/>
    </xf>
    <xf numFmtId="0" fontId="44" fillId="0" borderId="0" xfId="19" applyFont="1" applyFill="1" applyProtection="1"/>
    <xf numFmtId="0" fontId="48" fillId="0" borderId="0" xfId="19" applyNumberFormat="1" applyFont="1" applyAlignment="1" applyProtection="1">
      <alignment horizontal="center" wrapText="1"/>
    </xf>
    <xf numFmtId="0" fontId="48" fillId="0" borderId="0" xfId="19" applyFill="1" applyAlignment="1" applyProtection="1">
      <alignment horizontal="center" vertical="center"/>
    </xf>
    <xf numFmtId="0" fontId="44" fillId="0" borderId="17" xfId="19" applyFont="1" applyFill="1" applyBorder="1" applyAlignment="1" applyProtection="1">
      <alignment horizontal="left" indent="1"/>
    </xf>
    <xf numFmtId="0" fontId="48" fillId="0" borderId="9" xfId="19" applyFill="1" applyBorder="1" applyAlignment="1" applyProtection="1">
      <alignment horizontal="center"/>
    </xf>
    <xf numFmtId="0" fontId="48" fillId="0" borderId="51" xfId="19" applyFill="1" applyBorder="1" applyAlignment="1" applyProtection="1">
      <alignment horizontal="center" vertical="center"/>
    </xf>
    <xf numFmtId="0" fontId="48" fillId="0" borderId="18" xfId="19" applyFill="1" applyBorder="1" applyAlignment="1" applyProtection="1">
      <alignment horizontal="center" vertical="center"/>
    </xf>
    <xf numFmtId="0" fontId="48" fillId="0" borderId="52" xfId="19" applyFill="1" applyBorder="1" applyAlignment="1" applyProtection="1">
      <alignment horizontal="center" vertical="center"/>
    </xf>
    <xf numFmtId="0" fontId="48" fillId="0" borderId="51" xfId="19" applyBorder="1" applyAlignment="1" applyProtection="1">
      <alignment horizontal="center" vertical="center"/>
    </xf>
    <xf numFmtId="0" fontId="48" fillId="0" borderId="18" xfId="19" applyBorder="1" applyAlignment="1" applyProtection="1">
      <alignment horizontal="center" vertical="center"/>
    </xf>
    <xf numFmtId="0" fontId="48" fillId="0" borderId="52" xfId="19" applyBorder="1" applyAlignment="1" applyProtection="1">
      <alignment horizontal="center" vertical="center"/>
    </xf>
    <xf numFmtId="0" fontId="48" fillId="0" borderId="17" xfId="19" applyFill="1" applyBorder="1" applyAlignment="1" applyProtection="1">
      <alignment horizontal="left" wrapText="1" indent="2"/>
    </xf>
    <xf numFmtId="0" fontId="48" fillId="0" borderId="9" xfId="19" applyNumberFormat="1" applyFont="1" applyBorder="1" applyAlignment="1" applyProtection="1">
      <alignment horizontal="center" wrapText="1"/>
    </xf>
    <xf numFmtId="167" fontId="48" fillId="11" borderId="27" xfId="19" applyNumberFormat="1" applyFont="1" applyFill="1" applyBorder="1" applyAlignment="1" applyProtection="1">
      <alignment horizontal="center" vertical="center"/>
      <protection locked="0"/>
    </xf>
    <xf numFmtId="167" fontId="48" fillId="11" borderId="5" xfId="19" applyNumberFormat="1" applyFont="1" applyFill="1" applyBorder="1" applyAlignment="1" applyProtection="1">
      <alignment horizontal="center" vertical="center"/>
      <protection locked="0"/>
    </xf>
    <xf numFmtId="167" fontId="48" fillId="11" borderId="28" xfId="19" applyNumberFormat="1" applyFont="1" applyFill="1" applyBorder="1" applyAlignment="1" applyProtection="1">
      <alignment horizontal="center" vertical="center"/>
      <protection locked="0"/>
    </xf>
    <xf numFmtId="167" fontId="48" fillId="15" borderId="5" xfId="19" applyNumberFormat="1" applyFont="1" applyFill="1" applyBorder="1" applyAlignment="1" applyProtection="1">
      <alignment horizontal="center" vertical="center"/>
      <protection locked="0"/>
    </xf>
    <xf numFmtId="167" fontId="48" fillId="15" borderId="4" xfId="19" applyNumberFormat="1" applyFont="1" applyFill="1" applyBorder="1" applyAlignment="1" applyProtection="1">
      <alignment horizontal="center" vertical="center"/>
      <protection locked="0"/>
    </xf>
    <xf numFmtId="167" fontId="48" fillId="15" borderId="28" xfId="19" applyNumberFormat="1" applyFont="1" applyFill="1" applyBorder="1" applyAlignment="1" applyProtection="1">
      <alignment horizontal="center" vertical="center"/>
      <protection locked="0"/>
    </xf>
    <xf numFmtId="0" fontId="44" fillId="0" borderId="17" xfId="19" applyFont="1" applyFill="1" applyBorder="1" applyAlignment="1" applyProtection="1">
      <alignment horizontal="left" wrapText="1" indent="2"/>
    </xf>
    <xf numFmtId="167" fontId="48" fillId="10" borderId="5" xfId="19" applyNumberFormat="1" applyFill="1" applyBorder="1" applyAlignment="1" applyProtection="1">
      <alignment horizontal="center" vertical="center"/>
    </xf>
    <xf numFmtId="0" fontId="48" fillId="0" borderId="9" xfId="19" applyNumberFormat="1" applyBorder="1" applyAlignment="1" applyProtection="1">
      <alignment horizontal="center"/>
    </xf>
    <xf numFmtId="0" fontId="48" fillId="0" borderId="43" xfId="19" applyBorder="1" applyAlignment="1" applyProtection="1">
      <alignment horizontal="center" vertical="center"/>
    </xf>
    <xf numFmtId="0" fontId="48" fillId="0" borderId="16" xfId="19" applyBorder="1" applyAlignment="1" applyProtection="1">
      <alignment horizontal="center" vertical="center"/>
    </xf>
    <xf numFmtId="0" fontId="48" fillId="0" borderId="44" xfId="19" applyBorder="1" applyAlignment="1" applyProtection="1">
      <alignment horizontal="center" vertical="center"/>
    </xf>
    <xf numFmtId="0" fontId="48" fillId="0" borderId="43" xfId="19" applyFill="1" applyBorder="1" applyAlignment="1" applyProtection="1">
      <alignment horizontal="center" vertical="center"/>
    </xf>
    <xf numFmtId="0" fontId="44" fillId="0" borderId="20" xfId="19" applyFont="1" applyBorder="1" applyAlignment="1" applyProtection="1">
      <alignment horizontal="left" wrapText="1" indent="2"/>
    </xf>
    <xf numFmtId="0" fontId="48" fillId="0" borderId="42" xfId="19" applyNumberFormat="1" applyFont="1" applyBorder="1" applyAlignment="1" applyProtection="1">
      <alignment horizontal="center" wrapText="1"/>
    </xf>
    <xf numFmtId="167" fontId="48" fillId="10" borderId="45" xfId="19" applyNumberFormat="1" applyFill="1" applyBorder="1" applyAlignment="1" applyProtection="1">
      <alignment horizontal="center" vertical="center"/>
    </xf>
    <xf numFmtId="0" fontId="44" fillId="0" borderId="37" xfId="19" applyFont="1" applyBorder="1" applyProtection="1"/>
    <xf numFmtId="0" fontId="44" fillId="0" borderId="9" xfId="19" applyFont="1" applyBorder="1" applyAlignment="1" applyProtection="1">
      <alignment horizontal="center"/>
    </xf>
    <xf numFmtId="0" fontId="44" fillId="0" borderId="53" xfId="19" applyFont="1" applyBorder="1" applyAlignment="1" applyProtection="1">
      <alignment horizontal="center" vertical="center"/>
    </xf>
    <xf numFmtId="0" fontId="44" fillId="0" borderId="15" xfId="19" applyFont="1" applyBorder="1" applyAlignment="1" applyProtection="1">
      <alignment horizontal="center" vertical="center"/>
    </xf>
    <xf numFmtId="0" fontId="44" fillId="0" borderId="54" xfId="19" applyFont="1" applyBorder="1" applyAlignment="1" applyProtection="1">
      <alignment horizontal="center" vertical="center"/>
    </xf>
    <xf numFmtId="0" fontId="48" fillId="0" borderId="53" xfId="19" applyBorder="1" applyAlignment="1" applyProtection="1">
      <alignment horizontal="center" vertical="center"/>
    </xf>
    <xf numFmtId="0" fontId="48" fillId="0" borderId="15" xfId="19" applyBorder="1" applyAlignment="1" applyProtection="1">
      <alignment horizontal="center" vertical="center"/>
    </xf>
    <xf numFmtId="0" fontId="48" fillId="0" borderId="54" xfId="19" applyBorder="1" applyAlignment="1" applyProtection="1">
      <alignment horizontal="center" vertical="center"/>
    </xf>
    <xf numFmtId="0" fontId="6" fillId="0" borderId="0" xfId="31" applyBorder="1" applyProtection="1"/>
    <xf numFmtId="0" fontId="44" fillId="0" borderId="37" xfId="19" applyFont="1" applyBorder="1" applyAlignment="1" applyProtection="1">
      <alignment horizontal="left" indent="1"/>
    </xf>
    <xf numFmtId="0" fontId="44" fillId="0" borderId="17" xfId="19" applyFont="1" applyBorder="1" applyAlignment="1" applyProtection="1">
      <alignment horizontal="center" vertical="center"/>
    </xf>
    <xf numFmtId="0" fontId="44" fillId="0" borderId="0" xfId="19" applyFont="1" applyBorder="1" applyAlignment="1" applyProtection="1">
      <alignment horizontal="center" vertical="center"/>
    </xf>
    <xf numFmtId="0" fontId="44" fillId="0" borderId="22" xfId="19" applyFont="1" applyBorder="1" applyAlignment="1" applyProtection="1">
      <alignment horizontal="center" vertical="center"/>
    </xf>
    <xf numFmtId="0" fontId="48" fillId="0" borderId="17" xfId="19" applyBorder="1" applyAlignment="1" applyProtection="1">
      <alignment horizontal="center" vertical="center"/>
    </xf>
    <xf numFmtId="0" fontId="48" fillId="0" borderId="0" xfId="19" applyBorder="1" applyAlignment="1" applyProtection="1">
      <alignment horizontal="center" vertical="center"/>
    </xf>
    <xf numFmtId="0" fontId="48" fillId="0" borderId="22" xfId="19" applyBorder="1" applyAlignment="1" applyProtection="1">
      <alignment horizontal="center" vertical="center"/>
    </xf>
    <xf numFmtId="0" fontId="48" fillId="0" borderId="37" xfId="19" applyFont="1" applyBorder="1" applyAlignment="1" applyProtection="1">
      <alignment horizontal="left" indent="2"/>
    </xf>
    <xf numFmtId="1" fontId="48" fillId="10" borderId="27" xfId="19" applyNumberFormat="1" applyFont="1" applyFill="1" applyBorder="1" applyAlignment="1" applyProtection="1">
      <alignment horizontal="center" vertical="center"/>
      <protection locked="0"/>
    </xf>
    <xf numFmtId="1" fontId="48" fillId="10" borderId="5" xfId="19" applyNumberFormat="1" applyFont="1" applyFill="1" applyBorder="1" applyAlignment="1" applyProtection="1">
      <alignment horizontal="center" vertical="center"/>
      <protection locked="0"/>
    </xf>
    <xf numFmtId="1" fontId="48" fillId="10" borderId="28" xfId="19" applyNumberFormat="1" applyFont="1" applyFill="1" applyBorder="1" applyAlignment="1" applyProtection="1">
      <alignment horizontal="center" vertical="center"/>
      <protection locked="0"/>
    </xf>
    <xf numFmtId="1" fontId="48" fillId="10" borderId="4" xfId="19" applyNumberFormat="1" applyFont="1" applyFill="1" applyBorder="1" applyAlignment="1" applyProtection="1">
      <alignment horizontal="center" vertical="center"/>
      <protection locked="0"/>
    </xf>
    <xf numFmtId="0" fontId="48" fillId="0" borderId="17" xfId="19" applyFont="1" applyBorder="1" applyAlignment="1" applyProtection="1">
      <alignment horizontal="left" indent="2"/>
    </xf>
    <xf numFmtId="1" fontId="27" fillId="11" borderId="27" xfId="19" applyNumberFormat="1" applyFont="1" applyFill="1" applyBorder="1" applyAlignment="1" applyProtection="1">
      <alignment horizontal="center" vertical="center"/>
      <protection locked="0"/>
    </xf>
    <xf numFmtId="1" fontId="27" fillId="11" borderId="5" xfId="19" applyNumberFormat="1" applyFont="1" applyFill="1" applyBorder="1" applyAlignment="1" applyProtection="1">
      <alignment horizontal="center" vertical="center"/>
      <protection locked="0"/>
    </xf>
    <xf numFmtId="1" fontId="27" fillId="11" borderId="28" xfId="19" applyNumberFormat="1" applyFont="1" applyFill="1" applyBorder="1" applyAlignment="1" applyProtection="1">
      <alignment horizontal="center" vertical="center"/>
      <protection locked="0"/>
    </xf>
    <xf numFmtId="0" fontId="44" fillId="0" borderId="37" xfId="19" applyFont="1" applyFill="1" applyBorder="1" applyAlignment="1" applyProtection="1">
      <alignment horizontal="left" indent="1"/>
    </xf>
    <xf numFmtId="1" fontId="44" fillId="0" borderId="17" xfId="19" applyNumberFormat="1" applyFont="1" applyBorder="1" applyAlignment="1" applyProtection="1">
      <alignment horizontal="center" vertical="center"/>
    </xf>
    <xf numFmtId="1" fontId="44" fillId="0" borderId="0" xfId="19" applyNumberFormat="1" applyFont="1" applyBorder="1" applyAlignment="1" applyProtection="1">
      <alignment horizontal="center" vertical="center"/>
    </xf>
    <xf numFmtId="1" fontId="44" fillId="0" borderId="22" xfId="19" applyNumberFormat="1" applyFont="1" applyBorder="1" applyAlignment="1" applyProtection="1">
      <alignment horizontal="center" vertical="center"/>
    </xf>
    <xf numFmtId="1" fontId="48" fillId="0" borderId="17" xfId="19" applyNumberFormat="1" applyBorder="1" applyAlignment="1" applyProtection="1">
      <alignment horizontal="center" vertical="center"/>
    </xf>
    <xf numFmtId="1" fontId="48" fillId="0" borderId="0" xfId="19" applyNumberFormat="1" applyBorder="1" applyAlignment="1" applyProtection="1">
      <alignment horizontal="center" vertical="center"/>
    </xf>
    <xf numFmtId="1" fontId="48" fillId="0" borderId="22" xfId="19" applyNumberFormat="1" applyBorder="1" applyAlignment="1" applyProtection="1">
      <alignment horizontal="center" vertical="center"/>
    </xf>
    <xf numFmtId="0" fontId="48" fillId="0" borderId="37" xfId="19" applyFont="1" applyFill="1" applyBorder="1" applyAlignment="1" applyProtection="1">
      <alignment horizontal="left" indent="2"/>
    </xf>
    <xf numFmtId="0" fontId="48" fillId="0" borderId="17" xfId="19" applyFont="1" applyFill="1" applyBorder="1" applyAlignment="1" applyProtection="1">
      <alignment horizontal="left" indent="2"/>
    </xf>
    <xf numFmtId="1" fontId="48" fillId="11" borderId="27" xfId="19" applyNumberFormat="1" applyFont="1" applyFill="1" applyBorder="1" applyAlignment="1" applyProtection="1">
      <alignment horizontal="center" vertical="center"/>
      <protection locked="0"/>
    </xf>
    <xf numFmtId="1" fontId="48" fillId="11" borderId="5" xfId="19" applyNumberFormat="1" applyFont="1" applyFill="1" applyBorder="1" applyAlignment="1" applyProtection="1">
      <alignment horizontal="center" vertical="center"/>
      <protection locked="0"/>
    </xf>
    <xf numFmtId="1" fontId="48" fillId="11" borderId="28" xfId="19" applyNumberFormat="1" applyFont="1" applyFill="1" applyBorder="1" applyAlignment="1" applyProtection="1">
      <alignment horizontal="center" vertical="center"/>
      <protection locked="0"/>
    </xf>
    <xf numFmtId="1" fontId="48" fillId="0" borderId="17" xfId="19" applyNumberFormat="1" applyFont="1" applyBorder="1" applyAlignment="1" applyProtection="1">
      <alignment horizontal="center" vertical="center"/>
    </xf>
    <xf numFmtId="1" fontId="48" fillId="0" borderId="0" xfId="19" applyNumberFormat="1" applyFont="1" applyBorder="1" applyAlignment="1" applyProtection="1">
      <alignment horizontal="center" vertical="center"/>
    </xf>
    <xf numFmtId="1" fontId="48" fillId="0" borderId="22" xfId="19" applyNumberFormat="1" applyFont="1" applyBorder="1" applyAlignment="1" applyProtection="1">
      <alignment horizontal="center" vertical="center"/>
    </xf>
    <xf numFmtId="1" fontId="48" fillId="10" borderId="55" xfId="19" applyNumberFormat="1" applyFont="1" applyFill="1" applyBorder="1" applyAlignment="1" applyProtection="1">
      <alignment horizontal="center" vertical="center"/>
      <protection locked="0"/>
    </xf>
    <xf numFmtId="1" fontId="48" fillId="10" borderId="8" xfId="19" applyNumberFormat="1" applyFont="1" applyFill="1" applyBorder="1" applyAlignment="1" applyProtection="1">
      <alignment horizontal="center" vertical="center"/>
      <protection locked="0"/>
    </xf>
    <xf numFmtId="1" fontId="48" fillId="10" borderId="56" xfId="19" applyNumberFormat="1" applyFont="1" applyFill="1" applyBorder="1" applyAlignment="1" applyProtection="1">
      <alignment horizontal="center" vertical="center"/>
      <protection locked="0"/>
    </xf>
    <xf numFmtId="1" fontId="48" fillId="10" borderId="1" xfId="19" applyNumberFormat="1" applyFont="1" applyFill="1" applyBorder="1" applyAlignment="1" applyProtection="1">
      <alignment horizontal="center" vertical="center"/>
      <protection locked="0"/>
    </xf>
    <xf numFmtId="1" fontId="48" fillId="11" borderId="55" xfId="19" applyNumberFormat="1" applyFont="1" applyFill="1" applyBorder="1" applyAlignment="1" applyProtection="1">
      <alignment horizontal="center" vertical="center"/>
      <protection locked="0"/>
    </xf>
    <xf numFmtId="1" fontId="48" fillId="11" borderId="8" xfId="19" applyNumberFormat="1" applyFont="1" applyFill="1" applyBorder="1" applyAlignment="1" applyProtection="1">
      <alignment horizontal="center" vertical="center"/>
      <protection locked="0"/>
    </xf>
    <xf numFmtId="1" fontId="48" fillId="11" borderId="56" xfId="19" applyNumberFormat="1" applyFont="1" applyFill="1" applyBorder="1" applyAlignment="1" applyProtection="1">
      <alignment horizontal="center" vertical="center"/>
      <protection locked="0"/>
    </xf>
    <xf numFmtId="0" fontId="44" fillId="0" borderId="40" xfId="19" applyFont="1" applyBorder="1" applyAlignment="1" applyProtection="1">
      <alignment horizontal="left" wrapText="1" indent="1"/>
    </xf>
    <xf numFmtId="1" fontId="44" fillId="10" borderId="29" xfId="19" applyNumberFormat="1" applyFont="1" applyFill="1" applyBorder="1" applyAlignment="1" applyProtection="1">
      <alignment horizontal="center" vertical="center"/>
    </xf>
    <xf numFmtId="1" fontId="44" fillId="10" borderId="30" xfId="19" applyNumberFormat="1" applyFont="1" applyFill="1" applyBorder="1" applyAlignment="1" applyProtection="1">
      <alignment horizontal="center" vertical="center"/>
    </xf>
    <xf numFmtId="1" fontId="44" fillId="10" borderId="31" xfId="19" applyNumberFormat="1" applyFont="1" applyFill="1" applyBorder="1" applyAlignment="1" applyProtection="1">
      <alignment horizontal="center" vertical="center"/>
    </xf>
    <xf numFmtId="0" fontId="21" fillId="0" borderId="0" xfId="31" applyFont="1" applyBorder="1" applyProtection="1"/>
    <xf numFmtId="0" fontId="44" fillId="0" borderId="0" xfId="19" applyFont="1" applyBorder="1" applyAlignment="1" applyProtection="1">
      <alignment horizontal="left" wrapText="1" indent="1"/>
    </xf>
    <xf numFmtId="0" fontId="6" fillId="0" borderId="0" xfId="31" applyAlignment="1" applyProtection="1">
      <alignment horizontal="center"/>
    </xf>
    <xf numFmtId="0" fontId="48" fillId="0" borderId="0" xfId="19" applyFill="1" applyProtection="1"/>
    <xf numFmtId="0" fontId="44" fillId="0" borderId="52" xfId="19" applyFont="1" applyBorder="1" applyAlignment="1" applyProtection="1">
      <alignment horizontal="center" vertical="center" wrapText="1"/>
    </xf>
    <xf numFmtId="0" fontId="48" fillId="0" borderId="8" xfId="19" applyBorder="1" applyAlignment="1" applyProtection="1">
      <alignment horizontal="center" vertical="center"/>
    </xf>
    <xf numFmtId="0" fontId="48" fillId="0" borderId="0" xfId="19" applyNumberFormat="1" applyFont="1" applyBorder="1" applyAlignment="1" applyProtection="1">
      <alignment horizontal="center" wrapText="1"/>
    </xf>
    <xf numFmtId="0" fontId="48" fillId="0" borderId="10" xfId="19" applyBorder="1" applyAlignment="1" applyProtection="1">
      <alignment horizontal="center" vertical="center"/>
    </xf>
    <xf numFmtId="1" fontId="27" fillId="9" borderId="27" xfId="19" applyNumberFormat="1" applyFont="1" applyFill="1" applyBorder="1" applyAlignment="1" applyProtection="1">
      <alignment horizontal="center" vertical="center"/>
      <protection locked="0"/>
    </xf>
    <xf numFmtId="1" fontId="27" fillId="9" borderId="5" xfId="19" applyNumberFormat="1" applyFont="1" applyFill="1" applyBorder="1" applyAlignment="1" applyProtection="1">
      <alignment horizontal="center" vertical="center"/>
      <protection locked="0"/>
    </xf>
    <xf numFmtId="1" fontId="27" fillId="9" borderId="28" xfId="19" applyNumberFormat="1" applyFont="1" applyFill="1" applyBorder="1" applyAlignment="1" applyProtection="1">
      <alignment horizontal="center" vertical="center"/>
      <protection locked="0"/>
    </xf>
    <xf numFmtId="1" fontId="27" fillId="9" borderId="4" xfId="19" applyNumberFormat="1" applyFont="1" applyFill="1" applyBorder="1" applyAlignment="1" applyProtection="1">
      <alignment horizontal="center" vertical="center"/>
      <protection locked="0"/>
    </xf>
    <xf numFmtId="1" fontId="27" fillId="9" borderId="44" xfId="19" applyNumberFormat="1" applyFont="1" applyFill="1" applyBorder="1" applyAlignment="1" applyProtection="1">
      <alignment horizontal="center" vertical="center"/>
      <protection locked="0"/>
    </xf>
    <xf numFmtId="1" fontId="48" fillId="15" borderId="27" xfId="19" applyNumberFormat="1" applyFont="1" applyFill="1" applyBorder="1" applyAlignment="1" applyProtection="1">
      <alignment horizontal="center" vertical="center"/>
      <protection locked="0"/>
    </xf>
    <xf numFmtId="1" fontId="48" fillId="15" borderId="4" xfId="19" applyNumberFormat="1" applyFont="1" applyFill="1" applyBorder="1" applyAlignment="1" applyProtection="1">
      <alignment horizontal="center" vertical="center"/>
      <protection locked="0"/>
    </xf>
    <xf numFmtId="1" fontId="48" fillId="15" borderId="44" xfId="19" applyNumberFormat="1" applyFont="1" applyFill="1" applyBorder="1" applyAlignment="1" applyProtection="1">
      <alignment horizontal="center" vertical="center"/>
      <protection locked="0"/>
    </xf>
    <xf numFmtId="1" fontId="48" fillId="0" borderId="10" xfId="19" applyNumberFormat="1" applyBorder="1" applyAlignment="1" applyProtection="1">
      <alignment horizontal="center" vertical="center"/>
    </xf>
    <xf numFmtId="1" fontId="27" fillId="9" borderId="55" xfId="19" applyNumberFormat="1" applyFont="1" applyFill="1" applyBorder="1" applyAlignment="1" applyProtection="1">
      <alignment horizontal="center" vertical="center"/>
      <protection locked="0"/>
    </xf>
    <xf numFmtId="1" fontId="27" fillId="9" borderId="8" xfId="19" applyNumberFormat="1" applyFont="1" applyFill="1" applyBorder="1" applyAlignment="1" applyProtection="1">
      <alignment horizontal="center" vertical="center"/>
      <protection locked="0"/>
    </xf>
    <xf numFmtId="1" fontId="27" fillId="9" borderId="56" xfId="19" applyNumberFormat="1" applyFont="1" applyFill="1" applyBorder="1" applyAlignment="1" applyProtection="1">
      <alignment horizontal="center" vertical="center"/>
      <protection locked="0"/>
    </xf>
    <xf numFmtId="1" fontId="27" fillId="9" borderId="1" xfId="19" applyNumberFormat="1" applyFont="1" applyFill="1" applyBorder="1" applyAlignment="1" applyProtection="1">
      <alignment horizontal="center" vertical="center"/>
      <protection locked="0"/>
    </xf>
    <xf numFmtId="1" fontId="27" fillId="9" borderId="54" xfId="19" applyNumberFormat="1" applyFont="1" applyFill="1" applyBorder="1" applyAlignment="1" applyProtection="1">
      <alignment horizontal="center" vertical="center"/>
      <protection locked="0"/>
    </xf>
    <xf numFmtId="1" fontId="27" fillId="11" borderId="55" xfId="19" applyNumberFormat="1" applyFont="1" applyFill="1" applyBorder="1" applyAlignment="1" applyProtection="1">
      <alignment horizontal="center" vertical="center"/>
      <protection locked="0"/>
    </xf>
    <xf numFmtId="1" fontId="27" fillId="11" borderId="8" xfId="19" applyNumberFormat="1" applyFont="1" applyFill="1" applyBorder="1" applyAlignment="1" applyProtection="1">
      <alignment horizontal="center" vertical="center"/>
      <protection locked="0"/>
    </xf>
    <xf numFmtId="1" fontId="27" fillId="11" borderId="56" xfId="19" applyNumberFormat="1" applyFont="1" applyFill="1" applyBorder="1" applyAlignment="1" applyProtection="1">
      <alignment horizontal="center" vertical="center"/>
      <protection locked="0"/>
    </xf>
    <xf numFmtId="1" fontId="48" fillId="15" borderId="55" xfId="19" applyNumberFormat="1" applyFont="1" applyFill="1" applyBorder="1" applyAlignment="1" applyProtection="1">
      <alignment horizontal="center" vertical="center"/>
      <protection locked="0"/>
    </xf>
    <xf numFmtId="1" fontId="44" fillId="10" borderId="60" xfId="19" applyNumberFormat="1" applyFont="1" applyFill="1" applyBorder="1" applyAlignment="1" applyProtection="1">
      <alignment horizontal="center" vertical="center"/>
    </xf>
    <xf numFmtId="0" fontId="44" fillId="0" borderId="0" xfId="19" applyFont="1" applyAlignment="1" applyProtection="1">
      <alignment horizontal="left" wrapText="1" indent="1"/>
    </xf>
    <xf numFmtId="1" fontId="48" fillId="15" borderId="38" xfId="19" applyNumberFormat="1" applyFont="1" applyFill="1" applyBorder="1" applyAlignment="1" applyProtection="1">
      <alignment horizontal="center" vertical="center"/>
      <protection locked="0"/>
    </xf>
    <xf numFmtId="1" fontId="48" fillId="15" borderId="66" xfId="19" applyNumberFormat="1" applyFont="1" applyFill="1" applyBorder="1" applyAlignment="1" applyProtection="1">
      <alignment horizontal="center" vertical="center"/>
      <protection locked="0"/>
    </xf>
    <xf numFmtId="0" fontId="44" fillId="0" borderId="17" xfId="19" applyFont="1" applyFill="1" applyBorder="1" applyProtection="1"/>
    <xf numFmtId="0" fontId="44" fillId="0" borderId="6" xfId="19" applyFont="1" applyBorder="1" applyAlignment="1" applyProtection="1">
      <alignment horizontal="center"/>
    </xf>
    <xf numFmtId="167" fontId="27" fillId="11" borderId="27" xfId="19" applyNumberFormat="1" applyFont="1" applyFill="1" applyBorder="1" applyAlignment="1" applyProtection="1">
      <alignment horizontal="center" vertical="center"/>
      <protection locked="0"/>
    </xf>
    <xf numFmtId="167" fontId="27" fillId="11" borderId="5" xfId="19" applyNumberFormat="1" applyFont="1" applyFill="1" applyBorder="1" applyAlignment="1" applyProtection="1">
      <alignment horizontal="center" vertical="center"/>
      <protection locked="0"/>
    </xf>
    <xf numFmtId="167" fontId="27" fillId="11" borderId="28" xfId="19" applyNumberFormat="1" applyFont="1" applyFill="1" applyBorder="1" applyAlignment="1" applyProtection="1">
      <alignment horizontal="center" vertical="center"/>
      <protection locked="0"/>
    </xf>
    <xf numFmtId="9" fontId="27" fillId="11" borderId="27" xfId="33" applyFont="1" applyFill="1" applyBorder="1" applyAlignment="1" applyProtection="1">
      <alignment horizontal="center" vertical="center"/>
      <protection locked="0"/>
    </xf>
    <xf numFmtId="9" fontId="27" fillId="11" borderId="5" xfId="33" applyFont="1" applyFill="1" applyBorder="1" applyAlignment="1" applyProtection="1">
      <alignment horizontal="center" vertical="center"/>
      <protection locked="0"/>
    </xf>
    <xf numFmtId="9" fontId="27" fillId="11" borderId="28" xfId="33" applyFont="1" applyFill="1" applyBorder="1" applyAlignment="1" applyProtection="1">
      <alignment horizontal="center" vertical="center"/>
      <protection locked="0"/>
    </xf>
    <xf numFmtId="9" fontId="27" fillId="9" borderId="5" xfId="33" applyFont="1" applyFill="1" applyBorder="1" applyAlignment="1" applyProtection="1">
      <alignment horizontal="center" vertical="center"/>
      <protection locked="0"/>
    </xf>
    <xf numFmtId="9" fontId="27" fillId="9" borderId="4" xfId="33" applyFont="1" applyFill="1" applyBorder="1" applyAlignment="1" applyProtection="1">
      <alignment horizontal="center" vertical="center"/>
      <protection locked="0"/>
    </xf>
    <xf numFmtId="9" fontId="27" fillId="9" borderId="28" xfId="33" applyFont="1" applyFill="1" applyBorder="1" applyAlignment="1" applyProtection="1">
      <alignment horizontal="center" vertical="center"/>
      <protection locked="0"/>
    </xf>
    <xf numFmtId="9" fontId="27" fillId="15" borderId="5" xfId="33" applyFont="1" applyFill="1" applyBorder="1" applyAlignment="1" applyProtection="1">
      <alignment horizontal="center" vertical="center"/>
      <protection locked="0"/>
    </xf>
    <xf numFmtId="9" fontId="27" fillId="15" borderId="4" xfId="33" applyFont="1" applyFill="1" applyBorder="1" applyAlignment="1" applyProtection="1">
      <alignment horizontal="center" vertical="center"/>
      <protection locked="0"/>
    </xf>
    <xf numFmtId="9" fontId="27" fillId="15" borderId="28" xfId="33" applyFont="1" applyFill="1" applyBorder="1" applyAlignment="1" applyProtection="1">
      <alignment horizontal="center" vertical="center"/>
      <protection locked="0"/>
    </xf>
    <xf numFmtId="167" fontId="27" fillId="11" borderId="27" xfId="33" applyNumberFormat="1" applyFont="1" applyFill="1" applyBorder="1" applyAlignment="1" applyProtection="1">
      <alignment horizontal="center" vertical="center"/>
      <protection locked="0"/>
    </xf>
    <xf numFmtId="167" fontId="27" fillId="11" borderId="5" xfId="33" applyNumberFormat="1" applyFont="1" applyFill="1" applyBorder="1" applyAlignment="1" applyProtection="1">
      <alignment horizontal="center" vertical="center"/>
      <protection locked="0"/>
    </xf>
    <xf numFmtId="167" fontId="27" fillId="11" borderId="28" xfId="33" applyNumberFormat="1" applyFont="1" applyFill="1" applyBorder="1" applyAlignment="1" applyProtection="1">
      <alignment horizontal="center" vertical="center"/>
      <protection locked="0"/>
    </xf>
    <xf numFmtId="167" fontId="27" fillId="9" borderId="5" xfId="33" applyNumberFormat="1" applyFont="1" applyFill="1" applyBorder="1" applyAlignment="1" applyProtection="1">
      <alignment horizontal="center" vertical="center"/>
      <protection locked="0"/>
    </xf>
    <xf numFmtId="167" fontId="27" fillId="9" borderId="4" xfId="33" applyNumberFormat="1" applyFont="1" applyFill="1" applyBorder="1" applyAlignment="1" applyProtection="1">
      <alignment horizontal="center" vertical="center"/>
      <protection locked="0"/>
    </xf>
    <xf numFmtId="167" fontId="27" fillId="9" borderId="28" xfId="33" applyNumberFormat="1" applyFont="1" applyFill="1" applyBorder="1" applyAlignment="1" applyProtection="1">
      <alignment horizontal="center" vertical="center"/>
      <protection locked="0"/>
    </xf>
    <xf numFmtId="0" fontId="44" fillId="0" borderId="17" xfId="19" applyFont="1" applyBorder="1" applyAlignment="1" applyProtection="1">
      <alignment horizontal="left" wrapText="1" indent="2"/>
    </xf>
    <xf numFmtId="167" fontId="27" fillId="9" borderId="55" xfId="19" applyNumberFormat="1" applyFont="1" applyFill="1" applyBorder="1" applyAlignment="1" applyProtection="1">
      <alignment horizontal="center" vertical="center"/>
      <protection locked="0"/>
    </xf>
    <xf numFmtId="167" fontId="27" fillId="9" borderId="8" xfId="19" applyNumberFormat="1" applyFont="1" applyFill="1" applyBorder="1" applyAlignment="1" applyProtection="1">
      <alignment horizontal="center" vertical="center"/>
      <protection locked="0"/>
    </xf>
    <xf numFmtId="167" fontId="27" fillId="9" borderId="56" xfId="19" applyNumberFormat="1" applyFont="1" applyFill="1" applyBorder="1" applyAlignment="1" applyProtection="1">
      <alignment horizontal="center" vertical="center"/>
      <protection locked="0"/>
    </xf>
    <xf numFmtId="167" fontId="48" fillId="10" borderId="8" xfId="19" applyNumberFormat="1" applyFill="1" applyBorder="1" applyAlignment="1" applyProtection="1">
      <alignment horizontal="center" vertical="center"/>
    </xf>
    <xf numFmtId="167" fontId="48" fillId="10" borderId="1" xfId="19" applyNumberFormat="1" applyFill="1" applyBorder="1" applyAlignment="1" applyProtection="1">
      <alignment horizontal="center" vertical="center"/>
    </xf>
    <xf numFmtId="167" fontId="48" fillId="10" borderId="56" xfId="19" applyNumberFormat="1" applyFill="1" applyBorder="1" applyAlignment="1" applyProtection="1">
      <alignment horizontal="center" vertical="center"/>
    </xf>
    <xf numFmtId="0" fontId="44" fillId="0" borderId="29" xfId="19" applyFont="1" applyFill="1" applyBorder="1" applyAlignment="1" applyProtection="1">
      <alignment horizontal="left" wrapText="1" indent="2"/>
    </xf>
    <xf numFmtId="0" fontId="48" fillId="0" borderId="30" xfId="19" applyNumberFormat="1" applyFont="1" applyBorder="1" applyAlignment="1" applyProtection="1">
      <alignment horizontal="center" wrapText="1"/>
    </xf>
    <xf numFmtId="167" fontId="48" fillId="15" borderId="30" xfId="19" applyNumberFormat="1" applyFont="1" applyFill="1" applyBorder="1" applyAlignment="1" applyProtection="1">
      <alignment horizontal="center" vertical="center"/>
      <protection locked="0"/>
    </xf>
    <xf numFmtId="167" fontId="48" fillId="15" borderId="30" xfId="19" applyNumberFormat="1" applyFont="1" applyFill="1" applyBorder="1" applyAlignment="1" applyProtection="1">
      <alignment horizontal="center" vertical="center"/>
    </xf>
    <xf numFmtId="167" fontId="48" fillId="15" borderId="31" xfId="19" applyNumberFormat="1" applyFont="1" applyFill="1" applyBorder="1" applyAlignment="1" applyProtection="1">
      <alignment horizontal="center" vertical="center"/>
    </xf>
    <xf numFmtId="167" fontId="48" fillId="10" borderId="30" xfId="19" applyNumberFormat="1" applyFont="1" applyFill="1" applyBorder="1" applyAlignment="1" applyProtection="1">
      <alignment horizontal="center" vertical="center"/>
    </xf>
    <xf numFmtId="167" fontId="48" fillId="10" borderId="31" xfId="19" applyNumberFormat="1" applyFont="1" applyFill="1" applyBorder="1" applyAlignment="1" applyProtection="1">
      <alignment horizontal="center" vertical="center"/>
    </xf>
    <xf numFmtId="167" fontId="48" fillId="10" borderId="20" xfId="19" applyNumberFormat="1" applyFill="1" applyBorder="1" applyAlignment="1" applyProtection="1">
      <alignment horizontal="center" vertical="center"/>
    </xf>
    <xf numFmtId="0" fontId="48" fillId="0" borderId="27" xfId="19" applyBorder="1" applyAlignment="1" applyProtection="1">
      <alignment horizontal="center" vertical="center"/>
    </xf>
    <xf numFmtId="0" fontId="48" fillId="0" borderId="4" xfId="19" applyBorder="1" applyAlignment="1" applyProtection="1">
      <alignment horizontal="center" vertical="center"/>
    </xf>
    <xf numFmtId="0" fontId="48" fillId="0" borderId="28" xfId="19" applyBorder="1" applyAlignment="1" applyProtection="1">
      <alignment horizontal="center" vertical="center"/>
    </xf>
    <xf numFmtId="0" fontId="48" fillId="0" borderId="27" xfId="19" applyFill="1" applyBorder="1" applyAlignment="1" applyProtection="1">
      <alignment horizontal="center" vertical="center"/>
    </xf>
    <xf numFmtId="0" fontId="48" fillId="0" borderId="28" xfId="19" applyFill="1" applyBorder="1" applyAlignment="1" applyProtection="1">
      <alignment horizontal="center" vertical="center"/>
    </xf>
    <xf numFmtId="0" fontId="44" fillId="0" borderId="29" xfId="19" applyFont="1" applyBorder="1" applyAlignment="1" applyProtection="1">
      <alignment horizontal="left" wrapText="1" indent="2"/>
    </xf>
    <xf numFmtId="0" fontId="48" fillId="0" borderId="0" xfId="19" applyBorder="1" applyProtection="1"/>
    <xf numFmtId="0" fontId="48" fillId="0" borderId="0" xfId="19" applyFont="1" applyBorder="1" applyProtection="1"/>
    <xf numFmtId="0" fontId="48" fillId="0" borderId="0" xfId="19" applyBorder="1" applyAlignment="1" applyProtection="1">
      <alignment horizontal="center"/>
    </xf>
    <xf numFmtId="167" fontId="48" fillId="0" borderId="0" xfId="18" applyNumberFormat="1" applyAlignment="1" applyProtection="1">
      <alignment horizontal="center" vertical="center"/>
    </xf>
    <xf numFmtId="0" fontId="50" fillId="12" borderId="0" xfId="0" applyFont="1" applyFill="1" applyBorder="1" applyAlignment="1" applyProtection="1"/>
    <xf numFmtId="0" fontId="53" fillId="12" borderId="0" xfId="0" applyFont="1" applyFill="1" applyBorder="1" applyAlignment="1" applyProtection="1"/>
    <xf numFmtId="0" fontId="52" fillId="12" borderId="0" xfId="0" applyFont="1" applyFill="1" applyBorder="1" applyAlignment="1" applyProtection="1"/>
    <xf numFmtId="0" fontId="52" fillId="12" borderId="21" xfId="0" applyFont="1" applyFill="1" applyBorder="1" applyAlignment="1" applyProtection="1">
      <alignment horizontal="left"/>
    </xf>
    <xf numFmtId="0" fontId="53" fillId="12" borderId="21" xfId="0" applyFont="1" applyFill="1" applyBorder="1" applyAlignment="1" applyProtection="1"/>
    <xf numFmtId="0" fontId="44" fillId="0" borderId="0" xfId="0" applyFont="1" applyFill="1" applyBorder="1" applyAlignment="1" applyProtection="1">
      <alignment horizontal="left"/>
    </xf>
    <xf numFmtId="0" fontId="30" fillId="0" borderId="0" xfId="0" applyFont="1" applyFill="1" applyBorder="1" applyAlignment="1" applyProtection="1"/>
    <xf numFmtId="0" fontId="44" fillId="0" borderId="0" xfId="28" applyFont="1" applyFill="1" applyBorder="1" applyAlignment="1" applyProtection="1">
      <alignment horizontal="left" vertical="center"/>
    </xf>
    <xf numFmtId="0" fontId="48" fillId="0" borderId="0" xfId="26" applyFont="1" applyProtection="1"/>
    <xf numFmtId="0" fontId="48" fillId="0" borderId="0" xfId="28" applyFont="1" applyFill="1" applyBorder="1" applyAlignment="1" applyProtection="1">
      <alignment horizontal="left" vertical="center"/>
    </xf>
    <xf numFmtId="0" fontId="48" fillId="0" borderId="0" xfId="13" applyFont="1" applyProtection="1"/>
    <xf numFmtId="1" fontId="48" fillId="0" borderId="0" xfId="13" applyNumberFormat="1" applyFont="1" applyProtection="1"/>
    <xf numFmtId="0" fontId="44" fillId="0" borderId="27" xfId="28" applyFont="1" applyFill="1" applyBorder="1" applyAlignment="1" applyProtection="1">
      <alignment horizontal="center" vertical="center"/>
    </xf>
    <xf numFmtId="0" fontId="44" fillId="0" borderId="4" xfId="28" applyFont="1" applyFill="1" applyBorder="1" applyAlignment="1" applyProtection="1">
      <alignment horizontal="center" vertical="center"/>
    </xf>
    <xf numFmtId="0" fontId="44" fillId="0" borderId="28" xfId="28" applyFont="1" applyFill="1" applyBorder="1" applyAlignment="1" applyProtection="1">
      <alignment horizontal="center" vertical="center"/>
    </xf>
    <xf numFmtId="0" fontId="44" fillId="0" borderId="5" xfId="28" applyFont="1" applyFill="1" applyBorder="1" applyAlignment="1" applyProtection="1">
      <alignment horizontal="center" vertical="center"/>
    </xf>
    <xf numFmtId="0" fontId="48" fillId="0" borderId="51" xfId="16" applyFont="1" applyBorder="1" applyAlignment="1" applyProtection="1">
      <alignment horizontal="center" vertical="center"/>
    </xf>
    <xf numFmtId="0" fontId="48" fillId="0" borderId="18" xfId="16" applyFont="1" applyBorder="1" applyAlignment="1" applyProtection="1">
      <alignment horizontal="center" vertical="center"/>
    </xf>
    <xf numFmtId="0" fontId="48" fillId="0" borderId="52" xfId="16" applyFont="1" applyBorder="1" applyAlignment="1" applyProtection="1">
      <alignment horizontal="center" vertical="center"/>
    </xf>
    <xf numFmtId="0" fontId="48" fillId="0" borderId="51" xfId="16" applyFont="1" applyFill="1" applyBorder="1" applyAlignment="1" applyProtection="1">
      <alignment horizontal="center" vertical="center"/>
    </xf>
    <xf numFmtId="0" fontId="48" fillId="0" borderId="52" xfId="16" applyFont="1" applyFill="1" applyBorder="1" applyAlignment="1" applyProtection="1">
      <alignment horizontal="center" vertical="center"/>
    </xf>
    <xf numFmtId="167" fontId="48" fillId="10" borderId="27" xfId="16" applyNumberFormat="1" applyFont="1" applyFill="1" applyBorder="1" applyAlignment="1" applyProtection="1">
      <alignment horizontal="center" vertical="center"/>
    </xf>
    <xf numFmtId="167" fontId="48" fillId="10" borderId="4" xfId="16" applyNumberFormat="1" applyFont="1" applyFill="1" applyBorder="1" applyAlignment="1" applyProtection="1">
      <alignment horizontal="center" vertical="center"/>
    </xf>
    <xf numFmtId="167" fontId="48" fillId="10" borderId="28" xfId="16" applyNumberFormat="1" applyFont="1" applyFill="1" applyBorder="1" applyAlignment="1" applyProtection="1">
      <alignment horizontal="center" vertical="center"/>
    </xf>
    <xf numFmtId="0" fontId="48" fillId="0" borderId="28" xfId="23" applyFont="1" applyBorder="1" applyAlignment="1" applyProtection="1">
      <alignment vertical="center"/>
    </xf>
    <xf numFmtId="0" fontId="48" fillId="0" borderId="28" xfId="23" applyFont="1" applyFill="1" applyBorder="1" applyAlignment="1" applyProtection="1">
      <alignment vertical="center"/>
    </xf>
    <xf numFmtId="167" fontId="31" fillId="10" borderId="29" xfId="28" applyNumberFormat="1" applyFont="1" applyFill="1" applyBorder="1" applyAlignment="1" applyProtection="1">
      <alignment horizontal="center" vertical="center"/>
    </xf>
    <xf numFmtId="167" fontId="31" fillId="10" borderId="30" xfId="28" applyNumberFormat="1" applyFont="1" applyFill="1" applyBorder="1" applyAlignment="1" applyProtection="1">
      <alignment horizontal="center" vertical="center"/>
    </xf>
    <xf numFmtId="167" fontId="31" fillId="10" borderId="31" xfId="28" applyNumberFormat="1" applyFont="1" applyFill="1" applyBorder="1" applyAlignment="1" applyProtection="1">
      <alignment horizontal="center" vertical="center"/>
    </xf>
    <xf numFmtId="167" fontId="48" fillId="10" borderId="29" xfId="16" applyNumberFormat="1" applyFont="1" applyFill="1" applyBorder="1" applyAlignment="1" applyProtection="1">
      <alignment horizontal="center" vertical="center"/>
    </xf>
    <xf numFmtId="167" fontId="48" fillId="10" borderId="30" xfId="16" applyNumberFormat="1" applyFont="1" applyFill="1" applyBorder="1" applyAlignment="1" applyProtection="1">
      <alignment horizontal="center" vertical="center"/>
    </xf>
    <xf numFmtId="167" fontId="48" fillId="10" borderId="31" xfId="16" applyNumberFormat="1" applyFont="1" applyFill="1" applyBorder="1" applyAlignment="1" applyProtection="1">
      <alignment horizontal="center" vertical="center"/>
    </xf>
    <xf numFmtId="0" fontId="30" fillId="0" borderId="0" xfId="28" applyFont="1" applyFill="1" applyBorder="1" applyAlignment="1" applyProtection="1">
      <alignment horizontal="center" vertical="center"/>
    </xf>
    <xf numFmtId="167" fontId="27" fillId="9" borderId="27" xfId="28" applyNumberFormat="1" applyFont="1" applyFill="1" applyBorder="1" applyAlignment="1" applyProtection="1">
      <alignment horizontal="center" vertical="center"/>
      <protection locked="0"/>
    </xf>
    <xf numFmtId="167" fontId="27" fillId="9" borderId="4" xfId="28" applyNumberFormat="1" applyFont="1" applyFill="1" applyBorder="1" applyAlignment="1" applyProtection="1">
      <alignment horizontal="center" vertical="center"/>
      <protection locked="0"/>
    </xf>
    <xf numFmtId="167" fontId="27" fillId="9" borderId="28" xfId="28" applyNumberFormat="1" applyFont="1" applyFill="1" applyBorder="1" applyAlignment="1" applyProtection="1">
      <alignment horizontal="center" vertical="center"/>
      <protection locked="0"/>
    </xf>
    <xf numFmtId="0" fontId="48" fillId="0" borderId="0" xfId="28" applyFont="1" applyFill="1" applyBorder="1" applyAlignment="1" applyProtection="1">
      <alignment horizontal="left" vertical="center"/>
      <protection locked="0"/>
    </xf>
    <xf numFmtId="0" fontId="48" fillId="0" borderId="56" xfId="23" applyFont="1" applyBorder="1" applyAlignment="1" applyProtection="1">
      <alignment vertical="center"/>
    </xf>
    <xf numFmtId="167" fontId="44" fillId="10" borderId="74" xfId="28" applyNumberFormat="1" applyFont="1" applyFill="1" applyBorder="1" applyAlignment="1" applyProtection="1">
      <alignment horizontal="center" vertical="center"/>
    </xf>
    <xf numFmtId="167" fontId="44" fillId="10" borderId="72" xfId="28" applyNumberFormat="1" applyFont="1" applyFill="1" applyBorder="1" applyAlignment="1" applyProtection="1">
      <alignment horizontal="center" vertical="center"/>
    </xf>
    <xf numFmtId="167" fontId="44" fillId="10" borderId="73" xfId="28" applyNumberFormat="1" applyFont="1" applyFill="1" applyBorder="1" applyAlignment="1" applyProtection="1">
      <alignment horizontal="center" vertical="center"/>
    </xf>
    <xf numFmtId="167" fontId="44" fillId="10" borderId="68" xfId="28" applyNumberFormat="1" applyFont="1" applyFill="1" applyBorder="1" applyAlignment="1" applyProtection="1">
      <alignment horizontal="center" vertical="center"/>
    </xf>
    <xf numFmtId="167" fontId="44" fillId="10" borderId="45" xfId="28" applyNumberFormat="1" applyFont="1" applyFill="1" applyBorder="1" applyAlignment="1" applyProtection="1">
      <alignment horizontal="center" vertical="center"/>
    </xf>
    <xf numFmtId="167" fontId="44" fillId="10" borderId="30" xfId="28" applyNumberFormat="1" applyFont="1" applyFill="1" applyBorder="1" applyAlignment="1" applyProtection="1">
      <alignment horizontal="center" vertical="center"/>
    </xf>
    <xf numFmtId="167" fontId="44" fillId="10" borderId="31" xfId="28" applyNumberFormat="1" applyFont="1" applyFill="1" applyBorder="1" applyAlignment="1" applyProtection="1">
      <alignment horizontal="center" vertical="center"/>
    </xf>
    <xf numFmtId="167" fontId="44" fillId="10" borderId="29" xfId="28" applyNumberFormat="1" applyFont="1" applyFill="1" applyBorder="1" applyAlignment="1" applyProtection="1">
      <alignment horizontal="center" vertical="center"/>
    </xf>
    <xf numFmtId="0" fontId="48" fillId="0" borderId="28" xfId="28" applyFont="1" applyFill="1" applyBorder="1" applyAlignment="1" applyProtection="1">
      <alignment horizontal="left" vertical="center"/>
    </xf>
    <xf numFmtId="164" fontId="48" fillId="10" borderId="28" xfId="40" applyNumberFormat="1" applyFont="1" applyFill="1" applyBorder="1" applyAlignment="1" applyProtection="1">
      <alignment horizontal="center" vertical="center"/>
    </xf>
    <xf numFmtId="167" fontId="48" fillId="10" borderId="27" xfId="28" applyNumberFormat="1" applyFont="1" applyFill="1" applyBorder="1" applyAlignment="1" applyProtection="1">
      <alignment horizontal="center" vertical="center"/>
    </xf>
    <xf numFmtId="0" fontId="44" fillId="0" borderId="27" xfId="28" applyFont="1" applyFill="1" applyBorder="1" applyAlignment="1" applyProtection="1">
      <alignment vertical="center"/>
    </xf>
    <xf numFmtId="0" fontId="31" fillId="0" borderId="29" xfId="0" applyFont="1" applyBorder="1" applyAlignment="1" applyProtection="1">
      <alignment vertical="center"/>
    </xf>
    <xf numFmtId="167" fontId="48" fillId="10" borderId="45" xfId="28" applyNumberFormat="1" applyFont="1" applyFill="1" applyBorder="1" applyAlignment="1" applyProtection="1">
      <alignment horizontal="center" vertical="center"/>
    </xf>
    <xf numFmtId="167" fontId="48" fillId="10" borderId="60" xfId="28" applyNumberFormat="1" applyFont="1" applyFill="1" applyBorder="1" applyAlignment="1" applyProtection="1">
      <alignment horizontal="center" vertical="center"/>
    </xf>
    <xf numFmtId="167" fontId="48" fillId="10" borderId="29" xfId="28" applyNumberFormat="1" applyFont="1" applyFill="1" applyBorder="1" applyAlignment="1" applyProtection="1">
      <alignment horizontal="center" vertical="center"/>
    </xf>
    <xf numFmtId="164" fontId="48" fillId="10" borderId="31" xfId="40" applyNumberFormat="1" applyFont="1" applyFill="1" applyBorder="1" applyAlignment="1" applyProtection="1">
      <alignment horizontal="center" vertical="center"/>
    </xf>
    <xf numFmtId="0" fontId="48" fillId="0" borderId="22" xfId="28" applyFont="1" applyFill="1" applyBorder="1" applyAlignment="1" applyProtection="1">
      <alignment horizontal="left" vertical="center"/>
    </xf>
    <xf numFmtId="0" fontId="48" fillId="0" borderId="17" xfId="28" applyFont="1" applyFill="1" applyBorder="1" applyAlignment="1" applyProtection="1">
      <alignment horizontal="left" vertical="center"/>
    </xf>
    <xf numFmtId="167" fontId="48" fillId="0" borderId="27" xfId="28" applyNumberFormat="1" applyFont="1" applyFill="1" applyBorder="1" applyAlignment="1" applyProtection="1">
      <alignment horizontal="center" vertical="center"/>
      <protection locked="0"/>
    </xf>
    <xf numFmtId="167" fontId="48" fillId="0" borderId="4" xfId="28" applyNumberFormat="1" applyFont="1" applyFill="1" applyBorder="1" applyAlignment="1" applyProtection="1">
      <alignment horizontal="center" vertical="center"/>
      <protection locked="0"/>
    </xf>
    <xf numFmtId="167" fontId="48" fillId="0" borderId="28" xfId="28" applyNumberFormat="1" applyFont="1" applyFill="1" applyBorder="1" applyAlignment="1" applyProtection="1">
      <alignment horizontal="center" vertical="center"/>
      <protection locked="0"/>
    </xf>
    <xf numFmtId="167" fontId="48" fillId="0" borderId="27" xfId="16" applyNumberFormat="1" applyFont="1" applyFill="1" applyBorder="1" applyAlignment="1" applyProtection="1">
      <alignment horizontal="center" vertical="center"/>
    </xf>
    <xf numFmtId="167" fontId="48" fillId="0" borderId="4" xfId="16" applyNumberFormat="1" applyFont="1" applyFill="1" applyBorder="1" applyAlignment="1" applyProtection="1">
      <alignment horizontal="center" vertical="center"/>
    </xf>
    <xf numFmtId="167" fontId="48" fillId="0" borderId="28" xfId="16" applyNumberFormat="1" applyFont="1" applyFill="1" applyBorder="1" applyAlignment="1" applyProtection="1">
      <alignment horizontal="center" vertical="center"/>
    </xf>
    <xf numFmtId="164" fontId="48" fillId="0" borderId="28" xfId="40" applyNumberFormat="1" applyFont="1" applyFill="1" applyBorder="1" applyAlignment="1" applyProtection="1">
      <alignment horizontal="center" vertical="center"/>
    </xf>
    <xf numFmtId="0" fontId="48" fillId="0" borderId="20" xfId="28" applyFont="1" applyFill="1" applyBorder="1" applyAlignment="1" applyProtection="1">
      <alignment horizontal="left" vertical="center"/>
    </xf>
    <xf numFmtId="167" fontId="27" fillId="9" borderId="29" xfId="28" applyNumberFormat="1" applyFont="1" applyFill="1" applyBorder="1" applyAlignment="1" applyProtection="1">
      <alignment horizontal="center" vertical="center"/>
      <protection locked="0"/>
    </xf>
    <xf numFmtId="167" fontId="27" fillId="9" borderId="30" xfId="28" applyNumberFormat="1" applyFont="1" applyFill="1" applyBorder="1" applyAlignment="1" applyProtection="1">
      <alignment horizontal="center" vertical="center"/>
      <protection locked="0"/>
    </xf>
    <xf numFmtId="167" fontId="27" fillId="9" borderId="31" xfId="28" applyNumberFormat="1" applyFont="1" applyFill="1" applyBorder="1" applyAlignment="1" applyProtection="1">
      <alignment horizontal="center" vertical="center"/>
      <protection locked="0"/>
    </xf>
    <xf numFmtId="0" fontId="46" fillId="0" borderId="0" xfId="26" applyFont="1" applyProtection="1"/>
    <xf numFmtId="0" fontId="46" fillId="0" borderId="0" xfId="28" applyFont="1" applyFill="1" applyBorder="1" applyAlignment="1" applyProtection="1">
      <alignment horizontal="left" vertical="center"/>
    </xf>
    <xf numFmtId="1" fontId="46" fillId="0" borderId="0" xfId="13" applyNumberFormat="1" applyFont="1" applyProtection="1"/>
    <xf numFmtId="0" fontId="46" fillId="0" borderId="0" xfId="13" applyFont="1" applyProtection="1"/>
    <xf numFmtId="0" fontId="50" fillId="12" borderId="0" xfId="24" applyFont="1" applyFill="1" applyBorder="1" applyAlignment="1" applyProtection="1"/>
    <xf numFmtId="0" fontId="52" fillId="12" borderId="0" xfId="15" applyFont="1" applyFill="1" applyBorder="1" applyAlignment="1" applyProtection="1"/>
    <xf numFmtId="0" fontId="46" fillId="12" borderId="0" xfId="15" applyFont="1" applyFill="1" applyBorder="1" applyAlignment="1" applyProtection="1"/>
    <xf numFmtId="0" fontId="55" fillId="12" borderId="0" xfId="15" applyFont="1" applyFill="1" applyBorder="1" applyAlignment="1" applyProtection="1"/>
    <xf numFmtId="0" fontId="48" fillId="12" borderId="0" xfId="15" applyFont="1" applyFill="1" applyBorder="1" applyAlignment="1" applyProtection="1"/>
    <xf numFmtId="0" fontId="52" fillId="12" borderId="0" xfId="15" applyFont="1" applyFill="1" applyBorder="1" applyAlignment="1" applyProtection="1">
      <alignment horizontal="left"/>
    </xf>
    <xf numFmtId="0" fontId="52" fillId="12" borderId="21" xfId="15" applyFont="1" applyFill="1" applyBorder="1" applyAlignment="1" applyProtection="1"/>
    <xf numFmtId="0" fontId="55" fillId="12" borderId="21" xfId="15" applyFont="1" applyFill="1" applyBorder="1" applyAlignment="1" applyProtection="1">
      <alignment horizontal="left"/>
    </xf>
    <xf numFmtId="0" fontId="48" fillId="12" borderId="21" xfId="15" applyFont="1" applyFill="1" applyBorder="1" applyAlignment="1" applyProtection="1"/>
    <xf numFmtId="0" fontId="48" fillId="12" borderId="21" xfId="15" applyFont="1" applyFill="1" applyBorder="1" applyProtection="1"/>
    <xf numFmtId="0" fontId="48" fillId="0" borderId="0" xfId="15" applyFont="1" applyProtection="1"/>
    <xf numFmtId="0" fontId="44" fillId="0" borderId="69" xfId="17" applyFont="1" applyBorder="1" applyAlignment="1" applyProtection="1">
      <alignment horizontal="centerContinuous" vertical="center"/>
    </xf>
    <xf numFmtId="0" fontId="44" fillId="0" borderId="48" xfId="17" applyFont="1" applyBorder="1" applyAlignment="1" applyProtection="1">
      <alignment horizontal="centerContinuous" vertical="center"/>
    </xf>
    <xf numFmtId="0" fontId="48" fillId="0" borderId="47" xfId="17" applyFont="1" applyBorder="1" applyAlignment="1" applyProtection="1">
      <alignment horizontal="centerContinuous" vertical="center"/>
    </xf>
    <xf numFmtId="0" fontId="48" fillId="0" borderId="48" xfId="17" applyFont="1" applyBorder="1" applyAlignment="1" applyProtection="1">
      <alignment horizontal="centerContinuous" vertical="center"/>
    </xf>
    <xf numFmtId="0" fontId="44" fillId="0" borderId="27" xfId="17" applyFont="1" applyBorder="1" applyAlignment="1" applyProtection="1">
      <alignment horizontal="center" vertical="center" wrapText="1"/>
    </xf>
    <xf numFmtId="0" fontId="44" fillId="0" borderId="4" xfId="17" applyFont="1" applyBorder="1" applyAlignment="1" applyProtection="1">
      <alignment horizontal="center" vertical="center" wrapText="1"/>
    </xf>
    <xf numFmtId="0" fontId="44" fillId="0" borderId="28" xfId="17" applyFont="1" applyBorder="1" applyAlignment="1" applyProtection="1">
      <alignment horizontal="center" vertical="center" wrapText="1"/>
    </xf>
    <xf numFmtId="167" fontId="30" fillId="0" borderId="43" xfId="29" applyNumberFormat="1" applyFont="1" applyFill="1" applyBorder="1" applyAlignment="1" applyProtection="1">
      <alignment horizontal="center" vertical="center"/>
    </xf>
    <xf numFmtId="167" fontId="30" fillId="0" borderId="16" xfId="29" applyNumberFormat="1" applyFont="1" applyFill="1" applyBorder="1" applyAlignment="1" applyProtection="1">
      <alignment horizontal="center" vertical="center"/>
    </xf>
    <xf numFmtId="167" fontId="30" fillId="0" borderId="44" xfId="29" applyNumberFormat="1" applyFont="1" applyFill="1" applyBorder="1" applyAlignment="1" applyProtection="1">
      <alignment horizontal="center" vertical="center"/>
    </xf>
    <xf numFmtId="167" fontId="30" fillId="0" borderId="27" xfId="29" applyNumberFormat="1" applyFont="1" applyFill="1" applyBorder="1" applyAlignment="1" applyProtection="1">
      <alignment horizontal="center" vertical="center"/>
    </xf>
    <xf numFmtId="167" fontId="30" fillId="0" borderId="5" xfId="29" applyNumberFormat="1" applyFont="1" applyFill="1" applyBorder="1" applyAlignment="1" applyProtection="1">
      <alignment horizontal="center" vertical="center"/>
    </xf>
    <xf numFmtId="167" fontId="30" fillId="0" borderId="4" xfId="29" applyNumberFormat="1" applyFont="1" applyFill="1" applyBorder="1" applyAlignment="1" applyProtection="1">
      <alignment horizontal="center" vertical="center"/>
    </xf>
    <xf numFmtId="167" fontId="30" fillId="0" borderId="28" xfId="29" applyNumberFormat="1" applyFont="1" applyFill="1" applyBorder="1" applyAlignment="1" applyProtection="1">
      <alignment horizontal="center" vertical="center"/>
    </xf>
    <xf numFmtId="167" fontId="27" fillId="9" borderId="5" xfId="29" applyNumberFormat="1" applyFont="1" applyFill="1" applyBorder="1" applyAlignment="1" applyProtection="1">
      <alignment horizontal="center" vertical="center"/>
      <protection locked="0"/>
    </xf>
    <xf numFmtId="167" fontId="27" fillId="9" borderId="44" xfId="29" applyNumberFormat="1" applyFont="1" applyFill="1" applyBorder="1" applyAlignment="1" applyProtection="1">
      <alignment horizontal="center" vertical="center"/>
      <protection locked="0"/>
    </xf>
    <xf numFmtId="167" fontId="27" fillId="9" borderId="27" xfId="29" applyNumberFormat="1" applyFont="1" applyFill="1" applyBorder="1" applyAlignment="1" applyProtection="1">
      <alignment horizontal="center" vertical="center"/>
      <protection locked="0"/>
    </xf>
    <xf numFmtId="167" fontId="27" fillId="9" borderId="4" xfId="29" applyNumberFormat="1" applyFont="1" applyFill="1" applyBorder="1" applyAlignment="1" applyProtection="1">
      <alignment horizontal="center" vertical="center"/>
      <protection locked="0"/>
    </xf>
    <xf numFmtId="167" fontId="27" fillId="9" borderId="28" xfId="29" applyNumberFormat="1" applyFont="1" applyFill="1" applyBorder="1" applyAlignment="1" applyProtection="1">
      <alignment horizontal="center" vertical="center"/>
      <protection locked="0"/>
    </xf>
    <xf numFmtId="167" fontId="27" fillId="9" borderId="8" xfId="29" applyNumberFormat="1" applyFont="1" applyFill="1" applyBorder="1" applyAlignment="1" applyProtection="1">
      <alignment horizontal="center" vertical="center"/>
      <protection locked="0"/>
    </xf>
    <xf numFmtId="167" fontId="27" fillId="9" borderId="15" xfId="29" applyNumberFormat="1" applyFont="1" applyFill="1" applyBorder="1" applyAlignment="1" applyProtection="1">
      <alignment horizontal="center" vertical="center"/>
      <protection locked="0"/>
    </xf>
    <xf numFmtId="167" fontId="27" fillId="9" borderId="55" xfId="29" applyNumberFormat="1" applyFont="1" applyFill="1" applyBorder="1" applyAlignment="1" applyProtection="1">
      <alignment horizontal="center" vertical="center"/>
      <protection locked="0"/>
    </xf>
    <xf numFmtId="167" fontId="27" fillId="9" borderId="1" xfId="29" applyNumberFormat="1" applyFont="1" applyFill="1" applyBorder="1" applyAlignment="1" applyProtection="1">
      <alignment horizontal="center" vertical="center"/>
      <protection locked="0"/>
    </xf>
    <xf numFmtId="167" fontId="27" fillId="9" borderId="56" xfId="29" applyNumberFormat="1" applyFont="1" applyFill="1" applyBorder="1" applyAlignment="1" applyProtection="1">
      <alignment horizontal="center" vertical="center"/>
      <protection locked="0"/>
    </xf>
    <xf numFmtId="0" fontId="44" fillId="0" borderId="5" xfId="17" applyFont="1" applyBorder="1" applyAlignment="1" applyProtection="1">
      <alignment horizontal="center" vertical="center" wrapText="1"/>
    </xf>
    <xf numFmtId="167" fontId="27" fillId="9" borderId="5" xfId="29" applyNumberFormat="1" applyFont="1" applyFill="1" applyBorder="1" applyAlignment="1" applyProtection="1">
      <alignment vertical="center"/>
      <protection locked="0"/>
    </xf>
    <xf numFmtId="167" fontId="27" fillId="9" borderId="4" xfId="29" applyNumberFormat="1" applyFont="1" applyFill="1" applyBorder="1" applyAlignment="1" applyProtection="1">
      <alignment vertical="center"/>
      <protection locked="0"/>
    </xf>
    <xf numFmtId="1" fontId="48" fillId="0" borderId="27" xfId="29" applyNumberFormat="1" applyFont="1" applyFill="1" applyBorder="1" applyAlignment="1" applyProtection="1">
      <alignment horizontal="center" vertical="center"/>
    </xf>
    <xf numFmtId="1" fontId="48" fillId="0" borderId="4" xfId="29" applyNumberFormat="1" applyFont="1" applyFill="1" applyBorder="1" applyAlignment="1" applyProtection="1">
      <alignment horizontal="center" vertical="center"/>
    </xf>
    <xf numFmtId="1" fontId="27" fillId="9" borderId="4" xfId="29" applyNumberFormat="1" applyFont="1" applyFill="1" applyBorder="1" applyAlignment="1" applyProtection="1">
      <alignment horizontal="center" vertical="center"/>
      <protection locked="0"/>
    </xf>
    <xf numFmtId="1" fontId="48" fillId="0" borderId="28" xfId="29" applyNumberFormat="1" applyFont="1" applyFill="1" applyBorder="1" applyAlignment="1" applyProtection="1">
      <alignment horizontal="center" vertical="center"/>
    </xf>
    <xf numFmtId="0" fontId="48" fillId="0" borderId="0" xfId="15" applyFont="1" applyAlignment="1" applyProtection="1">
      <alignment vertical="center"/>
    </xf>
    <xf numFmtId="0" fontId="44" fillId="0" borderId="4" xfId="15" applyFont="1" applyFill="1" applyBorder="1" applyAlignment="1" applyProtection="1">
      <alignment horizontal="left" vertical="center" wrapText="1"/>
    </xf>
    <xf numFmtId="0" fontId="48" fillId="0" borderId="0" xfId="15" applyFont="1" applyFill="1" applyBorder="1" applyAlignment="1" applyProtection="1">
      <alignment vertical="center"/>
    </xf>
    <xf numFmtId="1" fontId="27" fillId="9" borderId="5" xfId="29" applyNumberFormat="1" applyFont="1" applyFill="1" applyBorder="1" applyAlignment="1" applyProtection="1">
      <alignment horizontal="center" vertical="center"/>
      <protection locked="0"/>
    </xf>
    <xf numFmtId="1" fontId="27" fillId="9" borderId="28" xfId="29" applyNumberFormat="1" applyFont="1" applyFill="1" applyBorder="1" applyAlignment="1" applyProtection="1">
      <alignment horizontal="center" vertical="center"/>
      <protection locked="0"/>
    </xf>
    <xf numFmtId="1" fontId="48" fillId="0" borderId="49" xfId="29" applyNumberFormat="1" applyFont="1" applyFill="1" applyBorder="1" applyAlignment="1" applyProtection="1">
      <alignment horizontal="center" vertical="center"/>
    </xf>
    <xf numFmtId="1" fontId="27" fillId="9" borderId="12" xfId="29" applyNumberFormat="1" applyFont="1" applyFill="1" applyBorder="1" applyAlignment="1" applyProtection="1">
      <alignment horizontal="center" vertical="center"/>
      <protection locked="0"/>
    </xf>
    <xf numFmtId="1" fontId="27" fillId="9" borderId="3" xfId="29" applyNumberFormat="1" applyFont="1" applyFill="1" applyBorder="1" applyAlignment="1" applyProtection="1">
      <alignment horizontal="center" vertical="center"/>
      <protection locked="0"/>
    </xf>
    <xf numFmtId="1" fontId="27" fillId="9" borderId="57" xfId="29" applyNumberFormat="1" applyFont="1" applyFill="1" applyBorder="1" applyAlignment="1" applyProtection="1">
      <alignment horizontal="center" vertical="center"/>
      <protection locked="0"/>
    </xf>
    <xf numFmtId="0" fontId="48" fillId="11" borderId="3" xfId="29" applyFont="1" applyFill="1" applyBorder="1" applyAlignment="1" applyProtection="1">
      <alignment horizontal="center" vertical="center"/>
    </xf>
    <xf numFmtId="1" fontId="27" fillId="9" borderId="49" xfId="29" applyNumberFormat="1" applyFont="1" applyFill="1" applyBorder="1" applyAlignment="1" applyProtection="1">
      <alignment horizontal="center" vertical="center"/>
      <protection locked="0"/>
    </xf>
    <xf numFmtId="0" fontId="27" fillId="11" borderId="3" xfId="29" applyFont="1" applyFill="1" applyBorder="1" applyAlignment="1" applyProtection="1">
      <alignment horizontal="center" vertical="center"/>
    </xf>
    <xf numFmtId="0" fontId="48" fillId="11" borderId="4" xfId="29" applyFont="1" applyFill="1" applyBorder="1" applyAlignment="1" applyProtection="1">
      <alignment horizontal="center" vertical="center"/>
    </xf>
    <xf numFmtId="1" fontId="27" fillId="9" borderId="27" xfId="29" applyNumberFormat="1" applyFont="1" applyFill="1" applyBorder="1" applyAlignment="1" applyProtection="1">
      <alignment horizontal="center" vertical="center"/>
      <protection locked="0"/>
    </xf>
    <xf numFmtId="0" fontId="27" fillId="11" borderId="4" xfId="29" applyFont="1" applyFill="1" applyBorder="1" applyAlignment="1" applyProtection="1">
      <alignment horizontal="center" vertical="center"/>
    </xf>
    <xf numFmtId="167" fontId="48" fillId="0" borderId="49" xfId="29" applyNumberFormat="1" applyFont="1" applyFill="1" applyBorder="1" applyAlignment="1" applyProtection="1">
      <alignment horizontal="center" vertical="center"/>
    </xf>
    <xf numFmtId="167" fontId="27" fillId="9" borderId="12" xfId="29" applyNumberFormat="1" applyFont="1" applyFill="1" applyBorder="1" applyAlignment="1" applyProtection="1">
      <alignment horizontal="center" vertical="center"/>
      <protection locked="0"/>
    </xf>
    <xf numFmtId="0" fontId="27" fillId="11" borderId="28" xfId="29" applyFont="1" applyFill="1" applyBorder="1" applyAlignment="1" applyProtection="1">
      <alignment horizontal="center" vertical="center"/>
    </xf>
    <xf numFmtId="167" fontId="27" fillId="9" borderId="3" xfId="29" applyNumberFormat="1" applyFont="1" applyFill="1" applyBorder="1" applyAlignment="1" applyProtection="1">
      <alignment horizontal="center" vertical="center"/>
      <protection locked="0"/>
    </xf>
    <xf numFmtId="0" fontId="27" fillId="11" borderId="57" xfId="29" applyFont="1" applyFill="1" applyBorder="1" applyAlignment="1" applyProtection="1">
      <alignment horizontal="center" vertical="center"/>
    </xf>
    <xf numFmtId="167" fontId="48" fillId="0" borderId="3" xfId="29" applyNumberFormat="1" applyFont="1" applyFill="1" applyBorder="1" applyAlignment="1" applyProtection="1">
      <alignment horizontal="center" vertical="center"/>
    </xf>
    <xf numFmtId="0" fontId="27" fillId="11" borderId="82" xfId="29" applyFont="1" applyFill="1" applyBorder="1" applyAlignment="1" applyProtection="1">
      <alignment horizontal="center" vertical="center"/>
    </xf>
    <xf numFmtId="167" fontId="48" fillId="0" borderId="27" xfId="29" applyNumberFormat="1" applyFont="1" applyFill="1" applyBorder="1" applyAlignment="1" applyProtection="1">
      <alignment horizontal="center" vertical="center"/>
    </xf>
    <xf numFmtId="167" fontId="48" fillId="0" borderId="4" xfId="29" applyNumberFormat="1" applyFont="1" applyFill="1" applyBorder="1" applyAlignment="1" applyProtection="1">
      <alignment horizontal="center" vertical="center"/>
    </xf>
    <xf numFmtId="167" fontId="48" fillId="0" borderId="29" xfId="29" applyNumberFormat="1" applyFont="1" applyFill="1" applyBorder="1" applyAlignment="1" applyProtection="1">
      <alignment horizontal="center" vertical="center"/>
    </xf>
    <xf numFmtId="167" fontId="48" fillId="0" borderId="30" xfId="29" applyNumberFormat="1" applyFont="1" applyFill="1" applyBorder="1" applyAlignment="1" applyProtection="1">
      <alignment horizontal="center" vertical="center"/>
    </xf>
    <xf numFmtId="0" fontId="27" fillId="11" borderId="31" xfId="29" applyFont="1" applyFill="1" applyBorder="1" applyAlignment="1" applyProtection="1">
      <alignment horizontal="center" vertical="center"/>
    </xf>
    <xf numFmtId="1" fontId="48" fillId="0" borderId="3" xfId="29" applyNumberFormat="1" applyFont="1" applyFill="1" applyBorder="1" applyAlignment="1" applyProtection="1">
      <alignment horizontal="center" vertical="center"/>
    </xf>
    <xf numFmtId="1" fontId="48" fillId="0" borderId="57" xfId="29" applyNumberFormat="1" applyFont="1" applyFill="1" applyBorder="1" applyAlignment="1" applyProtection="1">
      <alignment horizontal="center" vertical="center"/>
    </xf>
    <xf numFmtId="0" fontId="44" fillId="0" borderId="7" xfId="15" applyFont="1" applyBorder="1" applyAlignment="1" applyProtection="1">
      <alignment horizontal="centerContinuous" vertical="center"/>
    </xf>
    <xf numFmtId="0" fontId="44" fillId="0" borderId="16" xfId="15" applyFont="1" applyBorder="1" applyAlignment="1" applyProtection="1">
      <alignment horizontal="centerContinuous" vertical="center"/>
    </xf>
    <xf numFmtId="0" fontId="44" fillId="0" borderId="44" xfId="15" applyFont="1" applyBorder="1" applyAlignment="1" applyProtection="1">
      <alignment horizontal="centerContinuous" vertical="center"/>
    </xf>
    <xf numFmtId="0" fontId="44" fillId="0" borderId="11" xfId="15" applyFont="1" applyBorder="1" applyAlignment="1" applyProtection="1">
      <alignment horizontal="centerContinuous" vertical="center"/>
    </xf>
    <xf numFmtId="0" fontId="44" fillId="0" borderId="18" xfId="15" applyFont="1" applyBorder="1" applyAlignment="1" applyProtection="1">
      <alignment horizontal="centerContinuous" vertical="center"/>
    </xf>
    <xf numFmtId="0" fontId="44" fillId="0" borderId="52" xfId="15" applyFont="1" applyBorder="1" applyAlignment="1" applyProtection="1">
      <alignment horizontal="centerContinuous" vertical="center"/>
    </xf>
    <xf numFmtId="0" fontId="48" fillId="11" borderId="30"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7" fillId="12" borderId="0" xfId="0" applyFont="1" applyFill="1" applyBorder="1" applyAlignment="1" applyProtection="1"/>
    <xf numFmtId="0" fontId="8" fillId="12" borderId="0" xfId="16" applyFont="1" applyFill="1" applyBorder="1" applyAlignment="1" applyProtection="1"/>
    <xf numFmtId="0" fontId="51" fillId="12" borderId="0" xfId="16" applyFont="1" applyFill="1" applyBorder="1" applyAlignment="1" applyProtection="1"/>
    <xf numFmtId="0" fontId="52" fillId="12" borderId="0" xfId="16" applyFont="1" applyFill="1" applyBorder="1" applyAlignment="1" applyProtection="1">
      <alignment horizontal="left"/>
    </xf>
    <xf numFmtId="0" fontId="32" fillId="12" borderId="0" xfId="16" applyFont="1" applyFill="1" applyBorder="1" applyAlignment="1" applyProtection="1">
      <alignment horizontal="left"/>
    </xf>
    <xf numFmtId="0" fontId="52" fillId="12" borderId="21" xfId="16" applyFont="1" applyFill="1" applyBorder="1" applyAlignment="1" applyProtection="1"/>
    <xf numFmtId="0" fontId="5" fillId="12" borderId="21" xfId="16" applyFill="1" applyBorder="1" applyAlignment="1" applyProtection="1"/>
    <xf numFmtId="0" fontId="32" fillId="12" borderId="21" xfId="16" applyFont="1" applyFill="1" applyBorder="1" applyAlignment="1" applyProtection="1">
      <alignment horizontal="left"/>
    </xf>
    <xf numFmtId="0" fontId="44" fillId="0" borderId="0" xfId="16" applyFont="1" applyBorder="1" applyAlignment="1" applyProtection="1">
      <alignment horizontal="centerContinuous" vertical="center"/>
    </xf>
    <xf numFmtId="0" fontId="44" fillId="0" borderId="0" xfId="16" applyFont="1" applyBorder="1" applyAlignment="1" applyProtection="1">
      <alignment horizontal="center" vertical="center" wrapText="1"/>
    </xf>
    <xf numFmtId="0" fontId="44" fillId="0" borderId="0" xfId="16" applyFont="1" applyFill="1" applyBorder="1" applyAlignment="1" applyProtection="1">
      <alignment horizontal="center" vertical="center"/>
    </xf>
    <xf numFmtId="9" fontId="48" fillId="0" borderId="22" xfId="33" applyFont="1" applyBorder="1" applyAlignment="1" applyProtection="1">
      <alignment horizontal="center" vertical="center"/>
    </xf>
    <xf numFmtId="9" fontId="48" fillId="0" borderId="0" xfId="33" applyFont="1" applyFill="1" applyBorder="1" applyAlignment="1" applyProtection="1">
      <alignment horizontal="center" vertical="center"/>
    </xf>
    <xf numFmtId="164" fontId="48" fillId="0" borderId="0" xfId="33" applyNumberFormat="1" applyFont="1" applyFill="1" applyBorder="1" applyAlignment="1" applyProtection="1">
      <alignment horizontal="center" vertical="center"/>
    </xf>
    <xf numFmtId="164" fontId="44" fillId="0" borderId="0" xfId="16" applyNumberFormat="1" applyFont="1" applyFill="1" applyBorder="1" applyAlignment="1" applyProtection="1">
      <alignment horizontal="center" vertical="center"/>
    </xf>
    <xf numFmtId="0" fontId="5" fillId="0" borderId="0" xfId="16" applyFill="1" applyProtection="1"/>
    <xf numFmtId="0" fontId="48" fillId="0" borderId="0" xfId="16" applyFont="1" applyProtection="1"/>
    <xf numFmtId="0" fontId="44" fillId="0" borderId="47" xfId="16" applyFont="1" applyBorder="1" applyAlignment="1" applyProtection="1">
      <alignment horizontal="centerContinuous" vertical="center"/>
    </xf>
    <xf numFmtId="0" fontId="44" fillId="0" borderId="67" xfId="16" applyFont="1" applyBorder="1" applyAlignment="1" applyProtection="1">
      <alignment horizontal="centerContinuous" vertical="center" wrapText="1"/>
    </xf>
    <xf numFmtId="0" fontId="44" fillId="0" borderId="82" xfId="16" applyFont="1" applyBorder="1" applyAlignment="1" applyProtection="1">
      <alignment horizontal="centerContinuous" vertical="center" wrapText="1"/>
    </xf>
    <xf numFmtId="0" fontId="44" fillId="0" borderId="27" xfId="30" applyFont="1" applyFill="1" applyBorder="1" applyAlignment="1" applyProtection="1">
      <alignment horizontal="center"/>
    </xf>
    <xf numFmtId="0" fontId="44" fillId="0" borderId="4" xfId="28" applyFont="1" applyFill="1" applyBorder="1" applyAlignment="1" applyProtection="1">
      <alignment horizontal="center"/>
    </xf>
    <xf numFmtId="0" fontId="44" fillId="0" borderId="28" xfId="28" applyFont="1" applyBorder="1" applyAlignment="1" applyProtection="1">
      <alignment horizontal="center"/>
    </xf>
    <xf numFmtId="0" fontId="44" fillId="0" borderId="27" xfId="28" applyFont="1" applyBorder="1" applyAlignment="1" applyProtection="1">
      <alignment horizontal="center" vertical="center"/>
    </xf>
    <xf numFmtId="0" fontId="44" fillId="0" borderId="28" xfId="28" applyFont="1" applyBorder="1" applyAlignment="1" applyProtection="1">
      <alignment horizontal="center" vertical="center"/>
    </xf>
    <xf numFmtId="0" fontId="48" fillId="3" borderId="63" xfId="28" applyFont="1" applyFill="1" applyBorder="1" applyAlignment="1" applyProtection="1">
      <alignment horizontal="left" vertical="center"/>
    </xf>
    <xf numFmtId="0" fontId="48" fillId="0" borderId="38" xfId="28" applyFont="1" applyFill="1" applyBorder="1" applyAlignment="1" applyProtection="1">
      <alignment horizontal="left" vertical="center"/>
    </xf>
    <xf numFmtId="167" fontId="48" fillId="10" borderId="28" xfId="28" applyNumberFormat="1" applyFont="1" applyFill="1" applyBorder="1" applyAlignment="1" applyProtection="1">
      <alignment horizontal="center" vertical="center"/>
    </xf>
    <xf numFmtId="0" fontId="48" fillId="0" borderId="64" xfId="28" applyFont="1" applyFill="1" applyBorder="1" applyAlignment="1" applyProtection="1">
      <alignment horizontal="left" vertical="center"/>
    </xf>
    <xf numFmtId="10" fontId="48" fillId="0" borderId="29" xfId="28" applyNumberFormat="1" applyFont="1" applyFill="1" applyBorder="1" applyAlignment="1" applyProtection="1">
      <alignment horizontal="center" vertical="center"/>
    </xf>
    <xf numFmtId="10" fontId="48" fillId="0" borderId="30" xfId="28" applyNumberFormat="1" applyFont="1" applyFill="1" applyBorder="1" applyAlignment="1" applyProtection="1">
      <alignment horizontal="center" vertical="center"/>
    </xf>
    <xf numFmtId="10" fontId="48" fillId="0" borderId="31" xfId="28" applyNumberFormat="1" applyFont="1" applyFill="1" applyBorder="1" applyAlignment="1" applyProtection="1">
      <alignment horizontal="center" vertical="center"/>
    </xf>
    <xf numFmtId="1" fontId="48" fillId="10" borderId="29" xfId="28" applyNumberFormat="1" applyFont="1" applyFill="1" applyBorder="1" applyAlignment="1" applyProtection="1">
      <alignment horizontal="center" vertical="center"/>
    </xf>
    <xf numFmtId="1" fontId="48" fillId="10" borderId="31" xfId="28" applyNumberFormat="1" applyFont="1" applyFill="1" applyBorder="1" applyAlignment="1" applyProtection="1">
      <alignment horizontal="center" vertical="center"/>
    </xf>
    <xf numFmtId="164" fontId="48" fillId="0" borderId="27" xfId="35" applyNumberFormat="1" applyFont="1" applyFill="1" applyBorder="1" applyAlignment="1" applyProtection="1">
      <alignment horizontal="center" vertical="center"/>
    </xf>
    <xf numFmtId="164" fontId="48" fillId="0" borderId="4" xfId="35" applyNumberFormat="1" applyFont="1" applyFill="1" applyBorder="1" applyAlignment="1" applyProtection="1">
      <alignment horizontal="center" vertical="center"/>
    </xf>
    <xf numFmtId="164" fontId="48" fillId="0" borderId="28" xfId="35" applyNumberFormat="1" applyFont="1" applyFill="1" applyBorder="1" applyAlignment="1" applyProtection="1">
      <alignment horizontal="center" vertical="center"/>
    </xf>
    <xf numFmtId="9" fontId="48" fillId="10" borderId="27" xfId="33" applyFont="1" applyFill="1" applyBorder="1" applyAlignment="1" applyProtection="1">
      <alignment horizontal="center" vertical="center"/>
    </xf>
    <xf numFmtId="9" fontId="48" fillId="10" borderId="28" xfId="33" applyFont="1" applyFill="1" applyBorder="1" applyAlignment="1" applyProtection="1">
      <alignment horizontal="center" vertical="center"/>
    </xf>
    <xf numFmtId="167" fontId="48" fillId="10" borderId="31" xfId="28" applyNumberFormat="1" applyFont="1" applyFill="1" applyBorder="1" applyAlignment="1" applyProtection="1">
      <alignment horizontal="center" vertical="center"/>
    </xf>
    <xf numFmtId="0" fontId="44" fillId="0" borderId="61" xfId="16" applyFont="1" applyBorder="1" applyAlignment="1" applyProtection="1">
      <alignment horizontal="center" vertical="center" wrapText="1"/>
    </xf>
    <xf numFmtId="0" fontId="44" fillId="0" borderId="67" xfId="16" applyFont="1" applyBorder="1" applyAlignment="1" applyProtection="1">
      <alignment horizontal="center" vertical="center" wrapText="1"/>
    </xf>
    <xf numFmtId="0" fontId="44" fillId="0" borderId="81" xfId="16" applyFont="1" applyBorder="1" applyAlignment="1" applyProtection="1">
      <alignment horizontal="center" vertical="center" wrapText="1"/>
    </xf>
    <xf numFmtId="0" fontId="44" fillId="0" borderId="82" xfId="16" applyFont="1" applyBorder="1" applyAlignment="1" applyProtection="1">
      <alignment horizontal="center" vertical="center" wrapText="1"/>
    </xf>
    <xf numFmtId="0" fontId="44" fillId="0" borderId="63" xfId="16" applyFont="1" applyFill="1" applyBorder="1" applyAlignment="1" applyProtection="1">
      <alignment horizontal="center" vertical="center" wrapText="1"/>
    </xf>
    <xf numFmtId="0" fontId="44" fillId="0" borderId="4" xfId="16" applyNumberFormat="1" applyFont="1" applyFill="1" applyBorder="1" applyAlignment="1" applyProtection="1">
      <alignment horizontal="center" vertical="center" wrapText="1"/>
    </xf>
    <xf numFmtId="0" fontId="44" fillId="0" borderId="55" xfId="16" applyFont="1" applyFill="1" applyBorder="1" applyAlignment="1" applyProtection="1">
      <alignment horizontal="center" vertical="center" wrapText="1"/>
    </xf>
    <xf numFmtId="0" fontId="44" fillId="0" borderId="1" xfId="16" applyFont="1" applyFill="1" applyBorder="1" applyAlignment="1" applyProtection="1">
      <alignment horizontal="center" vertical="center" wrapText="1"/>
    </xf>
    <xf numFmtId="0" fontId="44" fillId="0" borderId="6" xfId="16" applyFont="1" applyFill="1" applyBorder="1" applyAlignment="1" applyProtection="1">
      <alignment horizontal="center" vertical="center" wrapText="1"/>
    </xf>
    <xf numFmtId="0" fontId="44" fillId="0" borderId="7" xfId="16" applyFont="1" applyFill="1" applyBorder="1" applyAlignment="1" applyProtection="1">
      <alignment horizontal="center" vertical="center"/>
    </xf>
    <xf numFmtId="0" fontId="15" fillId="0" borderId="1" xfId="28" applyFont="1" applyFill="1" applyBorder="1" applyAlignment="1" applyProtection="1">
      <alignment horizontal="center" vertical="center"/>
    </xf>
    <xf numFmtId="0" fontId="44" fillId="0" borderId="38" xfId="16" applyFont="1" applyFill="1" applyBorder="1" applyAlignment="1" applyProtection="1">
      <alignment horizontal="center" vertical="center"/>
    </xf>
    <xf numFmtId="0" fontId="44" fillId="0" borderId="38" xfId="16" applyFont="1" applyFill="1" applyBorder="1" applyAlignment="1" applyProtection="1">
      <alignment horizontal="center" vertical="center" wrapText="1"/>
    </xf>
    <xf numFmtId="0" fontId="5" fillId="0" borderId="53" xfId="16" applyBorder="1" applyProtection="1">
      <protection locked="0"/>
    </xf>
    <xf numFmtId="166" fontId="27" fillId="9" borderId="67" xfId="16" applyNumberFormat="1" applyFont="1" applyFill="1" applyBorder="1" applyAlignment="1" applyProtection="1">
      <alignment horizontal="center" vertical="center"/>
      <protection locked="0"/>
    </xf>
    <xf numFmtId="166" fontId="27" fillId="9" borderId="81" xfId="16" applyNumberFormat="1" applyFont="1" applyFill="1" applyBorder="1" applyAlignment="1" applyProtection="1">
      <alignment horizontal="center" vertical="center"/>
      <protection locked="0"/>
    </xf>
    <xf numFmtId="166" fontId="27" fillId="9" borderId="82" xfId="16" applyNumberFormat="1" applyFont="1" applyFill="1" applyBorder="1" applyAlignment="1" applyProtection="1">
      <alignment horizontal="center" vertical="center"/>
      <protection locked="0"/>
    </xf>
    <xf numFmtId="166" fontId="27" fillId="9" borderId="16" xfId="16" applyNumberFormat="1" applyFont="1" applyFill="1" applyBorder="1" applyAlignment="1" applyProtection="1">
      <alignment horizontal="center" vertical="center"/>
      <protection locked="0"/>
    </xf>
    <xf numFmtId="166" fontId="27"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7" fillId="9" borderId="29" xfId="16" applyNumberFormat="1" applyFont="1" applyFill="1" applyBorder="1" applyAlignment="1" applyProtection="1">
      <alignment horizontal="center" vertical="center"/>
      <protection locked="0"/>
    </xf>
    <xf numFmtId="166" fontId="27" fillId="9" borderId="30" xfId="16" applyNumberFormat="1" applyFont="1" applyFill="1" applyBorder="1" applyAlignment="1" applyProtection="1">
      <alignment horizontal="center" vertical="center"/>
      <protection locked="0"/>
    </xf>
    <xf numFmtId="166" fontId="27" fillId="9" borderId="31" xfId="16" applyNumberFormat="1" applyFont="1" applyFill="1" applyBorder="1" applyAlignment="1" applyProtection="1">
      <alignment horizontal="center" vertical="center"/>
      <protection locked="0"/>
    </xf>
    <xf numFmtId="0" fontId="5" fillId="10" borderId="59" xfId="16" applyFill="1" applyBorder="1" applyAlignment="1" applyProtection="1">
      <alignment horizontal="center" vertical="center"/>
      <protection locked="0"/>
    </xf>
    <xf numFmtId="1" fontId="5" fillId="10" borderId="30" xfId="16" applyNumberFormat="1" applyFill="1" applyBorder="1" applyAlignment="1" applyProtection="1">
      <alignment horizontal="center" vertical="center"/>
      <protection locked="0"/>
    </xf>
    <xf numFmtId="167" fontId="5" fillId="10" borderId="31" xfId="16" applyNumberFormat="1" applyFill="1" applyBorder="1" applyAlignment="1" applyProtection="1">
      <alignment horizontal="center" vertical="center"/>
      <protection locked="0"/>
    </xf>
    <xf numFmtId="2" fontId="5" fillId="10" borderId="45" xfId="16" applyNumberFormat="1" applyFill="1" applyBorder="1" applyAlignment="1" applyProtection="1">
      <alignment horizontal="center" vertical="center"/>
      <protection locked="0"/>
    </xf>
    <xf numFmtId="10" fontId="0" fillId="0" borderId="0" xfId="33" applyNumberFormat="1" applyFont="1"/>
    <xf numFmtId="9" fontId="16" fillId="0" borderId="0" xfId="0" applyNumberFormat="1" applyFont="1" applyFill="1" applyBorder="1" applyAlignment="1"/>
    <xf numFmtId="9" fontId="0" fillId="9" borderId="2" xfId="0" applyNumberFormat="1" applyFill="1" applyBorder="1" applyAlignment="1"/>
    <xf numFmtId="2" fontId="0" fillId="0" borderId="0" xfId="0" applyNumberFormat="1"/>
    <xf numFmtId="167" fontId="58" fillId="0" borderId="49" xfId="28" applyNumberFormat="1" applyFont="1" applyFill="1" applyBorder="1" applyAlignment="1" applyProtection="1">
      <alignment horizontal="center" vertical="center"/>
    </xf>
    <xf numFmtId="167" fontId="58" fillId="0" borderId="3" xfId="28" applyNumberFormat="1" applyFont="1" applyFill="1" applyBorder="1" applyAlignment="1" applyProtection="1">
      <alignment horizontal="center" vertical="center"/>
    </xf>
    <xf numFmtId="167" fontId="58" fillId="0" borderId="57" xfId="28" applyNumberFormat="1" applyFont="1" applyFill="1" applyBorder="1" applyAlignment="1" applyProtection="1">
      <alignment horizontal="center" vertical="center"/>
    </xf>
    <xf numFmtId="167" fontId="58" fillId="0" borderId="27" xfId="28" applyNumberFormat="1" applyFont="1" applyFill="1" applyBorder="1" applyAlignment="1" applyProtection="1">
      <alignment horizontal="center" vertical="center"/>
    </xf>
    <xf numFmtId="167" fontId="58" fillId="0" borderId="4" xfId="28" applyNumberFormat="1" applyFont="1" applyFill="1" applyBorder="1" applyAlignment="1" applyProtection="1">
      <alignment horizontal="center" vertical="center"/>
    </xf>
    <xf numFmtId="167" fontId="58" fillId="0" borderId="28" xfId="28" applyNumberFormat="1" applyFont="1" applyFill="1" applyBorder="1" applyAlignment="1" applyProtection="1">
      <alignment horizontal="center" vertical="center"/>
    </xf>
    <xf numFmtId="167" fontId="19" fillId="9" borderId="12" xfId="28" applyNumberFormat="1" applyFont="1" applyFill="1" applyBorder="1" applyAlignment="1" applyProtection="1">
      <alignment horizontal="center" vertical="center"/>
      <protection locked="0"/>
    </xf>
    <xf numFmtId="167" fontId="19" fillId="9" borderId="52" xfId="28" applyNumberFormat="1" applyFont="1" applyFill="1" applyBorder="1" applyAlignment="1" applyProtection="1">
      <alignment horizontal="center" vertical="center"/>
      <protection locked="0"/>
    </xf>
    <xf numFmtId="167" fontId="19" fillId="9" borderId="49" xfId="28" applyNumberFormat="1" applyFont="1" applyFill="1" applyBorder="1" applyAlignment="1" applyProtection="1">
      <alignment horizontal="center" vertical="center"/>
      <protection locked="0"/>
    </xf>
    <xf numFmtId="167" fontId="19" fillId="9" borderId="3" xfId="28" applyNumberFormat="1" applyFont="1" applyFill="1" applyBorder="1" applyAlignment="1" applyProtection="1">
      <alignment horizontal="center" vertical="center"/>
      <protection locked="0"/>
    </xf>
    <xf numFmtId="167" fontId="19" fillId="9" borderId="57" xfId="28" applyNumberFormat="1" applyFont="1" applyFill="1" applyBorder="1" applyAlignment="1" applyProtection="1">
      <alignment horizontal="center" vertical="center"/>
      <protection locked="0"/>
    </xf>
    <xf numFmtId="167" fontId="19" fillId="9" borderId="5" xfId="28" applyNumberFormat="1" applyFont="1" applyFill="1" applyBorder="1" applyAlignment="1" applyProtection="1">
      <alignment horizontal="center" vertical="center"/>
      <protection locked="0"/>
    </xf>
    <xf numFmtId="167" fontId="19" fillId="9" borderId="44" xfId="28" applyNumberFormat="1" applyFont="1" applyFill="1" applyBorder="1" applyAlignment="1" applyProtection="1">
      <alignment horizontal="center" vertical="center"/>
      <protection locked="0"/>
    </xf>
    <xf numFmtId="167" fontId="19" fillId="9" borderId="27" xfId="28" applyNumberFormat="1" applyFont="1" applyFill="1" applyBorder="1" applyAlignment="1" applyProtection="1">
      <alignment horizontal="center" vertical="center"/>
      <protection locked="0"/>
    </xf>
    <xf numFmtId="167" fontId="19" fillId="9" borderId="4" xfId="28" applyNumberFormat="1" applyFont="1" applyFill="1" applyBorder="1" applyAlignment="1" applyProtection="1">
      <alignment horizontal="center" vertical="center"/>
      <protection locked="0"/>
    </xf>
    <xf numFmtId="167" fontId="19"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9" fillId="9" borderId="8" xfId="28" applyNumberFormat="1" applyFont="1" applyFill="1" applyBorder="1" applyAlignment="1" applyProtection="1">
      <alignment horizontal="center" vertical="center"/>
      <protection locked="0"/>
    </xf>
    <xf numFmtId="167" fontId="19" fillId="9" borderId="1" xfId="28" applyNumberFormat="1" applyFont="1" applyFill="1" applyBorder="1" applyAlignment="1" applyProtection="1">
      <alignment horizontal="center" vertical="center"/>
      <protection locked="0"/>
    </xf>
    <xf numFmtId="167" fontId="19" fillId="9" borderId="56" xfId="28" applyNumberFormat="1" applyFont="1" applyFill="1" applyBorder="1" applyAlignment="1" applyProtection="1">
      <alignment horizontal="center" vertical="center"/>
      <protection locked="0"/>
    </xf>
    <xf numFmtId="167" fontId="19"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4" fontId="1" fillId="10" borderId="28" xfId="39" applyNumberFormat="1" applyFont="1" applyFill="1" applyBorder="1" applyAlignment="1" applyProtection="1">
      <alignment horizontal="center" vertical="center"/>
    </xf>
    <xf numFmtId="164" fontId="4" fillId="10" borderId="31" xfId="39"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7"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49" xfId="7" applyFont="1" applyFill="1" applyBorder="1" applyAlignment="1" applyProtection="1">
      <alignment horizontal="center" vertical="center"/>
    </xf>
    <xf numFmtId="43" fontId="1" fillId="0" borderId="12" xfId="7" applyFont="1" applyFill="1" applyBorder="1" applyAlignment="1" applyProtection="1">
      <alignment horizontal="center" vertical="center"/>
    </xf>
    <xf numFmtId="43" fontId="1" fillId="0" borderId="57" xfId="7" applyFont="1" applyFill="1" applyBorder="1" applyAlignment="1" applyProtection="1">
      <alignment horizontal="center" vertical="center"/>
    </xf>
    <xf numFmtId="43" fontId="1" fillId="0" borderId="3" xfId="7" applyFont="1" applyFill="1" applyBorder="1" applyAlignment="1" applyProtection="1">
      <alignment horizontal="center" vertical="center"/>
    </xf>
    <xf numFmtId="43" fontId="1" fillId="0" borderId="0" xfId="7" applyFont="1" applyProtection="1"/>
    <xf numFmtId="43" fontId="1" fillId="10" borderId="27" xfId="7" applyFont="1" applyFill="1" applyBorder="1" applyAlignment="1" applyProtection="1">
      <alignment horizontal="center" vertical="center"/>
    </xf>
    <xf numFmtId="43" fontId="1" fillId="10" borderId="4" xfId="7" applyFont="1" applyFill="1" applyBorder="1" applyAlignment="1" applyProtection="1">
      <alignment horizontal="center" vertical="center"/>
    </xf>
    <xf numFmtId="43" fontId="1" fillId="10" borderId="28" xfId="7" applyFont="1" applyFill="1" applyBorder="1" applyAlignment="1" applyProtection="1">
      <alignment horizontal="center" vertical="center"/>
    </xf>
    <xf numFmtId="43" fontId="0" fillId="0" borderId="0" xfId="7" applyFont="1" applyProtection="1"/>
    <xf numFmtId="43" fontId="1" fillId="0" borderId="27" xfId="7" applyFont="1" applyFill="1" applyBorder="1" applyAlignment="1" applyProtection="1">
      <alignment horizontal="center" vertical="center"/>
    </xf>
    <xf numFmtId="43" fontId="1" fillId="0" borderId="5" xfId="7" applyFont="1" applyFill="1" applyBorder="1" applyAlignment="1" applyProtection="1">
      <alignment horizontal="center" vertical="center"/>
    </xf>
    <xf numFmtId="43" fontId="1" fillId="0" borderId="28" xfId="7" applyFont="1" applyFill="1" applyBorder="1" applyAlignment="1" applyProtection="1">
      <alignment horizontal="center" vertical="center"/>
    </xf>
    <xf numFmtId="43" fontId="1" fillId="0" borderId="4" xfId="7" applyFont="1" applyFill="1" applyBorder="1" applyAlignment="1" applyProtection="1">
      <alignment horizontal="center" vertical="center"/>
    </xf>
    <xf numFmtId="43" fontId="4" fillId="10" borderId="27" xfId="7" applyFont="1" applyFill="1" applyBorder="1" applyAlignment="1" applyProtection="1">
      <alignment horizontal="center" vertical="center"/>
    </xf>
    <xf numFmtId="43" fontId="4" fillId="10" borderId="4" xfId="7" applyFont="1" applyFill="1" applyBorder="1" applyAlignment="1" applyProtection="1">
      <alignment horizontal="center" vertical="center"/>
    </xf>
    <xf numFmtId="43" fontId="4" fillId="10" borderId="28" xfId="7" applyFont="1" applyFill="1" applyBorder="1" applyAlignment="1" applyProtection="1">
      <alignment horizontal="center" vertical="center"/>
    </xf>
    <xf numFmtId="43" fontId="4" fillId="10" borderId="5" xfId="7" applyFont="1" applyFill="1" applyBorder="1" applyAlignment="1" applyProtection="1">
      <alignment horizontal="center" vertical="center"/>
    </xf>
    <xf numFmtId="43" fontId="4" fillId="10" borderId="29" xfId="7" applyFont="1" applyFill="1" applyBorder="1" applyAlignment="1" applyProtection="1">
      <alignment horizontal="center" vertical="center"/>
    </xf>
    <xf numFmtId="43" fontId="4" fillId="10" borderId="30" xfId="7" applyFont="1" applyFill="1" applyBorder="1" applyAlignment="1" applyProtection="1">
      <alignment horizontal="center" vertical="center"/>
    </xf>
    <xf numFmtId="43" fontId="4" fillId="10" borderId="31" xfId="7" applyFont="1" applyFill="1" applyBorder="1" applyAlignment="1" applyProtection="1">
      <alignment horizontal="center" vertical="center"/>
    </xf>
    <xf numFmtId="43" fontId="4" fillId="10" borderId="45" xfId="7" applyFont="1" applyFill="1" applyBorder="1" applyAlignment="1" applyProtection="1">
      <alignment horizontal="center" vertical="center"/>
    </xf>
    <xf numFmtId="43" fontId="1" fillId="10" borderId="29" xfId="7" applyFont="1" applyFill="1" applyBorder="1" applyAlignment="1" applyProtection="1">
      <alignment horizontal="center" vertical="center"/>
    </xf>
    <xf numFmtId="43" fontId="1" fillId="10" borderId="30" xfId="7" applyFont="1" applyFill="1" applyBorder="1" applyAlignment="1" applyProtection="1">
      <alignment horizontal="center" vertical="center"/>
    </xf>
    <xf numFmtId="43" fontId="1" fillId="10" borderId="31" xfId="7" applyFont="1" applyFill="1" applyBorder="1" applyAlignment="1" applyProtection="1">
      <alignment horizontal="center" vertical="center"/>
    </xf>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9" borderId="27" xfId="7" applyFont="1" applyFill="1" applyBorder="1" applyAlignment="1" applyProtection="1">
      <alignment horizontal="center" vertical="center"/>
      <protection locked="0"/>
    </xf>
    <xf numFmtId="43" fontId="27" fillId="9" borderId="27" xfId="7" applyFont="1" applyFill="1" applyBorder="1" applyAlignment="1" applyProtection="1">
      <alignment horizontal="center" vertical="center"/>
      <protection locked="0"/>
    </xf>
    <xf numFmtId="43" fontId="27" fillId="9" borderId="5" xfId="7" applyFont="1" applyFill="1" applyBorder="1" applyAlignment="1" applyProtection="1">
      <alignment horizontal="center" vertical="center"/>
      <protection locked="0"/>
    </xf>
    <xf numFmtId="43" fontId="27" fillId="9" borderId="28" xfId="7" applyFont="1" applyFill="1" applyBorder="1" applyAlignment="1" applyProtection="1">
      <alignment horizontal="center" vertical="center"/>
      <protection locked="0"/>
    </xf>
    <xf numFmtId="43" fontId="27" fillId="9" borderId="4" xfId="7" applyFont="1" applyFill="1" applyBorder="1" applyAlignment="1" applyProtection="1">
      <alignment horizontal="center" vertical="center"/>
      <protection locked="0"/>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17"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1" fillId="0" borderId="51" xfId="7" applyFont="1" applyBorder="1" applyProtection="1"/>
    <xf numFmtId="43" fontId="1" fillId="0" borderId="18" xfId="7" applyFont="1" applyBorder="1" applyProtection="1"/>
    <xf numFmtId="43" fontId="1" fillId="0" borderId="52" xfId="7" applyFont="1" applyBorder="1" applyProtection="1"/>
    <xf numFmtId="43" fontId="21"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27" fillId="9" borderId="55" xfId="7" applyFont="1" applyFill="1" applyBorder="1" applyAlignment="1" applyProtection="1">
      <alignment horizontal="center" vertical="center"/>
      <protection locked="0"/>
    </xf>
    <xf numFmtId="43" fontId="27" fillId="9" borderId="8" xfId="7" applyFont="1" applyFill="1" applyBorder="1" applyAlignment="1" applyProtection="1">
      <alignment horizontal="center" vertical="center"/>
      <protection locked="0"/>
    </xf>
    <xf numFmtId="43" fontId="27" fillId="9" borderId="56" xfId="7" applyFont="1" applyFill="1" applyBorder="1" applyAlignment="1" applyProtection="1">
      <alignment horizontal="center" vertical="center"/>
      <protection locked="0"/>
    </xf>
    <xf numFmtId="43" fontId="27" fillId="9" borderId="1" xfId="7" applyFont="1" applyFill="1" applyBorder="1" applyAlignment="1" applyProtection="1">
      <alignment horizontal="center" vertical="center"/>
      <protection locked="0"/>
    </xf>
    <xf numFmtId="43" fontId="21"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1" fillId="10" borderId="5" xfId="7" applyFont="1" applyFill="1" applyBorder="1" applyAlignment="1" applyProtection="1">
      <alignment horizontal="center" vertical="center"/>
    </xf>
    <xf numFmtId="43" fontId="1" fillId="0" borderId="43" xfId="7" applyFont="1" applyBorder="1" applyAlignment="1" applyProtection="1">
      <alignment horizontal="center" vertical="center"/>
    </xf>
    <xf numFmtId="43" fontId="1" fillId="0" borderId="16" xfId="7" applyFont="1" applyBorder="1" applyAlignment="1" applyProtection="1">
      <alignment horizontal="center" vertical="center"/>
    </xf>
    <xf numFmtId="43" fontId="1" fillId="0" borderId="44" xfId="7" applyFont="1" applyBorder="1" applyAlignment="1" applyProtection="1">
      <alignment horizontal="center" vertical="center"/>
    </xf>
    <xf numFmtId="43" fontId="1" fillId="0" borderId="43" xfId="7" applyFont="1" applyFill="1" applyBorder="1" applyAlignment="1" applyProtection="1">
      <alignment horizontal="center" vertical="center"/>
    </xf>
    <xf numFmtId="43" fontId="27" fillId="11" borderId="27" xfId="7" applyFont="1" applyFill="1" applyBorder="1" applyAlignment="1" applyProtection="1">
      <alignment horizontal="center" vertical="center"/>
    </xf>
    <xf numFmtId="43" fontId="27" fillId="11" borderId="5" xfId="7" applyFont="1" applyFill="1" applyBorder="1" applyAlignment="1" applyProtection="1">
      <alignment horizontal="center" vertical="center"/>
    </xf>
    <xf numFmtId="43" fontId="27" fillId="11" borderId="29" xfId="7" applyFont="1" applyFill="1" applyBorder="1" applyAlignment="1" applyProtection="1">
      <alignment horizontal="center" vertical="center"/>
    </xf>
    <xf numFmtId="43" fontId="27" fillId="11" borderId="45" xfId="7" applyFont="1" applyFill="1" applyBorder="1" applyAlignment="1" applyProtection="1">
      <alignment horizontal="center" vertical="center"/>
    </xf>
    <xf numFmtId="43" fontId="27" fillId="9" borderId="45" xfId="7" applyFont="1" applyFill="1" applyBorder="1" applyAlignment="1" applyProtection="1">
      <alignment horizontal="center" vertical="center"/>
      <protection locked="0"/>
    </xf>
    <xf numFmtId="43" fontId="27" fillId="9" borderId="31" xfId="7" applyFont="1" applyFill="1" applyBorder="1" applyAlignment="1" applyProtection="1">
      <alignment horizontal="center" vertical="center"/>
      <protection locked="0"/>
    </xf>
    <xf numFmtId="43" fontId="27" fillId="9" borderId="30" xfId="7" applyFont="1" applyFill="1" applyBorder="1" applyAlignment="1" applyProtection="1">
      <alignment horizontal="center" vertical="center"/>
      <protection locked="0"/>
    </xf>
    <xf numFmtId="43" fontId="1" fillId="10" borderId="49" xfId="7" applyFont="1" applyFill="1" applyBorder="1" applyAlignment="1" applyProtection="1">
      <alignment horizontal="center" vertical="center"/>
    </xf>
    <xf numFmtId="43" fontId="1" fillId="10" borderId="3" xfId="7" applyFont="1" applyFill="1" applyBorder="1" applyAlignment="1" applyProtection="1">
      <alignment horizontal="center" vertical="center"/>
    </xf>
    <xf numFmtId="43" fontId="1" fillId="10" borderId="57" xfId="7" applyFont="1" applyFill="1" applyBorder="1" applyAlignment="1" applyProtection="1">
      <alignment horizontal="center" vertical="center"/>
    </xf>
    <xf numFmtId="43" fontId="1" fillId="0" borderId="29" xfId="7" applyFont="1" applyFill="1" applyBorder="1" applyAlignment="1" applyProtection="1">
      <alignment horizontal="center" vertical="center"/>
    </xf>
    <xf numFmtId="43" fontId="1" fillId="0" borderId="45" xfId="7" applyFont="1" applyFill="1" applyBorder="1" applyAlignment="1" applyProtection="1">
      <alignment horizontal="center" vertical="center"/>
    </xf>
    <xf numFmtId="43" fontId="1" fillId="0" borderId="31" xfId="7" applyFont="1" applyFill="1" applyBorder="1" applyAlignment="1" applyProtection="1">
      <alignment horizontal="center" vertical="center"/>
    </xf>
    <xf numFmtId="43" fontId="1" fillId="0" borderId="30" xfId="7" applyFont="1" applyFill="1" applyBorder="1" applyAlignment="1" applyProtection="1">
      <alignment horizontal="center" vertical="center"/>
    </xf>
    <xf numFmtId="43" fontId="0" fillId="0" borderId="2" xfId="7" applyFont="1" applyBorder="1"/>
    <xf numFmtId="43" fontId="0" fillId="0" borderId="3" xfId="7" applyFont="1" applyBorder="1"/>
    <xf numFmtId="0" fontId="16"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21" fillId="0" borderId="0" xfId="0" applyFont="1" applyBorder="1" applyAlignment="1">
      <alignment vertical="center" wrapText="1"/>
    </xf>
    <xf numFmtId="0" fontId="13"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22"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5"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8"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5" fillId="0" borderId="6" xfId="32" applyNumberFormat="1" applyFont="1" applyBorder="1" applyAlignment="1">
      <alignment horizontal="center" vertical="center" wrapText="1"/>
    </xf>
    <xf numFmtId="167" fontId="15" fillId="0" borderId="15" xfId="32" applyNumberFormat="1" applyFont="1" applyBorder="1" applyAlignment="1" applyProtection="1">
      <alignment horizontal="center" vertical="center" wrapText="1"/>
    </xf>
    <xf numFmtId="170" fontId="0" fillId="20" borderId="0" xfId="0" applyNumberFormat="1" applyFill="1" applyProtection="1">
      <protection locked="0"/>
    </xf>
    <xf numFmtId="170" fontId="0" fillId="20" borderId="0" xfId="0" applyNumberFormat="1" applyFill="1"/>
    <xf numFmtId="172" fontId="0" fillId="20"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20" borderId="1" xfId="33" applyFont="1" applyFill="1" applyBorder="1"/>
    <xf numFmtId="9" fontId="1" fillId="20" borderId="2" xfId="33" applyFont="1" applyFill="1" applyBorder="1"/>
    <xf numFmtId="9" fontId="1" fillId="20" borderId="3" xfId="33" applyFont="1" applyFill="1" applyBorder="1"/>
    <xf numFmtId="0" fontId="0" fillId="19" borderId="0" xfId="0" applyFill="1"/>
    <xf numFmtId="167" fontId="0" fillId="19" borderId="0" xfId="0" applyNumberFormat="1" applyFill="1"/>
    <xf numFmtId="167" fontId="0" fillId="19" borderId="0" xfId="0" applyNumberFormat="1" applyFill="1" applyAlignment="1">
      <alignment horizontal="right"/>
    </xf>
    <xf numFmtId="0" fontId="4" fillId="19" borderId="0" xfId="0" applyFont="1" applyFill="1"/>
    <xf numFmtId="167" fontId="4" fillId="19" borderId="0" xfId="0" applyNumberFormat="1" applyFont="1" applyFill="1"/>
    <xf numFmtId="166" fontId="0" fillId="19" borderId="0" xfId="0" applyNumberFormat="1" applyFill="1"/>
    <xf numFmtId="0" fontId="1" fillId="0" borderId="0" xfId="0" applyFont="1" applyAlignment="1">
      <alignment vertical="center"/>
    </xf>
    <xf numFmtId="0" fontId="4" fillId="0" borderId="0" xfId="0" applyFont="1" applyAlignment="1">
      <alignment vertical="center"/>
    </xf>
    <xf numFmtId="0" fontId="60" fillId="0" borderId="0" xfId="0" quotePrefix="1" applyFont="1"/>
    <xf numFmtId="0" fontId="0" fillId="18" borderId="9" xfId="0" applyFill="1" applyBorder="1" applyAlignment="1"/>
    <xf numFmtId="0" fontId="0" fillId="18" borderId="0" xfId="0" applyFill="1" applyBorder="1" applyAlignment="1"/>
    <xf numFmtId="173" fontId="0" fillId="18" borderId="9" xfId="7" applyNumberFormat="1" applyFont="1" applyFill="1" applyBorder="1" applyAlignment="1"/>
    <xf numFmtId="173" fontId="0" fillId="18" borderId="0" xfId="7" applyNumberFormat="1" applyFont="1" applyFill="1" applyBorder="1" applyAlignment="1"/>
    <xf numFmtId="9" fontId="0" fillId="18" borderId="9" xfId="33" applyFont="1" applyFill="1" applyBorder="1" applyAlignment="1"/>
    <xf numFmtId="9" fontId="0" fillId="18" borderId="0" xfId="33" applyFont="1" applyFill="1" applyBorder="1" applyAlignment="1"/>
    <xf numFmtId="173" fontId="0" fillId="18" borderId="9" xfId="33" applyNumberFormat="1" applyFont="1" applyFill="1" applyBorder="1" applyAlignment="1"/>
    <xf numFmtId="173" fontId="0" fillId="18"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22" fillId="9" borderId="37" xfId="33" applyNumberFormat="1" applyFont="1" applyFill="1" applyBorder="1" applyAlignment="1">
      <alignment horizontal="center"/>
    </xf>
    <xf numFmtId="175" fontId="22" fillId="9" borderId="2" xfId="33" applyNumberFormat="1" applyFont="1" applyFill="1" applyBorder="1" applyAlignment="1">
      <alignment horizontal="center"/>
    </xf>
    <xf numFmtId="0" fontId="22" fillId="9" borderId="2" xfId="0" applyFont="1" applyFill="1" applyBorder="1" applyAlignment="1"/>
    <xf numFmtId="9" fontId="22"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8" borderId="0" xfId="0" applyFill="1" applyAlignment="1"/>
    <xf numFmtId="0" fontId="19"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6" fillId="8" borderId="0" xfId="0" applyNumberFormat="1" applyFont="1" applyFill="1" applyAlignment="1">
      <alignment horizontal="center" vertical="center"/>
    </xf>
    <xf numFmtId="0" fontId="5" fillId="8" borderId="0" xfId="0" applyFont="1" applyFill="1" applyAlignment="1">
      <alignment horizontal="center" vertical="center"/>
    </xf>
    <xf numFmtId="0" fontId="22" fillId="8" borderId="0" xfId="0" applyFont="1" applyFill="1" applyAlignment="1">
      <alignment horizontal="center" vertical="center"/>
    </xf>
    <xf numFmtId="4" fontId="22"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6"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8" borderId="4" xfId="33" applyFont="1" applyFill="1" applyBorder="1" applyAlignment="1">
      <alignment vertical="center"/>
    </xf>
    <xf numFmtId="9" fontId="4" fillId="18"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5" fillId="0" borderId="15" xfId="32" applyFont="1" applyBorder="1" applyAlignment="1">
      <alignment horizontal="left" vertical="center"/>
    </xf>
    <xf numFmtId="0" fontId="15" fillId="0" borderId="0" xfId="32" applyFont="1" applyBorder="1" applyAlignment="1">
      <alignment horizontal="left" vertical="center"/>
    </xf>
    <xf numFmtId="167" fontId="15" fillId="0" borderId="0" xfId="32" applyNumberFormat="1" applyFont="1" applyBorder="1" applyAlignment="1">
      <alignment horizontal="center" vertical="center"/>
    </xf>
    <xf numFmtId="167" fontId="14"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5"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4" fillId="0" borderId="11" xfId="0" applyFont="1" applyBorder="1" applyAlignment="1">
      <alignment vertical="center"/>
    </xf>
    <xf numFmtId="0" fontId="16" fillId="0" borderId="0" xfId="0" applyFont="1" applyAlignment="1">
      <alignment horizontal="left" vertical="top" wrapText="1"/>
    </xf>
    <xf numFmtId="0" fontId="5" fillId="0" borderId="0" xfId="16" applyAlignment="1" applyProtection="1">
      <alignment vertical="center"/>
    </xf>
    <xf numFmtId="0" fontId="44" fillId="0" borderId="37" xfId="16" applyFont="1" applyBorder="1" applyAlignment="1" applyProtection="1">
      <alignment horizontal="left" vertical="center" wrapText="1"/>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44" fillId="0" borderId="37" xfId="16" applyFont="1" applyBorder="1" applyAlignment="1" applyProtection="1">
      <alignment horizontal="left" vertical="center"/>
    </xf>
    <xf numFmtId="0" fontId="44" fillId="0" borderId="17" xfId="16" applyFont="1" applyBorder="1" applyAlignment="1" applyProtection="1">
      <alignment horizontal="left" vertical="center" wrapText="1"/>
    </xf>
    <xf numFmtId="0" fontId="44" fillId="0" borderId="20" xfId="16" applyFont="1" applyBorder="1" applyAlignment="1" applyProtection="1">
      <alignment horizontal="left" vertical="center" wrapText="1"/>
    </xf>
    <xf numFmtId="0" fontId="1" fillId="0" borderId="58" xfId="16" applyNumberFormat="1" applyFont="1" applyBorder="1" applyAlignment="1" applyProtection="1">
      <alignment horizontal="center" vertical="center" wrapText="1"/>
    </xf>
    <xf numFmtId="0" fontId="44" fillId="0" borderId="40" xfId="16" applyFont="1" applyBorder="1" applyAlignment="1" applyProtection="1">
      <alignment horizontal="left"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44" fillId="0" borderId="17" xfId="16" applyFont="1" applyBorder="1" applyAlignment="1" applyProtection="1">
      <alignment horizontal="left" vertical="center" wrapText="1" indent="1"/>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44" fillId="0" borderId="37" xfId="16" applyFont="1" applyBorder="1" applyAlignment="1" applyProtection="1">
      <alignment vertical="center"/>
    </xf>
    <xf numFmtId="0" fontId="1" fillId="0" borderId="37" xfId="16" applyFont="1" applyBorder="1" applyAlignment="1" applyProtection="1">
      <alignment horizontal="left" vertical="center" indent="1"/>
    </xf>
    <xf numFmtId="0" fontId="44" fillId="0" borderId="17" xfId="16" applyFont="1" applyBorder="1" applyAlignment="1" applyProtection="1">
      <alignment vertical="center"/>
    </xf>
    <xf numFmtId="0" fontId="44" fillId="0" borderId="17" xfId="16" applyFont="1" applyBorder="1" applyAlignment="1" applyProtection="1">
      <alignment horizontal="left" vertical="center"/>
    </xf>
    <xf numFmtId="0" fontId="5" fillId="0" borderId="17" xfId="16" applyBorder="1" applyAlignment="1" applyProtection="1">
      <alignment horizontal="left" vertical="center" wrapText="1" indent="1"/>
    </xf>
    <xf numFmtId="0" fontId="44" fillId="0" borderId="17" xfId="16" applyFont="1" applyBorder="1" applyAlignment="1" applyProtection="1">
      <alignment horizontal="left" vertical="center" indent="1"/>
    </xf>
    <xf numFmtId="0" fontId="5" fillId="0" borderId="17" xfId="16" applyBorder="1" applyAlignment="1" applyProtection="1">
      <alignment horizontal="left" vertical="center" wrapText="1" indent="2"/>
    </xf>
    <xf numFmtId="0" fontId="44" fillId="0" borderId="17" xfId="16" applyFont="1" applyBorder="1" applyAlignment="1" applyProtection="1">
      <alignment horizontal="left" vertical="center" wrapText="1" indent="2"/>
    </xf>
    <xf numFmtId="0" fontId="44" fillId="0" borderId="20" xfId="16" applyFont="1" applyBorder="1" applyAlignment="1" applyProtection="1">
      <alignment horizontal="left" vertical="center" indent="1"/>
    </xf>
    <xf numFmtId="0" fontId="44" fillId="0" borderId="0" xfId="16" applyFont="1" applyAlignment="1" applyProtection="1">
      <alignment vertical="center"/>
    </xf>
    <xf numFmtId="0" fontId="48" fillId="0" borderId="17" xfId="16" applyFont="1" applyBorder="1" applyAlignment="1" applyProtection="1">
      <alignment horizontal="left" vertical="center" wrapText="1" indent="1"/>
    </xf>
    <xf numFmtId="0" fontId="48" fillId="0" borderId="38" xfId="28" applyFont="1" applyFill="1" applyBorder="1" applyAlignment="1" applyProtection="1">
      <alignment horizontal="left" vertical="center" wrapText="1"/>
    </xf>
    <xf numFmtId="0" fontId="48" fillId="0" borderId="64" xfId="28" applyFont="1" applyBorder="1" applyAlignment="1" applyProtection="1">
      <alignment horizontal="left" vertical="center" wrapText="1"/>
    </xf>
    <xf numFmtId="167" fontId="56" fillId="9" borderId="31" xfId="28" applyNumberFormat="1" applyFont="1" applyFill="1" applyBorder="1" applyAlignment="1" applyProtection="1">
      <alignment horizontal="center" vertical="center"/>
      <protection locked="0"/>
    </xf>
    <xf numFmtId="0" fontId="27" fillId="9" borderId="43" xfId="16" applyNumberFormat="1" applyFont="1" applyFill="1" applyBorder="1" applyAlignment="1" applyProtection="1">
      <alignment horizontal="center" vertical="center"/>
      <protection locked="0"/>
    </xf>
    <xf numFmtId="0" fontId="27" fillId="9" borderId="53" xfId="16"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5" fillId="10" borderId="23" xfId="16" applyNumberFormat="1" applyFill="1" applyBorder="1" applyAlignment="1" applyProtection="1">
      <alignment horizontal="center" vertical="center"/>
      <protection locked="0"/>
    </xf>
    <xf numFmtId="2" fontId="5" fillId="11" borderId="70" xfId="16" applyNumberFormat="1" applyFill="1" applyBorder="1" applyAlignment="1" applyProtection="1">
      <alignment horizontal="center" vertical="center"/>
      <protection locked="0"/>
    </xf>
    <xf numFmtId="2" fontId="5" fillId="11" borderId="64" xfId="16" applyNumberFormat="1" applyFill="1" applyBorder="1" applyAlignment="1" applyProtection="1">
      <alignment horizontal="center" vertical="center"/>
      <protection locked="0"/>
    </xf>
    <xf numFmtId="0" fontId="5" fillId="11" borderId="64" xfId="16" applyFill="1" applyBorder="1" applyAlignment="1" applyProtection="1">
      <alignment horizontal="center" vertical="center"/>
      <protection locked="0"/>
    </xf>
    <xf numFmtId="0" fontId="44" fillId="0" borderId="0" xfId="16" applyFont="1" applyBorder="1" applyAlignment="1" applyProtection="1">
      <alignment horizontal="center" vertical="center"/>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44" fillId="0" borderId="4" xfId="16" applyFont="1" applyBorder="1" applyAlignment="1" applyProtection="1">
      <alignment horizontal="left" indent="1"/>
    </xf>
    <xf numFmtId="0" fontId="1" fillId="0" borderId="4" xfId="16" applyFont="1" applyBorder="1" applyAlignment="1" applyProtection="1">
      <alignment horizontal="left" wrapText="1" indent="1"/>
    </xf>
    <xf numFmtId="0" fontId="44" fillId="0" borderId="0" xfId="0" applyFont="1" applyFill="1" applyBorder="1" applyAlignment="1" applyProtection="1">
      <alignment horizontal="left" vertical="center"/>
    </xf>
    <xf numFmtId="0" fontId="30" fillId="0" borderId="0" xfId="0" applyFont="1" applyFill="1" applyBorder="1" applyAlignment="1" applyProtection="1">
      <alignment vertical="center"/>
    </xf>
    <xf numFmtId="0" fontId="30" fillId="0" borderId="0" xfId="0" applyFont="1" applyAlignment="1" applyProtection="1">
      <alignment vertical="center"/>
    </xf>
    <xf numFmtId="0" fontId="48" fillId="0" borderId="0" xfId="26" applyFont="1" applyAlignment="1" applyProtection="1">
      <alignment vertical="center"/>
    </xf>
    <xf numFmtId="0" fontId="48" fillId="0" borderId="0" xfId="13" applyFont="1" applyAlignment="1" applyProtection="1">
      <alignment vertical="center"/>
    </xf>
    <xf numFmtId="1" fontId="48" fillId="0" borderId="0" xfId="13" applyNumberFormat="1" applyFont="1" applyAlignment="1" applyProtection="1">
      <alignment vertical="center"/>
    </xf>
    <xf numFmtId="1" fontId="44" fillId="0" borderId="69" xfId="13" applyNumberFormat="1" applyFont="1" applyBorder="1" applyAlignment="1" applyProtection="1">
      <alignment horizontal="centerContinuous" vertical="center"/>
    </xf>
    <xf numFmtId="1" fontId="44" fillId="0" borderId="48" xfId="13" applyNumberFormat="1" applyFont="1" applyBorder="1" applyAlignment="1" applyProtection="1">
      <alignment horizontal="centerContinuous" vertical="center"/>
    </xf>
    <xf numFmtId="1" fontId="44" fillId="0" borderId="47" xfId="13" applyNumberFormat="1" applyFont="1" applyBorder="1" applyAlignment="1" applyProtection="1">
      <alignment horizontal="centerContinuous" vertical="center"/>
    </xf>
    <xf numFmtId="0" fontId="48" fillId="0" borderId="57" xfId="23" applyFont="1" applyFill="1" applyBorder="1" applyAlignment="1" applyProtection="1">
      <alignment vertical="center"/>
    </xf>
    <xf numFmtId="0" fontId="44" fillId="0" borderId="59" xfId="23" applyFont="1" applyBorder="1" applyAlignment="1" applyProtection="1">
      <alignment vertical="center"/>
    </xf>
    <xf numFmtId="0" fontId="44" fillId="0" borderId="60" xfId="23" applyFont="1" applyBorder="1" applyAlignment="1" applyProtection="1">
      <alignment vertical="center"/>
    </xf>
    <xf numFmtId="0" fontId="44" fillId="0" borderId="0" xfId="23" applyFont="1" applyBorder="1" applyAlignment="1" applyProtection="1">
      <alignment vertical="center"/>
    </xf>
    <xf numFmtId="0" fontId="44" fillId="0" borderId="24" xfId="23" applyFont="1" applyBorder="1" applyAlignment="1" applyProtection="1">
      <alignment vertical="center"/>
    </xf>
    <xf numFmtId="0" fontId="44" fillId="0" borderId="26" xfId="23" applyFont="1" applyBorder="1" applyAlignment="1" applyProtection="1">
      <alignment vertical="center"/>
    </xf>
    <xf numFmtId="1" fontId="48" fillId="0" borderId="28" xfId="13" applyNumberFormat="1" applyFont="1" applyBorder="1" applyAlignment="1" applyProtection="1">
      <alignment vertical="center"/>
    </xf>
    <xf numFmtId="1" fontId="48" fillId="0" borderId="31" xfId="13" applyNumberFormat="1" applyFont="1" applyBorder="1" applyAlignment="1" applyProtection="1">
      <alignment vertical="center"/>
    </xf>
    <xf numFmtId="0" fontId="44" fillId="0" borderId="17" xfId="25" applyFont="1" applyBorder="1" applyAlignment="1" applyProtection="1">
      <alignment vertical="center"/>
    </xf>
    <xf numFmtId="0" fontId="44" fillId="0" borderId="22" xfId="25" applyFont="1" applyBorder="1" applyAlignment="1" applyProtection="1">
      <alignment vertical="center"/>
    </xf>
    <xf numFmtId="1" fontId="48" fillId="0" borderId="17" xfId="13" applyNumberFormat="1" applyFont="1" applyBorder="1" applyAlignment="1" applyProtection="1">
      <alignment vertical="center"/>
    </xf>
    <xf numFmtId="1" fontId="48" fillId="0" borderId="22" xfId="13" applyNumberFormat="1" applyFont="1" applyBorder="1" applyAlignment="1" applyProtection="1">
      <alignment vertical="center"/>
    </xf>
    <xf numFmtId="0" fontId="48" fillId="0" borderId="22" xfId="25" applyFont="1" applyBorder="1" applyAlignment="1" applyProtection="1">
      <alignment horizontal="left" vertical="center"/>
    </xf>
    <xf numFmtId="0" fontId="54" fillId="9" borderId="22" xfId="25" applyFont="1" applyFill="1" applyBorder="1" applyAlignment="1" applyProtection="1">
      <alignment horizontal="left" vertical="center"/>
    </xf>
    <xf numFmtId="0" fontId="30" fillId="0" borderId="0" xfId="0" applyFont="1" applyFill="1" applyAlignment="1" applyProtection="1">
      <alignment vertical="center"/>
    </xf>
    <xf numFmtId="0" fontId="54"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48" fillId="0" borderId="63" xfId="15" applyFont="1" applyBorder="1" applyAlignment="1" applyProtection="1">
      <alignment horizontal="left" vertical="center" wrapText="1"/>
    </xf>
    <xf numFmtId="0" fontId="48" fillId="0" borderId="51" xfId="15" applyFont="1" applyBorder="1" applyAlignment="1" applyProtection="1">
      <alignment horizontal="left" vertical="center" wrapText="1"/>
    </xf>
    <xf numFmtId="0" fontId="48" fillId="0" borderId="38" xfId="15" applyFont="1" applyBorder="1" applyAlignment="1" applyProtection="1">
      <alignment horizontal="left" vertical="center" wrapText="1"/>
    </xf>
    <xf numFmtId="0" fontId="48" fillId="0" borderId="43" xfId="15" applyFont="1" applyBorder="1" applyAlignment="1" applyProtection="1">
      <alignment horizontal="left" vertical="center" wrapText="1"/>
    </xf>
    <xf numFmtId="0" fontId="44" fillId="0" borderId="64" xfId="15" applyFont="1" applyBorder="1" applyAlignment="1" applyProtection="1">
      <alignment horizontal="left" vertical="center"/>
    </xf>
    <xf numFmtId="1" fontId="44" fillId="10" borderId="45" xfId="15" applyNumberFormat="1" applyFont="1" applyFill="1" applyBorder="1" applyAlignment="1" applyProtection="1">
      <alignment horizontal="center" vertical="center" wrapText="1"/>
    </xf>
    <xf numFmtId="1" fontId="44" fillId="10" borderId="30" xfId="15" applyNumberFormat="1" applyFont="1" applyFill="1" applyBorder="1" applyAlignment="1" applyProtection="1">
      <alignment horizontal="center" vertical="center" wrapText="1"/>
    </xf>
    <xf numFmtId="0" fontId="44" fillId="11" borderId="65" xfId="15" applyNumberFormat="1" applyFont="1" applyFill="1" applyBorder="1" applyAlignment="1" applyProtection="1">
      <alignment horizontal="center" vertical="center" wrapText="1"/>
    </xf>
    <xf numFmtId="0" fontId="44" fillId="11" borderId="31" xfId="15" applyNumberFormat="1" applyFont="1" applyFill="1" applyBorder="1" applyAlignment="1" applyProtection="1">
      <alignment horizontal="center" vertical="center" wrapText="1"/>
    </xf>
    <xf numFmtId="0" fontId="44" fillId="0" borderId="59" xfId="15" applyFont="1" applyBorder="1" applyAlignment="1" applyProtection="1">
      <alignment horizontal="left" vertical="center"/>
    </xf>
    <xf numFmtId="1" fontId="44" fillId="10" borderId="29" xfId="15" applyNumberFormat="1" applyFont="1" applyFill="1" applyBorder="1" applyAlignment="1" applyProtection="1">
      <alignment horizontal="center" vertical="center" wrapText="1"/>
    </xf>
    <xf numFmtId="0" fontId="44" fillId="0" borderId="0" xfId="15" applyFont="1" applyBorder="1" applyAlignment="1" applyProtection="1">
      <alignment horizontal="left" vertical="center"/>
    </xf>
    <xf numFmtId="0" fontId="48" fillId="0" borderId="0" xfId="15" applyNumberFormat="1" applyFont="1" applyFill="1" applyBorder="1" applyAlignment="1" applyProtection="1">
      <alignment vertical="center" wrapText="1"/>
    </xf>
    <xf numFmtId="167" fontId="44" fillId="10" borderId="29" xfId="15" applyNumberFormat="1" applyFont="1" applyFill="1" applyBorder="1" applyAlignment="1" applyProtection="1">
      <alignment horizontal="center" vertical="center" wrapText="1"/>
    </xf>
    <xf numFmtId="167" fontId="44" fillId="10" borderId="30" xfId="15" applyNumberFormat="1" applyFont="1" applyFill="1" applyBorder="1" applyAlignment="1" applyProtection="1">
      <alignment horizontal="center" vertical="center" wrapText="1"/>
    </xf>
    <xf numFmtId="0" fontId="48" fillId="0" borderId="59" xfId="15" applyFont="1" applyBorder="1" applyAlignment="1" applyProtection="1">
      <alignment horizontal="left" vertical="center" wrapText="1"/>
    </xf>
    <xf numFmtId="0" fontId="44" fillId="0" borderId="0" xfId="15" applyFont="1" applyAlignment="1" applyProtection="1">
      <alignment vertical="center"/>
    </xf>
    <xf numFmtId="0" fontId="44" fillId="0" borderId="27" xfId="15" applyFont="1" applyBorder="1" applyAlignment="1" applyProtection="1">
      <alignment horizontal="left" vertical="center" wrapText="1"/>
    </xf>
    <xf numFmtId="0" fontId="48" fillId="0" borderId="28" xfId="15" applyNumberFormat="1" applyFont="1" applyBorder="1" applyAlignment="1" applyProtection="1">
      <alignment vertical="center" wrapText="1"/>
    </xf>
    <xf numFmtId="0" fontId="48" fillId="0" borderId="27" xfId="15" applyFont="1" applyBorder="1" applyAlignment="1" applyProtection="1">
      <alignment horizontal="left" vertical="center" wrapText="1"/>
    </xf>
    <xf numFmtId="0" fontId="27" fillId="9" borderId="27" xfId="15" applyFont="1" applyFill="1" applyBorder="1" applyAlignment="1" applyProtection="1">
      <alignment horizontal="left" vertical="center" wrapText="1"/>
      <protection locked="0"/>
    </xf>
    <xf numFmtId="0" fontId="48" fillId="0" borderId="28" xfId="15" applyNumberFormat="1" applyFont="1" applyBorder="1" applyAlignment="1" applyProtection="1">
      <alignment vertical="center" wrapText="1"/>
      <protection locked="0"/>
    </xf>
    <xf numFmtId="0" fontId="48" fillId="0" borderId="0" xfId="15" applyFont="1" applyAlignment="1" applyProtection="1">
      <alignment vertical="center"/>
      <protection locked="0"/>
    </xf>
    <xf numFmtId="0" fontId="44" fillId="0" borderId="59" xfId="15" applyFont="1" applyBorder="1" applyAlignment="1" applyProtection="1">
      <alignment horizontal="left" vertical="center"/>
      <protection locked="0"/>
    </xf>
    <xf numFmtId="0" fontId="48" fillId="0" borderId="31" xfId="15" applyNumberFormat="1" applyFont="1" applyBorder="1" applyAlignment="1" applyProtection="1">
      <alignment vertical="center" wrapText="1"/>
      <protection locked="0"/>
    </xf>
    <xf numFmtId="167" fontId="44" fillId="10" borderId="29" xfId="15" applyNumberFormat="1" applyFont="1" applyFill="1" applyBorder="1" applyAlignment="1" applyProtection="1">
      <alignment horizontal="center" vertical="center"/>
      <protection locked="0"/>
    </xf>
    <xf numFmtId="167" fontId="44" fillId="10" borderId="30" xfId="15" applyNumberFormat="1" applyFont="1" applyFill="1" applyBorder="1" applyAlignment="1" applyProtection="1">
      <alignment horizontal="center" vertical="center"/>
      <protection locked="0"/>
    </xf>
    <xf numFmtId="167" fontId="44" fillId="10" borderId="31" xfId="15" applyNumberFormat="1" applyFont="1" applyFill="1" applyBorder="1" applyAlignment="1" applyProtection="1">
      <alignment horizontal="center" vertical="center"/>
      <protection locked="0"/>
    </xf>
    <xf numFmtId="0" fontId="44" fillId="0" borderId="0" xfId="15" applyFont="1" applyAlignment="1" applyProtection="1">
      <alignment horizontal="left" vertical="center"/>
    </xf>
    <xf numFmtId="0" fontId="48" fillId="0" borderId="0" xfId="15" applyNumberFormat="1" applyFont="1" applyAlignment="1" applyProtection="1">
      <alignment vertical="center" wrapText="1"/>
    </xf>
    <xf numFmtId="0" fontId="48" fillId="0" borderId="0" xfId="15" applyFont="1" applyFill="1" applyAlignment="1" applyProtection="1">
      <alignment vertical="center"/>
    </xf>
    <xf numFmtId="0" fontId="31" fillId="0" borderId="0" xfId="24" applyFont="1" applyAlignment="1" applyProtection="1">
      <alignment vertical="center"/>
    </xf>
    <xf numFmtId="0" fontId="48" fillId="0" borderId="56" xfId="15" applyNumberFormat="1" applyFont="1" applyBorder="1" applyAlignment="1" applyProtection="1">
      <alignment vertical="center" wrapText="1"/>
    </xf>
    <xf numFmtId="0" fontId="44" fillId="0" borderId="20" xfId="15" applyFont="1" applyBorder="1" applyAlignment="1" applyProtection="1">
      <alignment horizontal="left" vertical="center"/>
    </xf>
    <xf numFmtId="0" fontId="48" fillId="0" borderId="31" xfId="15" applyNumberFormat="1" applyFont="1" applyBorder="1" applyAlignment="1" applyProtection="1">
      <alignment vertical="center" wrapText="1"/>
    </xf>
    <xf numFmtId="167" fontId="44" fillId="10" borderId="45" xfId="15" applyNumberFormat="1" applyFont="1" applyFill="1" applyBorder="1" applyAlignment="1" applyProtection="1">
      <alignment horizontal="center" vertical="center"/>
    </xf>
    <xf numFmtId="167" fontId="44" fillId="10" borderId="30" xfId="15" applyNumberFormat="1" applyFont="1" applyFill="1" applyBorder="1" applyAlignment="1" applyProtection="1">
      <alignment horizontal="center" vertical="center"/>
    </xf>
    <xf numFmtId="167" fontId="44" fillId="10" borderId="31" xfId="15" applyNumberFormat="1" applyFont="1" applyFill="1" applyBorder="1" applyAlignment="1" applyProtection="1">
      <alignment horizontal="center" vertical="center"/>
    </xf>
    <xf numFmtId="167" fontId="44" fillId="10" borderId="29" xfId="15" applyNumberFormat="1" applyFont="1" applyFill="1" applyBorder="1" applyAlignment="1" applyProtection="1">
      <alignment horizontal="center" vertical="center"/>
    </xf>
    <xf numFmtId="0" fontId="48" fillId="0" borderId="69" xfId="15" applyFont="1" applyBorder="1" applyAlignment="1" applyProtection="1">
      <alignment vertical="center"/>
    </xf>
    <xf numFmtId="1" fontId="44" fillId="10" borderId="31" xfId="15" applyNumberFormat="1" applyFont="1" applyFill="1" applyBorder="1" applyAlignment="1" applyProtection="1">
      <alignment horizontal="center" vertical="center" wrapText="1"/>
    </xf>
    <xf numFmtId="0" fontId="44" fillId="0" borderId="0" xfId="15" applyFont="1" applyBorder="1" applyAlignment="1" applyProtection="1">
      <alignment vertical="center"/>
    </xf>
    <xf numFmtId="0" fontId="44" fillId="11" borderId="28" xfId="15" applyFont="1" applyFill="1" applyBorder="1" applyAlignment="1" applyProtection="1">
      <alignment horizontal="center" vertical="center" wrapText="1"/>
    </xf>
    <xf numFmtId="0" fontId="44" fillId="0" borderId="14" xfId="15" applyFont="1" applyBorder="1" applyAlignment="1" applyProtection="1">
      <alignment horizontal="left" vertical="center"/>
    </xf>
    <xf numFmtId="0" fontId="48" fillId="0" borderId="14" xfId="15" applyNumberFormat="1" applyFont="1" applyFill="1" applyBorder="1" applyAlignment="1" applyProtection="1">
      <alignment vertical="center" wrapText="1"/>
    </xf>
    <xf numFmtId="0" fontId="44" fillId="0" borderId="4" xfId="15" applyFont="1" applyFill="1" applyBorder="1" applyAlignment="1" applyProtection="1">
      <alignment horizontal="center" vertical="center" wrapText="1"/>
    </xf>
    <xf numFmtId="0" fontId="48" fillId="0" borderId="14" xfId="15" applyFont="1" applyBorder="1" applyAlignment="1" applyProtection="1">
      <alignment vertical="center"/>
    </xf>
    <xf numFmtId="0" fontId="44" fillId="11" borderId="56" xfId="15" applyFont="1" applyFill="1" applyBorder="1" applyAlignment="1" applyProtection="1">
      <alignment horizontal="center" vertical="center" wrapText="1"/>
    </xf>
    <xf numFmtId="0" fontId="48" fillId="0" borderId="62" xfId="15" applyFont="1" applyBorder="1" applyAlignment="1" applyProtection="1">
      <alignment vertical="center"/>
    </xf>
    <xf numFmtId="0" fontId="44" fillId="0" borderId="67" xfId="15" applyFont="1" applyBorder="1" applyAlignment="1" applyProtection="1">
      <alignment horizontal="center" vertical="center" wrapText="1"/>
    </xf>
    <xf numFmtId="0" fontId="44" fillId="0" borderId="81" xfId="15" applyFont="1" applyBorder="1" applyAlignment="1" applyProtection="1">
      <alignment horizontal="center" vertical="center" wrapText="1"/>
    </xf>
    <xf numFmtId="0" fontId="44" fillId="0" borderId="82" xfId="15" applyFont="1" applyBorder="1" applyAlignment="1" applyProtection="1">
      <alignment horizontal="center" vertical="center" wrapText="1"/>
    </xf>
    <xf numFmtId="0" fontId="44" fillId="0" borderId="55" xfId="15" applyFont="1" applyBorder="1" applyAlignment="1" applyProtection="1">
      <alignment horizontal="center" vertical="center" wrapText="1"/>
    </xf>
    <xf numFmtId="0" fontId="44" fillId="0" borderId="37" xfId="15" applyFont="1" applyBorder="1" applyAlignment="1" applyProtection="1">
      <alignment horizontal="center" vertical="center" wrapText="1"/>
    </xf>
    <xf numFmtId="0" fontId="44" fillId="0" borderId="1" xfId="15" applyFont="1" applyFill="1" applyBorder="1" applyAlignment="1" applyProtection="1">
      <alignment horizontal="center" vertical="center" wrapText="1"/>
    </xf>
    <xf numFmtId="0" fontId="44" fillId="0" borderId="28" xfId="15" applyFont="1" applyFill="1" applyBorder="1" applyAlignment="1" applyProtection="1">
      <alignment horizontal="center" vertical="center" wrapText="1"/>
    </xf>
    <xf numFmtId="0" fontId="48" fillId="0" borderId="66" xfId="15" applyFont="1" applyBorder="1" applyAlignment="1" applyProtection="1">
      <alignment horizontal="center" vertical="center" wrapText="1"/>
    </xf>
    <xf numFmtId="0" fontId="48" fillId="0" borderId="63" xfId="15" applyFont="1" applyBorder="1" applyAlignment="1" applyProtection="1">
      <alignment horizontal="center" vertical="center" wrapText="1"/>
    </xf>
    <xf numFmtId="0" fontId="44" fillId="0" borderId="49" xfId="15" applyFont="1" applyBorder="1" applyAlignment="1" applyProtection="1">
      <alignment horizontal="center" vertical="center" wrapText="1"/>
    </xf>
    <xf numFmtId="0" fontId="4" fillId="0" borderId="4" xfId="15" applyFont="1" applyFill="1" applyBorder="1" applyAlignment="1" applyProtection="1">
      <alignment horizontal="center" vertical="center" wrapText="1"/>
    </xf>
    <xf numFmtId="0" fontId="44" fillId="0" borderId="0" xfId="0" applyFont="1" applyAlignment="1">
      <alignment vertical="center"/>
    </xf>
    <xf numFmtId="0" fontId="20" fillId="0" borderId="0" xfId="11" applyAlignment="1" applyProtection="1">
      <alignment vertical="center"/>
    </xf>
    <xf numFmtId="0" fontId="38"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4" fillId="0" borderId="0" xfId="0" applyFont="1" applyAlignment="1">
      <alignment vertical="center"/>
    </xf>
    <xf numFmtId="0" fontId="15"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5" fillId="0" borderId="61"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61" xfId="0" applyFont="1" applyFill="1" applyBorder="1" applyAlignment="1" applyProtection="1">
      <alignment horizontal="center" vertical="center" wrapText="1"/>
    </xf>
    <xf numFmtId="0" fontId="14" fillId="0" borderId="0" xfId="0" applyFont="1" applyAlignment="1" applyProtection="1">
      <alignment vertical="center"/>
    </xf>
    <xf numFmtId="0" fontId="8" fillId="0" borderId="0" xfId="0" applyFont="1" applyAlignment="1" applyProtection="1">
      <alignment vertical="center"/>
    </xf>
    <xf numFmtId="0" fontId="15" fillId="0" borderId="68" xfId="0" applyFont="1" applyBorder="1" applyAlignment="1" applyProtection="1">
      <alignment horizontal="center" vertical="center"/>
    </xf>
    <xf numFmtId="0" fontId="15" fillId="0" borderId="75" xfId="0" applyFont="1" applyBorder="1" applyAlignment="1" applyProtection="1">
      <alignment horizontal="center" vertical="center"/>
    </xf>
    <xf numFmtId="0" fontId="15" fillId="0" borderId="73" xfId="0" applyFont="1" applyBorder="1" applyAlignment="1" applyProtection="1">
      <alignment horizontal="center" vertical="center"/>
    </xf>
    <xf numFmtId="0" fontId="15" fillId="0" borderId="0" xfId="0" applyFont="1" applyAlignment="1">
      <alignment horizontal="center" vertical="center"/>
    </xf>
    <xf numFmtId="0" fontId="14" fillId="0" borderId="0" xfId="0" applyFont="1" applyBorder="1" applyAlignment="1">
      <alignment vertical="center"/>
    </xf>
    <xf numFmtId="0" fontId="15" fillId="0" borderId="32"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62" xfId="0" applyFont="1" applyBorder="1" applyAlignment="1" applyProtection="1">
      <alignment horizontal="center" vertical="center"/>
    </xf>
    <xf numFmtId="0" fontId="15" fillId="0" borderId="40" xfId="0" applyFont="1" applyBorder="1" applyAlignment="1">
      <alignment horizontal="center" vertical="center"/>
    </xf>
    <xf numFmtId="0" fontId="15" fillId="0" borderId="42" xfId="0" applyFont="1" applyBorder="1" applyAlignment="1">
      <alignment horizontal="center" vertical="center"/>
    </xf>
    <xf numFmtId="0" fontId="15" fillId="0" borderId="39" xfId="0" applyFont="1" applyBorder="1" applyAlignment="1">
      <alignment horizontal="center" vertical="center"/>
    </xf>
    <xf numFmtId="0" fontId="15" fillId="0" borderId="61" xfId="0" applyFont="1" applyBorder="1" applyAlignment="1">
      <alignment horizontal="center" vertical="center"/>
    </xf>
    <xf numFmtId="0" fontId="15" fillId="0" borderId="68" xfId="0" applyFont="1" applyBorder="1" applyAlignment="1">
      <alignment horizontal="center" vertical="center"/>
    </xf>
    <xf numFmtId="0" fontId="15" fillId="0" borderId="75" xfId="0" applyFont="1" applyBorder="1" applyAlignment="1">
      <alignment horizontal="center" vertical="center"/>
    </xf>
    <xf numFmtId="174" fontId="8" fillId="0" borderId="0" xfId="0" applyNumberFormat="1" applyFont="1" applyAlignment="1">
      <alignment horizontal="right" vertical="center"/>
    </xf>
    <xf numFmtId="174" fontId="19" fillId="9" borderId="62" xfId="0" applyNumberFormat="1" applyFont="1" applyFill="1" applyBorder="1" applyAlignment="1" applyProtection="1">
      <alignment horizontal="right" vertical="center"/>
      <protection locked="0"/>
    </xf>
    <xf numFmtId="174" fontId="19" fillId="9" borderId="38" xfId="0" applyNumberFormat="1" applyFont="1" applyFill="1" applyBorder="1" applyAlignment="1" applyProtection="1">
      <alignment horizontal="right" vertical="center"/>
      <protection locked="0"/>
    </xf>
    <xf numFmtId="174" fontId="19" fillId="9" borderId="64" xfId="0" applyNumberFormat="1" applyFont="1" applyFill="1" applyBorder="1" applyAlignment="1" applyProtection="1">
      <alignment horizontal="right" vertical="center"/>
      <protection locked="0"/>
    </xf>
    <xf numFmtId="174" fontId="19" fillId="9" borderId="63"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9" fillId="9" borderId="2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9" fillId="9" borderId="66" xfId="0" applyNumberFormat="1" applyFont="1" applyFill="1" applyBorder="1" applyAlignment="1" applyProtection="1">
      <alignment horizontal="right" vertical="center"/>
      <protection locked="0"/>
    </xf>
    <xf numFmtId="174" fontId="19" fillId="9" borderId="67"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9" fillId="9" borderId="29"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9" fillId="9" borderId="68"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9" fillId="9" borderId="61" xfId="0" applyNumberFormat="1" applyFont="1" applyFill="1" applyBorder="1" applyAlignment="1" applyProtection="1">
      <alignment horizontal="right" vertical="center"/>
      <protection locked="0"/>
    </xf>
    <xf numFmtId="174" fontId="19" fillId="11" borderId="20" xfId="0" applyNumberFormat="1" applyFont="1" applyFill="1" applyBorder="1" applyAlignment="1">
      <alignment horizontal="right" vertical="center"/>
    </xf>
    <xf numFmtId="174" fontId="19"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174" fontId="19" fillId="9" borderId="39" xfId="0" applyNumberFormat="1" applyFont="1" applyFill="1" applyBorder="1" applyAlignment="1" applyProtection="1">
      <alignment horizontal="right" vertical="center"/>
      <protection locked="0"/>
    </xf>
    <xf numFmtId="0" fontId="8" fillId="0" borderId="0" xfId="0" applyFont="1" applyFill="1" applyAlignment="1" applyProtection="1">
      <alignment vertical="center"/>
    </xf>
    <xf numFmtId="174" fontId="19" fillId="11" borderId="24" xfId="0" applyNumberFormat="1" applyFont="1" applyFill="1" applyBorder="1" applyAlignment="1">
      <alignment horizontal="right" vertical="center"/>
    </xf>
    <xf numFmtId="174" fontId="19" fillId="11" borderId="25" xfId="0" applyNumberFormat="1" applyFont="1" applyFill="1" applyBorder="1" applyAlignment="1">
      <alignment horizontal="right" vertical="center"/>
    </xf>
    <xf numFmtId="174" fontId="19" fillId="11" borderId="61" xfId="0" applyNumberFormat="1" applyFont="1" applyFill="1" applyBorder="1" applyAlignment="1">
      <alignment horizontal="right" vertical="center"/>
    </xf>
    <xf numFmtId="174" fontId="19" fillId="9" borderId="73" xfId="0" applyNumberFormat="1" applyFont="1" applyFill="1" applyBorder="1" applyAlignment="1" applyProtection="1">
      <alignment horizontal="right" vertical="center"/>
      <protection locked="0"/>
    </xf>
    <xf numFmtId="174" fontId="19" fillId="11" borderId="61" xfId="0" applyNumberFormat="1" applyFont="1" applyFill="1" applyBorder="1" applyAlignment="1" applyProtection="1">
      <alignment horizontal="right" vertical="center"/>
    </xf>
    <xf numFmtId="174" fontId="8" fillId="11" borderId="61" xfId="0" applyNumberFormat="1" applyFont="1" applyFill="1" applyBorder="1" applyAlignment="1" applyProtection="1">
      <alignment horizontal="right" vertical="center"/>
    </xf>
    <xf numFmtId="174" fontId="19" fillId="11" borderId="39" xfId="0" applyNumberFormat="1" applyFont="1" applyFill="1" applyBorder="1" applyAlignment="1">
      <alignment horizontal="right" vertical="center"/>
    </xf>
    <xf numFmtId="174" fontId="19" fillId="9" borderId="23" xfId="0" applyNumberFormat="1" applyFont="1" applyFill="1" applyBorder="1" applyAlignment="1" applyProtection="1">
      <alignment horizontal="right" vertical="center"/>
      <protection locked="0"/>
    </xf>
    <xf numFmtId="0" fontId="13" fillId="0" borderId="0" xfId="0" applyFont="1" applyBorder="1" applyAlignment="1">
      <alignment vertical="center"/>
    </xf>
    <xf numFmtId="174" fontId="13" fillId="2" borderId="39" xfId="0" applyNumberFormat="1" applyFont="1" applyFill="1" applyBorder="1" applyAlignment="1">
      <alignment horizontal="right" vertical="center"/>
    </xf>
    <xf numFmtId="174" fontId="13" fillId="0" borderId="0" xfId="0" applyNumberFormat="1" applyFont="1" applyAlignment="1">
      <alignment horizontal="right" vertical="center"/>
    </xf>
    <xf numFmtId="0" fontId="13" fillId="0" borderId="0" xfId="0" applyFont="1" applyAlignment="1" applyProtection="1">
      <alignment vertical="center"/>
    </xf>
    <xf numFmtId="0" fontId="8" fillId="0" borderId="0" xfId="0" applyFont="1" applyBorder="1" applyAlignment="1" applyProtection="1">
      <alignment vertical="center"/>
    </xf>
    <xf numFmtId="0" fontId="39" fillId="0" borderId="0" xfId="0" applyFont="1" applyAlignment="1" applyProtection="1">
      <alignment horizontal="center" vertical="center"/>
    </xf>
    <xf numFmtId="0" fontId="13" fillId="0" borderId="0" xfId="0" applyFont="1" applyAlignment="1">
      <alignment vertical="center"/>
    </xf>
    <xf numFmtId="0" fontId="13" fillId="0" borderId="0" xfId="0" applyFont="1" applyFill="1" applyAlignment="1">
      <alignment vertical="center"/>
    </xf>
    <xf numFmtId="0" fontId="38" fillId="0" borderId="24" xfId="0" applyFont="1" applyFill="1" applyBorder="1" applyAlignment="1" applyProtection="1">
      <alignment vertical="center"/>
    </xf>
    <xf numFmtId="0" fontId="13" fillId="0" borderId="25" xfId="0" applyFont="1" applyBorder="1" applyAlignment="1" applyProtection="1">
      <alignment vertical="center"/>
    </xf>
    <xf numFmtId="0" fontId="13" fillId="0" borderId="61" xfId="0" applyFont="1" applyBorder="1" applyAlignment="1">
      <alignment horizontal="center" vertical="center"/>
    </xf>
    <xf numFmtId="0" fontId="13" fillId="0" borderId="61"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3" fillId="0" borderId="39" xfId="0" applyFont="1" applyBorder="1" applyAlignment="1">
      <alignment horizontal="center" vertical="center"/>
    </xf>
    <xf numFmtId="174" fontId="19" fillId="9" borderId="52" xfId="0" applyNumberFormat="1" applyFont="1" applyFill="1" applyBorder="1" applyAlignment="1" applyProtection="1">
      <alignment horizontal="right" vertical="center"/>
      <protection locked="0"/>
    </xf>
    <xf numFmtId="174" fontId="19" fillId="9" borderId="54" xfId="0" applyNumberFormat="1" applyFont="1" applyFill="1" applyBorder="1" applyAlignment="1" applyProtection="1">
      <alignment horizontal="right" vertical="center"/>
      <protection locked="0"/>
    </xf>
    <xf numFmtId="0" fontId="14" fillId="0" borderId="0" xfId="0" applyFont="1" applyBorder="1" applyAlignment="1" applyProtection="1">
      <alignment vertical="center"/>
    </xf>
    <xf numFmtId="0" fontId="37" fillId="0" borderId="0" xfId="0" applyFont="1" applyBorder="1" applyAlignment="1" applyProtection="1">
      <alignment vertical="center"/>
    </xf>
    <xf numFmtId="0" fontId="8" fillId="0" borderId="0" xfId="0" applyFont="1" applyBorder="1" applyAlignment="1" applyProtection="1">
      <alignment vertical="center" wrapText="1"/>
    </xf>
    <xf numFmtId="174" fontId="19" fillId="9" borderId="44" xfId="0" applyNumberFormat="1" applyFont="1" applyFill="1" applyBorder="1" applyAlignment="1" applyProtection="1">
      <alignment horizontal="right" vertical="center"/>
      <protection locked="0"/>
    </xf>
    <xf numFmtId="0" fontId="13" fillId="0" borderId="0" xfId="0" applyFont="1" applyBorder="1" applyAlignment="1" applyProtection="1">
      <alignment vertical="center" wrapText="1"/>
    </xf>
    <xf numFmtId="174" fontId="13" fillId="2" borderId="26"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5" fillId="0" borderId="61" xfId="0" applyFont="1" applyBorder="1" applyAlignment="1" applyProtection="1">
      <alignment horizontal="center" vertical="center" wrapText="1"/>
    </xf>
    <xf numFmtId="0" fontId="13" fillId="0" borderId="61" xfId="0" applyFont="1" applyBorder="1" applyAlignment="1">
      <alignment horizontal="center" vertical="center" wrapText="1"/>
    </xf>
    <xf numFmtId="0" fontId="15" fillId="0" borderId="32" xfId="0" applyFont="1" applyBorder="1" applyAlignment="1">
      <alignment horizontal="center" vertical="center" wrapText="1"/>
    </xf>
    <xf numFmtId="0" fontId="13"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3" fillId="8" borderId="32" xfId="0" applyFont="1" applyFill="1" applyBorder="1" applyAlignment="1" applyProtection="1">
      <alignment horizontal="center" vertical="top" wrapText="1"/>
    </xf>
    <xf numFmtId="0" fontId="8" fillId="0" borderId="65" xfId="0" applyFont="1" applyFill="1" applyBorder="1" applyAlignment="1" applyProtection="1">
      <alignment vertical="center"/>
    </xf>
    <xf numFmtId="0" fontId="8" fillId="0" borderId="7" xfId="0" applyFont="1" applyFill="1" applyBorder="1" applyAlignment="1" applyProtection="1">
      <alignment vertical="center"/>
    </xf>
    <xf numFmtId="0" fontId="39" fillId="0" borderId="0" xfId="0" applyFont="1" applyAlignment="1" applyProtection="1">
      <alignment vertical="center"/>
    </xf>
    <xf numFmtId="0" fontId="15" fillId="8" borderId="61" xfId="0" applyFont="1" applyFill="1" applyBorder="1" applyAlignment="1" applyProtection="1">
      <alignment horizontal="center" vertical="center" wrapText="1"/>
    </xf>
    <xf numFmtId="174" fontId="13" fillId="2" borderId="61" xfId="0" applyNumberFormat="1" applyFont="1" applyFill="1" applyBorder="1" applyAlignment="1">
      <alignment vertical="center"/>
    </xf>
    <xf numFmtId="0" fontId="14" fillId="0" borderId="17" xfId="0" applyFont="1" applyBorder="1" applyAlignment="1">
      <alignment vertical="center"/>
    </xf>
    <xf numFmtId="0" fontId="15" fillId="0" borderId="0" xfId="0" applyFont="1" applyBorder="1" applyAlignment="1" applyProtection="1">
      <alignment vertical="center" wrapText="1"/>
    </xf>
    <xf numFmtId="0" fontId="40" fillId="0" borderId="0" xfId="0" applyFont="1" applyFill="1" applyBorder="1" applyAlignment="1">
      <alignment vertical="center"/>
    </xf>
    <xf numFmtId="0" fontId="13" fillId="6" borderId="25" xfId="0" applyFont="1" applyFill="1" applyBorder="1" applyAlignment="1" applyProtection="1">
      <alignment horizontal="center" vertical="center" wrapText="1"/>
    </xf>
    <xf numFmtId="0" fontId="13" fillId="6" borderId="26"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xf numFmtId="0" fontId="13" fillId="6" borderId="39" xfId="0" applyFont="1" applyFill="1" applyBorder="1" applyAlignment="1" applyProtection="1">
      <alignment horizontal="center" vertical="center" wrapText="1"/>
    </xf>
    <xf numFmtId="0" fontId="15" fillId="0" borderId="0" xfId="0" applyFont="1" applyAlignment="1">
      <alignment vertical="center"/>
    </xf>
    <xf numFmtId="0" fontId="1" fillId="0" borderId="0" xfId="0" applyFont="1" applyFill="1" applyBorder="1" applyAlignment="1">
      <alignment vertical="center"/>
    </xf>
    <xf numFmtId="0" fontId="14" fillId="0" borderId="0" xfId="0" applyFont="1" applyFill="1" applyBorder="1" applyAlignment="1">
      <alignment vertical="center"/>
    </xf>
    <xf numFmtId="0" fontId="1" fillId="0" borderId="0" xfId="0" applyFont="1" applyBorder="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0" borderId="13" xfId="0" applyFont="1" applyBorder="1" applyAlignment="1">
      <alignment vertical="center"/>
    </xf>
    <xf numFmtId="0" fontId="15" fillId="0" borderId="0" xfId="0" applyFont="1" applyFill="1" applyBorder="1" applyAlignment="1">
      <alignment horizontal="left" vertical="center"/>
    </xf>
    <xf numFmtId="0" fontId="15"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5"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5" fillId="0" borderId="19" xfId="0" applyFont="1" applyFill="1" applyBorder="1" applyAlignment="1" applyProtection="1">
      <alignment horizontal="center" vertical="center"/>
    </xf>
    <xf numFmtId="0" fontId="14" fillId="0" borderId="17" xfId="0" applyFont="1" applyBorder="1" applyAlignment="1" applyProtection="1">
      <alignment vertical="center"/>
    </xf>
    <xf numFmtId="0" fontId="14" fillId="0" borderId="0" xfId="0" applyFont="1" applyBorder="1" applyAlignment="1" applyProtection="1">
      <alignment horizontal="left" vertical="center"/>
    </xf>
    <xf numFmtId="0" fontId="14" fillId="0" borderId="0" xfId="0" applyFont="1" applyFill="1" applyBorder="1" applyAlignment="1" applyProtection="1">
      <alignment vertical="center"/>
    </xf>
    <xf numFmtId="174" fontId="14" fillId="0" borderId="22" xfId="0" applyNumberFormat="1"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4" fillId="0" borderId="0" xfId="0" applyFont="1" applyFill="1" applyBorder="1" applyAlignment="1" applyProtection="1">
      <alignment horizontal="left" vertical="center"/>
    </xf>
    <xf numFmtId="174" fontId="26" fillId="0" borderId="22" xfId="0" applyNumberFormat="1" applyFont="1" applyFill="1" applyBorder="1" applyAlignment="1" applyProtection="1">
      <alignment vertical="center"/>
    </xf>
    <xf numFmtId="0" fontId="1" fillId="0" borderId="0" xfId="0" applyFont="1" applyBorder="1" applyAlignment="1" applyProtection="1">
      <alignment horizontal="left" vertical="center"/>
    </xf>
    <xf numFmtId="0" fontId="15"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5" fillId="0" borderId="14" xfId="0" applyFont="1" applyFill="1" applyBorder="1" applyAlignment="1">
      <alignment horizontal="left" vertical="center"/>
    </xf>
    <xf numFmtId="0" fontId="1" fillId="0" borderId="14" xfId="0" applyFont="1" applyBorder="1" applyAlignment="1">
      <alignment vertical="center"/>
    </xf>
    <xf numFmtId="174" fontId="14"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4" fillId="0" borderId="0" xfId="0" applyNumberFormat="1" applyFont="1" applyFill="1" applyBorder="1" applyAlignment="1">
      <alignment vertical="center"/>
    </xf>
    <xf numFmtId="0" fontId="1" fillId="0" borderId="17" xfId="0" applyFont="1" applyFill="1" applyBorder="1" applyAlignment="1">
      <alignment vertical="center"/>
    </xf>
    <xf numFmtId="174" fontId="15" fillId="0" borderId="61" xfId="0" applyNumberFormat="1" applyFont="1" applyFill="1" applyBorder="1" applyAlignment="1">
      <alignment horizontal="center" vertical="center"/>
    </xf>
    <xf numFmtId="174" fontId="14" fillId="0" borderId="0" xfId="0" applyNumberFormat="1" applyFont="1" applyBorder="1" applyAlignment="1" applyProtection="1">
      <alignment vertical="center"/>
    </xf>
    <xf numFmtId="174" fontId="26" fillId="9" borderId="33" xfId="0" applyNumberFormat="1" applyFont="1" applyFill="1" applyBorder="1" applyAlignment="1" applyProtection="1">
      <alignment vertical="center"/>
      <protection locked="0"/>
    </xf>
    <xf numFmtId="174" fontId="19" fillId="9" borderId="33" xfId="0" applyNumberFormat="1" applyFont="1" applyFill="1" applyBorder="1" applyAlignment="1" applyProtection="1">
      <alignment vertical="center"/>
      <protection locked="0"/>
    </xf>
    <xf numFmtId="0" fontId="14" fillId="0" borderId="17" xfId="0" applyFont="1" applyFill="1" applyBorder="1" applyAlignment="1">
      <alignment vertical="center"/>
    </xf>
    <xf numFmtId="0" fontId="14" fillId="0" borderId="22" xfId="0" applyFont="1" applyFill="1" applyBorder="1" applyAlignment="1">
      <alignment vertical="center"/>
    </xf>
    <xf numFmtId="0" fontId="15" fillId="0" borderId="0" xfId="0" applyFont="1" applyBorder="1" applyAlignment="1" applyProtection="1">
      <alignment horizontal="right" vertical="center"/>
    </xf>
    <xf numFmtId="174" fontId="13" fillId="2" borderId="77" xfId="0" applyNumberFormat="1" applyFont="1" applyFill="1" applyBorder="1" applyAlignment="1" applyProtection="1">
      <alignment vertical="center"/>
      <protection locked="0"/>
    </xf>
    <xf numFmtId="178" fontId="15" fillId="0" borderId="3" xfId="0" applyNumberFormat="1" applyFont="1" applyBorder="1" applyAlignment="1">
      <alignment horizontal="center" vertical="center"/>
    </xf>
    <xf numFmtId="174" fontId="19" fillId="9" borderId="9" xfId="0" applyNumberFormat="1" applyFont="1" applyFill="1" applyBorder="1" applyAlignment="1" applyProtection="1">
      <alignment horizontal="right" vertical="center"/>
      <protection locked="0"/>
    </xf>
    <xf numFmtId="174" fontId="8" fillId="2" borderId="2" xfId="27" applyNumberFormat="1" applyFont="1" applyFill="1" applyBorder="1" applyAlignment="1">
      <alignment vertical="center"/>
    </xf>
    <xf numFmtId="174" fontId="26" fillId="9" borderId="9" xfId="0" applyNumberFormat="1" applyFont="1" applyFill="1" applyBorder="1" applyAlignment="1" applyProtection="1">
      <alignment horizontal="right" vertical="center"/>
      <protection locked="0"/>
    </xf>
    <xf numFmtId="174" fontId="14" fillId="2" borderId="2" xfId="27" applyNumberFormat="1" applyFont="1" applyFill="1" applyBorder="1" applyAlignment="1">
      <alignment vertical="center"/>
    </xf>
    <xf numFmtId="0" fontId="23" fillId="0" borderId="0" xfId="0" applyFont="1" applyFill="1" applyBorder="1" applyAlignment="1">
      <alignment horizontal="center" vertical="center"/>
    </xf>
    <xf numFmtId="0" fontId="15" fillId="0" borderId="0" xfId="0" applyFont="1" applyFill="1" applyBorder="1" applyAlignment="1">
      <alignment vertical="center"/>
    </xf>
    <xf numFmtId="0" fontId="14" fillId="0" borderId="0" xfId="0" applyFont="1" applyBorder="1" applyAlignment="1">
      <alignment horizontal="left" vertical="center"/>
    </xf>
    <xf numFmtId="174" fontId="14" fillId="0" borderId="22" xfId="0" applyNumberFormat="1" applyFont="1" applyFill="1" applyBorder="1" applyAlignment="1">
      <alignment vertical="center"/>
    </xf>
    <xf numFmtId="0" fontId="14" fillId="0" borderId="25" xfId="0" applyFont="1" applyFill="1" applyBorder="1" applyAlignment="1">
      <alignment vertical="center"/>
    </xf>
    <xf numFmtId="174" fontId="14" fillId="0" borderId="61" xfId="0" applyNumberFormat="1" applyFont="1" applyFill="1" applyBorder="1" applyAlignment="1">
      <alignment horizontal="center" vertical="center" wrapText="1"/>
    </xf>
    <xf numFmtId="174" fontId="26" fillId="11" borderId="32" xfId="0" applyNumberFormat="1" applyFont="1" applyFill="1" applyBorder="1" applyAlignment="1" applyProtection="1">
      <alignment vertical="center"/>
    </xf>
    <xf numFmtId="174" fontId="26" fillId="9" borderId="39" xfId="0" applyNumberFormat="1" applyFont="1" applyFill="1" applyBorder="1" applyAlignment="1" applyProtection="1">
      <alignment vertical="center"/>
      <protection locked="0"/>
    </xf>
    <xf numFmtId="174" fontId="15" fillId="2" borderId="77" xfId="0" applyNumberFormat="1" applyFont="1" applyFill="1" applyBorder="1" applyAlignment="1" applyProtection="1">
      <alignment vertical="center"/>
    </xf>
    <xf numFmtId="174" fontId="36" fillId="0" borderId="61" xfId="0" applyNumberFormat="1" applyFont="1" applyFill="1" applyBorder="1" applyAlignment="1">
      <alignment horizontal="center" vertical="center"/>
    </xf>
    <xf numFmtId="174" fontId="36" fillId="0" borderId="61" xfId="0" applyNumberFormat="1" applyFont="1" applyFill="1" applyBorder="1" applyAlignment="1">
      <alignment horizontal="center" vertical="center" textRotation="90" wrapText="1"/>
    </xf>
    <xf numFmtId="174" fontId="14" fillId="2" borderId="32" xfId="0" applyNumberFormat="1" applyFont="1" applyFill="1" applyBorder="1" applyAlignment="1" applyProtection="1">
      <alignment vertical="center"/>
    </xf>
    <xf numFmtId="174" fontId="26" fillId="9" borderId="34" xfId="0" applyNumberFormat="1" applyFont="1" applyFill="1" applyBorder="1" applyAlignment="1" applyProtection="1">
      <alignment vertical="center"/>
      <protection locked="0"/>
    </xf>
    <xf numFmtId="174" fontId="26" fillId="9" borderId="71" xfId="0" applyNumberFormat="1" applyFont="1" applyFill="1" applyBorder="1" applyAlignment="1" applyProtection="1">
      <alignment vertical="center"/>
      <protection locked="0"/>
    </xf>
    <xf numFmtId="174" fontId="26" fillId="9" borderId="46" xfId="0" applyNumberFormat="1" applyFont="1" applyFill="1" applyBorder="1" applyAlignment="1" applyProtection="1">
      <alignment vertical="center"/>
      <protection locked="0"/>
    </xf>
    <xf numFmtId="174" fontId="14" fillId="2" borderId="39" xfId="0" applyNumberFormat="1" applyFont="1" applyFill="1" applyBorder="1" applyAlignment="1" applyProtection="1">
      <alignment vertical="center"/>
    </xf>
    <xf numFmtId="174" fontId="26" fillId="9" borderId="40" xfId="0" applyNumberFormat="1" applyFont="1" applyFill="1" applyBorder="1" applyAlignment="1" applyProtection="1">
      <alignment vertical="center"/>
      <protection locked="0"/>
    </xf>
    <xf numFmtId="174" fontId="26" fillId="9" borderId="78" xfId="0" applyNumberFormat="1" applyFont="1" applyFill="1" applyBorder="1" applyAlignment="1" applyProtection="1">
      <alignment vertical="center"/>
      <protection locked="0"/>
    </xf>
    <xf numFmtId="174" fontId="26" fillId="9" borderId="58" xfId="0" applyNumberFormat="1" applyFont="1" applyFill="1" applyBorder="1" applyAlignment="1" applyProtection="1">
      <alignment vertical="center"/>
      <protection locked="0"/>
    </xf>
    <xf numFmtId="174" fontId="36" fillId="0" borderId="32" xfId="0" applyNumberFormat="1" applyFont="1" applyFill="1" applyBorder="1" applyAlignment="1">
      <alignment horizontal="center" vertical="center"/>
    </xf>
    <xf numFmtId="174" fontId="36" fillId="0" borderId="32" xfId="0" applyNumberFormat="1" applyFont="1" applyFill="1" applyBorder="1" applyAlignment="1">
      <alignment horizontal="center" vertical="center" textRotation="90" wrapText="1"/>
    </xf>
    <xf numFmtId="174" fontId="8" fillId="2" borderId="33" xfId="0" applyNumberFormat="1" applyFont="1" applyFill="1" applyBorder="1" applyAlignment="1" applyProtection="1">
      <alignment vertical="center"/>
    </xf>
    <xf numFmtId="174" fontId="19" fillId="9" borderId="37" xfId="0" applyNumberFormat="1" applyFont="1" applyFill="1" applyBorder="1" applyAlignment="1" applyProtection="1">
      <alignment vertical="center"/>
      <protection locked="0"/>
    </xf>
    <xf numFmtId="174" fontId="19" fillId="9" borderId="10" xfId="0" applyNumberFormat="1" applyFont="1" applyFill="1" applyBorder="1" applyAlignment="1" applyProtection="1">
      <alignment vertical="center"/>
      <protection locked="0"/>
    </xf>
    <xf numFmtId="174" fontId="26" fillId="9" borderId="2" xfId="0" applyNumberFormat="1" applyFont="1" applyFill="1" applyBorder="1" applyAlignment="1" applyProtection="1">
      <alignment vertical="center"/>
      <protection locked="0"/>
    </xf>
    <xf numFmtId="174" fontId="26" fillId="9" borderId="22" xfId="0" applyNumberFormat="1" applyFont="1" applyFill="1" applyBorder="1" applyAlignment="1" applyProtection="1">
      <alignment vertical="center"/>
      <protection locked="0"/>
    </xf>
    <xf numFmtId="174" fontId="14" fillId="2" borderId="33" xfId="0" applyNumberFormat="1" applyFont="1" applyFill="1" applyBorder="1" applyAlignment="1" applyProtection="1">
      <alignment vertical="center"/>
    </xf>
    <xf numFmtId="174" fontId="26" fillId="9" borderId="37" xfId="0" applyNumberFormat="1" applyFont="1" applyFill="1" applyBorder="1" applyAlignment="1" applyProtection="1">
      <alignment vertical="center"/>
      <protection locked="0"/>
    </xf>
    <xf numFmtId="174" fontId="26" fillId="9" borderId="10" xfId="0" applyNumberFormat="1" applyFont="1" applyFill="1" applyBorder="1" applyAlignment="1" applyProtection="1">
      <alignment vertical="center"/>
      <protection locked="0"/>
    </xf>
    <xf numFmtId="174" fontId="26" fillId="9" borderId="49" xfId="0" applyNumberFormat="1" applyFont="1" applyFill="1" applyBorder="1" applyAlignment="1" applyProtection="1">
      <alignment vertical="center"/>
      <protection locked="0"/>
    </xf>
    <xf numFmtId="174" fontId="26" fillId="9" borderId="12" xfId="0" applyNumberFormat="1" applyFont="1" applyFill="1" applyBorder="1" applyAlignment="1" applyProtection="1">
      <alignment vertical="center"/>
      <protection locked="0"/>
    </xf>
    <xf numFmtId="174" fontId="26" fillId="9" borderId="3" xfId="0" applyNumberFormat="1" applyFont="1" applyFill="1" applyBorder="1" applyAlignment="1" applyProtection="1">
      <alignment vertical="center"/>
      <protection locked="0"/>
    </xf>
    <xf numFmtId="174" fontId="26" fillId="9" borderId="52" xfId="0" applyNumberFormat="1" applyFont="1" applyFill="1" applyBorder="1" applyAlignment="1" applyProtection="1">
      <alignment vertical="center"/>
      <protection locked="0"/>
    </xf>
    <xf numFmtId="174" fontId="15" fillId="2" borderId="64" xfId="0" applyNumberFormat="1" applyFont="1" applyFill="1" applyBorder="1" applyAlignment="1" applyProtection="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5" fillId="0" borderId="21" xfId="0" applyFont="1" applyBorder="1" applyAlignment="1" applyProtection="1">
      <alignment horizontal="right" vertical="center"/>
    </xf>
    <xf numFmtId="0" fontId="14" fillId="0" borderId="21" xfId="0" applyFont="1" applyFill="1" applyBorder="1" applyAlignment="1">
      <alignment vertical="center"/>
    </xf>
    <xf numFmtId="0" fontId="23" fillId="0" borderId="21" xfId="0" quotePrefix="1" applyFont="1" applyBorder="1" applyAlignment="1" applyProtection="1">
      <alignment horizontal="center" vertical="center"/>
    </xf>
    <xf numFmtId="0" fontId="23" fillId="0" borderId="21" xfId="0" applyFont="1" applyBorder="1" applyAlignment="1" applyProtection="1">
      <alignment horizontal="center" vertical="center"/>
    </xf>
    <xf numFmtId="0" fontId="15" fillId="0" borderId="23" xfId="0" applyFont="1" applyBorder="1" applyAlignment="1" applyProtection="1">
      <alignment horizontal="right" vertical="center"/>
    </xf>
    <xf numFmtId="0" fontId="14" fillId="0" borderId="14" xfId="0" applyFont="1" applyBorder="1" applyAlignment="1" applyProtection="1">
      <alignment horizontal="left" vertical="center"/>
    </xf>
    <xf numFmtId="0" fontId="14" fillId="0" borderId="19" xfId="0" applyFont="1" applyFill="1" applyBorder="1" applyAlignment="1">
      <alignment vertical="center"/>
    </xf>
    <xf numFmtId="174" fontId="14" fillId="13" borderId="33" xfId="0" applyNumberFormat="1" applyFont="1" applyFill="1" applyBorder="1" applyAlignment="1" applyProtection="1">
      <alignment vertical="center"/>
    </xf>
    <xf numFmtId="174" fontId="26" fillId="13" borderId="37" xfId="0" applyNumberFormat="1" applyFont="1" applyFill="1" applyBorder="1" applyAlignment="1" applyProtection="1">
      <alignment vertical="center"/>
    </xf>
    <xf numFmtId="174" fontId="26" fillId="13" borderId="10" xfId="0" applyNumberFormat="1" applyFont="1" applyFill="1" applyBorder="1" applyAlignment="1" applyProtection="1">
      <alignment vertical="center"/>
    </xf>
    <xf numFmtId="174" fontId="26" fillId="13" borderId="2" xfId="0" applyNumberFormat="1" applyFont="1" applyFill="1" applyBorder="1" applyAlignment="1" applyProtection="1">
      <alignment vertical="center"/>
    </xf>
    <xf numFmtId="174" fontId="26" fillId="13" borderId="22" xfId="0" applyNumberFormat="1" applyFont="1" applyFill="1" applyBorder="1" applyAlignment="1" applyProtection="1">
      <alignment vertical="center"/>
    </xf>
    <xf numFmtId="174" fontId="26" fillId="13" borderId="49" xfId="0" applyNumberFormat="1" applyFont="1" applyFill="1" applyBorder="1" applyAlignment="1" applyProtection="1">
      <alignment vertical="center"/>
    </xf>
    <xf numFmtId="174" fontId="26" fillId="13" borderId="12" xfId="0" applyNumberFormat="1" applyFont="1" applyFill="1" applyBorder="1" applyAlignment="1" applyProtection="1">
      <alignment vertical="center"/>
    </xf>
    <xf numFmtId="174" fontId="26" fillId="13" borderId="3" xfId="0" applyNumberFormat="1" applyFont="1" applyFill="1" applyBorder="1" applyAlignment="1" applyProtection="1">
      <alignment vertical="center"/>
    </xf>
    <xf numFmtId="174" fontId="26" fillId="13" borderId="52" xfId="0" applyNumberFormat="1" applyFont="1" applyFill="1" applyBorder="1" applyAlignment="1" applyProtection="1">
      <alignment vertical="center"/>
    </xf>
    <xf numFmtId="174" fontId="15" fillId="13" borderId="64" xfId="0" applyNumberFormat="1" applyFont="1" applyFill="1" applyBorder="1" applyAlignment="1" applyProtection="1">
      <alignment vertical="center"/>
    </xf>
    <xf numFmtId="174" fontId="36" fillId="0" borderId="0" xfId="0" applyNumberFormat="1" applyFont="1" applyFill="1" applyBorder="1" applyAlignment="1">
      <alignment vertical="center"/>
    </xf>
    <xf numFmtId="0" fontId="15" fillId="0" borderId="0" xfId="0" applyFont="1" applyBorder="1" applyAlignment="1">
      <alignment horizontal="left" vertical="center"/>
    </xf>
    <xf numFmtId="174" fontId="14" fillId="2" borderId="61" xfId="0" applyNumberFormat="1" applyFont="1" applyFill="1" applyBorder="1" applyAlignment="1" applyProtection="1">
      <alignment vertical="center"/>
    </xf>
    <xf numFmtId="174" fontId="26" fillId="11" borderId="74" xfId="0" applyNumberFormat="1" applyFont="1" applyFill="1" applyBorder="1" applyAlignment="1" applyProtection="1">
      <alignment vertical="center"/>
    </xf>
    <xf numFmtId="174" fontId="26" fillId="9" borderId="74" xfId="0" applyNumberFormat="1" applyFont="1" applyFill="1" applyBorder="1" applyAlignment="1" applyProtection="1">
      <alignment vertical="center"/>
      <protection locked="0"/>
    </xf>
    <xf numFmtId="174" fontId="26" fillId="11" borderId="72" xfId="0" applyNumberFormat="1" applyFont="1" applyFill="1" applyBorder="1" applyAlignment="1" applyProtection="1">
      <alignment vertical="center"/>
    </xf>
    <xf numFmtId="174" fontId="26" fillId="11" borderId="26" xfId="0" applyNumberFormat="1" applyFont="1" applyFill="1" applyBorder="1" applyAlignment="1" applyProtection="1">
      <alignment vertical="center"/>
    </xf>
    <xf numFmtId="0" fontId="14" fillId="0" borderId="21" xfId="0" applyFont="1" applyBorder="1" applyAlignment="1">
      <alignment horizontal="left" vertical="center"/>
    </xf>
    <xf numFmtId="174" fontId="14" fillId="0" borderId="21" xfId="0" applyNumberFormat="1" applyFont="1" applyFill="1" applyBorder="1" applyAlignment="1">
      <alignment vertical="center"/>
    </xf>
    <xf numFmtId="174" fontId="36" fillId="0" borderId="21" xfId="0" applyNumberFormat="1" applyFont="1" applyFill="1" applyBorder="1" applyAlignment="1">
      <alignment vertical="center"/>
    </xf>
    <xf numFmtId="0" fontId="14" fillId="0" borderId="23" xfId="0" applyFont="1" applyFill="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14" xfId="0" applyFont="1" applyBorder="1" applyAlignment="1">
      <alignment horizontal="left" vertical="center"/>
    </xf>
    <xf numFmtId="0" fontId="14" fillId="0" borderId="14" xfId="0" applyFont="1" applyFill="1" applyBorder="1" applyAlignment="1">
      <alignment vertical="center"/>
    </xf>
    <xf numFmtId="174" fontId="36" fillId="0" borderId="14" xfId="0" applyNumberFormat="1" applyFont="1" applyFill="1" applyBorder="1" applyAlignment="1">
      <alignment vertical="center"/>
    </xf>
    <xf numFmtId="174" fontId="14" fillId="0" borderId="19" xfId="0" applyNumberFormat="1" applyFont="1" applyFill="1" applyBorder="1" applyAlignment="1">
      <alignment vertical="center"/>
    </xf>
    <xf numFmtId="174" fontId="26" fillId="9" borderId="61" xfId="0" applyNumberFormat="1" applyFont="1" applyFill="1" applyBorder="1" applyAlignment="1" applyProtection="1">
      <alignment vertical="center"/>
      <protection locked="0"/>
    </xf>
    <xf numFmtId="174" fontId="15" fillId="0" borderId="22" xfId="0" applyNumberFormat="1" applyFont="1" applyFill="1" applyBorder="1" applyAlignment="1">
      <alignment horizontal="center" vertical="center"/>
    </xf>
    <xf numFmtId="174" fontId="15" fillId="0" borderId="0" xfId="0" applyNumberFormat="1" applyFont="1" applyFill="1" applyBorder="1" applyAlignment="1">
      <alignment horizontal="center" vertical="center"/>
    </xf>
    <xf numFmtId="174" fontId="26" fillId="9" borderId="79" xfId="0" applyNumberFormat="1" applyFont="1" applyFill="1" applyBorder="1" applyAlignment="1" applyProtection="1">
      <alignment vertical="center"/>
      <protection locked="0"/>
    </xf>
    <xf numFmtId="0" fontId="26" fillId="9" borderId="80" xfId="0" applyFont="1" applyFill="1" applyBorder="1" applyAlignment="1" applyProtection="1">
      <alignment vertical="center"/>
      <protection locked="0"/>
    </xf>
    <xf numFmtId="174" fontId="26" fillId="0" borderId="22" xfId="0" applyNumberFormat="1" applyFont="1" applyFill="1" applyBorder="1" applyAlignment="1" applyProtection="1">
      <alignment vertical="center"/>
      <protection locked="0"/>
    </xf>
    <xf numFmtId="174" fontId="26" fillId="0" borderId="0" xfId="0" applyNumberFormat="1" applyFont="1" applyFill="1" applyBorder="1" applyAlignment="1" applyProtection="1">
      <alignment vertical="center"/>
      <protection locked="0"/>
    </xf>
    <xf numFmtId="0" fontId="14" fillId="0" borderId="0" xfId="0" applyFont="1" applyFill="1" applyBorder="1" applyAlignment="1">
      <alignment horizontal="left" vertical="center"/>
    </xf>
    <xf numFmtId="174" fontId="14" fillId="0" borderId="0" xfId="0" applyNumberFormat="1" applyFont="1" applyFill="1" applyBorder="1" applyAlignment="1" applyProtection="1">
      <alignment vertical="center"/>
      <protection locked="0"/>
    </xf>
    <xf numFmtId="174" fontId="14" fillId="0" borderId="22" xfId="0" applyNumberFormat="1" applyFont="1" applyFill="1" applyBorder="1" applyAlignment="1" applyProtection="1">
      <alignment vertical="center"/>
      <protection locked="0"/>
    </xf>
    <xf numFmtId="174" fontId="26" fillId="9" borderId="63" xfId="0" applyNumberFormat="1" applyFont="1" applyFill="1" applyBorder="1" applyAlignment="1" applyProtection="1">
      <alignment vertical="center"/>
      <protection locked="0"/>
    </xf>
    <xf numFmtId="174" fontId="14" fillId="11" borderId="51" xfId="0" applyNumberFormat="1" applyFont="1" applyFill="1" applyBorder="1" applyAlignment="1" applyProtection="1">
      <alignment vertical="center"/>
      <protection locked="0"/>
    </xf>
    <xf numFmtId="174" fontId="15" fillId="0" borderId="22" xfId="0" applyNumberFormat="1" applyFont="1" applyFill="1" applyBorder="1" applyAlignment="1" applyProtection="1">
      <alignment vertical="center"/>
    </xf>
    <xf numFmtId="174" fontId="15" fillId="0" borderId="0" xfId="0" applyNumberFormat="1" applyFont="1" applyFill="1" applyBorder="1" applyAlignment="1" applyProtection="1">
      <alignment vertical="center"/>
    </xf>
    <xf numFmtId="174" fontId="26" fillId="0" borderId="61" xfId="0" applyNumberFormat="1" applyFont="1" applyFill="1" applyBorder="1" applyAlignment="1" applyProtection="1">
      <alignment vertical="center"/>
      <protection locked="0"/>
    </xf>
    <xf numFmtId="0" fontId="15" fillId="0" borderId="0" xfId="0" applyFont="1" applyBorder="1" applyAlignment="1" applyProtection="1">
      <alignment horizontal="left" vertical="center"/>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178" fontId="15" fillId="0" borderId="57" xfId="0" applyNumberFormat="1" applyFont="1" applyBorder="1" applyAlignment="1">
      <alignment horizontal="center" vertical="center"/>
    </xf>
    <xf numFmtId="174" fontId="8" fillId="2" borderId="50" xfId="27" applyNumberFormat="1" applyFont="1" applyFill="1" applyBorder="1" applyAlignment="1">
      <alignment vertical="center"/>
    </xf>
    <xf numFmtId="174" fontId="14" fillId="2" borderId="50" xfId="27" applyNumberFormat="1" applyFont="1" applyFill="1" applyBorder="1" applyAlignment="1">
      <alignment vertical="center"/>
    </xf>
    <xf numFmtId="178" fontId="41" fillId="9" borderId="66" xfId="0" applyNumberFormat="1" applyFont="1" applyFill="1" applyBorder="1" applyAlignment="1" applyProtection="1">
      <alignment horizontal="left" vertical="center"/>
      <protection locked="0"/>
    </xf>
    <xf numFmtId="178" fontId="41" fillId="9" borderId="33" xfId="0" applyNumberFormat="1" applyFont="1" applyFill="1" applyBorder="1" applyAlignment="1" applyProtection="1">
      <alignment horizontal="left" vertical="center"/>
      <protection locked="0"/>
    </xf>
    <xf numFmtId="178" fontId="41" fillId="9" borderId="39" xfId="0" applyNumberFormat="1" applyFont="1" applyFill="1" applyBorder="1" applyAlignment="1" applyProtection="1">
      <alignment horizontal="left" vertical="center"/>
      <protection locked="0"/>
    </xf>
    <xf numFmtId="0" fontId="1" fillId="0" borderId="32" xfId="0" applyFont="1" applyFill="1" applyBorder="1" applyAlignment="1" applyProtection="1">
      <alignment vertical="center"/>
    </xf>
    <xf numFmtId="174" fontId="14" fillId="0" borderId="33" xfId="0" applyNumberFormat="1" applyFont="1" applyFill="1" applyBorder="1" applyAlignment="1" applyProtection="1">
      <alignment vertical="center"/>
    </xf>
    <xf numFmtId="174" fontId="14" fillId="0" borderId="61" xfId="0" applyNumberFormat="1" applyFont="1" applyFill="1" applyBorder="1" applyAlignment="1" applyProtection="1">
      <alignment vertical="center"/>
    </xf>
    <xf numFmtId="174" fontId="15" fillId="2" borderId="26" xfId="0" applyNumberFormat="1" applyFont="1" applyFill="1" applyBorder="1" applyAlignment="1" applyProtection="1">
      <alignment vertical="center"/>
    </xf>
    <xf numFmtId="0" fontId="13" fillId="0" borderId="32" xfId="28" applyFont="1" applyFill="1" applyBorder="1" applyAlignment="1" applyProtection="1">
      <alignment horizontal="center" vertical="center"/>
    </xf>
    <xf numFmtId="0" fontId="29" fillId="0" borderId="0" xfId="0" applyFont="1" applyBorder="1"/>
    <xf numFmtId="0" fontId="19" fillId="9" borderId="28" xfId="28" applyFont="1" applyFill="1" applyBorder="1" applyAlignment="1" applyProtection="1">
      <alignment horizontal="center" vertical="center"/>
      <protection locked="0"/>
    </xf>
    <xf numFmtId="1" fontId="13" fillId="0" borderId="23" xfId="25" applyNumberFormat="1" applyFont="1" applyBorder="1" applyProtection="1"/>
    <xf numFmtId="0" fontId="47" fillId="0" borderId="22" xfId="0" applyFont="1" applyBorder="1"/>
    <xf numFmtId="0" fontId="8" fillId="0" borderId="22" xfId="28" applyFont="1" applyFill="1" applyBorder="1" applyAlignment="1" applyProtection="1">
      <alignment horizontal="center" vertical="center"/>
    </xf>
    <xf numFmtId="168" fontId="14" fillId="2" borderId="68" xfId="0" applyNumberFormat="1" applyFont="1" applyFill="1" applyBorder="1" applyAlignment="1" applyProtection="1">
      <alignment horizontal="right"/>
    </xf>
    <xf numFmtId="168" fontId="14"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9"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1" fillId="17" borderId="2" xfId="0" quotePrefix="1" applyNumberFormat="1" applyFont="1" applyFill="1" applyBorder="1" applyAlignment="1">
      <alignment vertical="center"/>
    </xf>
    <xf numFmtId="2" fontId="1" fillId="17" borderId="3" xfId="0" quotePrefix="1" applyNumberFormat="1" applyFont="1" applyFill="1" applyBorder="1" applyAlignment="1">
      <alignment vertical="center"/>
    </xf>
    <xf numFmtId="9" fontId="0" fillId="17" borderId="0" xfId="33" applyFont="1" applyFill="1" applyAlignment="1">
      <alignment vertical="center"/>
    </xf>
    <xf numFmtId="2" fontId="64" fillId="0" borderId="0" xfId="0" applyNumberFormat="1" applyFont="1" applyAlignment="1">
      <alignment horizontal="left"/>
    </xf>
    <xf numFmtId="2" fontId="65" fillId="0" borderId="0" xfId="0" applyNumberFormat="1" applyFont="1" applyAlignment="1">
      <alignment horizontal="left"/>
    </xf>
    <xf numFmtId="17" fontId="60" fillId="0" borderId="0" xfId="0" quotePrefix="1" applyNumberFormat="1" applyFont="1"/>
    <xf numFmtId="0" fontId="60" fillId="0" borderId="0" xfId="0" applyFont="1"/>
    <xf numFmtId="49" fontId="66" fillId="0" borderId="0" xfId="0" applyNumberFormat="1" applyFont="1" applyAlignment="1">
      <alignment horizontal="left"/>
    </xf>
    <xf numFmtId="49" fontId="65" fillId="0" borderId="0" xfId="0" applyNumberFormat="1" applyFont="1" applyAlignment="1">
      <alignment horizontal="left"/>
    </xf>
    <xf numFmtId="0" fontId="65" fillId="7" borderId="0" xfId="0" applyFont="1" applyFill="1" applyAlignment="1">
      <alignment horizontal="center" vertical="center" wrapText="1"/>
    </xf>
    <xf numFmtId="0" fontId="65" fillId="7" borderId="0" xfId="0" applyFont="1" applyFill="1" applyAlignment="1">
      <alignment horizontal="left" vertical="center" wrapText="1"/>
    </xf>
    <xf numFmtId="49" fontId="67" fillId="23" borderId="0" xfId="0" applyNumberFormat="1" applyFont="1" applyFill="1" applyAlignment="1" applyProtection="1">
      <alignment horizontal="left" vertical="center" wrapText="1"/>
      <protection locked="0"/>
    </xf>
    <xf numFmtId="10" fontId="60" fillId="18" borderId="0" xfId="33" applyNumberFormat="1" applyFont="1" applyFill="1" applyAlignment="1" applyProtection="1">
      <alignment horizontal="center"/>
      <protection locked="0"/>
    </xf>
    <xf numFmtId="179" fontId="60" fillId="18" borderId="0" xfId="0" quotePrefix="1" applyNumberFormat="1" applyFont="1" applyFill="1" applyAlignment="1" applyProtection="1">
      <alignment horizontal="center"/>
      <protection locked="0"/>
    </xf>
    <xf numFmtId="179" fontId="60" fillId="18" borderId="0" xfId="0" applyNumberFormat="1" applyFont="1" applyFill="1" applyAlignment="1" applyProtection="1">
      <alignment horizontal="center"/>
      <protection locked="0"/>
    </xf>
    <xf numFmtId="0" fontId="65" fillId="21" borderId="0" xfId="0" applyFont="1" applyFill="1" applyBorder="1" applyAlignment="1">
      <alignment horizontal="center" vertical="center"/>
    </xf>
    <xf numFmtId="0" fontId="65" fillId="0" borderId="0" xfId="0" applyFont="1" applyAlignment="1">
      <alignment vertical="center"/>
    </xf>
    <xf numFmtId="0" fontId="60" fillId="5" borderId="0" xfId="7" applyNumberFormat="1" applyFont="1" applyFill="1" applyAlignment="1" applyProtection="1">
      <alignment horizontal="center" vertical="center"/>
      <protection locked="0"/>
    </xf>
    <xf numFmtId="181" fontId="60" fillId="5" borderId="0" xfId="7" applyNumberFormat="1" applyFont="1" applyFill="1" applyAlignment="1" applyProtection="1">
      <alignment horizontal="center" vertical="center"/>
      <protection locked="0"/>
    </xf>
    <xf numFmtId="180" fontId="60" fillId="5" borderId="0" xfId="0" applyNumberFormat="1" applyFont="1" applyFill="1" applyAlignment="1" applyProtection="1">
      <alignment horizontal="center" vertical="center"/>
      <protection locked="0"/>
    </xf>
    <xf numFmtId="0" fontId="67" fillId="0" borderId="0" xfId="0" applyFont="1"/>
    <xf numFmtId="0" fontId="68" fillId="7" borderId="0" xfId="0" applyFont="1" applyFill="1" applyAlignment="1">
      <alignment horizontal="center" vertical="center" wrapText="1"/>
    </xf>
    <xf numFmtId="0" fontId="68" fillId="7" borderId="0" xfId="0" applyFont="1" applyFill="1" applyAlignment="1">
      <alignment vertical="center" wrapText="1"/>
    </xf>
    <xf numFmtId="183" fontId="67" fillId="22" borderId="0" xfId="0" applyNumberFormat="1" applyFont="1" applyFill="1" applyAlignment="1">
      <alignment horizontal="center" vertical="center"/>
    </xf>
    <xf numFmtId="0" fontId="69" fillId="0" borderId="0" xfId="0" applyFont="1" applyAlignment="1">
      <alignment wrapText="1"/>
    </xf>
    <xf numFmtId="0" fontId="70" fillId="0" borderId="0" xfId="0" applyFont="1"/>
    <xf numFmtId="0" fontId="71" fillId="0" borderId="0" xfId="0" applyFont="1"/>
    <xf numFmtId="0" fontId="73" fillId="0" borderId="0" xfId="0" applyFont="1" applyAlignment="1">
      <alignment horizontal="center"/>
    </xf>
    <xf numFmtId="0" fontId="72" fillId="0" borderId="0" xfId="0" applyFont="1"/>
    <xf numFmtId="0" fontId="71" fillId="24" borderId="0" xfId="0" applyFont="1" applyFill="1" applyAlignment="1">
      <alignment horizontal="right"/>
    </xf>
    <xf numFmtId="0" fontId="73" fillId="0" borderId="61" xfId="0" applyFont="1" applyBorder="1"/>
    <xf numFmtId="0" fontId="71" fillId="0" borderId="25" xfId="0" applyFont="1" applyBorder="1"/>
    <xf numFmtId="0" fontId="74" fillId="0" borderId="61" xfId="0" applyFont="1" applyBorder="1"/>
    <xf numFmtId="0" fontId="69" fillId="0" borderId="0" xfId="0" applyFont="1"/>
    <xf numFmtId="0" fontId="71" fillId="0" borderId="0" xfId="0" applyFont="1" applyAlignment="1">
      <alignment wrapText="1"/>
    </xf>
    <xf numFmtId="49" fontId="75" fillId="25" borderId="0" xfId="0" applyNumberFormat="1" applyFont="1" applyFill="1" applyAlignment="1">
      <alignment horizontal="center" vertical="center" wrapText="1"/>
    </xf>
    <xf numFmtId="49" fontId="75" fillId="25" borderId="0" xfId="0" applyNumberFormat="1" applyFont="1" applyFill="1" applyAlignment="1">
      <alignment horizontal="left" vertical="center" wrapText="1"/>
    </xf>
    <xf numFmtId="182" fontId="0" fillId="23" borderId="0" xfId="0" applyNumberFormat="1" applyFill="1" applyAlignment="1" applyProtection="1">
      <alignment horizontal="center" vertical="center"/>
      <protection locked="0"/>
    </xf>
    <xf numFmtId="0" fontId="76" fillId="0" borderId="84" xfId="0" applyFont="1" applyBorder="1" applyAlignment="1" applyProtection="1">
      <alignment vertical="center"/>
      <protection locked="0"/>
    </xf>
    <xf numFmtId="0" fontId="71" fillId="0" borderId="0" xfId="0" applyFont="1" applyAlignment="1"/>
    <xf numFmtId="0" fontId="72" fillId="0" borderId="0" xfId="0" applyFont="1" applyFill="1" applyBorder="1"/>
    <xf numFmtId="0" fontId="4" fillId="0" borderId="0" xfId="12" applyFont="1" applyFill="1" applyBorder="1" applyAlignment="1">
      <alignment wrapText="1"/>
    </xf>
    <xf numFmtId="0" fontId="72" fillId="0" borderId="0" xfId="0" applyFont="1" applyFill="1" applyBorder="1" applyAlignment="1">
      <alignment wrapText="1"/>
    </xf>
    <xf numFmtId="0" fontId="72" fillId="0" borderId="0" xfId="0" applyFont="1" applyFill="1" applyBorder="1" applyAlignment="1"/>
    <xf numFmtId="0" fontId="80" fillId="0" borderId="0" xfId="12" quotePrefix="1" applyFont="1" applyFill="1" applyBorder="1" applyAlignment="1">
      <alignment wrapText="1"/>
    </xf>
    <xf numFmtId="0" fontId="80" fillId="0" borderId="0" xfId="12" applyFont="1" applyFill="1" applyBorder="1" applyAlignment="1">
      <alignment wrapText="1"/>
    </xf>
    <xf numFmtId="10" fontId="80"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60" fillId="5" borderId="0" xfId="33" applyNumberFormat="1" applyFont="1" applyFill="1" applyAlignment="1" applyProtection="1">
      <alignment horizontal="center" vertical="center" wrapText="1"/>
      <protection locked="0"/>
    </xf>
    <xf numFmtId="9" fontId="1" fillId="0" borderId="2" xfId="33" applyFont="1" applyBorder="1" applyAlignment="1">
      <alignment vertical="top" wrapText="1"/>
    </xf>
    <xf numFmtId="0" fontId="1" fillId="0" borderId="3" xfId="0" applyFont="1" applyBorder="1" applyAlignment="1">
      <alignment vertical="top" wrapText="1"/>
    </xf>
    <xf numFmtId="9" fontId="1" fillId="0" borderId="3" xfId="33" applyFont="1" applyBorder="1" applyAlignment="1">
      <alignment vertical="top" wrapText="1"/>
    </xf>
    <xf numFmtId="0" fontId="65" fillId="0" borderId="0" xfId="0" applyFont="1" applyAlignment="1">
      <alignment horizontal="left"/>
    </xf>
    <xf numFmtId="49" fontId="81" fillId="0" borderId="0" xfId="0" applyNumberFormat="1" applyFont="1" applyAlignment="1">
      <alignment horizontal="left" vertical="center"/>
    </xf>
    <xf numFmtId="49" fontId="82" fillId="0" borderId="0" xfId="0" applyNumberFormat="1" applyFont="1" applyAlignment="1">
      <alignment horizontal="left"/>
    </xf>
    <xf numFmtId="174" fontId="8" fillId="2" borderId="66" xfId="0" applyNumberFormat="1" applyFont="1" applyFill="1" applyBorder="1" applyAlignment="1">
      <alignment horizontal="right" vertical="center"/>
    </xf>
    <xf numFmtId="0" fontId="1" fillId="0" borderId="0" xfId="16" applyFont="1" applyAlignment="1" applyProtection="1">
      <alignment horizontal="center" vertical="center"/>
    </xf>
    <xf numFmtId="164" fontId="1" fillId="10" borderId="28" xfId="33" applyNumberFormat="1" applyFont="1" applyFill="1" applyBorder="1" applyAlignment="1" applyProtection="1">
      <alignment horizontal="center" vertical="center"/>
    </xf>
    <xf numFmtId="167" fontId="4" fillId="10" borderId="27" xfId="16" applyNumberFormat="1" applyFont="1" applyFill="1" applyBorder="1" applyAlignment="1" applyProtection="1">
      <alignment horizontal="center" vertical="center"/>
    </xf>
    <xf numFmtId="167" fontId="4" fillId="10" borderId="5" xfId="16" applyNumberFormat="1" applyFont="1" applyFill="1" applyBorder="1" applyAlignment="1" applyProtection="1">
      <alignment horizontal="center" vertical="center"/>
    </xf>
    <xf numFmtId="167" fontId="4" fillId="10" borderId="28" xfId="16" applyNumberFormat="1" applyFont="1" applyFill="1" applyBorder="1" applyAlignment="1" applyProtection="1">
      <alignment horizontal="center" vertical="center"/>
    </xf>
    <xf numFmtId="167" fontId="4" fillId="10" borderId="4" xfId="16" applyNumberFormat="1" applyFont="1" applyFill="1" applyBorder="1" applyAlignment="1" applyProtection="1">
      <alignment horizontal="center" vertical="center"/>
    </xf>
    <xf numFmtId="164" fontId="4" fillId="10" borderId="28" xfId="16" applyNumberFormat="1" applyFont="1" applyFill="1" applyBorder="1" applyAlignment="1" applyProtection="1">
      <alignment horizontal="center" vertical="center"/>
    </xf>
    <xf numFmtId="167" fontId="1" fillId="0" borderId="17" xfId="16" applyNumberFormat="1" applyFont="1" applyFill="1" applyBorder="1" applyAlignment="1" applyProtection="1">
      <alignment horizontal="center" vertical="center"/>
    </xf>
    <xf numFmtId="167" fontId="1" fillId="0" borderId="0" xfId="16" applyNumberFormat="1" applyFont="1" applyFill="1" applyBorder="1" applyAlignment="1" applyProtection="1">
      <alignment horizontal="center" vertical="center"/>
    </xf>
    <xf numFmtId="167" fontId="1" fillId="0" borderId="22" xfId="16" applyNumberFormat="1" applyFont="1" applyFill="1" applyBorder="1" applyAlignment="1" applyProtection="1">
      <alignment horizontal="center" vertical="center"/>
    </xf>
    <xf numFmtId="167" fontId="1" fillId="0" borderId="0" xfId="16" applyNumberFormat="1" applyFont="1" applyBorder="1" applyAlignment="1" applyProtection="1">
      <alignment horizontal="center" vertical="center"/>
    </xf>
    <xf numFmtId="167" fontId="1" fillId="0" borderId="22" xfId="16" applyNumberFormat="1" applyFont="1" applyBorder="1" applyAlignment="1" applyProtection="1">
      <alignment horizontal="center" vertical="center"/>
    </xf>
    <xf numFmtId="164" fontId="1" fillId="0" borderId="22" xfId="33" applyNumberFormat="1" applyFont="1" applyBorder="1" applyAlignment="1" applyProtection="1">
      <alignment horizontal="center" vertical="center"/>
    </xf>
    <xf numFmtId="167" fontId="1" fillId="10" borderId="29" xfId="16" applyNumberFormat="1" applyFont="1" applyFill="1" applyBorder="1" applyAlignment="1" applyProtection="1">
      <alignment horizontal="center" vertical="center"/>
    </xf>
    <xf numFmtId="167" fontId="1" fillId="10" borderId="30" xfId="16" applyNumberFormat="1" applyFont="1" applyFill="1" applyBorder="1" applyAlignment="1" applyProtection="1">
      <alignment horizontal="center" vertical="center"/>
    </xf>
    <xf numFmtId="167" fontId="1" fillId="10" borderId="31" xfId="16" applyNumberFormat="1" applyFont="1" applyFill="1" applyBorder="1" applyAlignment="1" applyProtection="1">
      <alignment horizontal="center" vertical="center"/>
    </xf>
    <xf numFmtId="164" fontId="1" fillId="10" borderId="31" xfId="33" applyNumberFormat="1" applyFont="1" applyFill="1" applyBorder="1" applyAlignment="1" applyProtection="1">
      <alignment horizontal="center" vertical="center"/>
    </xf>
    <xf numFmtId="174" fontId="19" fillId="9" borderId="49" xfId="0" applyNumberFormat="1" applyFont="1" applyFill="1" applyBorder="1" applyAlignment="1" applyProtection="1">
      <alignment horizontal="right"/>
      <protection locked="0"/>
    </xf>
    <xf numFmtId="174" fontId="8" fillId="2" borderId="63" xfId="0" applyNumberFormat="1" applyFont="1" applyFill="1" applyBorder="1" applyAlignment="1">
      <alignment horizontal="right"/>
    </xf>
    <xf numFmtId="174" fontId="8" fillId="2" borderId="38" xfId="0" applyNumberFormat="1" applyFont="1" applyFill="1" applyBorder="1" applyAlignment="1">
      <alignment horizontal="right"/>
    </xf>
    <xf numFmtId="174" fontId="19" fillId="9" borderId="29" xfId="0" applyNumberFormat="1" applyFont="1" applyFill="1" applyBorder="1" applyAlignment="1" applyProtection="1">
      <alignment horizontal="right"/>
      <protection locked="0"/>
    </xf>
    <xf numFmtId="174" fontId="19" fillId="9" borderId="65" xfId="0" applyNumberFormat="1" applyFont="1" applyFill="1" applyBorder="1" applyAlignment="1" applyProtection="1">
      <alignment horizontal="right"/>
      <protection locked="0"/>
    </xf>
    <xf numFmtId="174" fontId="8" fillId="2" borderId="66" xfId="0" applyNumberFormat="1" applyFont="1" applyFill="1" applyBorder="1" applyAlignment="1">
      <alignment horizontal="right"/>
    </xf>
    <xf numFmtId="174" fontId="8" fillId="2" borderId="62" xfId="0" applyNumberFormat="1" applyFont="1" applyFill="1" applyBorder="1" applyAlignment="1">
      <alignment horizontal="right"/>
    </xf>
    <xf numFmtId="174" fontId="8" fillId="2" borderId="64" xfId="0" applyNumberFormat="1" applyFont="1" applyFill="1" applyBorder="1" applyAlignment="1">
      <alignment horizontal="right"/>
    </xf>
    <xf numFmtId="174" fontId="8" fillId="2" borderId="61" xfId="0" applyNumberFormat="1" applyFont="1" applyFill="1" applyBorder="1" applyAlignment="1">
      <alignment horizontal="right"/>
    </xf>
    <xf numFmtId="174" fontId="19" fillId="9" borderId="5" xfId="0" applyNumberFormat="1" applyFont="1" applyFill="1" applyBorder="1" applyAlignment="1" applyProtection="1">
      <protection locked="0"/>
    </xf>
    <xf numFmtId="174" fontId="19" fillId="9" borderId="38" xfId="0" applyNumberFormat="1" applyFont="1" applyFill="1" applyBorder="1" applyAlignment="1" applyProtection="1">
      <protection locked="0"/>
    </xf>
    <xf numFmtId="174" fontId="8" fillId="2" borderId="63" xfId="0" applyNumberFormat="1" applyFont="1" applyFill="1" applyBorder="1" applyAlignment="1"/>
    <xf numFmtId="174" fontId="19" fillId="9" borderId="64" xfId="0" applyNumberFormat="1" applyFont="1" applyFill="1" applyBorder="1" applyAlignment="1" applyProtection="1">
      <protection locked="0"/>
    </xf>
    <xf numFmtId="174" fontId="8" fillId="2" borderId="64" xfId="0" applyNumberFormat="1" applyFont="1" applyFill="1" applyBorder="1" applyAlignment="1"/>
    <xf numFmtId="174" fontId="8" fillId="2" borderId="61" xfId="0" applyNumberFormat="1" applyFont="1" applyFill="1" applyBorder="1" applyAlignment="1"/>
    <xf numFmtId="174" fontId="13" fillId="2" borderId="62" xfId="0" applyNumberFormat="1" applyFont="1" applyFill="1" applyBorder="1" applyAlignment="1"/>
    <xf numFmtId="174" fontId="13" fillId="2" borderId="64" xfId="0" applyNumberFormat="1" applyFont="1" applyFill="1" applyBorder="1" applyAlignment="1"/>
    <xf numFmtId="174" fontId="0" fillId="2" borderId="61" xfId="0" applyNumberFormat="1" applyFill="1" applyBorder="1" applyAlignment="1"/>
    <xf numFmtId="0" fontId="15" fillId="0" borderId="0" xfId="0" applyFont="1" applyBorder="1" applyAlignment="1" applyProtection="1">
      <alignment wrapText="1"/>
    </xf>
    <xf numFmtId="0" fontId="40" fillId="0" borderId="0" xfId="0" applyFont="1" applyFill="1" applyBorder="1" applyAlignment="1"/>
    <xf numFmtId="174" fontId="13" fillId="0" borderId="61" xfId="0" applyNumberFormat="1" applyFont="1" applyFill="1" applyBorder="1" applyAlignment="1"/>
    <xf numFmtId="174" fontId="8" fillId="0" borderId="38" xfId="0" applyNumberFormat="1" applyFont="1" applyFill="1" applyBorder="1" applyAlignment="1" applyProtection="1">
      <protection locked="0"/>
    </xf>
    <xf numFmtId="184" fontId="19" fillId="9" borderId="4" xfId="7" applyNumberFormat="1" applyFont="1" applyFill="1" applyBorder="1" applyAlignment="1" applyProtection="1">
      <alignment horizontal="center" vertical="center"/>
      <protection locked="0"/>
    </xf>
    <xf numFmtId="184" fontId="13" fillId="0" borderId="21" xfId="7" applyNumberFormat="1" applyFont="1" applyBorder="1" applyProtection="1"/>
    <xf numFmtId="184" fontId="8" fillId="0" borderId="0" xfId="7" applyNumberFormat="1" applyFont="1" applyFill="1" applyBorder="1" applyAlignment="1" applyProtection="1">
      <alignment horizontal="center" vertical="center"/>
    </xf>
    <xf numFmtId="184" fontId="14" fillId="2" borderId="74" xfId="7" applyNumberFormat="1" applyFont="1" applyFill="1" applyBorder="1" applyAlignment="1" applyProtection="1">
      <alignment horizontal="right"/>
    </xf>
    <xf numFmtId="184" fontId="0" fillId="0" borderId="0" xfId="7" applyNumberFormat="1" applyFont="1" applyBorder="1" applyAlignment="1"/>
    <xf numFmtId="184" fontId="8" fillId="0" borderId="4" xfId="7" applyNumberFormat="1" applyFont="1" applyFill="1" applyBorder="1" applyAlignment="1" applyProtection="1">
      <alignment horizontal="right" vertical="center"/>
    </xf>
    <xf numFmtId="184" fontId="0" fillId="0" borderId="4" xfId="7" applyNumberFormat="1" applyFont="1" applyBorder="1" applyAlignment="1"/>
    <xf numFmtId="43" fontId="0" fillId="0" borderId="1" xfId="7" applyFont="1" applyBorder="1"/>
    <xf numFmtId="43" fontId="0" fillId="0" borderId="6" xfId="7" applyFont="1" applyBorder="1"/>
    <xf numFmtId="43" fontId="0" fillId="0" borderId="8" xfId="7" applyFont="1" applyBorder="1"/>
    <xf numFmtId="43" fontId="0" fillId="0" borderId="9" xfId="7" applyFont="1" applyBorder="1"/>
    <xf numFmtId="43" fontId="0" fillId="0" borderId="10" xfId="7" applyFont="1" applyBorder="1"/>
    <xf numFmtId="43" fontId="5" fillId="0" borderId="2" xfId="7" applyFont="1" applyBorder="1"/>
    <xf numFmtId="43" fontId="5" fillId="0" borderId="10" xfId="7" applyFont="1" applyBorder="1"/>
    <xf numFmtId="43" fontId="0" fillId="0" borderId="11" xfId="7" applyFont="1" applyBorder="1"/>
    <xf numFmtId="43" fontId="0" fillId="0" borderId="12" xfId="7" applyFont="1" applyBorder="1"/>
    <xf numFmtId="43" fontId="5" fillId="0" borderId="3" xfId="7" applyFont="1" applyBorder="1"/>
    <xf numFmtId="43" fontId="5" fillId="0" borderId="12" xfId="7" applyFont="1" applyBorder="1"/>
    <xf numFmtId="43" fontId="4" fillId="0" borderId="3" xfId="7" applyFont="1" applyFill="1" applyBorder="1" applyAlignment="1">
      <alignment vertical="center"/>
    </xf>
    <xf numFmtId="181" fontId="0" fillId="0" borderId="6" xfId="7" applyNumberFormat="1" applyFont="1" applyBorder="1"/>
    <xf numFmtId="181" fontId="0" fillId="0" borderId="9" xfId="7" applyNumberFormat="1" applyFont="1" applyBorder="1"/>
    <xf numFmtId="181" fontId="0" fillId="0" borderId="11" xfId="7" applyNumberFormat="1" applyFont="1" applyBorder="1"/>
    <xf numFmtId="181" fontId="0" fillId="0" borderId="7" xfId="7" applyNumberFormat="1" applyFont="1" applyBorder="1"/>
    <xf numFmtId="1" fontId="15" fillId="0" borderId="17" xfId="25" applyNumberFormat="1" applyFont="1" applyBorder="1" applyAlignment="1" applyProtection="1">
      <alignment horizontal="center" vertical="center" wrapText="1"/>
    </xf>
    <xf numFmtId="1" fontId="15" fillId="0" borderId="22" xfId="25" applyNumberFormat="1" applyFont="1" applyBorder="1" applyAlignment="1" applyProtection="1">
      <alignment horizontal="center" vertical="center" wrapText="1"/>
    </xf>
    <xf numFmtId="1" fontId="15" fillId="0" borderId="25" xfId="25" quotePrefix="1" applyNumberFormat="1" applyFont="1" applyBorder="1" applyAlignment="1" applyProtection="1">
      <alignment horizontal="center"/>
    </xf>
    <xf numFmtId="1" fontId="15" fillId="0" borderId="25" xfId="25" applyNumberFormat="1" applyFont="1" applyBorder="1" applyAlignment="1" applyProtection="1">
      <alignment horizontal="center"/>
    </xf>
    <xf numFmtId="1" fontId="15" fillId="0" borderId="26" xfId="25" applyNumberFormat="1" applyFont="1" applyBorder="1" applyAlignment="1" applyProtection="1">
      <alignment horizontal="center"/>
    </xf>
    <xf numFmtId="1" fontId="15" fillId="0" borderId="0" xfId="25" applyNumberFormat="1" applyFont="1" applyBorder="1" applyAlignment="1" applyProtection="1">
      <alignment horizontal="center" vertical="center" wrapText="1"/>
    </xf>
    <xf numFmtId="1" fontId="15" fillId="0" borderId="32" xfId="25" applyNumberFormat="1" applyFont="1" applyBorder="1" applyAlignment="1" applyProtection="1">
      <alignment horizontal="center" vertical="center" wrapText="1"/>
    </xf>
    <xf numFmtId="1" fontId="15" fillId="0" borderId="33" xfId="25" applyNumberFormat="1" applyFont="1" applyBorder="1" applyAlignment="1" applyProtection="1">
      <alignment horizontal="center" vertical="center" wrapText="1"/>
    </xf>
    <xf numFmtId="1" fontId="15" fillId="0" borderId="39" xfId="25" applyNumberFormat="1" applyFont="1" applyBorder="1" applyAlignment="1" applyProtection="1">
      <alignment horizontal="center" vertical="center" wrapText="1"/>
    </xf>
    <xf numFmtId="1" fontId="15" fillId="0" borderId="13" xfId="25" applyNumberFormat="1" applyFont="1" applyBorder="1" applyAlignment="1" applyProtection="1">
      <alignment horizontal="center" vertical="center" wrapText="1"/>
    </xf>
    <xf numFmtId="1" fontId="15" fillId="0" borderId="14" xfId="25" applyNumberFormat="1" applyFont="1" applyBorder="1" applyAlignment="1" applyProtection="1">
      <alignment horizontal="center" vertical="center" wrapText="1"/>
    </xf>
    <xf numFmtId="1" fontId="15" fillId="0" borderId="19" xfId="25" applyNumberFormat="1" applyFont="1" applyBorder="1" applyAlignment="1" applyProtection="1">
      <alignment horizontal="center" vertical="center" wrapText="1"/>
    </xf>
    <xf numFmtId="1" fontId="15" fillId="0" borderId="20" xfId="25" applyNumberFormat="1" applyFont="1" applyBorder="1" applyAlignment="1" applyProtection="1">
      <alignment horizontal="center" vertical="center" wrapText="1"/>
    </xf>
    <xf numFmtId="1" fontId="15" fillId="0" borderId="21" xfId="25" applyNumberFormat="1" applyFont="1" applyBorder="1" applyAlignment="1" applyProtection="1">
      <alignment horizontal="center" vertical="center" wrapText="1"/>
    </xf>
    <xf numFmtId="1" fontId="15" fillId="0" borderId="23" xfId="25" applyNumberFormat="1" applyFont="1" applyBorder="1" applyAlignment="1" applyProtection="1">
      <alignment horizontal="center" vertical="center" wrapText="1"/>
    </xf>
    <xf numFmtId="0" fontId="44" fillId="0" borderId="34" xfId="16" applyFont="1" applyBorder="1" applyAlignment="1" applyProtection="1">
      <alignment horizontal="center" vertical="center"/>
    </xf>
    <xf numFmtId="0" fontId="4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4" fillId="0" borderId="46" xfId="16" applyFont="1" applyBorder="1" applyAlignment="1" applyProtection="1">
      <alignment horizontal="center" vertical="center"/>
    </xf>
    <xf numFmtId="0" fontId="44" fillId="0" borderId="57" xfId="16" applyFont="1" applyBorder="1" applyAlignment="1" applyProtection="1">
      <alignment horizontal="center" vertical="center"/>
    </xf>
    <xf numFmtId="0" fontId="44" fillId="0" borderId="34" xfId="19" applyFont="1" applyFill="1" applyBorder="1" applyAlignment="1" applyProtection="1">
      <alignment horizontal="center" vertical="center"/>
    </xf>
    <xf numFmtId="0" fontId="44" fillId="0" borderId="49" xfId="19" applyFont="1" applyFill="1" applyBorder="1" applyAlignment="1" applyProtection="1">
      <alignment horizontal="center" vertical="center"/>
    </xf>
    <xf numFmtId="0" fontId="44" fillId="0" borderId="46" xfId="19" applyFont="1" applyBorder="1" applyAlignment="1" applyProtection="1">
      <alignment horizontal="center" vertical="center"/>
    </xf>
    <xf numFmtId="0" fontId="44" fillId="0" borderId="57" xfId="19" applyFont="1" applyBorder="1" applyAlignment="1" applyProtection="1">
      <alignment horizontal="center" vertical="center"/>
    </xf>
    <xf numFmtId="0" fontId="44" fillId="0" borderId="34" xfId="19" applyFont="1" applyBorder="1" applyAlignment="1" applyProtection="1">
      <alignment horizontal="center"/>
    </xf>
    <xf numFmtId="0" fontId="44" fillId="0" borderId="49" xfId="19" applyFont="1" applyBorder="1" applyAlignment="1" applyProtection="1">
      <alignment horizontal="center"/>
    </xf>
    <xf numFmtId="0" fontId="44" fillId="0" borderId="32" xfId="16" applyFont="1" applyBorder="1" applyAlignment="1" applyProtection="1">
      <alignment horizontal="center" vertical="center" wrapText="1"/>
    </xf>
    <xf numFmtId="0" fontId="44" fillId="0" borderId="63" xfId="16" applyFont="1" applyBorder="1" applyAlignment="1" applyProtection="1">
      <alignment horizontal="center" vertical="center" wrapText="1"/>
    </xf>
    <xf numFmtId="0" fontId="44" fillId="0" borderId="51" xfId="16" applyFont="1" applyBorder="1" applyAlignment="1" applyProtection="1">
      <alignment horizontal="center" vertical="center" wrapText="1"/>
    </xf>
    <xf numFmtId="0" fontId="44" fillId="0" borderId="18" xfId="16" applyFont="1" applyBorder="1" applyAlignment="1" applyProtection="1">
      <alignment horizontal="center" vertical="center" wrapText="1"/>
    </xf>
    <xf numFmtId="0" fontId="44" fillId="0" borderId="69" xfId="16" applyFont="1" applyBorder="1" applyAlignment="1" applyProtection="1">
      <alignment horizontal="center" vertical="center"/>
    </xf>
    <xf numFmtId="0" fontId="44" fillId="0" borderId="47" xfId="16" applyFont="1" applyBorder="1" applyAlignment="1" applyProtection="1">
      <alignment horizontal="center" vertical="center"/>
    </xf>
    <xf numFmtId="0" fontId="4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4" fillId="0" borderId="24" xfId="16" applyFont="1" applyFill="1" applyBorder="1" applyAlignment="1" applyProtection="1">
      <alignment horizontal="center"/>
    </xf>
    <xf numFmtId="0" fontId="44" fillId="0" borderId="25" xfId="16" applyFont="1" applyFill="1" applyBorder="1" applyAlignment="1" applyProtection="1">
      <alignment horizontal="center"/>
    </xf>
    <xf numFmtId="0" fontId="44" fillId="0" borderId="26" xfId="16" applyFont="1" applyFill="1" applyBorder="1" applyAlignment="1" applyProtection="1">
      <alignment horizontal="center"/>
    </xf>
    <xf numFmtId="0" fontId="44" fillId="0" borderId="32" xfId="16" applyFont="1" applyBorder="1" applyAlignment="1" applyProtection="1">
      <alignment horizontal="center"/>
    </xf>
    <xf numFmtId="0" fontId="44" fillId="0" borderId="33" xfId="16" applyFont="1" applyBorder="1" applyAlignment="1" applyProtection="1">
      <alignment horizontal="center"/>
    </xf>
    <xf numFmtId="0" fontId="44" fillId="0" borderId="63" xfId="16" applyFont="1" applyBorder="1" applyAlignment="1" applyProtection="1">
      <alignment horizontal="center"/>
    </xf>
    <xf numFmtId="0" fontId="44" fillId="0" borderId="32" xfId="28" applyFont="1" applyFill="1" applyBorder="1" applyAlignment="1" applyProtection="1">
      <alignment horizontal="center" vertical="center" wrapText="1"/>
    </xf>
    <xf numFmtId="0" fontId="44" fillId="0" borderId="63" xfId="28" applyFont="1" applyFill="1" applyBorder="1" applyAlignment="1" applyProtection="1">
      <alignment horizontal="center" vertical="center" wrapText="1"/>
    </xf>
    <xf numFmtId="0" fontId="4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4" fillId="0" borderId="13" xfId="23" applyFont="1" applyFill="1" applyBorder="1" applyAlignment="1" applyProtection="1">
      <alignment horizontal="center" vertical="center"/>
    </xf>
    <xf numFmtId="0" fontId="44" fillId="0" borderId="19" xfId="23" applyFont="1" applyFill="1" applyBorder="1" applyAlignment="1" applyProtection="1">
      <alignment horizontal="center" vertical="center"/>
    </xf>
    <xf numFmtId="0" fontId="44" fillId="0" borderId="17" xfId="23" applyFont="1" applyFill="1" applyBorder="1" applyAlignment="1" applyProtection="1">
      <alignment horizontal="center" vertical="center"/>
    </xf>
    <xf numFmtId="0" fontId="44" fillId="0" borderId="22" xfId="23" applyFont="1" applyFill="1" applyBorder="1" applyAlignment="1" applyProtection="1">
      <alignment horizontal="center" vertical="center"/>
    </xf>
    <xf numFmtId="0" fontId="44" fillId="0" borderId="51" xfId="23" applyFont="1" applyFill="1" applyBorder="1" applyAlignment="1" applyProtection="1">
      <alignment horizontal="center" vertical="center"/>
    </xf>
    <xf numFmtId="0" fontId="44" fillId="0" borderId="52" xfId="23" applyFont="1" applyFill="1" applyBorder="1" applyAlignment="1" applyProtection="1">
      <alignment horizontal="center" vertical="center"/>
    </xf>
    <xf numFmtId="0" fontId="44" fillId="0" borderId="55" xfId="28" applyFont="1" applyFill="1" applyBorder="1" applyAlignment="1" applyProtection="1">
      <alignment horizontal="left" vertical="center"/>
    </xf>
    <xf numFmtId="0" fontId="44" fillId="0" borderId="37" xfId="28" applyFont="1" applyFill="1" applyBorder="1" applyAlignment="1" applyProtection="1">
      <alignment horizontal="left" vertical="center"/>
    </xf>
    <xf numFmtId="0" fontId="44" fillId="0" borderId="27" xfId="23" applyFont="1" applyBorder="1" applyAlignment="1" applyProtection="1">
      <alignment horizontal="left" vertical="center"/>
    </xf>
    <xf numFmtId="0" fontId="30" fillId="0" borderId="37" xfId="0" applyFont="1" applyBorder="1" applyAlignment="1" applyProtection="1">
      <alignment horizontal="left" vertical="center"/>
    </xf>
    <xf numFmtId="0" fontId="30" fillId="0" borderId="49" xfId="0" applyFont="1" applyBorder="1" applyAlignment="1" applyProtection="1">
      <alignment horizontal="left" vertical="center"/>
    </xf>
    <xf numFmtId="0" fontId="44" fillId="0" borderId="49" xfId="23" applyFont="1" applyBorder="1" applyAlignment="1" applyProtection="1">
      <alignment horizontal="left" vertical="center" wrapText="1"/>
    </xf>
    <xf numFmtId="0" fontId="44" fillId="0" borderId="27" xfId="23" applyFont="1" applyBorder="1" applyAlignment="1" applyProtection="1">
      <alignment horizontal="left" vertical="center" wrapText="1"/>
    </xf>
    <xf numFmtId="0" fontId="44" fillId="0" borderId="55" xfId="23" applyFont="1" applyBorder="1" applyAlignment="1" applyProtection="1">
      <alignment horizontal="left" vertical="center"/>
    </xf>
    <xf numFmtId="0" fontId="44" fillId="0" borderId="7" xfId="15" applyFont="1" applyBorder="1" applyAlignment="1" applyProtection="1">
      <alignment horizontal="center" vertical="center"/>
    </xf>
    <xf numFmtId="0" fontId="44" fillId="0" borderId="16" xfId="15" applyFont="1" applyBorder="1" applyAlignment="1" applyProtection="1">
      <alignment horizontal="center" vertical="center"/>
    </xf>
    <xf numFmtId="0" fontId="44" fillId="0" borderId="44" xfId="15" applyFont="1" applyBorder="1" applyAlignment="1" applyProtection="1">
      <alignment horizontal="center" vertical="center"/>
    </xf>
    <xf numFmtId="0" fontId="48" fillId="0" borderId="66" xfId="15" applyFont="1" applyBorder="1" applyAlignment="1" applyProtection="1">
      <alignment horizontal="center" vertical="center"/>
    </xf>
    <xf numFmtId="0" fontId="48" fillId="0" borderId="63" xfId="15" applyFont="1" applyBorder="1" applyAlignment="1" applyProtection="1">
      <alignment horizontal="center" vertical="center"/>
    </xf>
    <xf numFmtId="0" fontId="44" fillId="0" borderId="69" xfId="15" applyFont="1" applyBorder="1" applyAlignment="1" applyProtection="1">
      <alignment horizontal="center" vertical="center"/>
    </xf>
    <xf numFmtId="0" fontId="44" fillId="0" borderId="48" xfId="15" applyFont="1" applyBorder="1" applyAlignment="1" applyProtection="1">
      <alignment horizontal="center" vertical="center"/>
    </xf>
    <xf numFmtId="0" fontId="44" fillId="0" borderId="47" xfId="15" applyFont="1" applyBorder="1" applyAlignment="1" applyProtection="1">
      <alignment horizontal="center" vertical="center"/>
    </xf>
    <xf numFmtId="0" fontId="44" fillId="0" borderId="55" xfId="15" applyFont="1" applyBorder="1" applyAlignment="1" applyProtection="1">
      <alignment horizontal="center" vertical="center" wrapText="1"/>
    </xf>
    <xf numFmtId="0" fontId="0" fillId="0" borderId="49" xfId="0" applyBorder="1"/>
    <xf numFmtId="0" fontId="44" fillId="0" borderId="37" xfId="15" applyFont="1" applyBorder="1" applyAlignment="1" applyProtection="1">
      <alignment horizontal="center" vertical="center" wrapText="1"/>
    </xf>
    <xf numFmtId="0" fontId="44" fillId="0" borderId="49" xfId="15" applyFont="1" applyBorder="1" applyAlignment="1" applyProtection="1">
      <alignment horizontal="center" vertical="center"/>
    </xf>
    <xf numFmtId="0" fontId="48" fillId="0" borderId="13" xfId="15" applyFont="1" applyBorder="1" applyAlignment="1" applyProtection="1">
      <alignment horizontal="center" vertical="center"/>
    </xf>
    <xf numFmtId="0" fontId="48" fillId="0" borderId="19" xfId="15" applyFont="1" applyBorder="1" applyAlignment="1" applyProtection="1">
      <alignment horizontal="center" vertical="center"/>
    </xf>
    <xf numFmtId="0" fontId="48" fillId="0" borderId="51" xfId="15" applyFont="1" applyBorder="1" applyAlignment="1" applyProtection="1">
      <alignment horizontal="center" vertical="center"/>
    </xf>
    <xf numFmtId="0" fontId="48" fillId="0" borderId="52" xfId="15" applyFont="1" applyBorder="1" applyAlignment="1" applyProtection="1">
      <alignment horizontal="center" vertical="center"/>
    </xf>
    <xf numFmtId="0" fontId="0" fillId="0" borderId="48" xfId="0" applyBorder="1"/>
    <xf numFmtId="0" fontId="0" fillId="0" borderId="47" xfId="0" applyBorder="1"/>
    <xf numFmtId="0" fontId="44" fillId="0" borderId="49" xfId="15" applyFont="1" applyBorder="1" applyAlignment="1" applyProtection="1">
      <alignment horizontal="center" vertical="center" wrapText="1"/>
    </xf>
    <xf numFmtId="0" fontId="44" fillId="0" borderId="11" xfId="15" applyFont="1" applyBorder="1" applyAlignment="1" applyProtection="1">
      <alignment horizontal="center" vertical="center"/>
    </xf>
    <xf numFmtId="0" fontId="44" fillId="0" borderId="18" xfId="15" applyFont="1" applyBorder="1" applyAlignment="1" applyProtection="1">
      <alignment horizontal="center" vertical="center"/>
    </xf>
    <xf numFmtId="0" fontId="44" fillId="0" borderId="52" xfId="15" applyFont="1" applyBorder="1" applyAlignment="1" applyProtection="1">
      <alignment horizontal="center" vertical="center"/>
    </xf>
    <xf numFmtId="0" fontId="44" fillId="0" borderId="55" xfId="15" applyFont="1" applyBorder="1" applyAlignment="1" applyProtection="1">
      <alignment vertical="center" wrapText="1"/>
    </xf>
    <xf numFmtId="0" fontId="44" fillId="0" borderId="49" xfId="15" applyFont="1" applyBorder="1" applyAlignment="1" applyProtection="1">
      <alignment vertical="center"/>
    </xf>
    <xf numFmtId="0" fontId="44" fillId="0" borderId="8" xfId="15" applyFont="1" applyBorder="1" applyAlignment="1" applyProtection="1">
      <alignment horizontal="center" vertical="center" wrapText="1"/>
    </xf>
    <xf numFmtId="0" fontId="44" fillId="0" borderId="12" xfId="15" applyFont="1" applyBorder="1" applyAlignment="1" applyProtection="1">
      <alignment horizontal="center" vertical="center"/>
    </xf>
    <xf numFmtId="0" fontId="44" fillId="0" borderId="69" xfId="15" applyFont="1" applyBorder="1" applyAlignment="1" applyProtection="1">
      <alignment horizontal="center" vertical="center" wrapText="1"/>
    </xf>
    <xf numFmtId="0" fontId="44" fillId="0" borderId="48" xfId="15" applyFont="1" applyBorder="1" applyAlignment="1" applyProtection="1">
      <alignment horizontal="center" vertical="center" wrapText="1"/>
    </xf>
    <xf numFmtId="0" fontId="44" fillId="0" borderId="47" xfId="15" applyFont="1" applyBorder="1" applyAlignment="1" applyProtection="1">
      <alignment horizontal="center" vertical="center" wrapText="1"/>
    </xf>
    <xf numFmtId="0" fontId="44" fillId="0" borderId="7" xfId="15" applyFont="1" applyBorder="1" applyAlignment="1" applyProtection="1">
      <alignment horizontal="center" vertical="center" wrapText="1"/>
    </xf>
    <xf numFmtId="0" fontId="44" fillId="0" borderId="16" xfId="15" applyFont="1" applyBorder="1" applyAlignment="1" applyProtection="1">
      <alignment horizontal="center" vertical="center" wrapText="1"/>
    </xf>
    <xf numFmtId="0" fontId="44" fillId="0" borderId="44" xfId="15" applyFont="1" applyBorder="1" applyAlignment="1" applyProtection="1">
      <alignment horizontal="center" vertical="center" wrapText="1"/>
    </xf>
    <xf numFmtId="1" fontId="44" fillId="0" borderId="13" xfId="25" applyNumberFormat="1" applyFont="1" applyBorder="1" applyAlignment="1" applyProtection="1">
      <alignment horizontal="center" vertical="center" wrapText="1"/>
    </xf>
    <xf numFmtId="1" fontId="44" fillId="0" borderId="14" xfId="25" applyNumberFormat="1" applyFont="1" applyBorder="1" applyAlignment="1" applyProtection="1">
      <alignment horizontal="center" vertical="center" wrapText="1"/>
    </xf>
    <xf numFmtId="1" fontId="44" fillId="0" borderId="71" xfId="25" applyNumberFormat="1" applyFont="1" applyBorder="1" applyAlignment="1" applyProtection="1">
      <alignment horizontal="center" vertical="center" wrapText="1"/>
    </xf>
    <xf numFmtId="1" fontId="44" fillId="0" borderId="17" xfId="25" applyNumberFormat="1" applyFont="1" applyBorder="1" applyAlignment="1" applyProtection="1">
      <alignment horizontal="center" vertical="center" wrapText="1"/>
    </xf>
    <xf numFmtId="1" fontId="44" fillId="0" borderId="0" xfId="25" applyNumberFormat="1" applyFont="1" applyBorder="1" applyAlignment="1" applyProtection="1">
      <alignment horizontal="center" vertical="center" wrapText="1"/>
    </xf>
    <xf numFmtId="1" fontId="44" fillId="0" borderId="10" xfId="25" applyNumberFormat="1" applyFont="1" applyBorder="1" applyAlignment="1" applyProtection="1">
      <alignment horizontal="center" vertical="center" wrapText="1"/>
    </xf>
    <xf numFmtId="1" fontId="44" fillId="0" borderId="20" xfId="25" applyNumberFormat="1" applyFont="1" applyBorder="1" applyAlignment="1" applyProtection="1">
      <alignment horizontal="center" vertical="center" wrapText="1"/>
    </xf>
    <xf numFmtId="1" fontId="44" fillId="0" borderId="21" xfId="25" applyNumberFormat="1" applyFont="1" applyBorder="1" applyAlignment="1" applyProtection="1">
      <alignment horizontal="center" vertical="center" wrapText="1"/>
    </xf>
    <xf numFmtId="1" fontId="44" fillId="0" borderId="78" xfId="25" applyNumberFormat="1" applyFont="1" applyBorder="1" applyAlignment="1" applyProtection="1">
      <alignment horizontal="center" vertical="center" wrapText="1"/>
    </xf>
    <xf numFmtId="1" fontId="4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15" fillId="0" borderId="1" xfId="32" applyFont="1" applyBorder="1" applyAlignment="1">
      <alignment horizontal="center" textRotation="90" wrapText="1"/>
    </xf>
    <xf numFmtId="0" fontId="15" fillId="0" borderId="2" xfId="32" applyFont="1" applyBorder="1" applyAlignment="1">
      <alignment horizontal="center" textRotation="90" wrapText="1"/>
    </xf>
    <xf numFmtId="0" fontId="15" fillId="0" borderId="3" xfId="32" applyFont="1" applyBorder="1" applyAlignment="1">
      <alignment horizontal="center" textRotation="90" wrapText="1"/>
    </xf>
    <xf numFmtId="0" fontId="14" fillId="0" borderId="1" xfId="32" applyFont="1" applyBorder="1" applyAlignment="1">
      <alignment horizontal="center" textRotation="90" wrapText="1"/>
    </xf>
    <xf numFmtId="0" fontId="14" fillId="0" borderId="2" xfId="32" applyFont="1" applyBorder="1" applyAlignment="1">
      <alignment horizontal="center" textRotation="90" wrapText="1"/>
    </xf>
    <xf numFmtId="0" fontId="14" fillId="0" borderId="3" xfId="32" applyFont="1" applyBorder="1" applyAlignment="1">
      <alignment horizontal="center" textRotation="90" wrapText="1"/>
    </xf>
    <xf numFmtId="0" fontId="14" fillId="5" borderId="7" xfId="32" applyFont="1" applyFill="1" applyBorder="1" applyAlignment="1">
      <alignment horizontal="center"/>
    </xf>
    <xf numFmtId="0" fontId="14" fillId="5" borderId="16" xfId="32" applyFont="1" applyFill="1" applyBorder="1" applyAlignment="1">
      <alignment horizontal="center"/>
    </xf>
    <xf numFmtId="0" fontId="14" fillId="5" borderId="5" xfId="32" applyFont="1" applyFill="1" applyBorder="1" applyAlignment="1">
      <alignment horizontal="center"/>
    </xf>
    <xf numFmtId="0" fontId="14" fillId="8" borderId="7" xfId="32" applyFont="1" applyFill="1" applyBorder="1" applyAlignment="1">
      <alignment horizontal="center"/>
    </xf>
    <xf numFmtId="0" fontId="14" fillId="8" borderId="16" xfId="32" applyFont="1" applyFill="1" applyBorder="1" applyAlignment="1">
      <alignment horizontal="center"/>
    </xf>
    <xf numFmtId="0" fontId="14" fillId="8" borderId="5" xfId="32" applyFont="1" applyFill="1" applyBorder="1" applyAlignment="1">
      <alignment horizontal="center"/>
    </xf>
    <xf numFmtId="0" fontId="14" fillId="0" borderId="7" xfId="32" applyFont="1" applyBorder="1" applyAlignment="1">
      <alignment horizontal="center"/>
    </xf>
    <xf numFmtId="0" fontId="14" fillId="0" borderId="16" xfId="32" applyFont="1" applyBorder="1" applyAlignment="1">
      <alignment horizontal="center"/>
    </xf>
    <xf numFmtId="0" fontId="14" fillId="0" borderId="5" xfId="32" applyFont="1" applyBorder="1" applyAlignment="1">
      <alignment horizontal="center"/>
    </xf>
    <xf numFmtId="0" fontId="14" fillId="0" borderId="0" xfId="0" applyFont="1" applyBorder="1" applyAlignment="1" applyProtection="1">
      <alignment horizontal="left" wrapText="1"/>
    </xf>
    <xf numFmtId="0" fontId="14" fillId="0" borderId="0" xfId="0" applyFont="1" applyBorder="1" applyAlignment="1">
      <alignment horizontal="left" wrapText="1"/>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61" fillId="0" borderId="69" xfId="0" applyFont="1" applyBorder="1" applyAlignment="1" applyProtection="1">
      <alignment horizontal="left" vertical="center" wrapText="1"/>
    </xf>
    <xf numFmtId="0" fontId="61" fillId="0" borderId="48" xfId="0" applyFont="1" applyBorder="1" applyAlignment="1" applyProtection="1">
      <alignment horizontal="left" vertical="center" wrapText="1"/>
    </xf>
    <xf numFmtId="0" fontId="61" fillId="0" borderId="47" xfId="0" applyFont="1" applyBorder="1" applyAlignment="1" applyProtection="1">
      <alignment horizontal="left" vertical="center" wrapText="1"/>
    </xf>
    <xf numFmtId="0" fontId="13" fillId="0" borderId="24"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7" fillId="0" borderId="13" xfId="0" applyFont="1" applyBorder="1" applyAlignment="1" applyProtection="1">
      <alignment horizontal="left" vertical="center"/>
    </xf>
    <xf numFmtId="0" fontId="37" fillId="0" borderId="14" xfId="0" applyFont="1" applyBorder="1" applyAlignment="1" applyProtection="1">
      <alignment horizontal="left" vertical="center"/>
    </xf>
    <xf numFmtId="0" fontId="37" fillId="0" borderId="19" xfId="0" applyFont="1" applyBorder="1" applyAlignment="1" applyProtection="1">
      <alignment horizontal="left" vertical="center"/>
    </xf>
    <xf numFmtId="0" fontId="37" fillId="0" borderId="20" xfId="0" applyFont="1" applyBorder="1" applyAlignment="1" applyProtection="1">
      <alignment horizontal="left" vertical="center"/>
    </xf>
    <xf numFmtId="0" fontId="37" fillId="0" borderId="21" xfId="0" applyFont="1" applyBorder="1" applyAlignment="1" applyProtection="1">
      <alignment horizontal="left" vertical="center"/>
    </xf>
    <xf numFmtId="0" fontId="37" fillId="0" borderId="23" xfId="0" applyFont="1" applyBorder="1" applyAlignment="1" applyProtection="1">
      <alignment horizontal="left"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8" fillId="0" borderId="67" xfId="0" applyFont="1" applyBorder="1" applyAlignment="1">
      <alignment horizontal="center" vertical="center"/>
    </xf>
    <xf numFmtId="0" fontId="38" fillId="0" borderId="49" xfId="0" applyFont="1" applyBorder="1" applyAlignment="1">
      <alignment horizontal="center" vertical="center"/>
    </xf>
    <xf numFmtId="0" fontId="38" fillId="0" borderId="27" xfId="0" applyFont="1" applyBorder="1" applyAlignment="1">
      <alignment horizontal="center" vertical="center"/>
    </xf>
    <xf numFmtId="0" fontId="38"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8" fillId="0" borderId="34" xfId="0" applyFont="1" applyBorder="1" applyAlignment="1">
      <alignment horizontal="center" vertical="center"/>
    </xf>
    <xf numFmtId="0" fontId="38" fillId="0" borderId="37" xfId="0" applyFont="1" applyBorder="1" applyAlignment="1">
      <alignment horizontal="center"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8" fillId="0" borderId="55" xfId="0" applyFont="1" applyBorder="1" applyAlignment="1">
      <alignment horizontal="center" vertical="center"/>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38" fillId="0" borderId="55"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9" fillId="9" borderId="55" xfId="0" applyNumberFormat="1" applyFont="1" applyFill="1" applyBorder="1" applyAlignment="1" applyProtection="1">
      <alignment horizontal="right" vertical="center"/>
      <protection locked="0"/>
    </xf>
    <xf numFmtId="174" fontId="19" fillId="9" borderId="37" xfId="0" applyNumberFormat="1" applyFont="1" applyFill="1" applyBorder="1" applyAlignment="1" applyProtection="1">
      <alignment horizontal="right" vertical="center"/>
      <protection locked="0"/>
    </xf>
    <xf numFmtId="174" fontId="19" fillId="9" borderId="49" xfId="0" applyNumberFormat="1" applyFont="1" applyFill="1" applyBorder="1" applyAlignment="1" applyProtection="1">
      <alignment horizontal="right" vertical="center"/>
      <protection locked="0"/>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9" xfId="0" applyFont="1" applyBorder="1" applyAlignment="1">
      <alignment horizontal="left"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3" xfId="0" applyFont="1" applyBorder="1" applyAlignment="1">
      <alignment horizontal="left" vertical="center"/>
    </xf>
    <xf numFmtId="174" fontId="19" fillId="9" borderId="34"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32" xfId="0" applyNumberFormat="1" applyFont="1" applyFill="1" applyBorder="1" applyAlignment="1">
      <alignment horizontal="right" vertical="center"/>
    </xf>
    <xf numFmtId="0" fontId="15" fillId="16" borderId="24" xfId="0" applyFont="1" applyFill="1" applyBorder="1" applyAlignment="1" applyProtection="1">
      <alignment horizontal="center" vertical="center"/>
    </xf>
    <xf numFmtId="0" fontId="15" fillId="16" borderId="25" xfId="0" applyFont="1" applyFill="1" applyBorder="1" applyAlignment="1" applyProtection="1">
      <alignment horizontal="center" vertical="center"/>
    </xf>
    <xf numFmtId="0" fontId="15" fillId="16" borderId="26" xfId="0" applyFont="1" applyFill="1" applyBorder="1" applyAlignment="1" applyProtection="1">
      <alignment horizontal="center" vertical="center"/>
    </xf>
    <xf numFmtId="0" fontId="15"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5" fillId="5" borderId="24" xfId="0" applyFont="1" applyFill="1" applyBorder="1" applyAlignment="1" applyProtection="1">
      <alignment horizontal="center" vertical="center"/>
    </xf>
    <xf numFmtId="0" fontId="15" fillId="5" borderId="25" xfId="0" applyFont="1" applyFill="1" applyBorder="1" applyAlignment="1" applyProtection="1">
      <alignment horizontal="center" vertical="center"/>
    </xf>
    <xf numFmtId="0" fontId="15" fillId="5" borderId="26"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0" fontId="15" fillId="0" borderId="24" xfId="0" applyFont="1" applyBorder="1" applyAlignment="1" applyProtection="1">
      <alignment horizontal="left" vertical="center"/>
    </xf>
    <xf numFmtId="0" fontId="15" fillId="0" borderId="26" xfId="0" applyFont="1" applyBorder="1" applyAlignment="1" applyProtection="1">
      <alignment horizontal="left" vertical="center"/>
    </xf>
    <xf numFmtId="0" fontId="38" fillId="0" borderId="13" xfId="0" applyFont="1" applyFill="1" applyBorder="1" applyAlignment="1">
      <alignment horizontal="left" vertical="center"/>
    </xf>
    <xf numFmtId="0" fontId="38" fillId="0" borderId="19" xfId="0" applyFont="1" applyFill="1" applyBorder="1" applyAlignment="1">
      <alignment horizontal="left" vertical="center"/>
    </xf>
    <xf numFmtId="0" fontId="38" fillId="0" borderId="20" xfId="0" applyFont="1" applyFill="1" applyBorder="1" applyAlignment="1">
      <alignment horizontal="left" vertical="center"/>
    </xf>
    <xf numFmtId="0" fontId="38" fillId="0" borderId="23" xfId="0" applyFont="1" applyFill="1" applyBorder="1" applyAlignment="1">
      <alignment horizontal="left" vertical="center"/>
    </xf>
    <xf numFmtId="0" fontId="14" fillId="0" borderId="43" xfId="0" applyFont="1" applyBorder="1" applyAlignment="1" applyProtection="1">
      <alignment horizontal="left" vertical="center" indent="1"/>
    </xf>
    <xf numFmtId="0" fontId="14" fillId="0" borderId="44" xfId="0" applyFont="1" applyBorder="1" applyAlignment="1" applyProtection="1">
      <alignment horizontal="left" vertical="center" indent="1"/>
    </xf>
    <xf numFmtId="0" fontId="14" fillId="0" borderId="59" xfId="0" applyFont="1" applyBorder="1" applyAlignment="1" applyProtection="1">
      <alignment horizontal="left" vertical="center" indent="1"/>
    </xf>
    <xf numFmtId="0" fontId="14" fillId="0" borderId="60" xfId="0" applyFont="1" applyBorder="1" applyAlignment="1" applyProtection="1">
      <alignment horizontal="left" vertical="center" indent="1"/>
    </xf>
    <xf numFmtId="0" fontId="14" fillId="0" borderId="24" xfId="0" applyFont="1" applyBorder="1" applyAlignment="1">
      <alignment horizontal="left" vertical="center" indent="1"/>
    </xf>
    <xf numFmtId="0" fontId="14" fillId="0" borderId="26" xfId="0" applyFont="1" applyBorder="1" applyAlignment="1">
      <alignment horizontal="left" vertical="center" indent="1"/>
    </xf>
    <xf numFmtId="0" fontId="14" fillId="0" borderId="69" xfId="0" applyFont="1" applyBorder="1" applyAlignment="1" applyProtection="1">
      <alignment horizontal="left" vertical="center" indent="1"/>
    </xf>
    <xf numFmtId="0" fontId="14" fillId="0" borderId="47" xfId="0" applyFont="1" applyBorder="1" applyAlignment="1" applyProtection="1">
      <alignment horizontal="left" vertical="center" indent="1"/>
    </xf>
    <xf numFmtId="0" fontId="32" fillId="5" borderId="24" xfId="0" applyFont="1" applyFill="1" applyBorder="1" applyAlignment="1">
      <alignment horizontal="left" vertical="center" indent="1"/>
    </xf>
    <xf numFmtId="0" fontId="32" fillId="5" borderId="25" xfId="0" applyFont="1" applyFill="1" applyBorder="1" applyAlignment="1">
      <alignment horizontal="left" vertical="center" indent="1"/>
    </xf>
    <xf numFmtId="0" fontId="32" fillId="8" borderId="24" xfId="0" applyFont="1" applyFill="1" applyBorder="1" applyAlignment="1">
      <alignment horizontal="left" vertical="center" indent="1"/>
    </xf>
    <xf numFmtId="0" fontId="32" fillId="8" borderId="25" xfId="0" applyFont="1" applyFill="1" applyBorder="1" applyAlignment="1">
      <alignment horizontal="left" vertical="center" indent="1"/>
    </xf>
    <xf numFmtId="0" fontId="38" fillId="0" borderId="17" xfId="0" applyFont="1" applyBorder="1" applyAlignment="1">
      <alignment horizontal="left" vertical="center"/>
    </xf>
    <xf numFmtId="0" fontId="38" fillId="0" borderId="22" xfId="0" applyFont="1" applyBorder="1" applyAlignment="1">
      <alignment horizontal="left" vertical="center"/>
    </xf>
    <xf numFmtId="0" fontId="13" fillId="8" borderId="24" xfId="0" applyFont="1" applyFill="1" applyBorder="1" applyAlignment="1">
      <alignment horizontal="left" vertical="center" indent="1"/>
    </xf>
    <xf numFmtId="0" fontId="13" fillId="8" borderId="26" xfId="0" applyFont="1" applyFill="1" applyBorder="1" applyAlignment="1">
      <alignment horizontal="left" vertical="center" indent="1"/>
    </xf>
    <xf numFmtId="0" fontId="32" fillId="0" borderId="24" xfId="0" applyFont="1" applyBorder="1" applyAlignment="1">
      <alignment horizontal="left" vertical="center"/>
    </xf>
    <xf numFmtId="0" fontId="32" fillId="0" borderId="26" xfId="0" applyFont="1" applyBorder="1" applyAlignment="1">
      <alignment horizontal="left" vertical="center"/>
    </xf>
    <xf numFmtId="0" fontId="13" fillId="0" borderId="69" xfId="0" applyFont="1" applyBorder="1" applyAlignment="1">
      <alignment horizontal="left" vertical="center"/>
    </xf>
    <xf numFmtId="0" fontId="13" fillId="0" borderId="47" xfId="0" applyFont="1" applyBorder="1" applyAlignment="1">
      <alignment horizontal="left"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40" xfId="0" applyFont="1" applyBorder="1" applyAlignment="1">
      <alignment horizontal="center" vertical="center"/>
    </xf>
    <xf numFmtId="0" fontId="13" fillId="8" borderId="20" xfId="0" applyFont="1" applyFill="1" applyBorder="1" applyAlignment="1" applyProtection="1">
      <alignment horizontal="center" vertical="center" wrapText="1"/>
    </xf>
    <xf numFmtId="0" fontId="13" fillId="8" borderId="23" xfId="0" applyFont="1" applyFill="1" applyBorder="1" applyAlignment="1" applyProtection="1">
      <alignment horizontal="center" vertical="center" wrapText="1"/>
    </xf>
    <xf numFmtId="0" fontId="13" fillId="0" borderId="34" xfId="0" applyFont="1" applyBorder="1" applyAlignment="1">
      <alignment horizontal="center" vertical="center" wrapText="1"/>
    </xf>
    <xf numFmtId="0" fontId="13" fillId="0" borderId="40" xfId="0" applyFont="1" applyBorder="1" applyAlignment="1">
      <alignment horizontal="center" vertical="center" wrapText="1"/>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14" fillId="0" borderId="0"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178" fontId="57" fillId="9" borderId="17" xfId="0" applyNumberFormat="1" applyFont="1" applyFill="1" applyBorder="1" applyAlignment="1" applyProtection="1">
      <alignment horizontal="center" vertical="center"/>
      <protection locked="0"/>
    </xf>
    <xf numFmtId="178" fontId="57" fillId="9" borderId="10" xfId="0" applyNumberFormat="1" applyFont="1" applyFill="1" applyBorder="1" applyAlignment="1" applyProtection="1">
      <alignment horizontal="center" vertical="center"/>
      <protection locked="0"/>
    </xf>
    <xf numFmtId="178" fontId="15" fillId="0" borderId="43" xfId="0" applyNumberFormat="1" applyFont="1" applyBorder="1" applyAlignment="1">
      <alignment horizontal="center" vertical="center"/>
    </xf>
    <xf numFmtId="178" fontId="15" fillId="0" borderId="5" xfId="0" applyNumberFormat="1" applyFont="1" applyBorder="1" applyAlignment="1">
      <alignment horizontal="center" vertical="center"/>
    </xf>
    <xf numFmtId="0" fontId="15" fillId="0" borderId="32" xfId="0" applyFont="1" applyBorder="1" applyAlignment="1">
      <alignment horizontal="center" vertical="center" wrapText="1"/>
    </xf>
    <xf numFmtId="0" fontId="15" fillId="0" borderId="63" xfId="0" applyFont="1" applyBorder="1" applyAlignment="1">
      <alignment horizontal="center" vertical="center" wrapText="1"/>
    </xf>
    <xf numFmtId="178" fontId="15" fillId="0" borderId="69" xfId="0" applyNumberFormat="1" applyFont="1" applyBorder="1" applyAlignment="1">
      <alignment horizontal="center" vertical="center" wrapText="1"/>
    </xf>
    <xf numFmtId="178" fontId="15" fillId="0" borderId="83" xfId="0" applyNumberFormat="1" applyFont="1" applyBorder="1" applyAlignment="1">
      <alignment horizontal="center" vertical="center" wrapText="1"/>
    </xf>
    <xf numFmtId="0" fontId="37"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4" fillId="4" borderId="7" xfId="0" quotePrefix="1" applyFont="1" applyFill="1" applyBorder="1" applyAlignment="1">
      <alignment horizontal="center" wrapText="1"/>
    </xf>
    <xf numFmtId="0" fontId="4" fillId="4" borderId="5" xfId="0" quotePrefix="1" applyFont="1" applyFill="1" applyBorder="1" applyAlignment="1">
      <alignment horizontal="center" wrapText="1"/>
    </xf>
    <xf numFmtId="0" fontId="0" fillId="0" borderId="1" xfId="0" applyBorder="1" applyAlignment="1">
      <alignment horizontal="center" vertical="center"/>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4" fillId="4" borderId="16"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1" fillId="0" borderId="5" xfId="0" quotePrefix="1" applyFont="1" applyBorder="1" applyAlignment="1">
      <alignment horizontal="center" vertical="center" wrapText="1"/>
    </xf>
    <xf numFmtId="0" fontId="22"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16" fillId="0" borderId="18" xfId="0" applyFont="1" applyFill="1" applyBorder="1" applyAlignment="1">
      <alignment horizontal="center" vertical="top" wrapText="1"/>
    </xf>
    <xf numFmtId="0" fontId="22" fillId="0" borderId="18" xfId="0" applyFont="1" applyFill="1" applyBorder="1" applyAlignment="1">
      <alignment horizontal="center" vertical="top" wrapText="1"/>
    </xf>
    <xf numFmtId="0" fontId="5" fillId="0" borderId="4" xfId="0" applyFont="1" applyBorder="1" applyAlignment="1">
      <alignment horizontal="center" vertical="center" wrapText="1"/>
    </xf>
    <xf numFmtId="0" fontId="16" fillId="0" borderId="0" xfId="0" applyFont="1" applyFill="1" applyBorder="1" applyAlignment="1">
      <alignment horizontal="center" vertical="top" wrapText="1"/>
    </xf>
    <xf numFmtId="0" fontId="22"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4" fillId="0" borderId="7" xfId="32" applyNumberFormat="1" applyFont="1" applyBorder="1" applyAlignment="1" applyProtection="1">
      <alignment horizontal="center" vertical="center" wrapText="1"/>
    </xf>
    <xf numFmtId="167" fontId="14" fillId="0" borderId="16" xfId="32" applyNumberFormat="1" applyFont="1" applyBorder="1" applyAlignment="1" applyProtection="1">
      <alignment horizontal="center" vertical="center" wrapText="1"/>
    </xf>
    <xf numFmtId="167" fontId="14"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3"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4" fillId="5" borderId="1" xfId="32" applyFont="1" applyFill="1" applyBorder="1" applyAlignment="1">
      <alignment horizontal="center" vertical="center" wrapText="1"/>
    </xf>
    <xf numFmtId="0" fontId="14" fillId="5" borderId="2" xfId="32" applyFont="1" applyFill="1" applyBorder="1" applyAlignment="1">
      <alignment horizontal="center" vertical="center" wrapText="1"/>
    </xf>
    <xf numFmtId="0" fontId="14" fillId="5" borderId="3" xfId="32" applyFont="1" applyFill="1" applyBorder="1" applyAlignment="1">
      <alignment horizontal="center" vertical="center" wrapText="1"/>
    </xf>
    <xf numFmtId="0" fontId="14" fillId="6" borderId="1" xfId="32" applyFont="1" applyFill="1" applyBorder="1" applyAlignment="1">
      <alignment horizontal="center" vertical="center" wrapText="1"/>
    </xf>
    <xf numFmtId="0" fontId="14" fillId="6" borderId="2" xfId="32" applyFont="1" applyFill="1" applyBorder="1" applyAlignment="1">
      <alignment horizontal="center" vertical="center" wrapText="1"/>
    </xf>
    <xf numFmtId="0" fontId="14" fillId="6" borderId="3" xfId="32" applyFont="1" applyFill="1" applyBorder="1" applyAlignment="1">
      <alignment horizontal="center" vertical="center" wrapText="1"/>
    </xf>
    <xf numFmtId="0" fontId="14" fillId="0" borderId="1" xfId="32" applyFont="1" applyBorder="1" applyAlignment="1">
      <alignment horizontal="center" vertical="center" wrapText="1"/>
    </xf>
    <xf numFmtId="0" fontId="14" fillId="0" borderId="2" xfId="32" applyFont="1" applyBorder="1" applyAlignment="1">
      <alignment horizontal="center" vertical="center" wrapText="1"/>
    </xf>
    <xf numFmtId="0" fontId="14" fillId="0" borderId="3" xfId="32" applyFont="1" applyBorder="1" applyAlignment="1">
      <alignment horizontal="center" vertical="center" wrapText="1"/>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8" borderId="9" xfId="33" applyFont="1" applyFill="1" applyBorder="1" applyAlignment="1">
      <alignment horizontal="center"/>
    </xf>
    <xf numFmtId="9" fontId="0" fillId="18" borderId="0" xfId="33" applyFont="1" applyFill="1" applyBorder="1" applyAlignment="1">
      <alignment horizontal="center"/>
    </xf>
    <xf numFmtId="0" fontId="0" fillId="18" borderId="0" xfId="0" applyFill="1" applyBorder="1" applyAlignment="1">
      <alignment horizontal="center"/>
    </xf>
    <xf numFmtId="0" fontId="22" fillId="0" borderId="7" xfId="0" applyFont="1" applyBorder="1" applyAlignment="1">
      <alignment horizontal="center" vertical="top" wrapText="1"/>
    </xf>
    <xf numFmtId="0" fontId="22" fillId="0" borderId="16" xfId="0" applyFont="1" applyBorder="1" applyAlignment="1">
      <alignment horizontal="center" vertical="top" wrapText="1"/>
    </xf>
    <xf numFmtId="0" fontId="22" fillId="0" borderId="5" xfId="0" applyFont="1" applyBorder="1" applyAlignment="1">
      <alignment horizontal="center" vertical="top" wrapText="1"/>
    </xf>
    <xf numFmtId="0" fontId="22" fillId="0" borderId="21" xfId="0" applyFont="1" applyBorder="1" applyAlignment="1">
      <alignment horizontal="center"/>
    </xf>
    <xf numFmtId="0" fontId="4" fillId="4" borderId="4" xfId="0" applyFont="1" applyFill="1" applyBorder="1" applyAlignment="1">
      <alignment horizontal="center" vertical="top" wrapText="1"/>
    </xf>
  </cellXfs>
  <cellStyles count="119">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Radio" checked="Checked" firstButton="1" fmlaLink="$B$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19</xdr:row>
          <xdr:rowOff>38100</xdr:rowOff>
        </xdr:from>
        <xdr:to>
          <xdr:col>2</xdr:col>
          <xdr:colOff>819150</xdr:colOff>
          <xdr:row>19</xdr:row>
          <xdr:rowOff>285750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38100</xdr:rowOff>
        </xdr:from>
        <xdr:to>
          <xdr:col>3</xdr:col>
          <xdr:colOff>1009650</xdr:colOff>
          <xdr:row>19</xdr:row>
          <xdr:rowOff>285750</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ENW_Main_FBPQ.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aster%20RRP%200708%20v7-1-PR%20(inc%20LPN%20test%20data)%20forma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ColWidth="22.28515625" defaultRowHeight="15"/>
  <cols>
    <col min="1" max="1" width="22.28515625" style="1767"/>
    <col min="2" max="2" width="84.140625" style="1767" bestFit="1" customWidth="1"/>
    <col min="3" max="16384" width="22.28515625" style="1767"/>
  </cols>
  <sheetData>
    <row r="1" spans="1:5" ht="19.5">
      <c r="A1" s="1764" t="str">
        <f>"Index from Method M ("&amp;Inputs!B19&amp;") for "&amp;Inputs!B6&amp;" in "&amp;Inputs!C6&amp;"  Status: "&amp;Inputs!D6&amp;""</f>
        <v>Index from Method M (LR1) for Electricity North West in 2014/15  Status: 2007/08</v>
      </c>
    </row>
    <row r="3" spans="1:5">
      <c r="A3" s="1816" t="s">
        <v>1008</v>
      </c>
    </row>
    <row r="4" spans="1:5">
      <c r="A4" s="1816" t="s">
        <v>1009</v>
      </c>
    </row>
    <row r="5" spans="1:5">
      <c r="A5" s="1816" t="s">
        <v>1010</v>
      </c>
    </row>
    <row r="6" spans="1:5">
      <c r="A6" s="1816"/>
    </row>
    <row r="7" spans="1:5">
      <c r="A7" s="1816" t="s">
        <v>1011</v>
      </c>
    </row>
    <row r="8" spans="1:5">
      <c r="A8" s="1816"/>
    </row>
    <row r="9" spans="1:5" s="1815" customFormat="1">
      <c r="A9" s="1771" t="s">
        <v>1001</v>
      </c>
      <c r="B9" s="1771" t="s">
        <v>1003</v>
      </c>
      <c r="C9" s="1767"/>
      <c r="D9" s="1767"/>
      <c r="E9" s="1767"/>
    </row>
    <row r="10" spans="1:5">
      <c r="A10" s="1767" t="s">
        <v>1002</v>
      </c>
      <c r="B10" s="1767" t="s">
        <v>1007</v>
      </c>
    </row>
    <row r="11" spans="1:5">
      <c r="A11" s="1767" t="s">
        <v>933</v>
      </c>
      <c r="B11" s="1767" t="s">
        <v>1004</v>
      </c>
    </row>
    <row r="12" spans="1:5">
      <c r="A12" s="1767" t="s">
        <v>934</v>
      </c>
      <c r="B12" s="1767" t="s">
        <v>1004</v>
      </c>
    </row>
    <row r="13" spans="1:5">
      <c r="A13" s="1767" t="s">
        <v>935</v>
      </c>
      <c r="B13" s="1767" t="s">
        <v>1004</v>
      </c>
    </row>
    <row r="14" spans="1:5">
      <c r="A14" s="1767" t="s">
        <v>936</v>
      </c>
      <c r="B14" s="1767" t="s">
        <v>1004</v>
      </c>
    </row>
    <row r="15" spans="1:5">
      <c r="A15" s="1767" t="s">
        <v>937</v>
      </c>
      <c r="B15" s="1767" t="s">
        <v>1004</v>
      </c>
    </row>
    <row r="16" spans="1:5">
      <c r="A16" s="1767" t="s">
        <v>938</v>
      </c>
      <c r="B16" s="1767" t="s">
        <v>1004</v>
      </c>
    </row>
    <row r="17" spans="1:2">
      <c r="A17" s="1767" t="s">
        <v>939</v>
      </c>
      <c r="B17" s="1767" t="s">
        <v>1004</v>
      </c>
    </row>
    <row r="18" spans="1:2">
      <c r="A18" s="1767" t="s">
        <v>940</v>
      </c>
      <c r="B18" s="1767" t="s">
        <v>1004</v>
      </c>
    </row>
    <row r="19" spans="1:2">
      <c r="A19" s="1767" t="s">
        <v>941</v>
      </c>
      <c r="B19" s="1767" t="s">
        <v>1004</v>
      </c>
    </row>
    <row r="20" spans="1:2">
      <c r="A20" s="1767" t="s">
        <v>942</v>
      </c>
      <c r="B20" s="1767" t="s">
        <v>1004</v>
      </c>
    </row>
    <row r="21" spans="1:2">
      <c r="A21" s="1767" t="s">
        <v>943</v>
      </c>
      <c r="B21" s="1767" t="s">
        <v>1004</v>
      </c>
    </row>
    <row r="22" spans="1:2">
      <c r="A22" s="1767" t="s">
        <v>944</v>
      </c>
      <c r="B22" s="1767" t="s">
        <v>1004</v>
      </c>
    </row>
    <row r="23" spans="1:2">
      <c r="A23" s="1767" t="s">
        <v>945</v>
      </c>
      <c r="B23" s="1767" t="s">
        <v>1004</v>
      </c>
    </row>
    <row r="24" spans="1:2">
      <c r="A24" s="1767" t="s">
        <v>946</v>
      </c>
      <c r="B24" s="1767" t="s">
        <v>1004</v>
      </c>
    </row>
    <row r="25" spans="1:2">
      <c r="A25" s="1767" t="s">
        <v>932</v>
      </c>
      <c r="B25" s="1767" t="s">
        <v>1005</v>
      </c>
    </row>
    <row r="26" spans="1:2">
      <c r="A26" s="1767" t="s">
        <v>947</v>
      </c>
      <c r="B26" s="1767" t="s">
        <v>1006</v>
      </c>
    </row>
    <row r="27" spans="1:2">
      <c r="A27" s="1767" t="s">
        <v>948</v>
      </c>
      <c r="B27" s="1767" t="s">
        <v>1014</v>
      </c>
    </row>
    <row r="28" spans="1:2">
      <c r="A28" s="1767" t="s">
        <v>949</v>
      </c>
      <c r="B28" s="1767" t="s">
        <v>1014</v>
      </c>
    </row>
    <row r="29" spans="1:2">
      <c r="A29" s="1767" t="s">
        <v>950</v>
      </c>
      <c r="B29" s="1767" t="s">
        <v>1014</v>
      </c>
    </row>
    <row r="30" spans="1:2">
      <c r="A30" s="1767" t="s">
        <v>951</v>
      </c>
      <c r="B30" s="1767" t="s">
        <v>1014</v>
      </c>
    </row>
    <row r="31" spans="1:2">
      <c r="A31" s="1767" t="s">
        <v>952</v>
      </c>
      <c r="B31" s="1767" t="s">
        <v>1014</v>
      </c>
    </row>
    <row r="32" spans="1:2">
      <c r="A32" s="1767" t="s">
        <v>953</v>
      </c>
      <c r="B32" s="1767" t="s">
        <v>1014</v>
      </c>
    </row>
    <row r="33" spans="1:2">
      <c r="A33" s="1767" t="s">
        <v>955</v>
      </c>
      <c r="B33" s="1767" t="s">
        <v>1015</v>
      </c>
    </row>
    <row r="35" spans="1:2" ht="19.5">
      <c r="A35" s="1817" t="s">
        <v>1012</v>
      </c>
    </row>
    <row r="36" spans="1:2">
      <c r="A36" s="1767" t="s">
        <v>1013</v>
      </c>
    </row>
    <row r="37" spans="1:2">
      <c r="A37" s="1767" t="s">
        <v>1017</v>
      </c>
    </row>
    <row r="38" spans="1:2">
      <c r="A38" s="1767" t="s">
        <v>1016</v>
      </c>
    </row>
  </sheetData>
  <autoFilter ref="A9:B33"/>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1DFFF"/>
    <pageSetUpPr fitToPage="1"/>
  </sheetPr>
  <dimension ref="A1:X137"/>
  <sheetViews>
    <sheetView view="pageBreakPreview" zoomScale="70" zoomScaleNormal="70" zoomScaleSheetLayoutView="70" zoomScalePageLayoutView="70" workbookViewId="0"/>
  </sheetViews>
  <sheetFormatPr defaultColWidth="10.28515625" defaultRowHeight="12.75"/>
  <cols>
    <col min="1" max="1" width="3.28515625" style="920" customWidth="1"/>
    <col min="2" max="2" width="30.85546875" style="920" customWidth="1"/>
    <col min="3" max="3" width="14.42578125" style="920" customWidth="1"/>
    <col min="4" max="25" width="15" style="920" customWidth="1"/>
    <col min="26" max="16384" width="10.28515625" style="920"/>
  </cols>
  <sheetData>
    <row r="1" spans="1:13" s="914" customFormat="1" ht="26.25">
      <c r="A1" s="910" t="s">
        <v>167</v>
      </c>
      <c r="B1" s="911"/>
      <c r="C1" s="912"/>
      <c r="D1" s="912"/>
      <c r="E1" s="912"/>
      <c r="F1" s="912"/>
      <c r="G1" s="913"/>
    </row>
    <row r="2" spans="1:13" s="914" customFormat="1" ht="18">
      <c r="A2" s="911" t="s">
        <v>168</v>
      </c>
      <c r="B2" s="915"/>
    </row>
    <row r="3" spans="1:13" s="918" customFormat="1" ht="27" thickBot="1">
      <c r="A3" s="916" t="s">
        <v>790</v>
      </c>
      <c r="B3" s="917"/>
      <c r="D3" s="919"/>
    </row>
    <row r="5" spans="1:13" s="952" customFormat="1" ht="15.75" customHeight="1">
      <c r="B5" s="1441" t="s">
        <v>791</v>
      </c>
    </row>
    <row r="6" spans="1:13" s="952" customFormat="1" ht="15.75" customHeight="1" thickBot="1"/>
    <row r="7" spans="1:13" s="952" customFormat="1" ht="15.75" customHeight="1">
      <c r="B7" s="1972"/>
      <c r="C7" s="1973"/>
      <c r="D7" s="921" t="s">
        <v>116</v>
      </c>
      <c r="E7" s="922"/>
      <c r="F7" s="922"/>
      <c r="G7" s="922"/>
      <c r="H7" s="923"/>
      <c r="I7" s="921" t="s">
        <v>117</v>
      </c>
      <c r="J7" s="924"/>
      <c r="K7" s="924"/>
      <c r="L7" s="924"/>
      <c r="M7" s="923"/>
    </row>
    <row r="8" spans="1:13" s="952" customFormat="1" ht="15.75" customHeight="1">
      <c r="B8" s="1974"/>
      <c r="C8" s="1975"/>
      <c r="D8" s="925" t="s">
        <v>32</v>
      </c>
      <c r="E8" s="926" t="s">
        <v>33</v>
      </c>
      <c r="F8" s="926" t="s">
        <v>29</v>
      </c>
      <c r="G8" s="926" t="s">
        <v>34</v>
      </c>
      <c r="H8" s="927" t="s">
        <v>35</v>
      </c>
      <c r="I8" s="925" t="s">
        <v>118</v>
      </c>
      <c r="J8" s="926" t="s">
        <v>136</v>
      </c>
      <c r="K8" s="926" t="s">
        <v>137</v>
      </c>
      <c r="L8" s="926" t="s">
        <v>138</v>
      </c>
      <c r="M8" s="927" t="s">
        <v>139</v>
      </c>
    </row>
    <row r="9" spans="1:13" s="952" customFormat="1" ht="15.75" customHeight="1">
      <c r="B9" s="1442" t="s">
        <v>123</v>
      </c>
      <c r="C9" s="1443"/>
      <c r="D9" s="928"/>
      <c r="E9" s="929"/>
      <c r="F9" s="929"/>
      <c r="G9" s="929"/>
      <c r="H9" s="930"/>
      <c r="I9" s="928"/>
      <c r="J9" s="929"/>
      <c r="K9" s="929"/>
      <c r="L9" s="929"/>
      <c r="M9" s="930"/>
    </row>
    <row r="10" spans="1:13" s="952" customFormat="1" ht="15.75" customHeight="1">
      <c r="B10" s="1444" t="s">
        <v>792</v>
      </c>
      <c r="C10" s="1443" t="s">
        <v>14</v>
      </c>
      <c r="D10" s="931">
        <f t="shared" ref="D10:M10" si="0">D37+D46</f>
        <v>0</v>
      </c>
      <c r="E10" s="932">
        <f t="shared" si="0"/>
        <v>0</v>
      </c>
      <c r="F10" s="932">
        <f t="shared" si="0"/>
        <v>0</v>
      </c>
      <c r="G10" s="932">
        <f t="shared" si="0"/>
        <v>0</v>
      </c>
      <c r="H10" s="930">
        <f t="shared" si="0"/>
        <v>0</v>
      </c>
      <c r="I10" s="931">
        <f t="shared" si="0"/>
        <v>0</v>
      </c>
      <c r="J10" s="933">
        <f t="shared" si="0"/>
        <v>0</v>
      </c>
      <c r="K10" s="933">
        <f t="shared" si="0"/>
        <v>0</v>
      </c>
      <c r="L10" s="933">
        <f t="shared" si="0"/>
        <v>0</v>
      </c>
      <c r="M10" s="934">
        <f t="shared" si="0"/>
        <v>0</v>
      </c>
    </row>
    <row r="11" spans="1:13" s="952" customFormat="1" ht="15.75" customHeight="1">
      <c r="B11" s="1444" t="s">
        <v>793</v>
      </c>
      <c r="C11" s="1443" t="s">
        <v>14</v>
      </c>
      <c r="D11" s="935"/>
      <c r="E11" s="935"/>
      <c r="F11" s="935"/>
      <c r="G11" s="935"/>
      <c r="H11" s="936"/>
      <c r="I11" s="937"/>
      <c r="J11" s="938"/>
      <c r="K11" s="938"/>
      <c r="L11" s="938"/>
      <c r="M11" s="939"/>
    </row>
    <row r="12" spans="1:13" s="952" customFormat="1" ht="15.75" customHeight="1">
      <c r="B12" s="1444" t="s">
        <v>794</v>
      </c>
      <c r="C12" s="1443" t="s">
        <v>14</v>
      </c>
      <c r="D12" s="935"/>
      <c r="E12" s="935"/>
      <c r="F12" s="935"/>
      <c r="G12" s="935"/>
      <c r="H12" s="936"/>
      <c r="I12" s="937"/>
      <c r="J12" s="938"/>
      <c r="K12" s="938"/>
      <c r="L12" s="938"/>
      <c r="M12" s="939"/>
    </row>
    <row r="13" spans="1:13" s="952" customFormat="1" ht="15.75" customHeight="1">
      <c r="B13" s="1442" t="s">
        <v>795</v>
      </c>
      <c r="C13" s="1443"/>
      <c r="D13" s="928"/>
      <c r="E13" s="929"/>
      <c r="F13" s="929"/>
      <c r="G13" s="929"/>
      <c r="H13" s="930"/>
      <c r="I13" s="928"/>
      <c r="J13" s="929"/>
      <c r="K13" s="929"/>
      <c r="L13" s="929"/>
      <c r="M13" s="930"/>
    </row>
    <row r="14" spans="1:13" s="952" customFormat="1" ht="15.75" customHeight="1">
      <c r="B14" s="1444" t="s">
        <v>796</v>
      </c>
      <c r="C14" s="1443" t="s">
        <v>14</v>
      </c>
      <c r="D14" s="935"/>
      <c r="E14" s="935"/>
      <c r="F14" s="935"/>
      <c r="G14" s="935"/>
      <c r="H14" s="936"/>
      <c r="I14" s="937"/>
      <c r="J14" s="938"/>
      <c r="K14" s="938"/>
      <c r="L14" s="938"/>
      <c r="M14" s="939"/>
    </row>
    <row r="15" spans="1:13" s="952" customFormat="1" ht="15.75" customHeight="1">
      <c r="B15" s="1444" t="s">
        <v>797</v>
      </c>
      <c r="C15" s="1443" t="s">
        <v>14</v>
      </c>
      <c r="D15" s="935"/>
      <c r="E15" s="935"/>
      <c r="F15" s="935"/>
      <c r="G15" s="935"/>
      <c r="H15" s="936"/>
      <c r="I15" s="937"/>
      <c r="J15" s="938"/>
      <c r="K15" s="938"/>
      <c r="L15" s="938"/>
      <c r="M15" s="939"/>
    </row>
    <row r="16" spans="1:13" s="952" customFormat="1" ht="15.75" customHeight="1">
      <c r="B16" s="1444" t="s">
        <v>798</v>
      </c>
      <c r="C16" s="1443" t="s">
        <v>14</v>
      </c>
      <c r="D16" s="935"/>
      <c r="E16" s="935"/>
      <c r="F16" s="935"/>
      <c r="G16" s="935"/>
      <c r="H16" s="936"/>
      <c r="I16" s="937"/>
      <c r="J16" s="938"/>
      <c r="K16" s="938"/>
      <c r="L16" s="938"/>
      <c r="M16" s="939"/>
    </row>
    <row r="17" spans="2:13" s="952" customFormat="1" ht="15.75" customHeight="1">
      <c r="B17" s="1442" t="s">
        <v>652</v>
      </c>
      <c r="C17" s="1443"/>
      <c r="D17" s="928"/>
      <c r="E17" s="929"/>
      <c r="F17" s="929"/>
      <c r="G17" s="929"/>
      <c r="H17" s="930"/>
      <c r="I17" s="928"/>
      <c r="J17" s="929"/>
      <c r="K17" s="929"/>
      <c r="L17" s="929"/>
      <c r="M17" s="930"/>
    </row>
    <row r="18" spans="2:13" s="952" customFormat="1" ht="15.75" customHeight="1">
      <c r="B18" s="1444" t="s">
        <v>799</v>
      </c>
      <c r="C18" s="1443" t="s">
        <v>14</v>
      </c>
      <c r="D18" s="935"/>
      <c r="E18" s="935"/>
      <c r="F18" s="935"/>
      <c r="G18" s="935"/>
      <c r="H18" s="936"/>
      <c r="I18" s="937"/>
      <c r="J18" s="938"/>
      <c r="K18" s="938"/>
      <c r="L18" s="938"/>
      <c r="M18" s="939"/>
    </row>
    <row r="19" spans="2:13" s="952" customFormat="1" ht="15.75" customHeight="1">
      <c r="B19" s="1444" t="s">
        <v>800</v>
      </c>
      <c r="C19" s="1443" t="s">
        <v>14</v>
      </c>
      <c r="D19" s="935"/>
      <c r="E19" s="935"/>
      <c r="F19" s="935"/>
      <c r="G19" s="935"/>
      <c r="H19" s="936"/>
      <c r="I19" s="937"/>
      <c r="J19" s="938"/>
      <c r="K19" s="938"/>
      <c r="L19" s="938"/>
      <c r="M19" s="939"/>
    </row>
    <row r="20" spans="2:13" s="952" customFormat="1" ht="15.75" customHeight="1">
      <c r="B20" s="1444" t="s">
        <v>801</v>
      </c>
      <c r="C20" s="1443" t="s">
        <v>14</v>
      </c>
      <c r="D20" s="935"/>
      <c r="E20" s="935"/>
      <c r="F20" s="935"/>
      <c r="G20" s="935"/>
      <c r="H20" s="936"/>
      <c r="I20" s="937"/>
      <c r="J20" s="938"/>
      <c r="K20" s="938"/>
      <c r="L20" s="938"/>
      <c r="M20" s="939"/>
    </row>
    <row r="21" spans="2:13" s="952" customFormat="1" ht="15.75" customHeight="1">
      <c r="B21" s="1444" t="s">
        <v>802</v>
      </c>
      <c r="C21" s="1443" t="s">
        <v>14</v>
      </c>
      <c r="D21" s="935"/>
      <c r="E21" s="935"/>
      <c r="F21" s="935"/>
      <c r="G21" s="935"/>
      <c r="H21" s="936"/>
      <c r="I21" s="937"/>
      <c r="J21" s="938"/>
      <c r="K21" s="938"/>
      <c r="L21" s="938"/>
      <c r="M21" s="939"/>
    </row>
    <row r="22" spans="2:13" s="1447" customFormat="1" ht="15.75" customHeight="1">
      <c r="B22" s="1445"/>
      <c r="C22" s="1446" t="s">
        <v>14</v>
      </c>
      <c r="D22" s="935"/>
      <c r="E22" s="935"/>
      <c r="F22" s="935"/>
      <c r="G22" s="935"/>
      <c r="H22" s="936"/>
      <c r="I22" s="937"/>
      <c r="J22" s="938"/>
      <c r="K22" s="938"/>
      <c r="L22" s="938"/>
      <c r="M22" s="939"/>
    </row>
    <row r="23" spans="2:13" s="1447" customFormat="1" ht="15.75" customHeight="1">
      <c r="B23" s="1445" t="s">
        <v>803</v>
      </c>
      <c r="C23" s="1446" t="s">
        <v>14</v>
      </c>
      <c r="D23" s="940"/>
      <c r="E23" s="940"/>
      <c r="F23" s="940"/>
      <c r="G23" s="940"/>
      <c r="H23" s="941"/>
      <c r="I23" s="942"/>
      <c r="J23" s="943"/>
      <c r="K23" s="943"/>
      <c r="L23" s="943"/>
      <c r="M23" s="944"/>
    </row>
    <row r="24" spans="2:13" s="1447" customFormat="1" ht="15.75" customHeight="1">
      <c r="B24" s="1445" t="s">
        <v>804</v>
      </c>
      <c r="C24" s="1446" t="s">
        <v>14</v>
      </c>
      <c r="D24" s="940"/>
      <c r="E24" s="940"/>
      <c r="F24" s="940"/>
      <c r="G24" s="940"/>
      <c r="H24" s="941"/>
      <c r="I24" s="942"/>
      <c r="J24" s="943"/>
      <c r="K24" s="943"/>
      <c r="L24" s="943"/>
      <c r="M24" s="944"/>
    </row>
    <row r="25" spans="2:13" s="1447" customFormat="1" ht="15.75" customHeight="1" thickBot="1">
      <c r="B25" s="1448" t="s">
        <v>246</v>
      </c>
      <c r="C25" s="1449" t="s">
        <v>14</v>
      </c>
      <c r="D25" s="1450">
        <f t="shared" ref="D25:M25" si="1">SUM(D10:D24)</f>
        <v>0</v>
      </c>
      <c r="E25" s="1451">
        <f t="shared" si="1"/>
        <v>0</v>
      </c>
      <c r="F25" s="1451">
        <f t="shared" si="1"/>
        <v>0</v>
      </c>
      <c r="G25" s="1451">
        <f t="shared" si="1"/>
        <v>0</v>
      </c>
      <c r="H25" s="1451">
        <f t="shared" si="1"/>
        <v>0</v>
      </c>
      <c r="I25" s="1450">
        <f t="shared" si="1"/>
        <v>0</v>
      </c>
      <c r="J25" s="1451">
        <f t="shared" si="1"/>
        <v>0</v>
      </c>
      <c r="K25" s="1451">
        <f t="shared" si="1"/>
        <v>0</v>
      </c>
      <c r="L25" s="1451">
        <f t="shared" si="1"/>
        <v>0</v>
      </c>
      <c r="M25" s="1452">
        <f t="shared" si="1"/>
        <v>0</v>
      </c>
    </row>
    <row r="26" spans="2:13" s="952" customFormat="1" ht="15.75" customHeight="1">
      <c r="B26" s="1453"/>
      <c r="C26" s="1454"/>
      <c r="D26" s="1455"/>
      <c r="E26" s="1455"/>
      <c r="F26" s="1455"/>
    </row>
    <row r="27" spans="2:13" s="952" customFormat="1" ht="15.75" customHeight="1"/>
    <row r="28" spans="2:13" s="952" customFormat="1" ht="15.75" customHeight="1">
      <c r="B28" s="1441" t="s">
        <v>805</v>
      </c>
      <c r="C28" s="1441"/>
      <c r="D28" s="1441"/>
      <c r="E28" s="1441"/>
      <c r="F28" s="1441"/>
      <c r="G28" s="1441"/>
      <c r="H28" s="1441"/>
      <c r="I28" s="1441"/>
      <c r="J28" s="1441"/>
      <c r="K28" s="1441"/>
    </row>
    <row r="29" spans="2:13" s="952" customFormat="1" ht="15.75" customHeight="1">
      <c r="B29" s="1441"/>
      <c r="C29" s="1441"/>
      <c r="D29" s="1441"/>
      <c r="E29" s="1441"/>
      <c r="F29" s="1441"/>
      <c r="G29" s="1441"/>
      <c r="H29" s="1441"/>
      <c r="I29" s="1441"/>
      <c r="J29" s="1441"/>
      <c r="K29" s="1441"/>
    </row>
    <row r="30" spans="2:13" s="952" customFormat="1" ht="15.75" customHeight="1" thickBot="1">
      <c r="B30" s="1456" t="s">
        <v>806</v>
      </c>
      <c r="C30" s="1441"/>
      <c r="D30" s="1441"/>
      <c r="E30" s="1441"/>
      <c r="F30" s="1441"/>
      <c r="G30" s="1441"/>
      <c r="H30" s="1441"/>
      <c r="I30" s="1441"/>
      <c r="J30" s="1441"/>
      <c r="K30" s="1441"/>
    </row>
    <row r="31" spans="2:13" s="952" customFormat="1" ht="15.75" customHeight="1">
      <c r="B31" s="1972"/>
      <c r="C31" s="1973"/>
      <c r="D31" s="922" t="s">
        <v>116</v>
      </c>
      <c r="E31" s="922"/>
      <c r="F31" s="922"/>
      <c r="G31" s="922"/>
      <c r="H31" s="923"/>
      <c r="I31" s="921" t="s">
        <v>117</v>
      </c>
      <c r="J31" s="924"/>
      <c r="K31" s="924"/>
      <c r="L31" s="924"/>
      <c r="M31" s="923"/>
    </row>
    <row r="32" spans="2:13" s="952" customFormat="1" ht="15.75" customHeight="1">
      <c r="B32" s="1974"/>
      <c r="C32" s="1975"/>
      <c r="D32" s="945" t="s">
        <v>32</v>
      </c>
      <c r="E32" s="926" t="s">
        <v>33</v>
      </c>
      <c r="F32" s="926" t="s">
        <v>29</v>
      </c>
      <c r="G32" s="926" t="s">
        <v>34</v>
      </c>
      <c r="H32" s="927" t="s">
        <v>35</v>
      </c>
      <c r="I32" s="925" t="s">
        <v>118</v>
      </c>
      <c r="J32" s="926" t="s">
        <v>136</v>
      </c>
      <c r="K32" s="926" t="s">
        <v>137</v>
      </c>
      <c r="L32" s="926" t="s">
        <v>138</v>
      </c>
      <c r="M32" s="927" t="s">
        <v>139</v>
      </c>
    </row>
    <row r="33" spans="2:13" s="952" customFormat="1" ht="15.75" customHeight="1">
      <c r="B33" s="1444" t="s">
        <v>737</v>
      </c>
      <c r="C33" s="1443" t="s">
        <v>14</v>
      </c>
      <c r="D33" s="935"/>
      <c r="E33" s="935"/>
      <c r="F33" s="935"/>
      <c r="G33" s="935"/>
      <c r="H33" s="936"/>
      <c r="I33" s="937"/>
      <c r="J33" s="938"/>
      <c r="K33" s="938"/>
      <c r="L33" s="938"/>
      <c r="M33" s="939"/>
    </row>
    <row r="34" spans="2:13" s="952" customFormat="1" ht="15.75" customHeight="1">
      <c r="B34" s="1444" t="s">
        <v>239</v>
      </c>
      <c r="C34" s="1443" t="s">
        <v>14</v>
      </c>
      <c r="D34" s="935"/>
      <c r="E34" s="935"/>
      <c r="F34" s="935"/>
      <c r="G34" s="935"/>
      <c r="H34" s="936"/>
      <c r="I34" s="937"/>
      <c r="J34" s="938"/>
      <c r="K34" s="938"/>
      <c r="L34" s="938"/>
      <c r="M34" s="939"/>
    </row>
    <row r="35" spans="2:13" s="952" customFormat="1" ht="15.75" customHeight="1">
      <c r="B35" s="1444" t="s">
        <v>245</v>
      </c>
      <c r="C35" s="1443" t="s">
        <v>14</v>
      </c>
      <c r="D35" s="935"/>
      <c r="E35" s="935"/>
      <c r="F35" s="935"/>
      <c r="G35" s="935"/>
      <c r="H35" s="936"/>
      <c r="I35" s="937"/>
      <c r="J35" s="938"/>
      <c r="K35" s="938"/>
      <c r="L35" s="938"/>
      <c r="M35" s="939"/>
    </row>
    <row r="36" spans="2:13" s="952" customFormat="1" ht="15.75" customHeight="1">
      <c r="B36" s="1444" t="s">
        <v>497</v>
      </c>
      <c r="C36" s="1457" t="s">
        <v>14</v>
      </c>
      <c r="D36" s="935"/>
      <c r="E36" s="935"/>
      <c r="F36" s="935"/>
      <c r="G36" s="935"/>
      <c r="H36" s="936"/>
      <c r="I36" s="937"/>
      <c r="J36" s="938"/>
      <c r="K36" s="938"/>
      <c r="L36" s="938"/>
      <c r="M36" s="939"/>
    </row>
    <row r="37" spans="2:13" s="952" customFormat="1" ht="15.75" customHeight="1" thickBot="1">
      <c r="B37" s="1458" t="s">
        <v>246</v>
      </c>
      <c r="C37" s="1459" t="s">
        <v>14</v>
      </c>
      <c r="D37" s="1460">
        <f t="shared" ref="D37:M37" si="2">SUM(D33:D36)</f>
        <v>0</v>
      </c>
      <c r="E37" s="1461">
        <f t="shared" si="2"/>
        <v>0</v>
      </c>
      <c r="F37" s="1461">
        <f t="shared" si="2"/>
        <v>0</v>
      </c>
      <c r="G37" s="1461">
        <f t="shared" si="2"/>
        <v>0</v>
      </c>
      <c r="H37" s="1462">
        <f t="shared" si="2"/>
        <v>0</v>
      </c>
      <c r="I37" s="1463">
        <f t="shared" si="2"/>
        <v>0</v>
      </c>
      <c r="J37" s="1461">
        <f t="shared" si="2"/>
        <v>0</v>
      </c>
      <c r="K37" s="1461">
        <f t="shared" si="2"/>
        <v>0</v>
      </c>
      <c r="L37" s="1461">
        <f t="shared" si="2"/>
        <v>0</v>
      </c>
      <c r="M37" s="1462">
        <f t="shared" si="2"/>
        <v>0</v>
      </c>
    </row>
    <row r="38" spans="2:13" s="952" customFormat="1" ht="15.75" customHeight="1"/>
    <row r="39" spans="2:13" s="952" customFormat="1" ht="15.75" customHeight="1" thickBot="1">
      <c r="B39" s="1456" t="s">
        <v>807</v>
      </c>
      <c r="C39" s="1441"/>
      <c r="D39" s="1441"/>
      <c r="E39" s="1441"/>
      <c r="F39" s="1441"/>
      <c r="G39" s="1441"/>
      <c r="H39" s="1441"/>
      <c r="I39" s="1441"/>
      <c r="J39" s="1441"/>
      <c r="K39" s="1441"/>
    </row>
    <row r="40" spans="2:13" s="952" customFormat="1" ht="15.75" customHeight="1">
      <c r="B40" s="1972"/>
      <c r="C40" s="1973"/>
      <c r="D40" s="922" t="s">
        <v>116</v>
      </c>
      <c r="E40" s="922"/>
      <c r="F40" s="922"/>
      <c r="G40" s="922"/>
      <c r="H40" s="923"/>
      <c r="I40" s="921" t="s">
        <v>117</v>
      </c>
      <c r="J40" s="924"/>
      <c r="K40" s="924"/>
      <c r="L40" s="924"/>
      <c r="M40" s="923"/>
    </row>
    <row r="41" spans="2:13" s="952" customFormat="1" ht="15.75" customHeight="1">
      <c r="B41" s="1974"/>
      <c r="C41" s="1975"/>
      <c r="D41" s="945" t="s">
        <v>32</v>
      </c>
      <c r="E41" s="926" t="s">
        <v>33</v>
      </c>
      <c r="F41" s="926" t="s">
        <v>29</v>
      </c>
      <c r="G41" s="926" t="s">
        <v>34</v>
      </c>
      <c r="H41" s="927" t="s">
        <v>35</v>
      </c>
      <c r="I41" s="925" t="s">
        <v>118</v>
      </c>
      <c r="J41" s="926" t="s">
        <v>136</v>
      </c>
      <c r="K41" s="926" t="s">
        <v>137</v>
      </c>
      <c r="L41" s="926" t="s">
        <v>138</v>
      </c>
      <c r="M41" s="927" t="s">
        <v>139</v>
      </c>
    </row>
    <row r="42" spans="2:13" s="952" customFormat="1" ht="15.75" customHeight="1">
      <c r="B42" s="1444" t="s">
        <v>737</v>
      </c>
      <c r="C42" s="1443" t="s">
        <v>14</v>
      </c>
      <c r="D42" s="946"/>
      <c r="E42" s="947"/>
      <c r="F42" s="935"/>
      <c r="G42" s="935"/>
      <c r="H42" s="936"/>
      <c r="I42" s="937"/>
      <c r="J42" s="938"/>
      <c r="K42" s="938"/>
      <c r="L42" s="938"/>
      <c r="M42" s="939"/>
    </row>
    <row r="43" spans="2:13" s="952" customFormat="1" ht="15.75" customHeight="1">
      <c r="B43" s="1444" t="s">
        <v>239</v>
      </c>
      <c r="C43" s="1443" t="s">
        <v>14</v>
      </c>
      <c r="D43" s="946"/>
      <c r="E43" s="947"/>
      <c r="F43" s="935"/>
      <c r="G43" s="935"/>
      <c r="H43" s="936"/>
      <c r="I43" s="937"/>
      <c r="J43" s="938"/>
      <c r="K43" s="938"/>
      <c r="L43" s="938"/>
      <c r="M43" s="939"/>
    </row>
    <row r="44" spans="2:13" s="952" customFormat="1" ht="15.75" customHeight="1">
      <c r="B44" s="1444" t="s">
        <v>245</v>
      </c>
      <c r="C44" s="1443" t="s">
        <v>14</v>
      </c>
      <c r="D44" s="946"/>
      <c r="E44" s="947"/>
      <c r="F44" s="935"/>
      <c r="G44" s="935"/>
      <c r="H44" s="936"/>
      <c r="I44" s="937"/>
      <c r="J44" s="938"/>
      <c r="K44" s="938"/>
      <c r="L44" s="938"/>
      <c r="M44" s="939"/>
    </row>
    <row r="45" spans="2:13" s="952" customFormat="1" ht="15.75" customHeight="1">
      <c r="B45" s="1444" t="s">
        <v>497</v>
      </c>
      <c r="C45" s="1457" t="s">
        <v>14</v>
      </c>
      <c r="D45" s="946"/>
      <c r="E45" s="947"/>
      <c r="F45" s="935"/>
      <c r="G45" s="935"/>
      <c r="H45" s="936"/>
      <c r="I45" s="937"/>
      <c r="J45" s="938"/>
      <c r="K45" s="938"/>
      <c r="L45" s="938"/>
      <c r="M45" s="939"/>
    </row>
    <row r="46" spans="2:13" s="952" customFormat="1" ht="15.75" customHeight="1" thickBot="1">
      <c r="B46" s="1458" t="s">
        <v>246</v>
      </c>
      <c r="C46" s="1459" t="s">
        <v>14</v>
      </c>
      <c r="D46" s="1460">
        <f t="shared" ref="D46:M46" si="3">SUM(D42:D45)</f>
        <v>0</v>
      </c>
      <c r="E46" s="1461">
        <f t="shared" si="3"/>
        <v>0</v>
      </c>
      <c r="F46" s="1461">
        <f t="shared" si="3"/>
        <v>0</v>
      </c>
      <c r="G46" s="1461">
        <f t="shared" si="3"/>
        <v>0</v>
      </c>
      <c r="H46" s="1462">
        <f t="shared" si="3"/>
        <v>0</v>
      </c>
      <c r="I46" s="1463">
        <f t="shared" si="3"/>
        <v>0</v>
      </c>
      <c r="J46" s="1461">
        <f t="shared" si="3"/>
        <v>0</v>
      </c>
      <c r="K46" s="1461">
        <f t="shared" si="3"/>
        <v>0</v>
      </c>
      <c r="L46" s="1461">
        <f t="shared" si="3"/>
        <v>0</v>
      </c>
      <c r="M46" s="1462">
        <f t="shared" si="3"/>
        <v>0</v>
      </c>
    </row>
    <row r="47" spans="2:13" s="952" customFormat="1" ht="15.75" customHeight="1"/>
    <row r="48" spans="2:13" s="952" customFormat="1" ht="15.75" customHeight="1">
      <c r="B48" s="1441" t="s">
        <v>808</v>
      </c>
      <c r="C48" s="1441"/>
      <c r="D48" s="1441"/>
      <c r="E48" s="1441"/>
      <c r="F48" s="1441"/>
      <c r="G48" s="1441"/>
      <c r="H48" s="1441"/>
      <c r="I48" s="1441"/>
      <c r="J48" s="1441"/>
      <c r="K48" s="1441"/>
      <c r="L48" s="1441"/>
    </row>
    <row r="49" spans="2:24" s="952" customFormat="1" ht="15.75" customHeight="1" thickBot="1">
      <c r="B49" s="1456"/>
      <c r="C49" s="1441"/>
      <c r="D49" s="1441"/>
      <c r="E49" s="1441"/>
      <c r="F49" s="1441"/>
      <c r="G49" s="1441"/>
      <c r="H49" s="1441"/>
      <c r="I49" s="1441"/>
      <c r="J49" s="1441"/>
      <c r="K49" s="1441"/>
      <c r="L49" s="1441"/>
    </row>
    <row r="50" spans="2:24" s="952" customFormat="1" ht="15.75" customHeight="1">
      <c r="B50" s="1464"/>
      <c r="C50" s="1474" t="s">
        <v>809</v>
      </c>
      <c r="D50" s="1475" t="s">
        <v>810</v>
      </c>
      <c r="E50" s="1475" t="s">
        <v>811</v>
      </c>
      <c r="F50" s="1475" t="s">
        <v>812</v>
      </c>
      <c r="G50" s="1475" t="s">
        <v>813</v>
      </c>
      <c r="H50" s="1476" t="s">
        <v>814</v>
      </c>
      <c r="I50" s="1441"/>
    </row>
    <row r="51" spans="2:24" s="952" customFormat="1" ht="15.75" customHeight="1">
      <c r="B51" s="1428" t="s">
        <v>737</v>
      </c>
      <c r="C51" s="948"/>
      <c r="D51" s="949"/>
      <c r="E51" s="950"/>
      <c r="F51" s="949"/>
      <c r="G51" s="949"/>
      <c r="H51" s="951"/>
      <c r="I51" s="1441"/>
    </row>
    <row r="52" spans="2:24" s="952" customFormat="1" ht="15.75" customHeight="1">
      <c r="B52" s="1428" t="s">
        <v>239</v>
      </c>
      <c r="C52" s="948"/>
      <c r="D52" s="949"/>
      <c r="E52" s="950"/>
      <c r="F52" s="949"/>
      <c r="G52" s="949"/>
      <c r="H52" s="951"/>
      <c r="I52" s="1441"/>
    </row>
    <row r="53" spans="2:24" s="952" customFormat="1" ht="15.75" customHeight="1">
      <c r="B53" s="1428" t="s">
        <v>245</v>
      </c>
      <c r="C53" s="948"/>
      <c r="D53" s="949"/>
      <c r="E53" s="950"/>
      <c r="F53" s="949"/>
      <c r="G53" s="949"/>
      <c r="H53" s="951"/>
      <c r="I53" s="1441"/>
    </row>
    <row r="54" spans="2:24" s="952" customFormat="1" ht="15.75" customHeight="1">
      <c r="B54" s="1428" t="s">
        <v>497</v>
      </c>
      <c r="C54" s="948"/>
      <c r="D54" s="949"/>
      <c r="E54" s="950"/>
      <c r="F54" s="949"/>
      <c r="G54" s="949"/>
      <c r="H54" s="951"/>
      <c r="I54" s="1441"/>
    </row>
    <row r="55" spans="2:24" s="952" customFormat="1" ht="15.75" customHeight="1" thickBot="1">
      <c r="B55" s="1434" t="s">
        <v>246</v>
      </c>
      <c r="C55" s="1435">
        <f t="shared" ref="C55:H55" si="4">SUM(C51:C54)</f>
        <v>0</v>
      </c>
      <c r="D55" s="1431">
        <f t="shared" si="4"/>
        <v>0</v>
      </c>
      <c r="E55" s="1431">
        <f t="shared" si="4"/>
        <v>0</v>
      </c>
      <c r="F55" s="1431">
        <f t="shared" si="4"/>
        <v>0</v>
      </c>
      <c r="G55" s="1431">
        <f t="shared" si="4"/>
        <v>0</v>
      </c>
      <c r="H55" s="1465">
        <f t="shared" si="4"/>
        <v>0</v>
      </c>
      <c r="I55" s="1441"/>
    </row>
    <row r="56" spans="2:24" s="952" customFormat="1" ht="15.75" customHeight="1">
      <c r="B56" s="1441"/>
      <c r="C56" s="1441"/>
      <c r="D56" s="1441"/>
      <c r="E56" s="1441"/>
      <c r="F56" s="1441"/>
      <c r="G56" s="1441"/>
      <c r="H56" s="1441"/>
      <c r="I56" s="1441"/>
    </row>
    <row r="57" spans="2:24" s="952" customFormat="1" ht="15.75" customHeight="1" thickBot="1"/>
    <row r="58" spans="2:24" s="952" customFormat="1" ht="15.75" customHeight="1">
      <c r="B58" s="1965" t="s">
        <v>815</v>
      </c>
      <c r="C58" s="1976"/>
      <c r="D58" s="1976"/>
      <c r="E58" s="1976"/>
      <c r="F58" s="1976"/>
      <c r="G58" s="1976"/>
      <c r="H58" s="1977"/>
      <c r="I58" s="1466"/>
      <c r="J58" s="1986" t="s">
        <v>816</v>
      </c>
      <c r="K58" s="1987"/>
      <c r="L58" s="1987"/>
      <c r="M58" s="1987"/>
      <c r="N58" s="1987"/>
      <c r="O58" s="1987"/>
      <c r="P58" s="1988"/>
      <c r="R58" s="1965" t="s">
        <v>117</v>
      </c>
      <c r="S58" s="1966"/>
      <c r="T58" s="1966"/>
      <c r="U58" s="1966"/>
      <c r="V58" s="1966"/>
      <c r="W58" s="1966"/>
      <c r="X58" s="1967"/>
    </row>
    <row r="59" spans="2:24" s="952" customFormat="1" ht="15.75" customHeight="1">
      <c r="B59" s="1963"/>
      <c r="C59" s="1477" t="s">
        <v>817</v>
      </c>
      <c r="D59" s="1989" t="s">
        <v>818</v>
      </c>
      <c r="E59" s="1990"/>
      <c r="F59" s="1990"/>
      <c r="G59" s="1990"/>
      <c r="H59" s="1991"/>
      <c r="J59" s="1481"/>
      <c r="K59" s="1477" t="s">
        <v>817</v>
      </c>
      <c r="L59" s="1989" t="s">
        <v>819</v>
      </c>
      <c r="M59" s="1990"/>
      <c r="N59" s="1990"/>
      <c r="O59" s="1990"/>
      <c r="P59" s="1991"/>
      <c r="R59" s="1963"/>
      <c r="S59" s="1968" t="s">
        <v>817</v>
      </c>
      <c r="T59" s="1960" t="s">
        <v>819</v>
      </c>
      <c r="U59" s="1961"/>
      <c r="V59" s="1961"/>
      <c r="W59" s="1961"/>
      <c r="X59" s="1962"/>
    </row>
    <row r="60" spans="2:24" s="952" customFormat="1" ht="48.75" customHeight="1">
      <c r="B60" s="1964"/>
      <c r="C60" s="1478"/>
      <c r="D60" s="1479" t="s">
        <v>820</v>
      </c>
      <c r="E60" s="1479" t="s">
        <v>821</v>
      </c>
      <c r="F60" s="1479" t="s">
        <v>822</v>
      </c>
      <c r="G60" s="1470" t="s">
        <v>823</v>
      </c>
      <c r="H60" s="1480" t="s">
        <v>824</v>
      </c>
      <c r="I60" s="954"/>
      <c r="J60" s="1482"/>
      <c r="K60" s="1483"/>
      <c r="L60" s="1470" t="s">
        <v>820</v>
      </c>
      <c r="M60" s="1470" t="s">
        <v>821</v>
      </c>
      <c r="N60" s="1470" t="s">
        <v>822</v>
      </c>
      <c r="O60" s="1470" t="s">
        <v>823</v>
      </c>
      <c r="P60" s="1480" t="s">
        <v>824</v>
      </c>
      <c r="R60" s="1964"/>
      <c r="S60" s="1971"/>
      <c r="T60" s="1470" t="s">
        <v>820</v>
      </c>
      <c r="U60" s="1470" t="s">
        <v>821</v>
      </c>
      <c r="V60" s="1470" t="s">
        <v>822</v>
      </c>
      <c r="W60" s="1470" t="s">
        <v>823</v>
      </c>
      <c r="X60" s="1480" t="s">
        <v>824</v>
      </c>
    </row>
    <row r="61" spans="2:24" s="952" customFormat="1" ht="15.75" customHeight="1">
      <c r="B61" s="1428" t="s">
        <v>737</v>
      </c>
      <c r="C61" s="948">
        <f>SUM(D61:H61)</f>
        <v>0</v>
      </c>
      <c r="D61" s="955"/>
      <c r="E61" s="955"/>
      <c r="F61" s="955"/>
      <c r="G61" s="950"/>
      <c r="H61" s="956"/>
      <c r="I61" s="954"/>
      <c r="J61" s="1426" t="s">
        <v>737</v>
      </c>
      <c r="K61" s="957">
        <f>SUM(L61:P61)</f>
        <v>0</v>
      </c>
      <c r="L61" s="958"/>
      <c r="M61" s="958"/>
      <c r="N61" s="958"/>
      <c r="O61" s="959"/>
      <c r="P61" s="960"/>
      <c r="R61" s="1426" t="s">
        <v>737</v>
      </c>
      <c r="S61" s="957">
        <f>SUM(T61:X61)</f>
        <v>0</v>
      </c>
      <c r="T61" s="958"/>
      <c r="U61" s="958"/>
      <c r="V61" s="958"/>
      <c r="W61" s="959"/>
      <c r="X61" s="960"/>
    </row>
    <row r="62" spans="2:24" s="952" customFormat="1" ht="15.75" customHeight="1">
      <c r="B62" s="1428" t="s">
        <v>239</v>
      </c>
      <c r="C62" s="957">
        <f>SUM(D62:H62)</f>
        <v>0</v>
      </c>
      <c r="D62" s="955"/>
      <c r="E62" s="955"/>
      <c r="F62" s="955"/>
      <c r="G62" s="950"/>
      <c r="H62" s="956"/>
      <c r="I62" s="954"/>
      <c r="J62" s="1428" t="s">
        <v>239</v>
      </c>
      <c r="K62" s="957">
        <f>SUM(L62:P62)</f>
        <v>0</v>
      </c>
      <c r="L62" s="955"/>
      <c r="M62" s="955"/>
      <c r="N62" s="955"/>
      <c r="O62" s="950"/>
      <c r="P62" s="956"/>
      <c r="R62" s="1428" t="s">
        <v>239</v>
      </c>
      <c r="S62" s="957">
        <f>SUM(T62:X62)</f>
        <v>0</v>
      </c>
      <c r="T62" s="955"/>
      <c r="U62" s="955"/>
      <c r="V62" s="955"/>
      <c r="W62" s="950"/>
      <c r="X62" s="956"/>
    </row>
    <row r="63" spans="2:24" s="952" customFormat="1" ht="15.75" customHeight="1">
      <c r="B63" s="1428" t="s">
        <v>245</v>
      </c>
      <c r="C63" s="957">
        <f>SUM(D63:H63)</f>
        <v>0</v>
      </c>
      <c r="D63" s="955"/>
      <c r="E63" s="955"/>
      <c r="F63" s="955"/>
      <c r="G63" s="950"/>
      <c r="H63" s="956"/>
      <c r="I63" s="954"/>
      <c r="J63" s="1428" t="s">
        <v>245</v>
      </c>
      <c r="K63" s="957">
        <f>SUM(L63:P63)</f>
        <v>0</v>
      </c>
      <c r="L63" s="955"/>
      <c r="M63" s="955"/>
      <c r="N63" s="955"/>
      <c r="O63" s="950"/>
      <c r="P63" s="956"/>
      <c r="R63" s="1428" t="s">
        <v>245</v>
      </c>
      <c r="S63" s="957">
        <f>SUM(T63:X63)</f>
        <v>0</v>
      </c>
      <c r="T63" s="955"/>
      <c r="U63" s="955"/>
      <c r="V63" s="955"/>
      <c r="W63" s="950"/>
      <c r="X63" s="956"/>
    </row>
    <row r="64" spans="2:24" s="952" customFormat="1" ht="15.75" customHeight="1">
      <c r="B64" s="1428" t="s">
        <v>497</v>
      </c>
      <c r="C64" s="957">
        <f>SUM(D64:H64)</f>
        <v>0</v>
      </c>
      <c r="D64" s="955"/>
      <c r="E64" s="955"/>
      <c r="F64" s="955"/>
      <c r="G64" s="950"/>
      <c r="H64" s="956"/>
      <c r="I64" s="954"/>
      <c r="J64" s="1428" t="s">
        <v>497</v>
      </c>
      <c r="K64" s="957">
        <f>SUM(L64:P64)</f>
        <v>0</v>
      </c>
      <c r="L64" s="955"/>
      <c r="M64" s="955"/>
      <c r="N64" s="955"/>
      <c r="O64" s="950"/>
      <c r="P64" s="956"/>
      <c r="R64" s="1428" t="s">
        <v>497</v>
      </c>
      <c r="S64" s="957">
        <f>SUM(T64:X64)</f>
        <v>0</v>
      </c>
      <c r="T64" s="955"/>
      <c r="U64" s="955"/>
      <c r="V64" s="955"/>
      <c r="W64" s="950"/>
      <c r="X64" s="956"/>
    </row>
    <row r="65" spans="2:24" s="952" customFormat="1" ht="15.75" customHeight="1" thickBot="1">
      <c r="B65" s="1434" t="s">
        <v>246</v>
      </c>
      <c r="C65" s="1435">
        <f t="shared" ref="C65:H65" si="5">SUM(C61:C64)</f>
        <v>0</v>
      </c>
      <c r="D65" s="1431">
        <f t="shared" si="5"/>
        <v>0</v>
      </c>
      <c r="E65" s="1431">
        <f t="shared" si="5"/>
        <v>0</v>
      </c>
      <c r="F65" s="1431">
        <f t="shared" si="5"/>
        <v>0</v>
      </c>
      <c r="G65" s="1431">
        <f t="shared" si="5"/>
        <v>0</v>
      </c>
      <c r="H65" s="1465">
        <f t="shared" si="5"/>
        <v>0</v>
      </c>
      <c r="I65" s="954"/>
      <c r="J65" s="1434" t="s">
        <v>246</v>
      </c>
      <c r="K65" s="1435">
        <f t="shared" ref="K65:P65" si="6">SUM(K61:K64)</f>
        <v>0</v>
      </c>
      <c r="L65" s="1431">
        <f t="shared" si="6"/>
        <v>0</v>
      </c>
      <c r="M65" s="1431">
        <f t="shared" si="6"/>
        <v>0</v>
      </c>
      <c r="N65" s="1431">
        <f t="shared" si="6"/>
        <v>0</v>
      </c>
      <c r="O65" s="1431">
        <f t="shared" si="6"/>
        <v>0</v>
      </c>
      <c r="P65" s="1465">
        <f t="shared" si="6"/>
        <v>0</v>
      </c>
      <c r="R65" s="1434" t="s">
        <v>246</v>
      </c>
      <c r="S65" s="1435">
        <f t="shared" ref="S65:X65" si="7">SUM(S61:S64)</f>
        <v>0</v>
      </c>
      <c r="T65" s="1431">
        <f t="shared" si="7"/>
        <v>0</v>
      </c>
      <c r="U65" s="1431">
        <f t="shared" si="7"/>
        <v>0</v>
      </c>
      <c r="V65" s="1431">
        <f t="shared" si="7"/>
        <v>0</v>
      </c>
      <c r="W65" s="1431">
        <f t="shared" si="7"/>
        <v>0</v>
      </c>
      <c r="X65" s="1465">
        <f t="shared" si="7"/>
        <v>0</v>
      </c>
    </row>
    <row r="66" spans="2:24" s="952" customFormat="1" ht="15.75" customHeight="1" thickBot="1">
      <c r="B66" s="1436"/>
      <c r="C66" s="1437"/>
      <c r="D66" s="1437"/>
      <c r="E66" s="1437"/>
      <c r="F66" s="1437"/>
      <c r="G66" s="1437"/>
      <c r="H66" s="1437"/>
      <c r="I66" s="954"/>
      <c r="J66" s="1436"/>
      <c r="K66" s="1437"/>
      <c r="L66" s="1437"/>
      <c r="M66" s="1437"/>
      <c r="N66" s="1437"/>
      <c r="O66" s="1437"/>
      <c r="P66" s="1437"/>
      <c r="R66" s="1436"/>
      <c r="S66" s="1437"/>
      <c r="T66" s="1437"/>
      <c r="U66" s="1437"/>
      <c r="V66" s="1437"/>
      <c r="W66" s="1437"/>
      <c r="X66" s="1437"/>
    </row>
    <row r="67" spans="2:24" s="952" customFormat="1" ht="15.75" customHeight="1">
      <c r="B67" s="1965" t="s">
        <v>815</v>
      </c>
      <c r="C67" s="1966"/>
      <c r="D67" s="1966"/>
      <c r="E67" s="1966"/>
      <c r="F67" s="1966"/>
      <c r="G67" s="1966"/>
      <c r="H67" s="1967"/>
      <c r="I67" s="1466"/>
      <c r="J67" s="1965" t="s">
        <v>816</v>
      </c>
      <c r="K67" s="1966"/>
      <c r="L67" s="1966"/>
      <c r="M67" s="1966"/>
      <c r="N67" s="1966"/>
      <c r="O67" s="1966"/>
      <c r="P67" s="1967"/>
      <c r="R67" s="1965" t="s">
        <v>117</v>
      </c>
      <c r="S67" s="1966"/>
      <c r="T67" s="1966"/>
      <c r="U67" s="1966"/>
      <c r="V67" s="1966"/>
      <c r="W67" s="1966"/>
      <c r="X67" s="1967"/>
    </row>
    <row r="68" spans="2:24" s="952" customFormat="1" ht="15.75" customHeight="1">
      <c r="B68" s="1963"/>
      <c r="C68" s="1984" t="s">
        <v>825</v>
      </c>
      <c r="D68" s="1960" t="s">
        <v>818</v>
      </c>
      <c r="E68" s="1961"/>
      <c r="F68" s="1961"/>
      <c r="G68" s="1961"/>
      <c r="H68" s="1962"/>
      <c r="J68" s="1963"/>
      <c r="K68" s="1968" t="s">
        <v>825</v>
      </c>
      <c r="L68" s="984" t="s">
        <v>819</v>
      </c>
      <c r="M68" s="985"/>
      <c r="N68" s="985"/>
      <c r="O68" s="985"/>
      <c r="P68" s="986"/>
      <c r="R68" s="1963"/>
      <c r="S68" s="1968" t="s">
        <v>825</v>
      </c>
      <c r="T68" s="1960" t="s">
        <v>819</v>
      </c>
      <c r="U68" s="1961"/>
      <c r="V68" s="1961"/>
      <c r="W68" s="1961"/>
      <c r="X68" s="1962"/>
    </row>
    <row r="69" spans="2:24" s="952" customFormat="1" ht="30" customHeight="1">
      <c r="B69" s="1964"/>
      <c r="C69" s="1985"/>
      <c r="D69" s="1470" t="s">
        <v>820</v>
      </c>
      <c r="E69" s="1470" t="s">
        <v>821</v>
      </c>
      <c r="F69" s="1470" t="s">
        <v>822</v>
      </c>
      <c r="G69" s="1470" t="s">
        <v>823</v>
      </c>
      <c r="H69" s="1467" t="s">
        <v>824</v>
      </c>
      <c r="I69" s="954"/>
      <c r="J69" s="1964"/>
      <c r="K69" s="1971"/>
      <c r="L69" s="953" t="s">
        <v>820</v>
      </c>
      <c r="M69" s="953" t="s">
        <v>821</v>
      </c>
      <c r="N69" s="953" t="s">
        <v>822</v>
      </c>
      <c r="O69" s="953" t="s">
        <v>823</v>
      </c>
      <c r="P69" s="1467" t="s">
        <v>824</v>
      </c>
      <c r="R69" s="1964"/>
      <c r="S69" s="1971"/>
      <c r="T69" s="1470" t="s">
        <v>820</v>
      </c>
      <c r="U69" s="1470" t="s">
        <v>821</v>
      </c>
      <c r="V69" s="1470" t="s">
        <v>822</v>
      </c>
      <c r="W69" s="1470" t="s">
        <v>823</v>
      </c>
      <c r="X69" s="1467" t="s">
        <v>824</v>
      </c>
    </row>
    <row r="70" spans="2:24" s="952" customFormat="1" ht="15.75" customHeight="1">
      <c r="B70" s="1425" t="s">
        <v>737</v>
      </c>
      <c r="C70" s="958"/>
      <c r="D70" s="958"/>
      <c r="E70" s="958"/>
      <c r="F70" s="958"/>
      <c r="G70" s="959"/>
      <c r="H70" s="961"/>
      <c r="I70" s="954"/>
      <c r="J70" s="1426" t="s">
        <v>737</v>
      </c>
      <c r="K70" s="962"/>
      <c r="L70" s="958"/>
      <c r="M70" s="958"/>
      <c r="N70" s="958"/>
      <c r="O70" s="959"/>
      <c r="P70" s="963"/>
      <c r="R70" s="1426" t="s">
        <v>737</v>
      </c>
      <c r="S70" s="962"/>
      <c r="T70" s="958"/>
      <c r="U70" s="958"/>
      <c r="V70" s="958"/>
      <c r="W70" s="959"/>
      <c r="X70" s="963"/>
    </row>
    <row r="71" spans="2:24" s="952" customFormat="1" ht="15.75" customHeight="1">
      <c r="B71" s="1427" t="s">
        <v>239</v>
      </c>
      <c r="C71" s="955"/>
      <c r="D71" s="955"/>
      <c r="E71" s="955"/>
      <c r="F71" s="955"/>
      <c r="G71" s="950"/>
      <c r="H71" s="964"/>
      <c r="I71" s="954"/>
      <c r="J71" s="1428" t="s">
        <v>239</v>
      </c>
      <c r="K71" s="965"/>
      <c r="L71" s="955"/>
      <c r="M71" s="955"/>
      <c r="N71" s="955"/>
      <c r="O71" s="950"/>
      <c r="P71" s="966"/>
      <c r="R71" s="1428" t="s">
        <v>239</v>
      </c>
      <c r="S71" s="965"/>
      <c r="T71" s="955"/>
      <c r="U71" s="955"/>
      <c r="V71" s="955"/>
      <c r="W71" s="950"/>
      <c r="X71" s="966"/>
    </row>
    <row r="72" spans="2:24" s="952" customFormat="1" ht="15.75" customHeight="1">
      <c r="B72" s="1427" t="s">
        <v>245</v>
      </c>
      <c r="C72" s="955"/>
      <c r="D72" s="955"/>
      <c r="E72" s="955"/>
      <c r="F72" s="955"/>
      <c r="G72" s="950"/>
      <c r="H72" s="964"/>
      <c r="I72" s="954"/>
      <c r="J72" s="1428" t="s">
        <v>245</v>
      </c>
      <c r="K72" s="965"/>
      <c r="L72" s="955"/>
      <c r="M72" s="955"/>
      <c r="N72" s="955"/>
      <c r="O72" s="950"/>
      <c r="P72" s="966"/>
      <c r="R72" s="1428" t="s">
        <v>245</v>
      </c>
      <c r="S72" s="965"/>
      <c r="T72" s="955"/>
      <c r="U72" s="955"/>
      <c r="V72" s="955"/>
      <c r="W72" s="950"/>
      <c r="X72" s="966"/>
    </row>
    <row r="73" spans="2:24" s="952" customFormat="1" ht="15.75" customHeight="1">
      <c r="B73" s="1427" t="s">
        <v>497</v>
      </c>
      <c r="C73" s="955"/>
      <c r="D73" s="955"/>
      <c r="E73" s="955"/>
      <c r="F73" s="955"/>
      <c r="G73" s="950"/>
      <c r="H73" s="964"/>
      <c r="I73" s="954"/>
      <c r="J73" s="1428" t="s">
        <v>497</v>
      </c>
      <c r="K73" s="965"/>
      <c r="L73" s="955"/>
      <c r="M73" s="955"/>
      <c r="N73" s="955"/>
      <c r="O73" s="950"/>
      <c r="P73" s="966"/>
      <c r="R73" s="1428" t="s">
        <v>497</v>
      </c>
      <c r="S73" s="965"/>
      <c r="T73" s="955"/>
      <c r="U73" s="955"/>
      <c r="V73" s="955"/>
      <c r="W73" s="950"/>
      <c r="X73" s="966"/>
    </row>
    <row r="74" spans="2:24" s="952" customFormat="1" ht="15.75" customHeight="1" thickBot="1">
      <c r="B74" s="1429" t="s">
        <v>246</v>
      </c>
      <c r="C74" s="1430">
        <f t="shared" ref="C74:H74" si="8">SUM(C70:C73)</f>
        <v>0</v>
      </c>
      <c r="D74" s="1431">
        <f t="shared" si="8"/>
        <v>0</v>
      </c>
      <c r="E74" s="1431">
        <f t="shared" si="8"/>
        <v>0</v>
      </c>
      <c r="F74" s="1431">
        <f t="shared" si="8"/>
        <v>0</v>
      </c>
      <c r="G74" s="1431">
        <f t="shared" si="8"/>
        <v>0</v>
      </c>
      <c r="H74" s="1433">
        <f t="shared" si="8"/>
        <v>0</v>
      </c>
      <c r="I74" s="954"/>
      <c r="J74" s="1434" t="s">
        <v>246</v>
      </c>
      <c r="K74" s="1435">
        <f t="shared" ref="K74:P74" si="9">SUM(K70:K73)</f>
        <v>0</v>
      </c>
      <c r="L74" s="1431">
        <f t="shared" si="9"/>
        <v>0</v>
      </c>
      <c r="M74" s="1431">
        <f t="shared" si="9"/>
        <v>0</v>
      </c>
      <c r="N74" s="1431">
        <f t="shared" si="9"/>
        <v>0</v>
      </c>
      <c r="O74" s="1431">
        <f t="shared" si="9"/>
        <v>0</v>
      </c>
      <c r="P74" s="1433">
        <f t="shared" si="9"/>
        <v>0</v>
      </c>
      <c r="R74" s="1434" t="s">
        <v>246</v>
      </c>
      <c r="S74" s="1435">
        <f t="shared" ref="S74:X74" si="10">SUM(S70:S73)</f>
        <v>0</v>
      </c>
      <c r="T74" s="1431">
        <f t="shared" si="10"/>
        <v>0</v>
      </c>
      <c r="U74" s="1431">
        <f t="shared" si="10"/>
        <v>0</v>
      </c>
      <c r="V74" s="1431">
        <f t="shared" si="10"/>
        <v>0</v>
      </c>
      <c r="W74" s="1431">
        <f t="shared" si="10"/>
        <v>0</v>
      </c>
      <c r="X74" s="1433">
        <f t="shared" si="10"/>
        <v>0</v>
      </c>
    </row>
    <row r="75" spans="2:24" s="952" customFormat="1" ht="15.75" customHeight="1" thickBot="1">
      <c r="B75" s="1436"/>
      <c r="C75" s="1437"/>
      <c r="D75" s="1437"/>
      <c r="E75" s="1437"/>
      <c r="F75" s="1437"/>
      <c r="G75" s="1437"/>
      <c r="H75" s="1437"/>
      <c r="I75" s="954"/>
      <c r="J75" s="1468"/>
      <c r="K75" s="1469"/>
      <c r="L75" s="1469"/>
      <c r="M75" s="1469"/>
      <c r="N75" s="1469"/>
      <c r="O75" s="1469"/>
      <c r="P75" s="1469"/>
      <c r="R75" s="1436"/>
      <c r="S75" s="1437"/>
      <c r="T75" s="1437"/>
      <c r="U75" s="1437"/>
      <c r="V75" s="1437"/>
      <c r="W75" s="1437"/>
      <c r="X75" s="1437"/>
    </row>
    <row r="76" spans="2:24" s="952" customFormat="1" ht="15.75" customHeight="1">
      <c r="B76" s="1965" t="s">
        <v>815</v>
      </c>
      <c r="C76" s="1966"/>
      <c r="D76" s="1966"/>
      <c r="E76" s="1966"/>
      <c r="F76" s="1966"/>
      <c r="G76" s="1966"/>
      <c r="H76" s="1967"/>
      <c r="J76" s="1965" t="s">
        <v>816</v>
      </c>
      <c r="K76" s="1966"/>
      <c r="L76" s="1966"/>
      <c r="M76" s="1966"/>
      <c r="N76" s="1966"/>
      <c r="O76" s="1966"/>
      <c r="P76" s="1967"/>
      <c r="R76" s="1965" t="s">
        <v>117</v>
      </c>
      <c r="S76" s="1966"/>
      <c r="T76" s="1966"/>
      <c r="U76" s="1966"/>
      <c r="V76" s="1966"/>
      <c r="W76" s="1966"/>
      <c r="X76" s="1967"/>
    </row>
    <row r="77" spans="2:24" s="952" customFormat="1" ht="15.75" customHeight="1">
      <c r="B77" s="1963"/>
      <c r="C77" s="1968" t="s">
        <v>826</v>
      </c>
      <c r="D77" s="1960" t="s">
        <v>827</v>
      </c>
      <c r="E77" s="1961"/>
      <c r="F77" s="1961"/>
      <c r="G77" s="1961"/>
      <c r="H77" s="1962"/>
      <c r="J77" s="1963"/>
      <c r="K77" s="1970" t="s">
        <v>826</v>
      </c>
      <c r="L77" s="984" t="s">
        <v>828</v>
      </c>
      <c r="M77" s="985"/>
      <c r="N77" s="985"/>
      <c r="O77" s="985"/>
      <c r="P77" s="986"/>
      <c r="R77" s="1963"/>
      <c r="S77" s="1970" t="s">
        <v>826</v>
      </c>
      <c r="T77" s="1960" t="s">
        <v>828</v>
      </c>
      <c r="U77" s="1961"/>
      <c r="V77" s="1961"/>
      <c r="W77" s="1961"/>
      <c r="X77" s="1962"/>
    </row>
    <row r="78" spans="2:24" s="952" customFormat="1" ht="30" customHeight="1">
      <c r="B78" s="1964"/>
      <c r="C78" s="1969"/>
      <c r="D78" s="1470" t="s">
        <v>820</v>
      </c>
      <c r="E78" s="1470" t="s">
        <v>821</v>
      </c>
      <c r="F78" s="1470" t="s">
        <v>822</v>
      </c>
      <c r="G78" s="1470" t="s">
        <v>823</v>
      </c>
      <c r="H78" s="1467" t="s">
        <v>824</v>
      </c>
      <c r="J78" s="1964"/>
      <c r="K78" s="1971"/>
      <c r="L78" s="953" t="s">
        <v>820</v>
      </c>
      <c r="M78" s="953" t="s">
        <v>821</v>
      </c>
      <c r="N78" s="953" t="s">
        <v>822</v>
      </c>
      <c r="O78" s="953" t="s">
        <v>823</v>
      </c>
      <c r="P78" s="1467" t="s">
        <v>824</v>
      </c>
      <c r="R78" s="1964"/>
      <c r="S78" s="1971"/>
      <c r="T78" s="1470" t="s">
        <v>820</v>
      </c>
      <c r="U78" s="1470" t="s">
        <v>821</v>
      </c>
      <c r="V78" s="1470" t="s">
        <v>822</v>
      </c>
      <c r="W78" s="1470" t="s">
        <v>823</v>
      </c>
      <c r="X78" s="1467" t="s">
        <v>824</v>
      </c>
    </row>
    <row r="79" spans="2:24" s="952" customFormat="1" ht="15.75" customHeight="1">
      <c r="B79" s="1426" t="s">
        <v>737</v>
      </c>
      <c r="C79" s="967">
        <f>SUM(D33:F33)</f>
        <v>0</v>
      </c>
      <c r="D79" s="968"/>
      <c r="E79" s="968"/>
      <c r="F79" s="968"/>
      <c r="G79" s="938"/>
      <c r="H79" s="969"/>
      <c r="J79" s="1426" t="s">
        <v>737</v>
      </c>
      <c r="K79" s="967">
        <f>SUM(G33:H33)</f>
        <v>0</v>
      </c>
      <c r="L79" s="968"/>
      <c r="M79" s="968"/>
      <c r="N79" s="968"/>
      <c r="O79" s="970"/>
      <c r="P79" s="971"/>
      <c r="R79" s="1426" t="s">
        <v>737</v>
      </c>
      <c r="S79" s="967">
        <f>SUM(I33:M33)</f>
        <v>0</v>
      </c>
      <c r="T79" s="968"/>
      <c r="U79" s="968"/>
      <c r="V79" s="968"/>
      <c r="W79" s="970"/>
      <c r="X79" s="971"/>
    </row>
    <row r="80" spans="2:24" s="952" customFormat="1" ht="15.75" customHeight="1">
      <c r="B80" s="1428" t="s">
        <v>239</v>
      </c>
      <c r="C80" s="967">
        <f>SUM(D34:F34)</f>
        <v>0</v>
      </c>
      <c r="D80" s="935"/>
      <c r="E80" s="935"/>
      <c r="F80" s="935"/>
      <c r="G80" s="938"/>
      <c r="H80" s="969"/>
      <c r="J80" s="1428" t="s">
        <v>239</v>
      </c>
      <c r="K80" s="967">
        <f>SUM(G34:H34)</f>
        <v>0</v>
      </c>
      <c r="L80" s="935"/>
      <c r="M80" s="935"/>
      <c r="N80" s="935"/>
      <c r="O80" s="938"/>
      <c r="P80" s="969"/>
      <c r="R80" s="1428" t="s">
        <v>239</v>
      </c>
      <c r="S80" s="967">
        <f>SUM(I34:M34)</f>
        <v>0</v>
      </c>
      <c r="T80" s="935"/>
      <c r="U80" s="935"/>
      <c r="V80" s="935"/>
      <c r="W80" s="938"/>
      <c r="X80" s="969"/>
    </row>
    <row r="81" spans="2:24" s="952" customFormat="1" ht="15.75" customHeight="1">
      <c r="B81" s="1428" t="s">
        <v>245</v>
      </c>
      <c r="C81" s="967">
        <f>SUM(D35:F35)</f>
        <v>0</v>
      </c>
      <c r="D81" s="935"/>
      <c r="E81" s="935"/>
      <c r="F81" s="935"/>
      <c r="G81" s="938"/>
      <c r="H81" s="969"/>
      <c r="J81" s="1428" t="s">
        <v>245</v>
      </c>
      <c r="K81" s="967">
        <f>SUM(G35:H35)</f>
        <v>0</v>
      </c>
      <c r="L81" s="935"/>
      <c r="M81" s="935"/>
      <c r="N81" s="935"/>
      <c r="O81" s="938"/>
      <c r="P81" s="969"/>
      <c r="R81" s="1428" t="s">
        <v>245</v>
      </c>
      <c r="S81" s="967">
        <f>SUM(I35:M35)</f>
        <v>0</v>
      </c>
      <c r="T81" s="935"/>
      <c r="U81" s="935"/>
      <c r="V81" s="935"/>
      <c r="W81" s="938"/>
      <c r="X81" s="969"/>
    </row>
    <row r="82" spans="2:24" s="952" customFormat="1" ht="15.75" customHeight="1">
      <c r="B82" s="1428" t="s">
        <v>497</v>
      </c>
      <c r="C82" s="967">
        <f>SUM(D36:F36)</f>
        <v>0</v>
      </c>
      <c r="D82" s="935"/>
      <c r="E82" s="935"/>
      <c r="F82" s="935"/>
      <c r="G82" s="938"/>
      <c r="H82" s="969"/>
      <c r="J82" s="1428" t="s">
        <v>497</v>
      </c>
      <c r="K82" s="967">
        <f>SUM(G36:H36)</f>
        <v>0</v>
      </c>
      <c r="L82" s="935"/>
      <c r="M82" s="935"/>
      <c r="N82" s="935"/>
      <c r="O82" s="938"/>
      <c r="P82" s="969"/>
      <c r="R82" s="1428" t="s">
        <v>497</v>
      </c>
      <c r="S82" s="967">
        <f>SUM(I36:M36)</f>
        <v>0</v>
      </c>
      <c r="T82" s="935"/>
      <c r="U82" s="935"/>
      <c r="V82" s="935"/>
      <c r="W82" s="938"/>
      <c r="X82" s="969"/>
    </row>
    <row r="83" spans="2:24" s="952" customFormat="1" ht="15.75" customHeight="1" thickBot="1">
      <c r="B83" s="1434" t="s">
        <v>246</v>
      </c>
      <c r="C83" s="1438">
        <f t="shared" ref="C83:H83" si="11">SUM(C79:C82)</f>
        <v>0</v>
      </c>
      <c r="D83" s="1439">
        <f t="shared" si="11"/>
        <v>0</v>
      </c>
      <c r="E83" s="1439">
        <f t="shared" si="11"/>
        <v>0</v>
      </c>
      <c r="F83" s="1439">
        <f t="shared" si="11"/>
        <v>0</v>
      </c>
      <c r="G83" s="1439">
        <f t="shared" si="11"/>
        <v>0</v>
      </c>
      <c r="H83" s="1433">
        <f t="shared" si="11"/>
        <v>0</v>
      </c>
      <c r="J83" s="1434" t="s">
        <v>246</v>
      </c>
      <c r="K83" s="1438">
        <f t="shared" ref="K83:P83" si="12">SUM(K79:K82)</f>
        <v>0</v>
      </c>
      <c r="L83" s="1439">
        <f t="shared" si="12"/>
        <v>0</v>
      </c>
      <c r="M83" s="1439">
        <f t="shared" si="12"/>
        <v>0</v>
      </c>
      <c r="N83" s="1439">
        <f t="shared" si="12"/>
        <v>0</v>
      </c>
      <c r="O83" s="1439">
        <f t="shared" si="12"/>
        <v>0</v>
      </c>
      <c r="P83" s="1433">
        <f t="shared" si="12"/>
        <v>0</v>
      </c>
      <c r="R83" s="1434" t="s">
        <v>246</v>
      </c>
      <c r="S83" s="1438">
        <f t="shared" ref="S83:X83" si="13">SUM(S79:S82)</f>
        <v>0</v>
      </c>
      <c r="T83" s="1439">
        <f t="shared" si="13"/>
        <v>0</v>
      </c>
      <c r="U83" s="1439">
        <f t="shared" si="13"/>
        <v>0</v>
      </c>
      <c r="V83" s="1439">
        <f t="shared" si="13"/>
        <v>0</v>
      </c>
      <c r="W83" s="1439">
        <f t="shared" si="13"/>
        <v>0</v>
      </c>
      <c r="X83" s="1433">
        <f t="shared" si="13"/>
        <v>0</v>
      </c>
    </row>
    <row r="84" spans="2:24" s="952" customFormat="1" ht="15.75" customHeight="1" thickBot="1">
      <c r="J84" s="1471"/>
      <c r="K84" s="1471"/>
      <c r="L84" s="1471"/>
      <c r="M84" s="1471"/>
      <c r="N84" s="1471"/>
      <c r="O84" s="1471"/>
      <c r="P84" s="1471"/>
    </row>
    <row r="85" spans="2:24" s="952" customFormat="1" ht="15.75" customHeight="1">
      <c r="B85" s="1965" t="s">
        <v>815</v>
      </c>
      <c r="C85" s="1966"/>
      <c r="D85" s="1966"/>
      <c r="E85" s="1966"/>
      <c r="F85" s="1966"/>
      <c r="G85" s="1966"/>
      <c r="H85" s="1967"/>
      <c r="J85" s="1965" t="s">
        <v>816</v>
      </c>
      <c r="K85" s="1966"/>
      <c r="L85" s="1966"/>
      <c r="M85" s="1966"/>
      <c r="N85" s="1966"/>
      <c r="O85" s="1966"/>
      <c r="P85" s="1967"/>
      <c r="R85" s="1965" t="s">
        <v>117</v>
      </c>
      <c r="S85" s="1966"/>
      <c r="T85" s="1966"/>
      <c r="U85" s="1966"/>
      <c r="V85" s="1966"/>
      <c r="W85" s="1966"/>
      <c r="X85" s="1967"/>
    </row>
    <row r="86" spans="2:24" s="952" customFormat="1" ht="15.75" customHeight="1">
      <c r="B86" s="1963"/>
      <c r="C86" s="1970" t="s">
        <v>829</v>
      </c>
      <c r="D86" s="1960" t="s">
        <v>830</v>
      </c>
      <c r="E86" s="1961"/>
      <c r="F86" s="1961"/>
      <c r="G86" s="1961"/>
      <c r="H86" s="1962"/>
      <c r="J86" s="1963"/>
      <c r="K86" s="1970" t="s">
        <v>829</v>
      </c>
      <c r="L86" s="984" t="s">
        <v>831</v>
      </c>
      <c r="M86" s="985"/>
      <c r="N86" s="985"/>
      <c r="O86" s="985"/>
      <c r="P86" s="986"/>
      <c r="R86" s="1963"/>
      <c r="S86" s="1970" t="s">
        <v>829</v>
      </c>
      <c r="T86" s="1960" t="s">
        <v>831</v>
      </c>
      <c r="U86" s="1961"/>
      <c r="V86" s="1961"/>
      <c r="W86" s="1961"/>
      <c r="X86" s="1962"/>
    </row>
    <row r="87" spans="2:24" s="952" customFormat="1" ht="30" customHeight="1" thickBot="1">
      <c r="B87" s="1964"/>
      <c r="C87" s="1971"/>
      <c r="D87" s="1470" t="s">
        <v>820</v>
      </c>
      <c r="E87" s="1470" t="s">
        <v>821</v>
      </c>
      <c r="F87" s="1470" t="s">
        <v>822</v>
      </c>
      <c r="G87" s="1470" t="s">
        <v>823</v>
      </c>
      <c r="H87" s="1472" t="s">
        <v>824</v>
      </c>
      <c r="J87" s="1964"/>
      <c r="K87" s="1971"/>
      <c r="L87" s="953" t="s">
        <v>820</v>
      </c>
      <c r="M87" s="953" t="s">
        <v>821</v>
      </c>
      <c r="N87" s="953" t="s">
        <v>822</v>
      </c>
      <c r="O87" s="953" t="s">
        <v>823</v>
      </c>
      <c r="P87" s="1467"/>
      <c r="R87" s="1964"/>
      <c r="S87" s="1971"/>
      <c r="T87" s="1470" t="s">
        <v>820</v>
      </c>
      <c r="U87" s="1470" t="s">
        <v>821</v>
      </c>
      <c r="V87" s="1484" t="s">
        <v>822</v>
      </c>
      <c r="W87" s="1470" t="s">
        <v>823</v>
      </c>
      <c r="X87" s="1467"/>
    </row>
    <row r="88" spans="2:24" s="952" customFormat="1" ht="15.75" customHeight="1">
      <c r="B88" s="1426" t="s">
        <v>737</v>
      </c>
      <c r="C88" s="967">
        <f t="shared" ref="C88:G91" si="14">IF(C70&gt;0,C79*1000/C70,0)</f>
        <v>0</v>
      </c>
      <c r="D88" s="972">
        <f t="shared" si="14"/>
        <v>0</v>
      </c>
      <c r="E88" s="972">
        <f t="shared" si="14"/>
        <v>0</v>
      </c>
      <c r="F88" s="972">
        <f t="shared" si="14"/>
        <v>0</v>
      </c>
      <c r="G88" s="972">
        <f t="shared" si="14"/>
        <v>0</v>
      </c>
      <c r="H88" s="973"/>
      <c r="J88" s="1426" t="s">
        <v>737</v>
      </c>
      <c r="K88" s="967">
        <f t="shared" ref="K88:O91" si="15">IF(K70&gt;0,K79*1000/K70,0)</f>
        <v>0</v>
      </c>
      <c r="L88" s="972">
        <f t="shared" si="15"/>
        <v>0</v>
      </c>
      <c r="M88" s="972">
        <f t="shared" si="15"/>
        <v>0</v>
      </c>
      <c r="N88" s="972">
        <f t="shared" si="15"/>
        <v>0</v>
      </c>
      <c r="O88" s="972">
        <f t="shared" si="15"/>
        <v>0</v>
      </c>
      <c r="P88" s="971"/>
      <c r="R88" s="1426" t="s">
        <v>737</v>
      </c>
      <c r="S88" s="967">
        <f t="shared" ref="S88:W91" si="16">IF(S70&gt;0,S79*1000/S70,0)</f>
        <v>0</v>
      </c>
      <c r="T88" s="972">
        <f t="shared" si="16"/>
        <v>0</v>
      </c>
      <c r="U88" s="972">
        <f t="shared" si="16"/>
        <v>0</v>
      </c>
      <c r="V88" s="972">
        <f t="shared" si="16"/>
        <v>0</v>
      </c>
      <c r="W88" s="972">
        <f t="shared" si="16"/>
        <v>0</v>
      </c>
      <c r="X88" s="971"/>
    </row>
    <row r="89" spans="2:24" s="952" customFormat="1" ht="15.75" customHeight="1">
      <c r="B89" s="1428" t="s">
        <v>239</v>
      </c>
      <c r="C89" s="974">
        <f t="shared" si="14"/>
        <v>0</v>
      </c>
      <c r="D89" s="975">
        <f t="shared" si="14"/>
        <v>0</v>
      </c>
      <c r="E89" s="975">
        <f t="shared" si="14"/>
        <v>0</v>
      </c>
      <c r="F89" s="975">
        <f t="shared" si="14"/>
        <v>0</v>
      </c>
      <c r="G89" s="975">
        <f t="shared" si="14"/>
        <v>0</v>
      </c>
      <c r="H89" s="969"/>
      <c r="J89" s="1428" t="s">
        <v>239</v>
      </c>
      <c r="K89" s="974">
        <f t="shared" si="15"/>
        <v>0</v>
      </c>
      <c r="L89" s="975">
        <f t="shared" si="15"/>
        <v>0</v>
      </c>
      <c r="M89" s="975">
        <f t="shared" si="15"/>
        <v>0</v>
      </c>
      <c r="N89" s="975">
        <f t="shared" si="15"/>
        <v>0</v>
      </c>
      <c r="O89" s="975">
        <f t="shared" si="15"/>
        <v>0</v>
      </c>
      <c r="P89" s="969"/>
      <c r="R89" s="1428" t="s">
        <v>239</v>
      </c>
      <c r="S89" s="974">
        <f t="shared" si="16"/>
        <v>0</v>
      </c>
      <c r="T89" s="975">
        <f t="shared" si="16"/>
        <v>0</v>
      </c>
      <c r="U89" s="975">
        <f t="shared" si="16"/>
        <v>0</v>
      </c>
      <c r="V89" s="975">
        <f t="shared" si="16"/>
        <v>0</v>
      </c>
      <c r="W89" s="975">
        <f t="shared" si="16"/>
        <v>0</v>
      </c>
      <c r="X89" s="969"/>
    </row>
    <row r="90" spans="2:24" s="952" customFormat="1" ht="15.75" customHeight="1">
      <c r="B90" s="1428" t="s">
        <v>245</v>
      </c>
      <c r="C90" s="974">
        <f t="shared" si="14"/>
        <v>0</v>
      </c>
      <c r="D90" s="975">
        <f t="shared" si="14"/>
        <v>0</v>
      </c>
      <c r="E90" s="975">
        <f t="shared" si="14"/>
        <v>0</v>
      </c>
      <c r="F90" s="975">
        <f t="shared" si="14"/>
        <v>0</v>
      </c>
      <c r="G90" s="975">
        <f t="shared" si="14"/>
        <v>0</v>
      </c>
      <c r="H90" s="969"/>
      <c r="J90" s="1428" t="s">
        <v>245</v>
      </c>
      <c r="K90" s="974">
        <f t="shared" si="15"/>
        <v>0</v>
      </c>
      <c r="L90" s="975">
        <f t="shared" si="15"/>
        <v>0</v>
      </c>
      <c r="M90" s="975">
        <f t="shared" si="15"/>
        <v>0</v>
      </c>
      <c r="N90" s="975">
        <f t="shared" si="15"/>
        <v>0</v>
      </c>
      <c r="O90" s="975">
        <f t="shared" si="15"/>
        <v>0</v>
      </c>
      <c r="P90" s="969"/>
      <c r="R90" s="1428" t="s">
        <v>245</v>
      </c>
      <c r="S90" s="974">
        <f t="shared" si="16"/>
        <v>0</v>
      </c>
      <c r="T90" s="975">
        <f t="shared" si="16"/>
        <v>0</v>
      </c>
      <c r="U90" s="975">
        <f t="shared" si="16"/>
        <v>0</v>
      </c>
      <c r="V90" s="975">
        <f t="shared" si="16"/>
        <v>0</v>
      </c>
      <c r="W90" s="975">
        <f t="shared" si="16"/>
        <v>0</v>
      </c>
      <c r="X90" s="969"/>
    </row>
    <row r="91" spans="2:24" s="952" customFormat="1" ht="15.75" customHeight="1" thickBot="1">
      <c r="B91" s="1440" t="s">
        <v>497</v>
      </c>
      <c r="C91" s="976">
        <f t="shared" si="14"/>
        <v>0</v>
      </c>
      <c r="D91" s="977">
        <f t="shared" si="14"/>
        <v>0</v>
      </c>
      <c r="E91" s="977">
        <f t="shared" si="14"/>
        <v>0</v>
      </c>
      <c r="F91" s="977">
        <f t="shared" si="14"/>
        <v>0</v>
      </c>
      <c r="G91" s="977">
        <f t="shared" si="14"/>
        <v>0</v>
      </c>
      <c r="H91" s="978"/>
      <c r="J91" s="1440" t="s">
        <v>497</v>
      </c>
      <c r="K91" s="976">
        <f t="shared" si="15"/>
        <v>0</v>
      </c>
      <c r="L91" s="977">
        <f t="shared" si="15"/>
        <v>0</v>
      </c>
      <c r="M91" s="977">
        <f t="shared" si="15"/>
        <v>0</v>
      </c>
      <c r="N91" s="977">
        <f t="shared" si="15"/>
        <v>0</v>
      </c>
      <c r="O91" s="977">
        <f t="shared" si="15"/>
        <v>0</v>
      </c>
      <c r="P91" s="978"/>
      <c r="R91" s="1440" t="s">
        <v>497</v>
      </c>
      <c r="S91" s="976">
        <f t="shared" si="16"/>
        <v>0</v>
      </c>
      <c r="T91" s="977">
        <f t="shared" si="16"/>
        <v>0</v>
      </c>
      <c r="U91" s="977">
        <f t="shared" si="16"/>
        <v>0</v>
      </c>
      <c r="V91" s="977">
        <f t="shared" si="16"/>
        <v>0</v>
      </c>
      <c r="W91" s="977">
        <f t="shared" si="16"/>
        <v>0</v>
      </c>
      <c r="X91" s="978"/>
    </row>
    <row r="92" spans="2:24" s="952" customFormat="1" ht="15.75" customHeight="1"/>
    <row r="93" spans="2:24" s="952" customFormat="1" ht="15.75" customHeight="1"/>
    <row r="94" spans="2:24" s="952" customFormat="1" ht="15.75" customHeight="1">
      <c r="B94" s="1441" t="s">
        <v>832</v>
      </c>
    </row>
    <row r="95" spans="2:24" s="952" customFormat="1" ht="15.75" customHeight="1" thickBot="1"/>
    <row r="96" spans="2:24" s="952" customFormat="1" ht="42" customHeight="1">
      <c r="B96" s="1473"/>
      <c r="C96" s="1474" t="s">
        <v>809</v>
      </c>
      <c r="D96" s="1475" t="s">
        <v>810</v>
      </c>
      <c r="E96" s="1475" t="s">
        <v>811</v>
      </c>
      <c r="F96" s="1475" t="s">
        <v>812</v>
      </c>
      <c r="G96" s="1475" t="s">
        <v>813</v>
      </c>
      <c r="H96" s="1476" t="s">
        <v>814</v>
      </c>
      <c r="I96" s="1441"/>
    </row>
    <row r="97" spans="2:24" s="952" customFormat="1" ht="15.75" customHeight="1">
      <c r="B97" s="1426" t="s">
        <v>737</v>
      </c>
      <c r="C97" s="957">
        <f>D97+E97</f>
        <v>0</v>
      </c>
      <c r="D97" s="979">
        <f>C107</f>
        <v>0</v>
      </c>
      <c r="E97" s="959"/>
      <c r="F97" s="979">
        <f>K107</f>
        <v>0</v>
      </c>
      <c r="G97" s="979">
        <f>S107</f>
        <v>0</v>
      </c>
      <c r="H97" s="980">
        <f>E97-SUM(F97:G97)</f>
        <v>0</v>
      </c>
      <c r="I97" s="1441"/>
    </row>
    <row r="98" spans="2:24" s="952" customFormat="1" ht="15.75" customHeight="1">
      <c r="B98" s="1428" t="s">
        <v>239</v>
      </c>
      <c r="C98" s="957">
        <f>D98+E98</f>
        <v>0</v>
      </c>
      <c r="D98" s="979">
        <f>C108</f>
        <v>0</v>
      </c>
      <c r="E98" s="959"/>
      <c r="F98" s="979">
        <f>K108</f>
        <v>0</v>
      </c>
      <c r="G98" s="979">
        <f>S108</f>
        <v>0</v>
      </c>
      <c r="H98" s="980">
        <f>E98-SUM(F98:G98)</f>
        <v>0</v>
      </c>
      <c r="I98" s="1441"/>
    </row>
    <row r="99" spans="2:24" s="952" customFormat="1" ht="15.75" customHeight="1">
      <c r="B99" s="1428" t="s">
        <v>245</v>
      </c>
      <c r="C99" s="957">
        <f>D99+E99</f>
        <v>0</v>
      </c>
      <c r="D99" s="979">
        <f>C109</f>
        <v>0</v>
      </c>
      <c r="E99" s="959"/>
      <c r="F99" s="979">
        <f>K109</f>
        <v>0</v>
      </c>
      <c r="G99" s="979">
        <f>S109</f>
        <v>0</v>
      </c>
      <c r="H99" s="980">
        <f>E99-SUM(F99:G99)</f>
        <v>0</v>
      </c>
      <c r="I99" s="1441"/>
    </row>
    <row r="100" spans="2:24" s="952" customFormat="1" ht="15.75" customHeight="1">
      <c r="B100" s="1428" t="s">
        <v>497</v>
      </c>
      <c r="C100" s="957">
        <f>D100+E100</f>
        <v>0</v>
      </c>
      <c r="D100" s="979">
        <f>C110</f>
        <v>0</v>
      </c>
      <c r="E100" s="959"/>
      <c r="F100" s="979">
        <f>K110</f>
        <v>0</v>
      </c>
      <c r="G100" s="979">
        <f>S110</f>
        <v>0</v>
      </c>
      <c r="H100" s="980">
        <f>E100-SUM(F100:G100)</f>
        <v>0</v>
      </c>
      <c r="I100" s="1441"/>
    </row>
    <row r="101" spans="2:24" s="952" customFormat="1" ht="15.75" customHeight="1" thickBot="1">
      <c r="B101" s="1434" t="s">
        <v>246</v>
      </c>
      <c r="C101" s="1435">
        <f t="shared" ref="C101:H101" si="17">SUM(C97:C100)</f>
        <v>0</v>
      </c>
      <c r="D101" s="1431">
        <f t="shared" si="17"/>
        <v>0</v>
      </c>
      <c r="E101" s="1431">
        <f t="shared" si="17"/>
        <v>0</v>
      </c>
      <c r="F101" s="1431">
        <f t="shared" si="17"/>
        <v>0</v>
      </c>
      <c r="G101" s="1431">
        <f t="shared" si="17"/>
        <v>0</v>
      </c>
      <c r="H101" s="1465">
        <f t="shared" si="17"/>
        <v>0</v>
      </c>
      <c r="I101" s="1441"/>
    </row>
    <row r="102" spans="2:24" s="952" customFormat="1" ht="15.75" customHeight="1">
      <c r="B102" s="1441"/>
      <c r="C102" s="1441"/>
      <c r="D102" s="1441"/>
      <c r="E102" s="1441"/>
      <c r="F102" s="1441"/>
      <c r="G102" s="1441"/>
      <c r="H102" s="1441"/>
      <c r="I102" s="1441"/>
    </row>
    <row r="103" spans="2:24" s="952" customFormat="1" ht="15.75" customHeight="1" thickBot="1"/>
    <row r="104" spans="2:24" s="952" customFormat="1" ht="15.75" customHeight="1">
      <c r="B104" s="1965" t="s">
        <v>815</v>
      </c>
      <c r="C104" s="1966"/>
      <c r="D104" s="1966"/>
      <c r="E104" s="1966"/>
      <c r="F104" s="1966"/>
      <c r="G104" s="1966"/>
      <c r="H104" s="1967"/>
      <c r="I104" s="1466"/>
      <c r="J104" s="1965" t="s">
        <v>816</v>
      </c>
      <c r="K104" s="1966"/>
      <c r="L104" s="1966"/>
      <c r="M104" s="1966"/>
      <c r="N104" s="1966"/>
      <c r="O104" s="1966"/>
      <c r="P104" s="1967"/>
      <c r="R104" s="1965" t="s">
        <v>117</v>
      </c>
      <c r="S104" s="1966"/>
      <c r="T104" s="1966"/>
      <c r="U104" s="1966"/>
      <c r="V104" s="1966"/>
      <c r="W104" s="1966"/>
      <c r="X104" s="1967"/>
    </row>
    <row r="105" spans="2:24" s="952" customFormat="1" ht="15.75" customHeight="1">
      <c r="B105" s="1963"/>
      <c r="C105" s="1968" t="s">
        <v>817</v>
      </c>
      <c r="D105" s="1979" t="s">
        <v>818</v>
      </c>
      <c r="E105" s="1980"/>
      <c r="F105" s="1980"/>
      <c r="G105" s="1980"/>
      <c r="H105" s="1981"/>
      <c r="J105" s="1963"/>
      <c r="K105" s="1982" t="s">
        <v>817</v>
      </c>
      <c r="L105" s="981" t="s">
        <v>819</v>
      </c>
      <c r="M105" s="982"/>
      <c r="N105" s="982"/>
      <c r="O105" s="982"/>
      <c r="P105" s="983"/>
      <c r="R105" s="1963"/>
      <c r="S105" s="1968" t="s">
        <v>817</v>
      </c>
      <c r="T105" s="1960" t="s">
        <v>819</v>
      </c>
      <c r="U105" s="1961"/>
      <c r="V105" s="1961"/>
      <c r="W105" s="1961"/>
      <c r="X105" s="1962"/>
    </row>
    <row r="106" spans="2:24" s="952" customFormat="1" ht="39.75" customHeight="1">
      <c r="B106" s="1964"/>
      <c r="C106" s="1971"/>
      <c r="D106" s="1470" t="s">
        <v>833</v>
      </c>
      <c r="E106" s="1470" t="s">
        <v>822</v>
      </c>
      <c r="F106" s="1470" t="s">
        <v>652</v>
      </c>
      <c r="G106" s="1470" t="s">
        <v>834</v>
      </c>
      <c r="H106" s="1480" t="s">
        <v>824</v>
      </c>
      <c r="I106" s="954"/>
      <c r="J106" s="1964"/>
      <c r="K106" s="1983"/>
      <c r="L106" s="1470" t="s">
        <v>833</v>
      </c>
      <c r="M106" s="1470" t="s">
        <v>822</v>
      </c>
      <c r="N106" s="1470" t="s">
        <v>652</v>
      </c>
      <c r="O106" s="1470" t="s">
        <v>834</v>
      </c>
      <c r="P106" s="1480" t="s">
        <v>824</v>
      </c>
      <c r="R106" s="1964"/>
      <c r="S106" s="1978"/>
      <c r="T106" s="1470" t="s">
        <v>833</v>
      </c>
      <c r="U106" s="1470" t="s">
        <v>822</v>
      </c>
      <c r="V106" s="1470" t="s">
        <v>652</v>
      </c>
      <c r="W106" s="1470" t="s">
        <v>834</v>
      </c>
      <c r="X106" s="1480" t="s">
        <v>824</v>
      </c>
    </row>
    <row r="107" spans="2:24" s="952" customFormat="1" ht="15.75" customHeight="1">
      <c r="B107" s="1426" t="s">
        <v>737</v>
      </c>
      <c r="C107" s="957">
        <f>SUM(D107:H107)</f>
        <v>0</v>
      </c>
      <c r="D107" s="958"/>
      <c r="E107" s="958"/>
      <c r="F107" s="958"/>
      <c r="G107" s="959"/>
      <c r="H107" s="960"/>
      <c r="I107" s="954"/>
      <c r="J107" s="1426" t="s">
        <v>737</v>
      </c>
      <c r="K107" s="957">
        <f>SUM(L107:P107)</f>
        <v>0</v>
      </c>
      <c r="L107" s="958"/>
      <c r="M107" s="958"/>
      <c r="N107" s="958"/>
      <c r="O107" s="959"/>
      <c r="P107" s="960"/>
      <c r="R107" s="1426" t="s">
        <v>737</v>
      </c>
      <c r="S107" s="957">
        <f>SUM(T107:X107)</f>
        <v>0</v>
      </c>
      <c r="T107" s="958"/>
      <c r="U107" s="958"/>
      <c r="V107" s="958"/>
      <c r="W107" s="959"/>
      <c r="X107" s="960"/>
    </row>
    <row r="108" spans="2:24" s="952" customFormat="1" ht="15.75" customHeight="1">
      <c r="B108" s="1428" t="s">
        <v>239</v>
      </c>
      <c r="C108" s="957">
        <f>SUM(D108:H108)</f>
        <v>0</v>
      </c>
      <c r="D108" s="955"/>
      <c r="E108" s="955"/>
      <c r="F108" s="955"/>
      <c r="G108" s="950"/>
      <c r="H108" s="956"/>
      <c r="I108" s="954"/>
      <c r="J108" s="1428" t="s">
        <v>239</v>
      </c>
      <c r="K108" s="957">
        <f>SUM(L108:P108)</f>
        <v>0</v>
      </c>
      <c r="L108" s="955"/>
      <c r="M108" s="955"/>
      <c r="N108" s="955"/>
      <c r="O108" s="950"/>
      <c r="P108" s="956"/>
      <c r="R108" s="1428" t="s">
        <v>239</v>
      </c>
      <c r="S108" s="957">
        <f>SUM(T108:X108)</f>
        <v>0</v>
      </c>
      <c r="T108" s="955"/>
      <c r="U108" s="955"/>
      <c r="V108" s="955"/>
      <c r="W108" s="950"/>
      <c r="X108" s="956"/>
    </row>
    <row r="109" spans="2:24" s="952" customFormat="1" ht="15.75" customHeight="1">
      <c r="B109" s="1428" t="s">
        <v>245</v>
      </c>
      <c r="C109" s="957">
        <f>SUM(D109:H109)</f>
        <v>0</v>
      </c>
      <c r="D109" s="955"/>
      <c r="E109" s="955"/>
      <c r="F109" s="955"/>
      <c r="G109" s="950"/>
      <c r="H109" s="956"/>
      <c r="I109" s="954"/>
      <c r="J109" s="1428" t="s">
        <v>245</v>
      </c>
      <c r="K109" s="957">
        <f>SUM(L109:P109)</f>
        <v>0</v>
      </c>
      <c r="L109" s="955"/>
      <c r="M109" s="955"/>
      <c r="N109" s="955"/>
      <c r="O109" s="950"/>
      <c r="P109" s="956"/>
      <c r="R109" s="1428" t="s">
        <v>245</v>
      </c>
      <c r="S109" s="957">
        <f>SUM(T109:X109)</f>
        <v>0</v>
      </c>
      <c r="T109" s="955"/>
      <c r="U109" s="955"/>
      <c r="V109" s="955"/>
      <c r="W109" s="950"/>
      <c r="X109" s="956"/>
    </row>
    <row r="110" spans="2:24" s="952" customFormat="1" ht="15.75" customHeight="1">
      <c r="B110" s="1428" t="s">
        <v>497</v>
      </c>
      <c r="C110" s="957">
        <f>SUM(D110:H110)</f>
        <v>0</v>
      </c>
      <c r="D110" s="955"/>
      <c r="E110" s="955"/>
      <c r="F110" s="955"/>
      <c r="G110" s="950"/>
      <c r="H110" s="956"/>
      <c r="I110" s="954"/>
      <c r="J110" s="1428" t="s">
        <v>497</v>
      </c>
      <c r="K110" s="957">
        <f>SUM(L110:P110)</f>
        <v>0</v>
      </c>
      <c r="L110" s="955"/>
      <c r="M110" s="955"/>
      <c r="N110" s="955"/>
      <c r="O110" s="950"/>
      <c r="P110" s="956"/>
      <c r="R110" s="1428" t="s">
        <v>497</v>
      </c>
      <c r="S110" s="957">
        <f>SUM(T110:X110)</f>
        <v>0</v>
      </c>
      <c r="T110" s="955"/>
      <c r="U110" s="955"/>
      <c r="V110" s="955"/>
      <c r="W110" s="950"/>
      <c r="X110" s="956"/>
    </row>
    <row r="111" spans="2:24" s="952" customFormat="1" ht="15.75" customHeight="1" thickBot="1">
      <c r="B111" s="1434" t="s">
        <v>246</v>
      </c>
      <c r="C111" s="1435">
        <f t="shared" ref="C111:H111" si="18">SUM(C107:C110)</f>
        <v>0</v>
      </c>
      <c r="D111" s="1431">
        <f t="shared" si="18"/>
        <v>0</v>
      </c>
      <c r="E111" s="1431">
        <f t="shared" si="18"/>
        <v>0</v>
      </c>
      <c r="F111" s="1431">
        <f t="shared" si="18"/>
        <v>0</v>
      </c>
      <c r="G111" s="1431">
        <f t="shared" si="18"/>
        <v>0</v>
      </c>
      <c r="H111" s="1465">
        <f t="shared" si="18"/>
        <v>0</v>
      </c>
      <c r="I111" s="954"/>
      <c r="J111" s="1434" t="s">
        <v>246</v>
      </c>
      <c r="K111" s="1435">
        <f t="shared" ref="K111:P111" si="19">SUM(K107:K110)</f>
        <v>0</v>
      </c>
      <c r="L111" s="1431">
        <f t="shared" si="19"/>
        <v>0</v>
      </c>
      <c r="M111" s="1431">
        <f t="shared" si="19"/>
        <v>0</v>
      </c>
      <c r="N111" s="1431">
        <f t="shared" si="19"/>
        <v>0</v>
      </c>
      <c r="O111" s="1431">
        <f t="shared" si="19"/>
        <v>0</v>
      </c>
      <c r="P111" s="1465">
        <f t="shared" si="19"/>
        <v>0</v>
      </c>
      <c r="R111" s="1434" t="s">
        <v>246</v>
      </c>
      <c r="S111" s="1435">
        <f t="shared" ref="S111:X111" si="20">SUM(S107:S110)</f>
        <v>0</v>
      </c>
      <c r="T111" s="1431">
        <f t="shared" si="20"/>
        <v>0</v>
      </c>
      <c r="U111" s="1431">
        <f t="shared" si="20"/>
        <v>0</v>
      </c>
      <c r="V111" s="1431">
        <f t="shared" si="20"/>
        <v>0</v>
      </c>
      <c r="W111" s="1431">
        <f t="shared" si="20"/>
        <v>0</v>
      </c>
      <c r="X111" s="1465">
        <f t="shared" si="20"/>
        <v>0</v>
      </c>
    </row>
    <row r="112" spans="2:24" s="952" customFormat="1" ht="15.75" customHeight="1" thickBot="1">
      <c r="B112" s="1436"/>
      <c r="C112" s="1437"/>
      <c r="D112" s="1437"/>
      <c r="E112" s="1437"/>
      <c r="F112" s="1437"/>
      <c r="G112" s="1437"/>
      <c r="H112" s="1437"/>
      <c r="I112" s="954"/>
      <c r="J112" s="1436"/>
      <c r="K112" s="1437"/>
      <c r="L112" s="1437"/>
      <c r="M112" s="1437"/>
      <c r="N112" s="1437"/>
      <c r="O112" s="1437"/>
      <c r="P112" s="1437"/>
      <c r="R112" s="1436"/>
      <c r="S112" s="1437"/>
      <c r="T112" s="1437"/>
      <c r="U112" s="1437"/>
      <c r="V112" s="1437"/>
      <c r="W112" s="1437"/>
      <c r="X112" s="1437"/>
    </row>
    <row r="113" spans="2:24" s="952" customFormat="1" ht="15.75" customHeight="1">
      <c r="B113" s="1965" t="s">
        <v>815</v>
      </c>
      <c r="C113" s="1966"/>
      <c r="D113" s="1966"/>
      <c r="E113" s="1966"/>
      <c r="F113" s="1966"/>
      <c r="G113" s="1966"/>
      <c r="H113" s="1967"/>
      <c r="I113" s="1466"/>
      <c r="J113" s="1965" t="s">
        <v>816</v>
      </c>
      <c r="K113" s="1966"/>
      <c r="L113" s="1966"/>
      <c r="M113" s="1966"/>
      <c r="N113" s="1966"/>
      <c r="O113" s="1966"/>
      <c r="P113" s="1967"/>
      <c r="R113" s="1965" t="s">
        <v>117</v>
      </c>
      <c r="S113" s="1966"/>
      <c r="T113" s="1966"/>
      <c r="U113" s="1966"/>
      <c r="V113" s="1966"/>
      <c r="W113" s="1966"/>
      <c r="X113" s="1967"/>
    </row>
    <row r="114" spans="2:24" s="952" customFormat="1" ht="15.75" customHeight="1">
      <c r="B114" s="1963"/>
      <c r="C114" s="1968" t="s">
        <v>825</v>
      </c>
      <c r="D114" s="984" t="s">
        <v>818</v>
      </c>
      <c r="E114" s="985"/>
      <c r="F114" s="985"/>
      <c r="G114" s="985"/>
      <c r="H114" s="986"/>
      <c r="J114" s="1963"/>
      <c r="K114" s="1968" t="s">
        <v>825</v>
      </c>
      <c r="L114" s="981" t="s">
        <v>819</v>
      </c>
      <c r="M114" s="982"/>
      <c r="N114" s="982"/>
      <c r="O114" s="982"/>
      <c r="P114" s="983"/>
      <c r="R114" s="1963"/>
      <c r="S114" s="1968" t="s">
        <v>825</v>
      </c>
      <c r="T114" s="1960" t="s">
        <v>819</v>
      </c>
      <c r="U114" s="1961"/>
      <c r="V114" s="1961"/>
      <c r="W114" s="1961"/>
      <c r="X114" s="1962"/>
    </row>
    <row r="115" spans="2:24" s="952" customFormat="1" ht="42.75" customHeight="1">
      <c r="B115" s="1964"/>
      <c r="C115" s="1971"/>
      <c r="D115" s="1470" t="s">
        <v>833</v>
      </c>
      <c r="E115" s="1470" t="s">
        <v>822</v>
      </c>
      <c r="F115" s="1470" t="s">
        <v>652</v>
      </c>
      <c r="G115" s="1470" t="s">
        <v>834</v>
      </c>
      <c r="H115" s="1480" t="s">
        <v>824</v>
      </c>
      <c r="I115" s="954"/>
      <c r="J115" s="1964"/>
      <c r="K115" s="1971"/>
      <c r="L115" s="1470" t="s">
        <v>833</v>
      </c>
      <c r="M115" s="1470" t="s">
        <v>822</v>
      </c>
      <c r="N115" s="1470" t="s">
        <v>652</v>
      </c>
      <c r="O115" s="1470" t="s">
        <v>834</v>
      </c>
      <c r="P115" s="1480" t="s">
        <v>824</v>
      </c>
      <c r="R115" s="1964"/>
      <c r="S115" s="1971"/>
      <c r="T115" s="1470" t="s">
        <v>833</v>
      </c>
      <c r="U115" s="1470" t="s">
        <v>822</v>
      </c>
      <c r="V115" s="1470" t="s">
        <v>652</v>
      </c>
      <c r="W115" s="1470" t="s">
        <v>834</v>
      </c>
      <c r="X115" s="1480" t="s">
        <v>824</v>
      </c>
    </row>
    <row r="116" spans="2:24" s="952" customFormat="1" ht="15.75" customHeight="1">
      <c r="B116" s="1425" t="s">
        <v>737</v>
      </c>
      <c r="C116" s="958"/>
      <c r="D116" s="958"/>
      <c r="E116" s="958"/>
      <c r="F116" s="958"/>
      <c r="G116" s="963"/>
      <c r="H116" s="961"/>
      <c r="I116" s="954"/>
      <c r="J116" s="1426" t="s">
        <v>737</v>
      </c>
      <c r="K116" s="962"/>
      <c r="L116" s="958"/>
      <c r="M116" s="958"/>
      <c r="N116" s="958"/>
      <c r="O116" s="959"/>
      <c r="P116" s="963"/>
      <c r="R116" s="1426" t="s">
        <v>737</v>
      </c>
      <c r="S116" s="962"/>
      <c r="T116" s="958"/>
      <c r="U116" s="958"/>
      <c r="V116" s="958"/>
      <c r="W116" s="959"/>
      <c r="X116" s="963"/>
    </row>
    <row r="117" spans="2:24" s="952" customFormat="1" ht="15.75" customHeight="1">
      <c r="B117" s="1427" t="s">
        <v>239</v>
      </c>
      <c r="C117" s="955"/>
      <c r="D117" s="955"/>
      <c r="E117" s="955"/>
      <c r="F117" s="955"/>
      <c r="G117" s="966"/>
      <c r="H117" s="964"/>
      <c r="I117" s="954"/>
      <c r="J117" s="1428" t="s">
        <v>239</v>
      </c>
      <c r="K117" s="965"/>
      <c r="L117" s="955"/>
      <c r="M117" s="955"/>
      <c r="N117" s="955"/>
      <c r="O117" s="950"/>
      <c r="P117" s="966"/>
      <c r="R117" s="1428" t="s">
        <v>239</v>
      </c>
      <c r="S117" s="965"/>
      <c r="T117" s="955"/>
      <c r="U117" s="955"/>
      <c r="V117" s="955"/>
      <c r="W117" s="950"/>
      <c r="X117" s="966"/>
    </row>
    <row r="118" spans="2:24" s="952" customFormat="1" ht="15.75" customHeight="1">
      <c r="B118" s="1427" t="s">
        <v>245</v>
      </c>
      <c r="C118" s="955"/>
      <c r="D118" s="955"/>
      <c r="E118" s="955"/>
      <c r="F118" s="955"/>
      <c r="G118" s="966"/>
      <c r="H118" s="964"/>
      <c r="I118" s="954"/>
      <c r="J118" s="1428" t="s">
        <v>245</v>
      </c>
      <c r="K118" s="965"/>
      <c r="L118" s="955"/>
      <c r="M118" s="955"/>
      <c r="N118" s="955"/>
      <c r="O118" s="950"/>
      <c r="P118" s="966"/>
      <c r="R118" s="1428" t="s">
        <v>245</v>
      </c>
      <c r="S118" s="965"/>
      <c r="T118" s="955"/>
      <c r="U118" s="955"/>
      <c r="V118" s="955"/>
      <c r="W118" s="950"/>
      <c r="X118" s="966"/>
    </row>
    <row r="119" spans="2:24" s="952" customFormat="1" ht="15.75" customHeight="1">
      <c r="B119" s="1427" t="s">
        <v>497</v>
      </c>
      <c r="C119" s="955"/>
      <c r="D119" s="955"/>
      <c r="E119" s="955"/>
      <c r="F119" s="955"/>
      <c r="G119" s="966"/>
      <c r="H119" s="964"/>
      <c r="I119" s="954"/>
      <c r="J119" s="1428" t="s">
        <v>497</v>
      </c>
      <c r="K119" s="965"/>
      <c r="L119" s="955"/>
      <c r="M119" s="955"/>
      <c r="N119" s="955"/>
      <c r="O119" s="950"/>
      <c r="P119" s="966"/>
      <c r="R119" s="1428" t="s">
        <v>497</v>
      </c>
      <c r="S119" s="965"/>
      <c r="T119" s="955"/>
      <c r="U119" s="955"/>
      <c r="V119" s="955"/>
      <c r="W119" s="950"/>
      <c r="X119" s="966"/>
    </row>
    <row r="120" spans="2:24" s="952" customFormat="1" ht="15.75" customHeight="1" thickBot="1">
      <c r="B120" s="1429" t="s">
        <v>246</v>
      </c>
      <c r="C120" s="1430">
        <f>SUM(C116:C119)</f>
        <v>0</v>
      </c>
      <c r="D120" s="1431">
        <f>SUM(D116:D119)</f>
        <v>0</v>
      </c>
      <c r="E120" s="1431">
        <f>SUM(E116:E119)</f>
        <v>0</v>
      </c>
      <c r="F120" s="1431">
        <f>SUM(F116:F119)</f>
        <v>0</v>
      </c>
      <c r="G120" s="1432"/>
      <c r="H120" s="1433">
        <f>SUM(H116:H119)</f>
        <v>0</v>
      </c>
      <c r="I120" s="954"/>
      <c r="J120" s="1434" t="s">
        <v>246</v>
      </c>
      <c r="K120" s="1435">
        <f t="shared" ref="K120:P120" si="21">SUM(K116:K119)</f>
        <v>0</v>
      </c>
      <c r="L120" s="1431">
        <f t="shared" si="21"/>
        <v>0</v>
      </c>
      <c r="M120" s="1431">
        <f t="shared" si="21"/>
        <v>0</v>
      </c>
      <c r="N120" s="1431">
        <f t="shared" si="21"/>
        <v>0</v>
      </c>
      <c r="O120" s="1431">
        <f t="shared" si="21"/>
        <v>0</v>
      </c>
      <c r="P120" s="1433">
        <f t="shared" si="21"/>
        <v>0</v>
      </c>
      <c r="R120" s="1434" t="s">
        <v>246</v>
      </c>
      <c r="S120" s="1435">
        <f t="shared" ref="S120:X120" si="22">SUM(S116:S119)</f>
        <v>0</v>
      </c>
      <c r="T120" s="1431">
        <f t="shared" si="22"/>
        <v>0</v>
      </c>
      <c r="U120" s="1431">
        <f t="shared" si="22"/>
        <v>0</v>
      </c>
      <c r="V120" s="1431">
        <f t="shared" si="22"/>
        <v>0</v>
      </c>
      <c r="W120" s="1431">
        <f t="shared" si="22"/>
        <v>0</v>
      </c>
      <c r="X120" s="1433">
        <f t="shared" si="22"/>
        <v>0</v>
      </c>
    </row>
    <row r="121" spans="2:24" s="952" customFormat="1" ht="15.75" customHeight="1" thickBot="1">
      <c r="B121" s="1436"/>
      <c r="C121" s="1437"/>
      <c r="D121" s="1437"/>
      <c r="E121" s="1437"/>
      <c r="F121" s="1437"/>
      <c r="G121" s="1437"/>
      <c r="H121" s="1437"/>
      <c r="I121" s="954"/>
      <c r="J121" s="1436"/>
      <c r="K121" s="1437"/>
      <c r="L121" s="1437"/>
      <c r="M121" s="1437"/>
      <c r="N121" s="1437"/>
      <c r="O121" s="1437"/>
      <c r="P121" s="1437"/>
      <c r="R121" s="1436"/>
      <c r="S121" s="1437"/>
      <c r="T121" s="1437"/>
      <c r="U121" s="1437"/>
      <c r="V121" s="1437"/>
      <c r="W121" s="1437"/>
      <c r="X121" s="1437"/>
    </row>
    <row r="122" spans="2:24" s="952" customFormat="1" ht="15.75" customHeight="1">
      <c r="B122" s="1965" t="s">
        <v>815</v>
      </c>
      <c r="C122" s="1966"/>
      <c r="D122" s="1966"/>
      <c r="E122" s="1966"/>
      <c r="F122" s="1966"/>
      <c r="G122" s="1966"/>
      <c r="H122" s="1967"/>
      <c r="J122" s="1965" t="s">
        <v>816</v>
      </c>
      <c r="K122" s="1966"/>
      <c r="L122" s="1966"/>
      <c r="M122" s="1966"/>
      <c r="N122" s="1966"/>
      <c r="O122" s="1966"/>
      <c r="P122" s="1967"/>
      <c r="R122" s="1965" t="s">
        <v>117</v>
      </c>
      <c r="S122" s="1966"/>
      <c r="T122" s="1966"/>
      <c r="U122" s="1966"/>
      <c r="V122" s="1966"/>
      <c r="W122" s="1966"/>
      <c r="X122" s="1967"/>
    </row>
    <row r="123" spans="2:24" s="952" customFormat="1" ht="15.75" customHeight="1">
      <c r="B123" s="1963"/>
      <c r="C123" s="1968" t="s">
        <v>826</v>
      </c>
      <c r="D123" s="981" t="s">
        <v>827</v>
      </c>
      <c r="E123" s="982"/>
      <c r="F123" s="982"/>
      <c r="G123" s="982"/>
      <c r="H123" s="983"/>
      <c r="J123" s="1963"/>
      <c r="K123" s="1970" t="s">
        <v>826</v>
      </c>
      <c r="L123" s="984" t="s">
        <v>828</v>
      </c>
      <c r="M123" s="985"/>
      <c r="N123" s="985"/>
      <c r="O123" s="985"/>
      <c r="P123" s="986"/>
      <c r="R123" s="1963"/>
      <c r="S123" s="1968" t="s">
        <v>826</v>
      </c>
      <c r="T123" s="1960" t="s">
        <v>828</v>
      </c>
      <c r="U123" s="1961"/>
      <c r="V123" s="1961"/>
      <c r="W123" s="1961"/>
      <c r="X123" s="1962"/>
    </row>
    <row r="124" spans="2:24" s="952" customFormat="1" ht="39.75" customHeight="1">
      <c r="B124" s="1964"/>
      <c r="C124" s="1971"/>
      <c r="D124" s="1470" t="s">
        <v>833</v>
      </c>
      <c r="E124" s="1470" t="s">
        <v>822</v>
      </c>
      <c r="F124" s="1470" t="s">
        <v>652</v>
      </c>
      <c r="G124" s="1470" t="s">
        <v>834</v>
      </c>
      <c r="H124" s="1480" t="s">
        <v>824</v>
      </c>
      <c r="J124" s="1964"/>
      <c r="K124" s="1971"/>
      <c r="L124" s="1470" t="s">
        <v>833</v>
      </c>
      <c r="M124" s="1470" t="s">
        <v>822</v>
      </c>
      <c r="N124" s="1470" t="s">
        <v>652</v>
      </c>
      <c r="O124" s="1470" t="s">
        <v>834</v>
      </c>
      <c r="P124" s="1480" t="s">
        <v>824</v>
      </c>
      <c r="R124" s="1964"/>
      <c r="S124" s="1971"/>
      <c r="T124" s="1470" t="s">
        <v>833</v>
      </c>
      <c r="U124" s="1470" t="s">
        <v>822</v>
      </c>
      <c r="V124" s="1470" t="s">
        <v>652</v>
      </c>
      <c r="W124" s="1470" t="s">
        <v>834</v>
      </c>
      <c r="X124" s="1480" t="s">
        <v>824</v>
      </c>
    </row>
    <row r="125" spans="2:24" s="952" customFormat="1" ht="15.75" customHeight="1">
      <c r="B125" s="1426" t="s">
        <v>737</v>
      </c>
      <c r="C125" s="967">
        <f>SUM(D42:F42)</f>
        <v>0</v>
      </c>
      <c r="D125" s="968"/>
      <c r="E125" s="968"/>
      <c r="F125" s="968"/>
      <c r="G125" s="963"/>
      <c r="H125" s="971"/>
      <c r="J125" s="1426" t="s">
        <v>737</v>
      </c>
      <c r="K125" s="967">
        <f>SUM(G42:H42)</f>
        <v>0</v>
      </c>
      <c r="L125" s="968"/>
      <c r="M125" s="968"/>
      <c r="N125" s="968"/>
      <c r="O125" s="963"/>
      <c r="P125" s="971"/>
      <c r="R125" s="1426" t="s">
        <v>737</v>
      </c>
      <c r="S125" s="967">
        <f>SUM(I42:M42)</f>
        <v>0</v>
      </c>
      <c r="T125" s="968"/>
      <c r="U125" s="968"/>
      <c r="V125" s="968"/>
      <c r="W125" s="963"/>
      <c r="X125" s="971"/>
    </row>
    <row r="126" spans="2:24" s="952" customFormat="1" ht="15.75" customHeight="1">
      <c r="B126" s="1428" t="s">
        <v>239</v>
      </c>
      <c r="C126" s="967">
        <f>SUM(D43:F43)</f>
        <v>0</v>
      </c>
      <c r="D126" s="935"/>
      <c r="E126" s="935"/>
      <c r="F126" s="935"/>
      <c r="G126" s="966"/>
      <c r="H126" s="969"/>
      <c r="J126" s="1428" t="s">
        <v>239</v>
      </c>
      <c r="K126" s="967">
        <f>SUM(G43:H43)</f>
        <v>0</v>
      </c>
      <c r="L126" s="935"/>
      <c r="M126" s="935"/>
      <c r="N126" s="935"/>
      <c r="O126" s="966"/>
      <c r="P126" s="969"/>
      <c r="R126" s="1428" t="s">
        <v>239</v>
      </c>
      <c r="S126" s="967">
        <f>SUM(I43:M43)</f>
        <v>0</v>
      </c>
      <c r="T126" s="935"/>
      <c r="U126" s="935"/>
      <c r="V126" s="935"/>
      <c r="W126" s="966"/>
      <c r="X126" s="969"/>
    </row>
    <row r="127" spans="2:24" s="952" customFormat="1" ht="15.75" customHeight="1">
      <c r="B127" s="1428" t="s">
        <v>245</v>
      </c>
      <c r="C127" s="967">
        <f>SUM(D44:F44)</f>
        <v>0</v>
      </c>
      <c r="D127" s="935"/>
      <c r="E127" s="935"/>
      <c r="F127" s="935"/>
      <c r="G127" s="966"/>
      <c r="H127" s="969"/>
      <c r="J127" s="1428" t="s">
        <v>245</v>
      </c>
      <c r="K127" s="967">
        <f>SUM(G44:H44)</f>
        <v>0</v>
      </c>
      <c r="L127" s="935"/>
      <c r="M127" s="935"/>
      <c r="N127" s="935"/>
      <c r="O127" s="966"/>
      <c r="P127" s="969"/>
      <c r="R127" s="1428" t="s">
        <v>245</v>
      </c>
      <c r="S127" s="967">
        <f>SUM(I44:M44)</f>
        <v>0</v>
      </c>
      <c r="T127" s="935"/>
      <c r="U127" s="935"/>
      <c r="V127" s="935"/>
      <c r="W127" s="966"/>
      <c r="X127" s="969"/>
    </row>
    <row r="128" spans="2:24" s="952" customFormat="1" ht="15.75" customHeight="1">
      <c r="B128" s="1428" t="s">
        <v>497</v>
      </c>
      <c r="C128" s="967">
        <f>SUM(D45:F45)</f>
        <v>0</v>
      </c>
      <c r="D128" s="935"/>
      <c r="E128" s="935"/>
      <c r="F128" s="935"/>
      <c r="G128" s="966"/>
      <c r="H128" s="969"/>
      <c r="J128" s="1428" t="s">
        <v>497</v>
      </c>
      <c r="K128" s="967">
        <f>SUM(G45:H45)</f>
        <v>0</v>
      </c>
      <c r="L128" s="935"/>
      <c r="M128" s="935"/>
      <c r="N128" s="935"/>
      <c r="O128" s="966"/>
      <c r="P128" s="969"/>
      <c r="R128" s="1428" t="s">
        <v>497</v>
      </c>
      <c r="S128" s="967">
        <f>SUM(I45:M45)</f>
        <v>0</v>
      </c>
      <c r="T128" s="935"/>
      <c r="U128" s="935"/>
      <c r="V128" s="935"/>
      <c r="W128" s="966"/>
      <c r="X128" s="969"/>
    </row>
    <row r="129" spans="2:24" s="952" customFormat="1" ht="15.75" customHeight="1" thickBot="1">
      <c r="B129" s="1434" t="s">
        <v>246</v>
      </c>
      <c r="C129" s="1438">
        <f>SUM(C125:C128)</f>
        <v>0</v>
      </c>
      <c r="D129" s="1439">
        <f>SUM(D125:D128)</f>
        <v>0</v>
      </c>
      <c r="E129" s="1439">
        <f>SUM(E125:E128)</f>
        <v>0</v>
      </c>
      <c r="F129" s="1439">
        <f>SUM(F125:F128)</f>
        <v>0</v>
      </c>
      <c r="G129" s="1432"/>
      <c r="H129" s="1433">
        <f>SUM(H125:H128)</f>
        <v>0</v>
      </c>
      <c r="J129" s="1434" t="s">
        <v>246</v>
      </c>
      <c r="K129" s="1438">
        <f>SUM(K125:K128)</f>
        <v>0</v>
      </c>
      <c r="L129" s="1439">
        <f>SUM(L125:L128)</f>
        <v>0</v>
      </c>
      <c r="M129" s="1439">
        <f>SUM(M125:M128)</f>
        <v>0</v>
      </c>
      <c r="N129" s="1439">
        <f>SUM(N125:N128)</f>
        <v>0</v>
      </c>
      <c r="O129" s="1432"/>
      <c r="P129" s="1433">
        <f>SUM(P125:P128)</f>
        <v>0</v>
      </c>
      <c r="R129" s="1434" t="s">
        <v>246</v>
      </c>
      <c r="S129" s="1438">
        <f>SUM(S125:S128)</f>
        <v>0</v>
      </c>
      <c r="T129" s="1439">
        <f>SUM(T125:T128)</f>
        <v>0</v>
      </c>
      <c r="U129" s="1439">
        <f>SUM(U125:U128)</f>
        <v>0</v>
      </c>
      <c r="V129" s="1439">
        <f>SUM(V125:V128)</f>
        <v>0</v>
      </c>
      <c r="W129" s="1432"/>
      <c r="X129" s="1433">
        <f>SUM(X125:X128)</f>
        <v>0</v>
      </c>
    </row>
    <row r="130" spans="2:24" s="952" customFormat="1" ht="15.75" customHeight="1" thickBot="1"/>
    <row r="131" spans="2:24" s="952" customFormat="1" ht="15.75" customHeight="1">
      <c r="B131" s="1965" t="s">
        <v>815</v>
      </c>
      <c r="C131" s="1966"/>
      <c r="D131" s="1966"/>
      <c r="E131" s="1966"/>
      <c r="F131" s="1966"/>
      <c r="G131" s="1966"/>
      <c r="H131" s="1967"/>
      <c r="J131" s="1965" t="s">
        <v>816</v>
      </c>
      <c r="K131" s="1966"/>
      <c r="L131" s="1966"/>
      <c r="M131" s="1966"/>
      <c r="N131" s="1966"/>
      <c r="O131" s="1966"/>
      <c r="P131" s="1967"/>
      <c r="R131" s="1965" t="s">
        <v>117</v>
      </c>
      <c r="S131" s="1966"/>
      <c r="T131" s="1966"/>
      <c r="U131" s="1966"/>
      <c r="V131" s="1966"/>
      <c r="W131" s="1966"/>
      <c r="X131" s="1967"/>
    </row>
    <row r="132" spans="2:24" s="952" customFormat="1" ht="15.75" customHeight="1">
      <c r="B132" s="1963"/>
      <c r="C132" s="1968" t="s">
        <v>829</v>
      </c>
      <c r="D132" s="981" t="s">
        <v>830</v>
      </c>
      <c r="E132" s="982"/>
      <c r="F132" s="982"/>
      <c r="G132" s="982"/>
      <c r="H132" s="983"/>
      <c r="J132" s="1963"/>
      <c r="K132" s="1968" t="s">
        <v>829</v>
      </c>
      <c r="L132" s="981" t="s">
        <v>831</v>
      </c>
      <c r="M132" s="982"/>
      <c r="N132" s="982"/>
      <c r="O132" s="982"/>
      <c r="P132" s="983"/>
      <c r="R132" s="1963"/>
      <c r="S132" s="1968" t="s">
        <v>829</v>
      </c>
      <c r="T132" s="1960" t="s">
        <v>831</v>
      </c>
      <c r="U132" s="1961"/>
      <c r="V132" s="1961"/>
      <c r="W132" s="1961"/>
      <c r="X132" s="1962"/>
    </row>
    <row r="133" spans="2:24" s="952" customFormat="1" ht="40.5" customHeight="1">
      <c r="B133" s="1964"/>
      <c r="C133" s="1978"/>
      <c r="D133" s="1470" t="s">
        <v>833</v>
      </c>
      <c r="E133" s="1470" t="s">
        <v>822</v>
      </c>
      <c r="F133" s="1470" t="s">
        <v>652</v>
      </c>
      <c r="G133" s="1470" t="s">
        <v>834</v>
      </c>
      <c r="H133" s="1480" t="s">
        <v>824</v>
      </c>
      <c r="J133" s="1964"/>
      <c r="K133" s="1971"/>
      <c r="L133" s="1470" t="s">
        <v>833</v>
      </c>
      <c r="M133" s="1470" t="s">
        <v>822</v>
      </c>
      <c r="N133" s="1470" t="s">
        <v>652</v>
      </c>
      <c r="O133" s="1470" t="s">
        <v>834</v>
      </c>
      <c r="P133" s="1480" t="s">
        <v>824</v>
      </c>
      <c r="R133" s="1964"/>
      <c r="S133" s="1971"/>
      <c r="T133" s="1470" t="s">
        <v>833</v>
      </c>
      <c r="U133" s="1470" t="s">
        <v>822</v>
      </c>
      <c r="V133" s="1470" t="s">
        <v>652</v>
      </c>
      <c r="W133" s="1470" t="s">
        <v>834</v>
      </c>
      <c r="X133" s="1480" t="s">
        <v>824</v>
      </c>
    </row>
    <row r="134" spans="2:24" s="952" customFormat="1" ht="15.75" customHeight="1">
      <c r="B134" s="1426" t="s">
        <v>737</v>
      </c>
      <c r="C134" s="967">
        <f t="shared" ref="C134:F137" si="23">IF(C116&gt;0,C125*1000/C116,0)</f>
        <v>0</v>
      </c>
      <c r="D134" s="972">
        <f t="shared" si="23"/>
        <v>0</v>
      </c>
      <c r="E134" s="972">
        <f t="shared" si="23"/>
        <v>0</v>
      </c>
      <c r="F134" s="972">
        <f t="shared" si="23"/>
        <v>0</v>
      </c>
      <c r="G134" s="961"/>
      <c r="H134" s="971"/>
      <c r="J134" s="1426" t="s">
        <v>737</v>
      </c>
      <c r="K134" s="967">
        <f t="shared" ref="K134:N137" si="24">IF(K116&gt;0,K125*1000/K116,0)</f>
        <v>0</v>
      </c>
      <c r="L134" s="972"/>
      <c r="M134" s="972"/>
      <c r="N134" s="972">
        <f t="shared" si="24"/>
        <v>0</v>
      </c>
      <c r="O134" s="961"/>
      <c r="P134" s="971"/>
      <c r="R134" s="1426" t="s">
        <v>737</v>
      </c>
      <c r="S134" s="967">
        <f t="shared" ref="S134:V137" si="25">IF(S116&gt;0,S125*1000/S116,0)</f>
        <v>0</v>
      </c>
      <c r="T134" s="972">
        <f t="shared" si="25"/>
        <v>0</v>
      </c>
      <c r="U134" s="972">
        <f t="shared" si="25"/>
        <v>0</v>
      </c>
      <c r="V134" s="972">
        <f t="shared" si="25"/>
        <v>0</v>
      </c>
      <c r="W134" s="961"/>
      <c r="X134" s="971"/>
    </row>
    <row r="135" spans="2:24" s="952" customFormat="1" ht="15.75" customHeight="1">
      <c r="B135" s="1428" t="s">
        <v>239</v>
      </c>
      <c r="C135" s="974">
        <f t="shared" si="23"/>
        <v>0</v>
      </c>
      <c r="D135" s="975">
        <f t="shared" si="23"/>
        <v>0</v>
      </c>
      <c r="E135" s="975">
        <f t="shared" si="23"/>
        <v>0</v>
      </c>
      <c r="F135" s="975">
        <f t="shared" si="23"/>
        <v>0</v>
      </c>
      <c r="G135" s="964"/>
      <c r="H135" s="969"/>
      <c r="J135" s="1428" t="s">
        <v>239</v>
      </c>
      <c r="K135" s="974">
        <f t="shared" si="24"/>
        <v>0</v>
      </c>
      <c r="L135" s="975">
        <f t="shared" si="24"/>
        <v>0</v>
      </c>
      <c r="M135" s="975">
        <f t="shared" si="24"/>
        <v>0</v>
      </c>
      <c r="N135" s="975">
        <f t="shared" si="24"/>
        <v>0</v>
      </c>
      <c r="O135" s="964"/>
      <c r="P135" s="969"/>
      <c r="R135" s="1428" t="s">
        <v>239</v>
      </c>
      <c r="S135" s="974">
        <f t="shared" si="25"/>
        <v>0</v>
      </c>
      <c r="T135" s="975">
        <f t="shared" si="25"/>
        <v>0</v>
      </c>
      <c r="U135" s="975">
        <f t="shared" si="25"/>
        <v>0</v>
      </c>
      <c r="V135" s="975">
        <f t="shared" si="25"/>
        <v>0</v>
      </c>
      <c r="W135" s="964"/>
      <c r="X135" s="969"/>
    </row>
    <row r="136" spans="2:24" s="952" customFormat="1" ht="15.75" customHeight="1">
      <c r="B136" s="1428" t="s">
        <v>245</v>
      </c>
      <c r="C136" s="974">
        <f t="shared" si="23"/>
        <v>0</v>
      </c>
      <c r="D136" s="975">
        <f t="shared" si="23"/>
        <v>0</v>
      </c>
      <c r="E136" s="975">
        <f t="shared" si="23"/>
        <v>0</v>
      </c>
      <c r="F136" s="975">
        <f t="shared" si="23"/>
        <v>0</v>
      </c>
      <c r="G136" s="964"/>
      <c r="H136" s="969"/>
      <c r="J136" s="1428" t="s">
        <v>245</v>
      </c>
      <c r="K136" s="974">
        <f t="shared" si="24"/>
        <v>0</v>
      </c>
      <c r="L136" s="975">
        <f t="shared" si="24"/>
        <v>0</v>
      </c>
      <c r="M136" s="975">
        <f t="shared" si="24"/>
        <v>0</v>
      </c>
      <c r="N136" s="975">
        <f t="shared" si="24"/>
        <v>0</v>
      </c>
      <c r="O136" s="964"/>
      <c r="P136" s="969"/>
      <c r="R136" s="1428" t="s">
        <v>245</v>
      </c>
      <c r="S136" s="974">
        <f t="shared" si="25"/>
        <v>0</v>
      </c>
      <c r="T136" s="975">
        <f t="shared" si="25"/>
        <v>0</v>
      </c>
      <c r="U136" s="975">
        <f t="shared" si="25"/>
        <v>0</v>
      </c>
      <c r="V136" s="975">
        <f t="shared" si="25"/>
        <v>0</v>
      </c>
      <c r="W136" s="964"/>
      <c r="X136" s="969"/>
    </row>
    <row r="137" spans="2:24" s="952" customFormat="1" ht="15.75" customHeight="1" thickBot="1">
      <c r="B137" s="1440" t="s">
        <v>497</v>
      </c>
      <c r="C137" s="976">
        <f t="shared" si="23"/>
        <v>0</v>
      </c>
      <c r="D137" s="977">
        <f t="shared" si="23"/>
        <v>0</v>
      </c>
      <c r="E137" s="977">
        <f t="shared" si="23"/>
        <v>0</v>
      </c>
      <c r="F137" s="977">
        <f t="shared" si="23"/>
        <v>0</v>
      </c>
      <c r="G137" s="987"/>
      <c r="H137" s="978"/>
      <c r="J137" s="1440" t="s">
        <v>497</v>
      </c>
      <c r="K137" s="976">
        <f t="shared" si="24"/>
        <v>0</v>
      </c>
      <c r="L137" s="977">
        <f t="shared" si="24"/>
        <v>0</v>
      </c>
      <c r="M137" s="977">
        <f t="shared" si="24"/>
        <v>0</v>
      </c>
      <c r="N137" s="977">
        <f t="shared" si="24"/>
        <v>0</v>
      </c>
      <c r="O137" s="987"/>
      <c r="P137" s="978"/>
      <c r="R137" s="1440" t="s">
        <v>497</v>
      </c>
      <c r="S137" s="976">
        <f t="shared" si="25"/>
        <v>0</v>
      </c>
      <c r="T137" s="977">
        <f t="shared" si="25"/>
        <v>0</v>
      </c>
      <c r="U137" s="977">
        <f t="shared" si="25"/>
        <v>0</v>
      </c>
      <c r="V137" s="977">
        <f t="shared" si="25"/>
        <v>0</v>
      </c>
      <c r="W137" s="987"/>
      <c r="X137" s="978"/>
    </row>
  </sheetData>
  <sheetProtection insertRows="0"/>
  <mergeCells count="86">
    <mergeCell ref="J58:P58"/>
    <mergeCell ref="R58:X58"/>
    <mergeCell ref="S59:S60"/>
    <mergeCell ref="D59:H59"/>
    <mergeCell ref="L59:P59"/>
    <mergeCell ref="R59:R60"/>
    <mergeCell ref="T59:X59"/>
    <mergeCell ref="B85:H85"/>
    <mergeCell ref="J85:P85"/>
    <mergeCell ref="R85:X85"/>
    <mergeCell ref="C86:C87"/>
    <mergeCell ref="K86:K87"/>
    <mergeCell ref="S86:S87"/>
    <mergeCell ref="B86:B87"/>
    <mergeCell ref="J86:J87"/>
    <mergeCell ref="D86:H86"/>
    <mergeCell ref="T86:X86"/>
    <mergeCell ref="R86:R87"/>
    <mergeCell ref="J67:P67"/>
    <mergeCell ref="R67:X67"/>
    <mergeCell ref="S68:S69"/>
    <mergeCell ref="B67:H67"/>
    <mergeCell ref="C68:C69"/>
    <mergeCell ref="K68:K69"/>
    <mergeCell ref="J68:J69"/>
    <mergeCell ref="D68:H68"/>
    <mergeCell ref="R68:R69"/>
    <mergeCell ref="T68:X68"/>
    <mergeCell ref="B104:H104"/>
    <mergeCell ref="J104:P104"/>
    <mergeCell ref="R104:X104"/>
    <mergeCell ref="C105:C106"/>
    <mergeCell ref="D105:H105"/>
    <mergeCell ref="K105:K106"/>
    <mergeCell ref="S105:S106"/>
    <mergeCell ref="B105:B106"/>
    <mergeCell ref="J105:J106"/>
    <mergeCell ref="T105:X105"/>
    <mergeCell ref="R105:R106"/>
    <mergeCell ref="K114:K115"/>
    <mergeCell ref="S114:S115"/>
    <mergeCell ref="C114:C115"/>
    <mergeCell ref="B113:H113"/>
    <mergeCell ref="J113:P113"/>
    <mergeCell ref="R113:X113"/>
    <mergeCell ref="B114:B115"/>
    <mergeCell ref="J114:J115"/>
    <mergeCell ref="T114:X114"/>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B7:C8"/>
    <mergeCell ref="B31:C32"/>
    <mergeCell ref="B40:C41"/>
    <mergeCell ref="B59:B60"/>
    <mergeCell ref="B68:B69"/>
    <mergeCell ref="B58:H58"/>
    <mergeCell ref="B76:H76"/>
    <mergeCell ref="J76:P76"/>
    <mergeCell ref="C77:C78"/>
    <mergeCell ref="K77:K78"/>
    <mergeCell ref="R76:X76"/>
    <mergeCell ref="S77:S78"/>
    <mergeCell ref="B77:B78"/>
    <mergeCell ref="J77:J78"/>
    <mergeCell ref="D77:H77"/>
    <mergeCell ref="R77:R78"/>
    <mergeCell ref="T77:X77"/>
    <mergeCell ref="T123:X123"/>
    <mergeCell ref="T132:X132"/>
    <mergeCell ref="R132:R133"/>
    <mergeCell ref="R123:R124"/>
    <mergeCell ref="R114:R115"/>
  </mergeCells>
  <phoneticPr fontId="47"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1DFFF"/>
  </sheetPr>
  <dimension ref="A1:K155"/>
  <sheetViews>
    <sheetView zoomScale="80" zoomScaleNormal="80" workbookViewId="0"/>
  </sheetViews>
  <sheetFormatPr defaultColWidth="8.85546875" defaultRowHeight="12.75"/>
  <cols>
    <col min="1" max="4" width="8.85546875" customWidth="1"/>
    <col min="5" max="5" width="31" bestFit="1" customWidth="1"/>
    <col min="6" max="6" width="8.85546875" customWidth="1"/>
    <col min="7" max="10" width="14" customWidth="1"/>
  </cols>
  <sheetData>
    <row r="1" spans="1:11">
      <c r="A1" s="485" t="s">
        <v>858</v>
      </c>
      <c r="F1" s="241" t="s">
        <v>216</v>
      </c>
    </row>
    <row r="2" spans="1:11">
      <c r="A2" s="485"/>
    </row>
    <row r="3" spans="1:11">
      <c r="A3" s="485" t="s">
        <v>485</v>
      </c>
    </row>
    <row r="4" spans="1:11">
      <c r="A4" s="485"/>
    </row>
    <row r="6" spans="1:11" ht="13.5" thickBot="1"/>
    <row r="7" spans="1:11" ht="15" customHeight="1">
      <c r="B7" s="1992" t="s">
        <v>641</v>
      </c>
      <c r="C7" s="1993"/>
      <c r="D7" s="1993"/>
      <c r="E7" s="1994"/>
      <c r="F7" s="2001" t="s">
        <v>31</v>
      </c>
      <c r="G7" s="559" t="s">
        <v>642</v>
      </c>
      <c r="H7" s="357"/>
      <c r="I7" s="559" t="s">
        <v>643</v>
      </c>
      <c r="J7" s="357"/>
    </row>
    <row r="8" spans="1:11" ht="50.25" customHeight="1">
      <c r="B8" s="1995"/>
      <c r="C8" s="1996"/>
      <c r="D8" s="1996"/>
      <c r="E8" s="1997"/>
      <c r="F8" s="2002"/>
      <c r="G8" s="560" t="s">
        <v>644</v>
      </c>
      <c r="H8" s="561" t="s">
        <v>654</v>
      </c>
      <c r="I8" s="560" t="s">
        <v>644</v>
      </c>
      <c r="J8" s="561" t="s">
        <v>654</v>
      </c>
    </row>
    <row r="9" spans="1:11" ht="15" customHeight="1" thickBot="1">
      <c r="B9" s="1998"/>
      <c r="C9" s="1999"/>
      <c r="D9" s="1999"/>
      <c r="E9" s="2000"/>
      <c r="F9" s="2003"/>
      <c r="G9" s="564" t="s">
        <v>655</v>
      </c>
      <c r="H9" s="565" t="s">
        <v>655</v>
      </c>
      <c r="I9" s="564" t="s">
        <v>655</v>
      </c>
      <c r="J9" s="565" t="s">
        <v>655</v>
      </c>
    </row>
    <row r="10" spans="1:11" ht="15" customHeight="1">
      <c r="B10" s="566"/>
      <c r="C10" s="567" t="s">
        <v>465</v>
      </c>
      <c r="D10" s="567"/>
      <c r="E10" s="568"/>
      <c r="F10" s="569"/>
      <c r="G10" s="570"/>
      <c r="H10" s="571"/>
      <c r="I10" s="570"/>
      <c r="J10" s="571"/>
    </row>
    <row r="11" spans="1:11" ht="15" customHeight="1">
      <c r="B11" s="566"/>
      <c r="C11" s="568"/>
      <c r="D11" s="572" t="s">
        <v>225</v>
      </c>
      <c r="E11" s="568"/>
      <c r="F11" s="573"/>
      <c r="G11" s="574"/>
      <c r="H11" s="575"/>
      <c r="I11" s="574"/>
      <c r="J11" s="575"/>
    </row>
    <row r="12" spans="1:11" ht="15" customHeight="1">
      <c r="B12" s="576"/>
      <c r="C12" s="568"/>
      <c r="D12" s="568"/>
      <c r="E12" s="568" t="s">
        <v>466</v>
      </c>
      <c r="F12" s="577" t="s">
        <v>177</v>
      </c>
      <c r="G12" s="358">
        <v>19.530434036006369</v>
      </c>
      <c r="H12" s="359">
        <v>23.614627339276826</v>
      </c>
      <c r="I12" s="358">
        <v>22.767390665510856</v>
      </c>
      <c r="J12" s="359">
        <v>27.528494505681106</v>
      </c>
      <c r="K12" s="1062"/>
    </row>
    <row r="13" spans="1:11" ht="15" customHeight="1">
      <c r="B13" s="576"/>
      <c r="C13" s="568"/>
      <c r="D13" s="568"/>
      <c r="E13" s="568" t="s">
        <v>467</v>
      </c>
      <c r="F13" s="577" t="s">
        <v>744</v>
      </c>
      <c r="G13" s="358">
        <v>0.56383727616857438</v>
      </c>
      <c r="H13" s="359">
        <v>0.68174660799481313</v>
      </c>
      <c r="I13" s="358">
        <v>0.56383727616857438</v>
      </c>
      <c r="J13" s="359">
        <v>0.68174660799481313</v>
      </c>
      <c r="K13" s="1062"/>
    </row>
    <row r="14" spans="1:11" ht="15" customHeight="1">
      <c r="B14" s="576"/>
      <c r="C14" s="568"/>
      <c r="D14" s="568"/>
      <c r="E14" s="568"/>
      <c r="F14" s="577"/>
      <c r="G14" s="578"/>
      <c r="H14" s="579"/>
      <c r="I14" s="578"/>
      <c r="J14" s="579"/>
    </row>
    <row r="15" spans="1:11" ht="15" customHeight="1">
      <c r="B15" s="576"/>
      <c r="C15" s="568"/>
      <c r="D15" s="572" t="s">
        <v>745</v>
      </c>
      <c r="E15" s="568"/>
      <c r="F15" s="577"/>
      <c r="G15" s="578"/>
      <c r="H15" s="579"/>
      <c r="I15" s="578"/>
      <c r="J15" s="579"/>
    </row>
    <row r="16" spans="1:11" ht="15" customHeight="1">
      <c r="B16" s="576"/>
      <c r="C16" s="568"/>
      <c r="D16" s="568"/>
      <c r="E16" s="568" t="s">
        <v>746</v>
      </c>
      <c r="F16" s="577" t="s">
        <v>744</v>
      </c>
      <c r="G16" s="358">
        <v>0.88744269032566714</v>
      </c>
      <c r="H16" s="359">
        <v>1.0730242030653374</v>
      </c>
      <c r="I16" s="358">
        <v>1.2635471825202351</v>
      </c>
      <c r="J16" s="359">
        <v>1.5277794536362459</v>
      </c>
      <c r="K16" s="1062"/>
    </row>
    <row r="17" spans="2:11" ht="15" customHeight="1">
      <c r="B17" s="576"/>
      <c r="C17" s="568"/>
      <c r="D17" s="568"/>
      <c r="E17" s="568"/>
      <c r="F17" s="577"/>
      <c r="G17" s="578"/>
      <c r="H17" s="579"/>
      <c r="I17" s="578"/>
      <c r="J17" s="579"/>
    </row>
    <row r="18" spans="2:11" ht="15" customHeight="1">
      <c r="B18" s="576"/>
      <c r="C18" s="568"/>
      <c r="D18" s="572" t="s">
        <v>878</v>
      </c>
      <c r="E18" s="568"/>
      <c r="F18" s="577"/>
      <c r="G18" s="578"/>
      <c r="H18" s="579"/>
      <c r="I18" s="578"/>
      <c r="J18" s="579"/>
    </row>
    <row r="19" spans="2:11" ht="15" customHeight="1">
      <c r="B19" s="576"/>
      <c r="C19" s="568"/>
      <c r="D19" s="572"/>
      <c r="E19" s="568" t="s">
        <v>773</v>
      </c>
      <c r="F19" s="577" t="s">
        <v>177</v>
      </c>
      <c r="G19" s="358">
        <v>0</v>
      </c>
      <c r="H19" s="359">
        <v>0</v>
      </c>
      <c r="I19" s="358">
        <v>72.817665034855338</v>
      </c>
      <c r="J19" s="359">
        <v>88.045253901895236</v>
      </c>
      <c r="K19" s="1062"/>
    </row>
    <row r="20" spans="2:11" ht="15" customHeight="1">
      <c r="B20" s="576"/>
      <c r="C20" s="568"/>
      <c r="D20" s="572"/>
      <c r="E20" s="568" t="s">
        <v>634</v>
      </c>
      <c r="F20" s="577" t="s">
        <v>177</v>
      </c>
      <c r="G20" s="358">
        <v>72.817665034855338</v>
      </c>
      <c r="H20" s="359">
        <v>88.045253901895236</v>
      </c>
      <c r="I20" s="358">
        <v>72.817665034855338</v>
      </c>
      <c r="J20" s="359">
        <v>88.045253901895236</v>
      </c>
      <c r="K20" s="1062"/>
    </row>
    <row r="21" spans="2:11" ht="15" customHeight="1">
      <c r="B21" s="576"/>
      <c r="C21" s="568"/>
      <c r="D21" s="572"/>
      <c r="E21" s="568" t="s">
        <v>635</v>
      </c>
      <c r="F21" s="577" t="s">
        <v>177</v>
      </c>
      <c r="G21" s="358">
        <v>0</v>
      </c>
      <c r="H21" s="359">
        <v>0</v>
      </c>
      <c r="I21" s="358">
        <v>72.817665034855338</v>
      </c>
      <c r="J21" s="359">
        <v>88.045253901895236</v>
      </c>
      <c r="K21" s="1062"/>
    </row>
    <row r="22" spans="2:11" ht="15" customHeight="1">
      <c r="B22" s="576"/>
      <c r="C22" s="568"/>
      <c r="D22" s="572"/>
      <c r="E22" s="568" t="s">
        <v>636</v>
      </c>
      <c r="F22" s="577" t="s">
        <v>744</v>
      </c>
      <c r="G22" s="358">
        <v>0.87691534267270388</v>
      </c>
      <c r="H22" s="359">
        <v>1.0602953824340386</v>
      </c>
      <c r="I22" s="358">
        <v>0.87691534267270388</v>
      </c>
      <c r="J22" s="359">
        <v>1.0602953824340386</v>
      </c>
      <c r="K22" s="1062"/>
    </row>
    <row r="23" spans="2:11" ht="15" customHeight="1">
      <c r="B23" s="576"/>
      <c r="C23" s="568"/>
      <c r="D23" s="568"/>
      <c r="E23" s="568"/>
      <c r="F23" s="577"/>
      <c r="G23" s="578"/>
      <c r="H23" s="579"/>
      <c r="I23" s="578"/>
      <c r="J23" s="579"/>
    </row>
    <row r="24" spans="2:11" ht="15" customHeight="1">
      <c r="B24" s="576"/>
      <c r="C24" s="568"/>
      <c r="D24" s="572" t="s">
        <v>637</v>
      </c>
      <c r="E24" s="568"/>
      <c r="F24" s="577"/>
      <c r="G24" s="578"/>
      <c r="H24" s="579"/>
      <c r="I24" s="578"/>
      <c r="J24" s="579"/>
    </row>
    <row r="25" spans="2:11" ht="15" customHeight="1">
      <c r="B25" s="576"/>
      <c r="C25" s="568"/>
      <c r="D25" s="572"/>
      <c r="E25" s="568" t="s">
        <v>638</v>
      </c>
      <c r="F25" s="577" t="s">
        <v>744</v>
      </c>
      <c r="G25" s="358">
        <v>6.5088981487094903</v>
      </c>
      <c r="H25" s="359">
        <v>7.8700352428272735</v>
      </c>
      <c r="I25" s="358">
        <v>6.5088981487094903</v>
      </c>
      <c r="J25" s="359">
        <v>7.8700352428272735</v>
      </c>
      <c r="K25" s="1062"/>
    </row>
    <row r="26" spans="2:11" ht="15" customHeight="1">
      <c r="B26" s="576"/>
      <c r="C26" s="568"/>
      <c r="D26" s="572"/>
      <c r="E26" s="568" t="s">
        <v>639</v>
      </c>
      <c r="F26" s="577" t="s">
        <v>744</v>
      </c>
      <c r="G26" s="358">
        <v>6.4714115681814928</v>
      </c>
      <c r="H26" s="359">
        <v>7.8247094898122382</v>
      </c>
      <c r="I26" s="358">
        <v>6.4714115681814928</v>
      </c>
      <c r="J26" s="359">
        <v>7.8247094898122382</v>
      </c>
      <c r="K26" s="1062"/>
    </row>
    <row r="27" spans="2:11" ht="15" customHeight="1">
      <c r="B27" s="576"/>
      <c r="C27" s="568"/>
      <c r="D27" s="572"/>
      <c r="E27" s="568" t="s">
        <v>758</v>
      </c>
      <c r="F27" s="577" t="s">
        <v>744</v>
      </c>
      <c r="G27" s="358">
        <v>6.5088981487094903</v>
      </c>
      <c r="H27" s="359">
        <v>7.8700352428272735</v>
      </c>
      <c r="I27" s="358">
        <v>6.5088981487094903</v>
      </c>
      <c r="J27" s="359">
        <v>7.8700352428272735</v>
      </c>
      <c r="K27" s="1062"/>
    </row>
    <row r="28" spans="2:11" ht="15" customHeight="1">
      <c r="B28" s="576"/>
      <c r="C28" s="568"/>
      <c r="D28" s="572"/>
      <c r="E28" s="568" t="s">
        <v>759</v>
      </c>
      <c r="F28" s="577" t="s">
        <v>744</v>
      </c>
      <c r="G28" s="358">
        <v>4.2350152700306758</v>
      </c>
      <c r="H28" s="359">
        <v>5.1206392645214951</v>
      </c>
      <c r="I28" s="358">
        <v>4.2350152700306758</v>
      </c>
      <c r="J28" s="359">
        <v>5.1206392645214951</v>
      </c>
      <c r="K28" s="1062"/>
    </row>
    <row r="29" spans="2:11" ht="15" customHeight="1">
      <c r="B29" s="576"/>
      <c r="C29" s="568"/>
      <c r="D29" s="572"/>
      <c r="E29" s="568" t="s">
        <v>41</v>
      </c>
      <c r="F29" s="577" t="s">
        <v>744</v>
      </c>
      <c r="G29" s="580"/>
      <c r="H29" s="581"/>
      <c r="I29" s="580"/>
      <c r="J29" s="581"/>
    </row>
    <row r="30" spans="2:11" ht="15" customHeight="1">
      <c r="B30" s="576"/>
      <c r="C30" s="568"/>
      <c r="D30" s="572"/>
      <c r="E30" s="568" t="s">
        <v>42</v>
      </c>
      <c r="F30" s="577" t="s">
        <v>744</v>
      </c>
      <c r="G30" s="580"/>
      <c r="H30" s="581"/>
      <c r="I30" s="580"/>
      <c r="J30" s="581"/>
    </row>
    <row r="31" spans="2:11" ht="15" customHeight="1" thickBot="1">
      <c r="B31" s="562"/>
      <c r="C31" s="563"/>
      <c r="D31" s="563"/>
      <c r="E31" s="563"/>
      <c r="F31" s="360"/>
      <c r="G31" s="582"/>
      <c r="H31" s="583"/>
      <c r="I31" s="582"/>
      <c r="J31" s="583"/>
    </row>
    <row r="32" spans="2:11" ht="15" customHeight="1">
      <c r="B32" s="584"/>
      <c r="C32" s="585" t="s">
        <v>43</v>
      </c>
      <c r="D32" s="585"/>
      <c r="E32" s="586"/>
      <c r="F32" s="587"/>
      <c r="G32" s="578"/>
      <c r="H32" s="579"/>
      <c r="I32" s="578"/>
      <c r="J32" s="579"/>
    </row>
    <row r="33" spans="2:11" ht="15" customHeight="1">
      <c r="B33" s="576"/>
      <c r="C33" s="568"/>
      <c r="D33" s="572" t="s">
        <v>225</v>
      </c>
      <c r="E33" s="568"/>
      <c r="F33" s="587"/>
      <c r="G33" s="578"/>
      <c r="H33" s="579"/>
      <c r="I33" s="578"/>
      <c r="J33" s="579"/>
    </row>
    <row r="34" spans="2:11" ht="15" customHeight="1">
      <c r="B34" s="576"/>
      <c r="C34" s="568"/>
      <c r="D34" s="572"/>
      <c r="E34" s="568" t="s">
        <v>44</v>
      </c>
      <c r="F34" s="577" t="s">
        <v>177</v>
      </c>
      <c r="G34" s="358">
        <v>14.132602725946677</v>
      </c>
      <c r="H34" s="359">
        <v>17.530008371711197</v>
      </c>
      <c r="I34" s="358">
        <v>9.6011821101352464</v>
      </c>
      <c r="J34" s="359">
        <v>11.909257341536181</v>
      </c>
      <c r="K34" s="1062"/>
    </row>
    <row r="35" spans="2:11" ht="15" customHeight="1">
      <c r="B35" s="576"/>
      <c r="C35" s="568"/>
      <c r="D35" s="572"/>
      <c r="E35" s="568" t="s">
        <v>45</v>
      </c>
      <c r="F35" s="577" t="s">
        <v>177</v>
      </c>
      <c r="G35" s="358">
        <v>14.132602725946677</v>
      </c>
      <c r="H35" s="359">
        <v>17.530008371711197</v>
      </c>
      <c r="I35" s="358">
        <v>17.907680097032131</v>
      </c>
      <c r="J35" s="359">
        <v>22.212595097048638</v>
      </c>
      <c r="K35" s="1062"/>
    </row>
    <row r="36" spans="2:11" ht="15" customHeight="1">
      <c r="B36" s="576"/>
      <c r="C36" s="568"/>
      <c r="D36" s="568"/>
      <c r="E36" s="568" t="s">
        <v>46</v>
      </c>
      <c r="F36" s="577" t="s">
        <v>177</v>
      </c>
      <c r="G36" s="358">
        <v>0</v>
      </c>
      <c r="H36" s="359">
        <v>0</v>
      </c>
      <c r="I36" s="358">
        <v>0</v>
      </c>
      <c r="J36" s="359">
        <v>0</v>
      </c>
      <c r="K36" s="1062"/>
    </row>
    <row r="37" spans="2:11" ht="15" customHeight="1">
      <c r="B37" s="576"/>
      <c r="C37" s="568"/>
      <c r="D37" s="568"/>
      <c r="E37" s="568" t="s">
        <v>649</v>
      </c>
      <c r="F37" s="577" t="s">
        <v>177</v>
      </c>
      <c r="G37" s="358">
        <v>0</v>
      </c>
      <c r="H37" s="359">
        <v>0</v>
      </c>
      <c r="I37" s="358">
        <v>0</v>
      </c>
      <c r="J37" s="359">
        <v>0</v>
      </c>
      <c r="K37" s="1062"/>
    </row>
    <row r="38" spans="2:11" ht="15" customHeight="1">
      <c r="B38" s="576"/>
      <c r="C38" s="568"/>
      <c r="D38" s="568"/>
      <c r="E38" s="568"/>
      <c r="F38" s="577"/>
      <c r="G38" s="578"/>
      <c r="H38" s="579"/>
      <c r="I38" s="578"/>
      <c r="J38" s="579"/>
    </row>
    <row r="39" spans="2:11" ht="15" customHeight="1">
      <c r="B39" s="576"/>
      <c r="C39" s="568"/>
      <c r="D39" s="572" t="s">
        <v>745</v>
      </c>
      <c r="E39" s="568"/>
      <c r="F39" s="577"/>
      <c r="G39" s="578"/>
      <c r="H39" s="579"/>
      <c r="I39" s="578"/>
      <c r="J39" s="579"/>
    </row>
    <row r="40" spans="2:11" ht="15" customHeight="1">
      <c r="B40" s="576"/>
      <c r="C40" s="568"/>
      <c r="D40" s="586"/>
      <c r="E40" s="568" t="s">
        <v>767</v>
      </c>
      <c r="F40" s="577" t="s">
        <v>744</v>
      </c>
      <c r="G40" s="358">
        <v>1.2847820659951523</v>
      </c>
      <c r="H40" s="359">
        <v>1.5936371247010181</v>
      </c>
      <c r="I40" s="358">
        <v>2.4233493268542539</v>
      </c>
      <c r="J40" s="359">
        <v>3.0059101505303327</v>
      </c>
      <c r="K40" s="1062"/>
    </row>
    <row r="41" spans="2:11" ht="15" customHeight="1">
      <c r="B41" s="576"/>
      <c r="C41" s="568"/>
      <c r="D41" s="572"/>
      <c r="E41" s="568" t="s">
        <v>768</v>
      </c>
      <c r="F41" s="577" t="s">
        <v>744</v>
      </c>
      <c r="G41" s="358">
        <v>0</v>
      </c>
      <c r="H41" s="359">
        <v>0</v>
      </c>
      <c r="I41" s="358">
        <v>0</v>
      </c>
      <c r="J41" s="359">
        <v>0</v>
      </c>
      <c r="K41" s="1062"/>
    </row>
    <row r="42" spans="2:11" ht="15" customHeight="1">
      <c r="B42" s="576"/>
      <c r="C42" s="568"/>
      <c r="D42" s="568"/>
      <c r="E42" s="568"/>
      <c r="F42" s="577"/>
      <c r="G42" s="578"/>
      <c r="H42" s="579"/>
      <c r="I42" s="578"/>
      <c r="J42" s="579"/>
    </row>
    <row r="43" spans="2:11" ht="15" customHeight="1">
      <c r="B43" s="576"/>
      <c r="C43" s="568"/>
      <c r="D43" s="572" t="s">
        <v>769</v>
      </c>
      <c r="E43" s="568"/>
      <c r="F43" s="577"/>
      <c r="G43" s="578"/>
      <c r="H43" s="579"/>
      <c r="I43" s="578"/>
      <c r="J43" s="579"/>
    </row>
    <row r="44" spans="2:11" ht="15" customHeight="1">
      <c r="B44" s="576"/>
      <c r="C44" s="568"/>
      <c r="D44" s="572"/>
      <c r="E44" s="568" t="s">
        <v>770</v>
      </c>
      <c r="F44" s="577" t="s">
        <v>177</v>
      </c>
      <c r="G44" s="358">
        <v>93.556450417646516</v>
      </c>
      <c r="H44" s="359">
        <v>116.046944137041</v>
      </c>
      <c r="I44" s="358">
        <v>93.556450417646516</v>
      </c>
      <c r="J44" s="359">
        <v>116.046944137041</v>
      </c>
      <c r="K44" s="1062"/>
    </row>
    <row r="45" spans="2:11" ht="15" customHeight="1">
      <c r="B45" s="576"/>
      <c r="C45" s="568"/>
      <c r="D45" s="572"/>
      <c r="E45" s="568" t="s">
        <v>771</v>
      </c>
      <c r="F45" s="577" t="s">
        <v>177</v>
      </c>
      <c r="G45" s="358">
        <v>0</v>
      </c>
      <c r="H45" s="359">
        <v>0</v>
      </c>
      <c r="I45" s="358">
        <v>0</v>
      </c>
      <c r="J45" s="359">
        <v>0</v>
      </c>
      <c r="K45" s="1062"/>
    </row>
    <row r="46" spans="2:11" ht="15" customHeight="1">
      <c r="B46" s="576"/>
      <c r="C46" s="568"/>
      <c r="D46" s="572"/>
      <c r="E46" s="568"/>
      <c r="F46" s="577"/>
      <c r="G46" s="578"/>
      <c r="H46" s="579"/>
      <c r="I46" s="578"/>
      <c r="J46" s="579"/>
    </row>
    <row r="47" spans="2:11" ht="15" customHeight="1">
      <c r="B47" s="576"/>
      <c r="C47" s="568"/>
      <c r="D47" s="572" t="s">
        <v>68</v>
      </c>
      <c r="E47" s="568"/>
      <c r="F47" s="577"/>
      <c r="G47" s="578"/>
      <c r="H47" s="579"/>
      <c r="I47" s="578"/>
      <c r="J47" s="579"/>
    </row>
    <row r="48" spans="2:11" ht="15" customHeight="1">
      <c r="B48" s="576"/>
      <c r="C48" s="568"/>
      <c r="D48" s="572"/>
      <c r="E48" s="568" t="s">
        <v>69</v>
      </c>
      <c r="F48" s="577" t="s">
        <v>177</v>
      </c>
      <c r="G48" s="358">
        <v>0</v>
      </c>
      <c r="H48" s="359">
        <v>0</v>
      </c>
      <c r="I48" s="358">
        <v>0</v>
      </c>
      <c r="J48" s="359">
        <v>0</v>
      </c>
      <c r="K48" s="1062"/>
    </row>
    <row r="49" spans="2:11" ht="15" customHeight="1">
      <c r="B49" s="576"/>
      <c r="C49" s="568"/>
      <c r="D49" s="572"/>
      <c r="E49" s="568"/>
      <c r="F49" s="577"/>
      <c r="G49" s="578"/>
      <c r="H49" s="579"/>
      <c r="I49" s="578"/>
      <c r="J49" s="579"/>
    </row>
    <row r="50" spans="2:11" ht="15" customHeight="1">
      <c r="B50" s="576"/>
      <c r="C50" s="568"/>
      <c r="D50" s="572" t="s">
        <v>637</v>
      </c>
      <c r="E50" s="568"/>
      <c r="F50" s="577"/>
      <c r="G50" s="578"/>
      <c r="H50" s="579"/>
      <c r="I50" s="578"/>
      <c r="J50" s="579"/>
    </row>
    <row r="51" spans="2:11" ht="15" customHeight="1">
      <c r="B51" s="576"/>
      <c r="C51" s="568"/>
      <c r="D51" s="572"/>
      <c r="E51" s="568" t="s">
        <v>70</v>
      </c>
      <c r="F51" s="577" t="s">
        <v>744</v>
      </c>
      <c r="G51" s="358">
        <v>12.114933500267137</v>
      </c>
      <c r="H51" s="359">
        <v>15.027301750476497</v>
      </c>
      <c r="I51" s="358">
        <v>12.809520836898965</v>
      </c>
      <c r="J51" s="359">
        <v>15.888864341752473</v>
      </c>
      <c r="K51" s="1062"/>
    </row>
    <row r="52" spans="2:11" ht="15" customHeight="1">
      <c r="B52" s="576"/>
      <c r="C52" s="568"/>
      <c r="D52" s="572"/>
      <c r="E52" s="568" t="s">
        <v>80</v>
      </c>
      <c r="F52" s="577" t="s">
        <v>744</v>
      </c>
      <c r="G52" s="358">
        <v>30.414358945612097</v>
      </c>
      <c r="H52" s="359">
        <v>37.725815780411772</v>
      </c>
      <c r="I52" s="358">
        <v>33.456810129199376</v>
      </c>
      <c r="J52" s="359">
        <v>41.499656717784823</v>
      </c>
      <c r="K52" s="1062"/>
    </row>
    <row r="53" spans="2:11" ht="15" customHeight="1">
      <c r="B53" s="576"/>
      <c r="C53" s="568"/>
      <c r="D53" s="572"/>
      <c r="E53" s="568" t="s">
        <v>81</v>
      </c>
      <c r="F53" s="577" t="s">
        <v>744</v>
      </c>
      <c r="G53" s="358">
        <v>3.3969113308443308</v>
      </c>
      <c r="H53" s="359">
        <v>4.2135114969541414</v>
      </c>
      <c r="I53" s="358">
        <v>4.0914986674761602</v>
      </c>
      <c r="J53" s="359">
        <v>5.0750740882301191</v>
      </c>
      <c r="K53" s="1062"/>
    </row>
    <row r="54" spans="2:11" ht="15" customHeight="1">
      <c r="B54" s="576"/>
      <c r="C54" s="568"/>
      <c r="D54" s="572"/>
      <c r="E54" s="568" t="s">
        <v>82</v>
      </c>
      <c r="F54" s="577" t="s">
        <v>744</v>
      </c>
      <c r="G54" s="358">
        <v>9.0962963456375672</v>
      </c>
      <c r="H54" s="359">
        <v>11.282999613216058</v>
      </c>
      <c r="I54" s="358">
        <v>9.0962963456375672</v>
      </c>
      <c r="J54" s="359">
        <v>11.282999613216058</v>
      </c>
      <c r="K54" s="1062"/>
    </row>
    <row r="55" spans="2:11" ht="15" customHeight="1">
      <c r="B55" s="576"/>
      <c r="C55" s="568"/>
      <c r="D55" s="572"/>
      <c r="E55" s="568" t="s">
        <v>782</v>
      </c>
      <c r="F55" s="577" t="s">
        <v>744</v>
      </c>
      <c r="G55" s="358">
        <v>15.77625356925984</v>
      </c>
      <c r="H55" s="359">
        <v>19.56878449824524</v>
      </c>
      <c r="I55" s="358">
        <v>15.77625356925984</v>
      </c>
      <c r="J55" s="359">
        <v>19.56878449824524</v>
      </c>
      <c r="K55" s="1062"/>
    </row>
    <row r="56" spans="2:11" ht="15" customHeight="1">
      <c r="B56" s="576"/>
      <c r="C56" s="568"/>
      <c r="D56" s="572"/>
      <c r="E56" s="568" t="s">
        <v>783</v>
      </c>
      <c r="F56" s="577" t="s">
        <v>744</v>
      </c>
      <c r="G56" s="580"/>
      <c r="H56" s="581"/>
      <c r="I56" s="580"/>
      <c r="J56" s="581"/>
    </row>
    <row r="57" spans="2:11" ht="15" customHeight="1">
      <c r="B57" s="576"/>
      <c r="C57" s="568"/>
      <c r="D57" s="572"/>
      <c r="E57" s="568" t="s">
        <v>72</v>
      </c>
      <c r="F57" s="577" t="s">
        <v>744</v>
      </c>
      <c r="G57" s="580"/>
      <c r="H57" s="581"/>
      <c r="I57" s="580"/>
      <c r="J57" s="581"/>
    </row>
    <row r="58" spans="2:11" ht="15" customHeight="1">
      <c r="B58" s="576"/>
      <c r="C58" s="568"/>
      <c r="D58" s="568"/>
      <c r="E58" s="568" t="s">
        <v>662</v>
      </c>
      <c r="F58" s="577" t="s">
        <v>744</v>
      </c>
      <c r="G58" s="358">
        <v>0</v>
      </c>
      <c r="H58" s="359">
        <v>0</v>
      </c>
      <c r="I58" s="358">
        <v>0</v>
      </c>
      <c r="J58" s="359">
        <v>0</v>
      </c>
      <c r="K58" s="1062"/>
    </row>
    <row r="59" spans="2:11" ht="15" customHeight="1">
      <c r="B59" s="576"/>
      <c r="C59" s="568"/>
      <c r="D59" s="568"/>
      <c r="E59" s="568" t="s">
        <v>501</v>
      </c>
      <c r="F59" s="577" t="s">
        <v>744</v>
      </c>
      <c r="G59" s="358">
        <v>0</v>
      </c>
      <c r="H59" s="359">
        <v>0</v>
      </c>
      <c r="I59" s="358">
        <v>0</v>
      </c>
      <c r="J59" s="359">
        <v>0</v>
      </c>
      <c r="K59" s="1062"/>
    </row>
    <row r="60" spans="2:11" ht="15" customHeight="1">
      <c r="B60" s="576"/>
      <c r="C60" s="568"/>
      <c r="D60" s="572"/>
      <c r="E60" s="568" t="s">
        <v>502</v>
      </c>
      <c r="F60" s="577" t="s">
        <v>744</v>
      </c>
      <c r="G60" s="358">
        <v>0</v>
      </c>
      <c r="H60" s="359">
        <v>0</v>
      </c>
      <c r="I60" s="358">
        <v>0</v>
      </c>
      <c r="J60" s="359">
        <v>0</v>
      </c>
      <c r="K60" s="1062"/>
    </row>
    <row r="61" spans="2:11" ht="15" customHeight="1">
      <c r="B61" s="576"/>
      <c r="C61" s="568"/>
      <c r="D61" s="572"/>
      <c r="E61" s="568" t="s">
        <v>503</v>
      </c>
      <c r="F61" s="577" t="s">
        <v>744</v>
      </c>
      <c r="G61" s="358">
        <v>0</v>
      </c>
      <c r="H61" s="359">
        <v>0</v>
      </c>
      <c r="I61" s="358">
        <v>0</v>
      </c>
      <c r="J61" s="359">
        <v>0</v>
      </c>
      <c r="K61" s="1062"/>
    </row>
    <row r="62" spans="2:11" ht="15" customHeight="1">
      <c r="B62" s="576"/>
      <c r="C62" s="568"/>
      <c r="D62" s="572"/>
      <c r="E62" s="568" t="s">
        <v>506</v>
      </c>
      <c r="F62" s="577" t="s">
        <v>744</v>
      </c>
      <c r="G62" s="358">
        <v>0</v>
      </c>
      <c r="H62" s="359">
        <v>0</v>
      </c>
      <c r="I62" s="358">
        <v>0</v>
      </c>
      <c r="J62" s="359">
        <v>0</v>
      </c>
      <c r="K62" s="1062"/>
    </row>
    <row r="63" spans="2:11" ht="15" customHeight="1">
      <c r="B63" s="576"/>
      <c r="C63" s="568"/>
      <c r="D63" s="572"/>
      <c r="E63" s="568" t="s">
        <v>665</v>
      </c>
      <c r="F63" s="577" t="s">
        <v>744</v>
      </c>
      <c r="G63" s="580"/>
      <c r="H63" s="581"/>
      <c r="I63" s="580"/>
      <c r="J63" s="581"/>
    </row>
    <row r="64" spans="2:11" ht="15" customHeight="1">
      <c r="B64" s="576"/>
      <c r="C64" s="568"/>
      <c r="D64" s="572"/>
      <c r="E64" s="568" t="s">
        <v>511</v>
      </c>
      <c r="F64" s="577" t="s">
        <v>744</v>
      </c>
      <c r="G64" s="580"/>
      <c r="H64" s="581"/>
      <c r="I64" s="580"/>
      <c r="J64" s="581"/>
    </row>
    <row r="65" spans="2:11" ht="15" customHeight="1">
      <c r="B65" s="576"/>
      <c r="C65" s="568"/>
      <c r="D65" s="572"/>
      <c r="E65" s="568"/>
      <c r="F65" s="587"/>
      <c r="G65" s="578"/>
      <c r="H65" s="579"/>
      <c r="I65" s="578"/>
      <c r="J65" s="579"/>
    </row>
    <row r="66" spans="2:11" ht="15" customHeight="1">
      <c r="B66" s="576"/>
      <c r="C66" s="568"/>
      <c r="D66" s="572" t="s">
        <v>512</v>
      </c>
      <c r="E66" s="568"/>
      <c r="F66" s="587"/>
      <c r="G66" s="578"/>
      <c r="H66" s="579"/>
      <c r="I66" s="578"/>
      <c r="J66" s="579"/>
    </row>
    <row r="67" spans="2:11" ht="15" customHeight="1">
      <c r="B67" s="576"/>
      <c r="C67" s="568"/>
      <c r="D67" s="572"/>
      <c r="E67" s="568" t="s">
        <v>513</v>
      </c>
      <c r="F67" s="577" t="s">
        <v>744</v>
      </c>
      <c r="G67" s="358">
        <v>3.5882043241320836</v>
      </c>
      <c r="H67" s="359">
        <v>4.4507903505956872</v>
      </c>
      <c r="I67" s="358">
        <v>3.5882043241320836</v>
      </c>
      <c r="J67" s="359">
        <v>4.4507903505956872</v>
      </c>
      <c r="K67" s="1062"/>
    </row>
    <row r="68" spans="2:11" ht="15" customHeight="1">
      <c r="B68" s="576"/>
      <c r="C68" s="568"/>
      <c r="D68" s="572"/>
      <c r="E68" s="568" t="s">
        <v>514</v>
      </c>
      <c r="F68" s="577" t="s">
        <v>744</v>
      </c>
      <c r="G68" s="358">
        <v>12.415221230192545</v>
      </c>
      <c r="H68" s="359">
        <v>15.39977711977631</v>
      </c>
      <c r="I68" s="358">
        <v>12.415221230192545</v>
      </c>
      <c r="J68" s="359">
        <v>15.39977711977631</v>
      </c>
      <c r="K68" s="1062"/>
    </row>
    <row r="69" spans="2:11" ht="15" customHeight="1">
      <c r="B69" s="576"/>
      <c r="C69" s="568"/>
      <c r="D69" s="572"/>
      <c r="E69" s="568" t="s">
        <v>515</v>
      </c>
      <c r="F69" s="577" t="s">
        <v>744</v>
      </c>
      <c r="G69" s="358">
        <v>0</v>
      </c>
      <c r="H69" s="359">
        <v>0</v>
      </c>
      <c r="I69" s="358">
        <v>0</v>
      </c>
      <c r="J69" s="359">
        <v>0</v>
      </c>
      <c r="K69" s="1062"/>
    </row>
    <row r="70" spans="2:11" ht="15" customHeight="1">
      <c r="B70" s="576"/>
      <c r="C70" s="568"/>
      <c r="D70" s="572"/>
      <c r="E70" s="568" t="s">
        <v>516</v>
      </c>
      <c r="F70" s="577" t="s">
        <v>744</v>
      </c>
      <c r="G70" s="358">
        <v>0</v>
      </c>
      <c r="H70" s="359">
        <v>0</v>
      </c>
      <c r="I70" s="358">
        <v>0</v>
      </c>
      <c r="J70" s="359">
        <v>0</v>
      </c>
      <c r="K70" s="1062"/>
    </row>
    <row r="71" spans="2:11" ht="15" customHeight="1" thickBot="1">
      <c r="B71" s="562"/>
      <c r="C71" s="563"/>
      <c r="D71" s="563"/>
      <c r="E71" s="563"/>
      <c r="F71" s="360"/>
      <c r="G71" s="582"/>
      <c r="H71" s="583"/>
      <c r="I71" s="582"/>
      <c r="J71" s="583"/>
    </row>
    <row r="72" spans="2:11" ht="15" customHeight="1">
      <c r="B72" s="584"/>
      <c r="C72" s="585" t="s">
        <v>530</v>
      </c>
      <c r="D72" s="585"/>
      <c r="E72" s="586"/>
      <c r="F72" s="587"/>
      <c r="G72" s="578"/>
      <c r="H72" s="579"/>
      <c r="I72" s="578"/>
      <c r="J72" s="579"/>
    </row>
    <row r="73" spans="2:11" ht="15" customHeight="1">
      <c r="B73" s="576"/>
      <c r="C73" s="568"/>
      <c r="D73" s="572" t="s">
        <v>225</v>
      </c>
      <c r="E73" s="568"/>
      <c r="F73" s="577"/>
      <c r="G73" s="578"/>
      <c r="H73" s="579"/>
      <c r="I73" s="578"/>
      <c r="J73" s="579"/>
    </row>
    <row r="74" spans="2:11" ht="15" customHeight="1">
      <c r="B74" s="576"/>
      <c r="C74" s="568"/>
      <c r="D74" s="568"/>
      <c r="E74" s="568" t="s">
        <v>531</v>
      </c>
      <c r="F74" s="577" t="s">
        <v>177</v>
      </c>
      <c r="G74" s="358">
        <v>17.225199202762926</v>
      </c>
      <c r="H74" s="359">
        <v>20.660793122326037</v>
      </c>
      <c r="I74" s="358">
        <v>19.484490163559229</v>
      </c>
      <c r="J74" s="359">
        <v>23.370703329731139</v>
      </c>
      <c r="K74" s="1062"/>
    </row>
    <row r="75" spans="2:11" ht="15" customHeight="1">
      <c r="B75" s="576"/>
      <c r="C75" s="568"/>
      <c r="D75" s="572"/>
      <c r="E75" s="568" t="s">
        <v>532</v>
      </c>
      <c r="F75" s="577" t="s">
        <v>177</v>
      </c>
      <c r="G75" s="358">
        <v>60.80629881075955</v>
      </c>
      <c r="H75" s="359">
        <v>72.934213733907384</v>
      </c>
      <c r="I75" s="358">
        <v>60.80629881075955</v>
      </c>
      <c r="J75" s="359">
        <v>72.934213733907384</v>
      </c>
      <c r="K75" s="1062"/>
    </row>
    <row r="76" spans="2:11" ht="15" customHeight="1">
      <c r="B76" s="576"/>
      <c r="C76" s="568"/>
      <c r="D76" s="572"/>
      <c r="E76" s="568" t="s">
        <v>533</v>
      </c>
      <c r="F76" s="577" t="s">
        <v>177</v>
      </c>
      <c r="G76" s="358">
        <v>0</v>
      </c>
      <c r="H76" s="359">
        <v>0</v>
      </c>
      <c r="I76" s="358">
        <v>0</v>
      </c>
      <c r="J76" s="359">
        <v>0</v>
      </c>
      <c r="K76" s="1062"/>
    </row>
    <row r="77" spans="2:11" ht="15" customHeight="1">
      <c r="B77" s="576"/>
      <c r="C77" s="568"/>
      <c r="D77" s="572"/>
      <c r="E77" s="568" t="s">
        <v>534</v>
      </c>
      <c r="F77" s="577" t="s">
        <v>177</v>
      </c>
      <c r="G77" s="358">
        <v>0</v>
      </c>
      <c r="H77" s="359">
        <v>0</v>
      </c>
      <c r="I77" s="358">
        <v>0</v>
      </c>
      <c r="J77" s="359">
        <v>0</v>
      </c>
      <c r="K77" s="1062"/>
    </row>
    <row r="78" spans="2:11" ht="15" customHeight="1">
      <c r="B78" s="576"/>
      <c r="C78" s="568"/>
      <c r="D78" s="572"/>
      <c r="E78" s="568"/>
      <c r="F78" s="577"/>
      <c r="G78" s="578"/>
      <c r="H78" s="579"/>
      <c r="I78" s="578"/>
      <c r="J78" s="579"/>
    </row>
    <row r="79" spans="2:11" ht="15" customHeight="1">
      <c r="B79" s="576"/>
      <c r="C79" s="568"/>
      <c r="D79" s="572" t="s">
        <v>745</v>
      </c>
      <c r="E79" s="568"/>
      <c r="F79" s="577"/>
      <c r="G79" s="578"/>
      <c r="H79" s="579"/>
      <c r="I79" s="578"/>
      <c r="J79" s="579"/>
    </row>
    <row r="80" spans="2:11" ht="15" customHeight="1">
      <c r="B80" s="576"/>
      <c r="C80" s="568"/>
      <c r="D80" s="568"/>
      <c r="E80" s="568" t="s">
        <v>535</v>
      </c>
      <c r="F80" s="577" t="s">
        <v>744</v>
      </c>
      <c r="G80" s="358">
        <v>4.4003501560958211</v>
      </c>
      <c r="H80" s="359">
        <v>5.2780071319179926</v>
      </c>
      <c r="I80" s="358">
        <v>4.9775087256414903</v>
      </c>
      <c r="J80" s="359">
        <v>5.9702809142872546</v>
      </c>
      <c r="K80" s="1062"/>
    </row>
    <row r="81" spans="2:11" ht="15" customHeight="1">
      <c r="B81" s="576"/>
      <c r="C81" s="568"/>
      <c r="D81" s="568"/>
      <c r="E81" s="568" t="s">
        <v>536</v>
      </c>
      <c r="F81" s="577" t="s">
        <v>744</v>
      </c>
      <c r="G81" s="358">
        <v>32.431404942347598</v>
      </c>
      <c r="H81" s="359">
        <v>38.89990126051768</v>
      </c>
      <c r="I81" s="358">
        <v>32.431404942347598</v>
      </c>
      <c r="J81" s="359">
        <v>38.89990126051768</v>
      </c>
      <c r="K81" s="1062"/>
    </row>
    <row r="82" spans="2:11" ht="15" customHeight="1">
      <c r="B82" s="576"/>
      <c r="C82" s="568"/>
      <c r="D82" s="572"/>
      <c r="E82" s="568" t="s">
        <v>537</v>
      </c>
      <c r="F82" s="577" t="s">
        <v>744</v>
      </c>
      <c r="G82" s="358">
        <v>0</v>
      </c>
      <c r="H82" s="359">
        <v>0</v>
      </c>
      <c r="I82" s="358">
        <v>0</v>
      </c>
      <c r="J82" s="359">
        <v>0</v>
      </c>
      <c r="K82" s="1062"/>
    </row>
    <row r="83" spans="2:11" ht="15" customHeight="1">
      <c r="B83" s="576"/>
      <c r="C83" s="568"/>
      <c r="D83" s="572"/>
      <c r="E83" s="568" t="s">
        <v>538</v>
      </c>
      <c r="F83" s="577" t="s">
        <v>744</v>
      </c>
      <c r="G83" s="358">
        <v>0</v>
      </c>
      <c r="H83" s="359">
        <v>0</v>
      </c>
      <c r="I83" s="358">
        <v>0</v>
      </c>
      <c r="J83" s="359">
        <v>0</v>
      </c>
      <c r="K83" s="1062"/>
    </row>
    <row r="84" spans="2:11" ht="15" customHeight="1">
      <c r="B84" s="576"/>
      <c r="C84" s="568"/>
      <c r="D84" s="568"/>
      <c r="E84" s="568"/>
      <c r="F84" s="577"/>
      <c r="G84" s="578"/>
      <c r="H84" s="579"/>
      <c r="I84" s="578"/>
      <c r="J84" s="579"/>
    </row>
    <row r="85" spans="2:11" ht="15" customHeight="1">
      <c r="B85" s="566"/>
      <c r="C85" s="568"/>
      <c r="D85" s="572" t="s">
        <v>769</v>
      </c>
      <c r="E85" s="568"/>
      <c r="F85" s="577"/>
      <c r="G85" s="578"/>
      <c r="H85" s="579"/>
      <c r="I85" s="578"/>
      <c r="J85" s="579"/>
    </row>
    <row r="86" spans="2:11" ht="15" customHeight="1">
      <c r="B86" s="566"/>
      <c r="C86" s="568"/>
      <c r="D86" s="572"/>
      <c r="E86" s="568" t="s">
        <v>417</v>
      </c>
      <c r="F86" s="577" t="s">
        <v>177</v>
      </c>
      <c r="G86" s="358">
        <v>264.72956762305722</v>
      </c>
      <c r="H86" s="359">
        <v>317.53030926606021</v>
      </c>
      <c r="I86" s="358">
        <v>264.72956762305722</v>
      </c>
      <c r="J86" s="359">
        <v>317.53030926606021</v>
      </c>
      <c r="K86" s="1062"/>
    </row>
    <row r="87" spans="2:11" ht="15" customHeight="1">
      <c r="B87" s="566"/>
      <c r="C87" s="568"/>
      <c r="D87" s="572"/>
      <c r="E87" s="568" t="s">
        <v>418</v>
      </c>
      <c r="F87" s="577" t="s">
        <v>177</v>
      </c>
      <c r="G87" s="358">
        <v>0</v>
      </c>
      <c r="H87" s="359">
        <v>0</v>
      </c>
      <c r="I87" s="358">
        <v>264.72956762305722</v>
      </c>
      <c r="J87" s="359">
        <v>317.53030926606021</v>
      </c>
      <c r="K87" s="1062"/>
    </row>
    <row r="88" spans="2:11" ht="15" customHeight="1">
      <c r="B88" s="566"/>
      <c r="C88" s="568"/>
      <c r="D88" s="572"/>
      <c r="E88" s="568" t="s">
        <v>419</v>
      </c>
      <c r="F88" s="577" t="s">
        <v>177</v>
      </c>
      <c r="G88" s="358">
        <v>0</v>
      </c>
      <c r="H88" s="359">
        <v>0</v>
      </c>
      <c r="I88" s="358">
        <v>264.72956762305722</v>
      </c>
      <c r="J88" s="359">
        <v>317.53030926606021</v>
      </c>
      <c r="K88" s="1062"/>
    </row>
    <row r="89" spans="2:11" ht="15" customHeight="1">
      <c r="B89" s="566"/>
      <c r="C89" s="568"/>
      <c r="D89" s="572"/>
      <c r="E89" s="568" t="s">
        <v>543</v>
      </c>
      <c r="F89" s="577" t="s">
        <v>177</v>
      </c>
      <c r="G89" s="358">
        <v>0</v>
      </c>
      <c r="H89" s="359">
        <v>0</v>
      </c>
      <c r="I89" s="358">
        <v>0</v>
      </c>
      <c r="J89" s="359">
        <v>0</v>
      </c>
      <c r="K89" s="1062"/>
    </row>
    <row r="90" spans="2:11" ht="15" customHeight="1">
      <c r="B90" s="566"/>
      <c r="C90" s="568"/>
      <c r="D90" s="572"/>
      <c r="E90" s="568" t="s">
        <v>429</v>
      </c>
      <c r="F90" s="577" t="s">
        <v>177</v>
      </c>
      <c r="G90" s="358">
        <v>0</v>
      </c>
      <c r="H90" s="359">
        <v>0</v>
      </c>
      <c r="I90" s="358">
        <v>0</v>
      </c>
      <c r="J90" s="359">
        <v>0</v>
      </c>
      <c r="K90" s="1062"/>
    </row>
    <row r="91" spans="2:11" ht="15" customHeight="1">
      <c r="B91" s="566"/>
      <c r="C91" s="568"/>
      <c r="D91" s="572"/>
      <c r="E91" s="568" t="s">
        <v>430</v>
      </c>
      <c r="F91" s="577" t="s">
        <v>177</v>
      </c>
      <c r="G91" s="358">
        <v>0</v>
      </c>
      <c r="H91" s="359">
        <v>0</v>
      </c>
      <c r="I91" s="358">
        <v>0</v>
      </c>
      <c r="J91" s="359">
        <v>0</v>
      </c>
      <c r="K91" s="1062"/>
    </row>
    <row r="92" spans="2:11" ht="15" customHeight="1">
      <c r="B92" s="566"/>
      <c r="C92" s="568"/>
      <c r="D92" s="568"/>
      <c r="E92" s="568"/>
      <c r="F92" s="577"/>
      <c r="G92" s="578"/>
      <c r="H92" s="579"/>
      <c r="I92" s="578"/>
      <c r="J92" s="579"/>
    </row>
    <row r="93" spans="2:11" ht="15" customHeight="1">
      <c r="B93" s="566"/>
      <c r="C93" s="568"/>
      <c r="D93" s="572" t="s">
        <v>68</v>
      </c>
      <c r="E93" s="568"/>
      <c r="F93" s="577"/>
      <c r="G93" s="578"/>
      <c r="H93" s="579"/>
      <c r="I93" s="578"/>
      <c r="J93" s="579"/>
    </row>
    <row r="94" spans="2:11" ht="15" customHeight="1">
      <c r="B94" s="566"/>
      <c r="C94" s="568"/>
      <c r="D94" s="568"/>
      <c r="E94" s="568" t="s">
        <v>389</v>
      </c>
      <c r="F94" s="577" t="s">
        <v>177</v>
      </c>
      <c r="G94" s="358">
        <v>0</v>
      </c>
      <c r="H94" s="359">
        <v>0</v>
      </c>
      <c r="I94" s="358">
        <v>0</v>
      </c>
      <c r="J94" s="359">
        <v>0</v>
      </c>
      <c r="K94" s="1062"/>
    </row>
    <row r="95" spans="2:11" ht="15" customHeight="1">
      <c r="B95" s="566"/>
      <c r="C95" s="568"/>
      <c r="D95" s="572"/>
      <c r="E95" s="568"/>
      <c r="F95" s="577"/>
      <c r="G95" s="578"/>
      <c r="H95" s="579"/>
      <c r="I95" s="578"/>
      <c r="J95" s="579"/>
    </row>
    <row r="96" spans="2:11" ht="15" customHeight="1">
      <c r="B96" s="566"/>
      <c r="C96" s="568"/>
      <c r="D96" s="572" t="s">
        <v>637</v>
      </c>
      <c r="E96" s="568"/>
      <c r="F96" s="577"/>
      <c r="G96" s="578"/>
      <c r="H96" s="579"/>
      <c r="I96" s="578"/>
      <c r="J96" s="579"/>
    </row>
    <row r="97" spans="2:11" ht="15" customHeight="1">
      <c r="B97" s="566"/>
      <c r="C97" s="568"/>
      <c r="D97" s="572"/>
      <c r="E97" s="586" t="s">
        <v>390</v>
      </c>
      <c r="F97" s="577" t="s">
        <v>744</v>
      </c>
      <c r="G97" s="358">
        <v>92.334824191006817</v>
      </c>
      <c r="H97" s="359">
        <v>110.75115463922994</v>
      </c>
      <c r="I97" s="358">
        <v>92.334824191006817</v>
      </c>
      <c r="J97" s="359">
        <v>110.75115463922994</v>
      </c>
      <c r="K97" s="1062"/>
    </row>
    <row r="98" spans="2:11" ht="15" customHeight="1">
      <c r="B98" s="566"/>
      <c r="C98" s="568"/>
      <c r="D98" s="572"/>
      <c r="E98" s="586" t="s">
        <v>391</v>
      </c>
      <c r="F98" s="577" t="s">
        <v>744</v>
      </c>
      <c r="G98" s="358">
        <v>92.334824191006817</v>
      </c>
      <c r="H98" s="359">
        <v>110.75115463922994</v>
      </c>
      <c r="I98" s="358">
        <v>92.334824191006817</v>
      </c>
      <c r="J98" s="359">
        <v>110.75115463922994</v>
      </c>
      <c r="K98" s="1062"/>
    </row>
    <row r="99" spans="2:11" ht="15" customHeight="1">
      <c r="B99" s="566"/>
      <c r="C99" s="568"/>
      <c r="D99" s="572"/>
      <c r="E99" s="586" t="s">
        <v>392</v>
      </c>
      <c r="F99" s="577" t="s">
        <v>744</v>
      </c>
      <c r="G99" s="358">
        <v>0</v>
      </c>
      <c r="H99" s="359">
        <v>0</v>
      </c>
      <c r="I99" s="358">
        <v>0</v>
      </c>
      <c r="J99" s="359">
        <v>0</v>
      </c>
      <c r="K99" s="1062"/>
    </row>
    <row r="100" spans="2:11" ht="15" customHeight="1">
      <c r="B100" s="566"/>
      <c r="C100" s="568"/>
      <c r="D100" s="572"/>
      <c r="E100" s="586" t="s">
        <v>393</v>
      </c>
      <c r="F100" s="577" t="s">
        <v>744</v>
      </c>
      <c r="G100" s="358">
        <v>0</v>
      </c>
      <c r="H100" s="359">
        <v>0</v>
      </c>
      <c r="I100" s="358">
        <v>0</v>
      </c>
      <c r="J100" s="359">
        <v>0</v>
      </c>
      <c r="K100" s="1062"/>
    </row>
    <row r="101" spans="2:11" ht="15" customHeight="1">
      <c r="B101" s="566"/>
      <c r="C101" s="568"/>
      <c r="D101" s="572"/>
      <c r="E101" s="586" t="s">
        <v>394</v>
      </c>
      <c r="F101" s="577" t="s">
        <v>744</v>
      </c>
      <c r="G101" s="358">
        <v>0</v>
      </c>
      <c r="H101" s="359">
        <v>0</v>
      </c>
      <c r="I101" s="358">
        <v>0</v>
      </c>
      <c r="J101" s="359">
        <v>0</v>
      </c>
      <c r="K101" s="1062"/>
    </row>
    <row r="102" spans="2:11" ht="15" customHeight="1">
      <c r="B102" s="566"/>
      <c r="C102" s="568"/>
      <c r="D102" s="572"/>
      <c r="E102" s="586" t="s">
        <v>395</v>
      </c>
      <c r="F102" s="577" t="s">
        <v>744</v>
      </c>
      <c r="G102" s="580"/>
      <c r="H102" s="581"/>
      <c r="I102" s="580"/>
      <c r="J102" s="581"/>
    </row>
    <row r="103" spans="2:11" ht="15" customHeight="1">
      <c r="B103" s="566"/>
      <c r="C103" s="568"/>
      <c r="D103" s="572"/>
      <c r="E103" s="586" t="s">
        <v>396</v>
      </c>
      <c r="F103" s="577" t="s">
        <v>744</v>
      </c>
      <c r="G103" s="358">
        <v>0</v>
      </c>
      <c r="H103" s="359">
        <v>0</v>
      </c>
      <c r="I103" s="358">
        <v>0</v>
      </c>
      <c r="J103" s="359">
        <v>0</v>
      </c>
      <c r="K103" s="1062"/>
    </row>
    <row r="104" spans="2:11" ht="15" customHeight="1">
      <c r="B104" s="566"/>
      <c r="C104" s="568"/>
      <c r="D104" s="572"/>
      <c r="E104" s="586" t="s">
        <v>397</v>
      </c>
      <c r="F104" s="577" t="s">
        <v>744</v>
      </c>
      <c r="G104" s="580"/>
      <c r="H104" s="581"/>
      <c r="I104" s="580"/>
      <c r="J104" s="581"/>
    </row>
    <row r="105" spans="2:11" ht="15" customHeight="1">
      <c r="B105" s="566"/>
      <c r="C105" s="568"/>
      <c r="D105" s="572"/>
      <c r="E105" s="568"/>
      <c r="F105" s="577"/>
      <c r="G105" s="578"/>
      <c r="H105" s="579"/>
      <c r="I105" s="578"/>
      <c r="J105" s="579"/>
    </row>
    <row r="106" spans="2:11" ht="15" customHeight="1">
      <c r="B106" s="566"/>
      <c r="C106" s="568"/>
      <c r="D106" s="572" t="s">
        <v>512</v>
      </c>
      <c r="E106" s="568"/>
      <c r="F106" s="577"/>
      <c r="G106" s="578"/>
      <c r="H106" s="579"/>
      <c r="I106" s="578"/>
      <c r="J106" s="579"/>
    </row>
    <row r="107" spans="2:11" ht="15" customHeight="1">
      <c r="B107" s="566"/>
      <c r="C107" s="568"/>
      <c r="D107" s="568"/>
      <c r="E107" s="586" t="s">
        <v>398</v>
      </c>
      <c r="F107" s="577" t="s">
        <v>744</v>
      </c>
      <c r="G107" s="358">
        <v>0</v>
      </c>
      <c r="H107" s="359">
        <v>0</v>
      </c>
      <c r="I107" s="358">
        <v>0</v>
      </c>
      <c r="J107" s="359">
        <v>0</v>
      </c>
      <c r="K107" s="1062"/>
    </row>
    <row r="108" spans="2:11" ht="15" customHeight="1">
      <c r="B108" s="566"/>
      <c r="C108" s="568"/>
      <c r="D108" s="568"/>
      <c r="E108" s="586" t="s">
        <v>399</v>
      </c>
      <c r="F108" s="577" t="s">
        <v>744</v>
      </c>
      <c r="G108" s="358">
        <v>508.37488050920939</v>
      </c>
      <c r="H108" s="359">
        <v>609.77107499013653</v>
      </c>
      <c r="I108" s="358">
        <v>508.37488050920939</v>
      </c>
      <c r="J108" s="359">
        <v>609.77107499013653</v>
      </c>
      <c r="K108" s="1062"/>
    </row>
    <row r="109" spans="2:11" ht="15" customHeight="1">
      <c r="B109" s="566"/>
      <c r="C109" s="568"/>
      <c r="D109" s="568"/>
      <c r="E109" s="568" t="s">
        <v>400</v>
      </c>
      <c r="F109" s="577" t="s">
        <v>744</v>
      </c>
      <c r="G109" s="580"/>
      <c r="H109" s="581"/>
      <c r="I109" s="580"/>
      <c r="J109" s="581"/>
      <c r="K109" s="1062"/>
    </row>
    <row r="110" spans="2:11" ht="15" customHeight="1">
      <c r="B110" s="566"/>
      <c r="C110" s="568"/>
      <c r="D110" s="568"/>
      <c r="E110" s="586" t="s">
        <v>595</v>
      </c>
      <c r="F110" s="577" t="s">
        <v>744</v>
      </c>
      <c r="G110" s="358">
        <v>0</v>
      </c>
      <c r="H110" s="359">
        <v>0</v>
      </c>
      <c r="I110" s="358">
        <v>0</v>
      </c>
      <c r="J110" s="359">
        <v>0</v>
      </c>
      <c r="K110" s="1062"/>
    </row>
    <row r="111" spans="2:11" ht="15" customHeight="1">
      <c r="B111" s="566"/>
      <c r="C111" s="568"/>
      <c r="D111" s="572"/>
      <c r="E111" s="568" t="s">
        <v>596</v>
      </c>
      <c r="F111" s="577" t="s">
        <v>744</v>
      </c>
      <c r="G111" s="580"/>
      <c r="H111" s="581"/>
      <c r="I111" s="580"/>
      <c r="J111" s="581"/>
    </row>
    <row r="112" spans="2:11" ht="15" customHeight="1" thickBot="1">
      <c r="B112" s="562"/>
      <c r="C112" s="563"/>
      <c r="D112" s="563"/>
      <c r="E112" s="563"/>
      <c r="F112" s="360"/>
      <c r="G112" s="588"/>
      <c r="H112" s="589"/>
      <c r="I112" s="588"/>
      <c r="J112" s="589"/>
    </row>
    <row r="113" spans="2:11" ht="15" customHeight="1">
      <c r="B113" s="584"/>
      <c r="C113" s="585" t="s">
        <v>597</v>
      </c>
      <c r="D113" s="585"/>
      <c r="E113" s="586"/>
      <c r="F113" s="587"/>
      <c r="G113" s="578"/>
      <c r="H113" s="579"/>
      <c r="I113" s="578"/>
      <c r="J113" s="579"/>
    </row>
    <row r="114" spans="2:11" ht="15" customHeight="1">
      <c r="B114" s="566"/>
      <c r="C114" s="568"/>
      <c r="D114" s="572" t="s">
        <v>225</v>
      </c>
      <c r="E114" s="568"/>
      <c r="F114" s="577"/>
      <c r="G114" s="578"/>
      <c r="H114" s="579"/>
      <c r="I114" s="578"/>
      <c r="J114" s="579"/>
    </row>
    <row r="115" spans="2:11" ht="15" customHeight="1">
      <c r="B115" s="566"/>
      <c r="C115" s="568"/>
      <c r="D115" s="572"/>
      <c r="E115" s="568" t="s">
        <v>598</v>
      </c>
      <c r="F115" s="577" t="s">
        <v>177</v>
      </c>
      <c r="G115" s="358">
        <v>0</v>
      </c>
      <c r="H115" s="359">
        <v>0</v>
      </c>
      <c r="I115" s="358">
        <v>0</v>
      </c>
      <c r="J115" s="359">
        <v>0</v>
      </c>
      <c r="K115" s="1062"/>
    </row>
    <row r="116" spans="2:11" ht="15" customHeight="1">
      <c r="B116" s="566"/>
      <c r="C116" s="568"/>
      <c r="D116" s="572"/>
      <c r="E116" s="568" t="s">
        <v>599</v>
      </c>
      <c r="F116" s="577" t="s">
        <v>177</v>
      </c>
      <c r="G116" s="358">
        <v>96.326582911526842</v>
      </c>
      <c r="H116" s="359">
        <v>114.42315755794955</v>
      </c>
      <c r="I116" s="358">
        <v>96.326582911526842</v>
      </c>
      <c r="J116" s="359">
        <v>114.42315755794955</v>
      </c>
      <c r="K116" s="1062"/>
    </row>
    <row r="117" spans="2:11" ht="15" customHeight="1">
      <c r="B117" s="566"/>
      <c r="C117" s="568"/>
      <c r="D117" s="572"/>
      <c r="E117" s="586"/>
      <c r="F117" s="577"/>
      <c r="G117" s="578"/>
      <c r="H117" s="579"/>
      <c r="I117" s="578"/>
      <c r="J117" s="579"/>
    </row>
    <row r="118" spans="2:11" ht="15" customHeight="1">
      <c r="B118" s="566"/>
      <c r="C118" s="568"/>
      <c r="D118" s="572" t="s">
        <v>745</v>
      </c>
      <c r="E118" s="568"/>
      <c r="F118" s="587"/>
      <c r="G118" s="578"/>
      <c r="H118" s="579"/>
      <c r="I118" s="578"/>
      <c r="J118" s="579"/>
    </row>
    <row r="119" spans="2:11" ht="15" customHeight="1">
      <c r="B119" s="566"/>
      <c r="C119" s="568"/>
      <c r="D119" s="572"/>
      <c r="E119" s="568" t="s">
        <v>600</v>
      </c>
      <c r="F119" s="577" t="s">
        <v>744</v>
      </c>
      <c r="G119" s="358">
        <v>0</v>
      </c>
      <c r="H119" s="359">
        <v>0</v>
      </c>
      <c r="I119" s="358">
        <v>0</v>
      </c>
      <c r="J119" s="359">
        <v>0</v>
      </c>
      <c r="K119" s="1062"/>
    </row>
    <row r="120" spans="2:11" ht="15" customHeight="1">
      <c r="B120" s="566"/>
      <c r="C120" s="568"/>
      <c r="D120" s="572"/>
      <c r="E120" s="568" t="s">
        <v>601</v>
      </c>
      <c r="F120" s="577" t="s">
        <v>744</v>
      </c>
      <c r="G120" s="358">
        <v>44.057310213662277</v>
      </c>
      <c r="H120" s="359">
        <v>52.334219649289459</v>
      </c>
      <c r="I120" s="358">
        <v>44.057310213662277</v>
      </c>
      <c r="J120" s="359">
        <v>52.334219649289459</v>
      </c>
      <c r="K120" s="1062"/>
    </row>
    <row r="121" spans="2:11" ht="15" customHeight="1">
      <c r="B121" s="566"/>
      <c r="C121" s="568"/>
      <c r="D121" s="572"/>
      <c r="E121" s="586" t="s">
        <v>442</v>
      </c>
      <c r="F121" s="577" t="s">
        <v>744</v>
      </c>
      <c r="G121" s="358">
        <v>5.9454501672416225</v>
      </c>
      <c r="H121" s="359">
        <v>7.062403343675741</v>
      </c>
      <c r="I121" s="358">
        <v>5.9454501672416225</v>
      </c>
      <c r="J121" s="359">
        <v>7.062403343675741</v>
      </c>
      <c r="K121" s="1062"/>
    </row>
    <row r="122" spans="2:11" ht="15" customHeight="1">
      <c r="B122" s="566"/>
      <c r="C122" s="568"/>
      <c r="D122" s="568"/>
      <c r="E122" s="568"/>
      <c r="F122" s="577"/>
      <c r="G122" s="578"/>
      <c r="H122" s="579"/>
      <c r="I122" s="578"/>
      <c r="J122" s="579"/>
    </row>
    <row r="123" spans="2:11" ht="15" customHeight="1">
      <c r="B123" s="566"/>
      <c r="C123" s="568"/>
      <c r="D123" s="572" t="s">
        <v>769</v>
      </c>
      <c r="E123" s="568"/>
      <c r="F123" s="587"/>
      <c r="G123" s="578"/>
      <c r="H123" s="579"/>
      <c r="I123" s="578"/>
      <c r="J123" s="579"/>
    </row>
    <row r="124" spans="2:11" ht="15" customHeight="1">
      <c r="B124" s="566"/>
      <c r="C124" s="568"/>
      <c r="D124" s="568"/>
      <c r="E124" s="568" t="s">
        <v>710</v>
      </c>
      <c r="F124" s="577" t="s">
        <v>177</v>
      </c>
      <c r="G124" s="358">
        <v>845.29959787546204</v>
      </c>
      <c r="H124" s="359">
        <v>1004.1033964654554</v>
      </c>
      <c r="I124" s="358">
        <v>845.29959787546204</v>
      </c>
      <c r="J124" s="359">
        <v>1004.1033964654554</v>
      </c>
      <c r="K124" s="1062"/>
    </row>
    <row r="125" spans="2:11" ht="15" customHeight="1">
      <c r="B125" s="566"/>
      <c r="C125" s="568"/>
      <c r="D125" s="568"/>
      <c r="E125" s="568" t="s">
        <v>709</v>
      </c>
      <c r="F125" s="577" t="s">
        <v>177</v>
      </c>
      <c r="G125" s="358">
        <v>0</v>
      </c>
      <c r="H125" s="359">
        <v>0</v>
      </c>
      <c r="I125" s="358">
        <v>845.29959787546204</v>
      </c>
      <c r="J125" s="359">
        <v>1004.1033964654554</v>
      </c>
      <c r="K125" s="1062"/>
    </row>
    <row r="126" spans="2:11" ht="15" customHeight="1">
      <c r="B126" s="566"/>
      <c r="C126" s="568"/>
      <c r="D126" s="568"/>
      <c r="E126" s="568" t="s">
        <v>673</v>
      </c>
      <c r="F126" s="577" t="s">
        <v>177</v>
      </c>
      <c r="G126" s="358">
        <v>0</v>
      </c>
      <c r="H126" s="359">
        <v>0</v>
      </c>
      <c r="I126" s="358">
        <v>845.29959787546204</v>
      </c>
      <c r="J126" s="359">
        <v>1004.1033964654554</v>
      </c>
      <c r="K126" s="1062"/>
    </row>
    <row r="127" spans="2:11" ht="15" customHeight="1">
      <c r="B127" s="566"/>
      <c r="C127" s="568"/>
      <c r="D127" s="568"/>
      <c r="E127" s="568"/>
      <c r="F127" s="573"/>
      <c r="G127" s="578"/>
      <c r="H127" s="579"/>
      <c r="I127" s="578"/>
      <c r="J127" s="579"/>
    </row>
    <row r="128" spans="2:11" ht="15" customHeight="1">
      <c r="B128" s="566"/>
      <c r="C128" s="568"/>
      <c r="D128" s="572" t="s">
        <v>68</v>
      </c>
      <c r="E128" s="568"/>
      <c r="F128" s="573"/>
      <c r="G128" s="578"/>
      <c r="H128" s="579"/>
      <c r="I128" s="578"/>
      <c r="J128" s="579"/>
    </row>
    <row r="129" spans="2:11" ht="15" customHeight="1">
      <c r="B129" s="566"/>
      <c r="C129" s="568"/>
      <c r="D129" s="568"/>
      <c r="E129" s="586" t="s">
        <v>674</v>
      </c>
      <c r="F129" s="577" t="s">
        <v>177</v>
      </c>
      <c r="G129" s="358">
        <v>0</v>
      </c>
      <c r="H129" s="359">
        <v>0</v>
      </c>
      <c r="I129" s="358">
        <v>0</v>
      </c>
      <c r="J129" s="359">
        <v>0</v>
      </c>
      <c r="K129" s="1062"/>
    </row>
    <row r="130" spans="2:11" ht="15" customHeight="1">
      <c r="B130" s="566"/>
      <c r="C130" s="568"/>
      <c r="D130" s="568"/>
      <c r="E130" s="568"/>
      <c r="F130" s="573"/>
      <c r="G130" s="578"/>
      <c r="H130" s="579"/>
      <c r="I130" s="578"/>
      <c r="J130" s="579"/>
    </row>
    <row r="131" spans="2:11" ht="15" customHeight="1">
      <c r="B131" s="566"/>
      <c r="C131" s="568"/>
      <c r="D131" s="572" t="s">
        <v>637</v>
      </c>
      <c r="E131" s="568"/>
      <c r="F131" s="573"/>
      <c r="G131" s="578"/>
      <c r="H131" s="579"/>
      <c r="I131" s="578"/>
      <c r="J131" s="579"/>
    </row>
    <row r="132" spans="2:11" ht="15" customHeight="1">
      <c r="B132" s="566"/>
      <c r="C132" s="568"/>
      <c r="D132" s="568"/>
      <c r="E132" s="568" t="s">
        <v>675</v>
      </c>
      <c r="F132" s="577" t="s">
        <v>744</v>
      </c>
      <c r="G132" s="358">
        <v>958.39281408334182</v>
      </c>
      <c r="H132" s="359">
        <v>1138.4430824146075</v>
      </c>
      <c r="I132" s="358">
        <v>958.39281408334182</v>
      </c>
      <c r="J132" s="359">
        <v>1138.4430824146075</v>
      </c>
      <c r="K132" s="1062"/>
    </row>
    <row r="133" spans="2:11" ht="15" customHeight="1">
      <c r="B133" s="566"/>
      <c r="C133" s="568"/>
      <c r="D133" s="568"/>
      <c r="E133" s="568" t="s">
        <v>676</v>
      </c>
      <c r="F133" s="577" t="s">
        <v>744</v>
      </c>
      <c r="G133" s="580"/>
      <c r="H133" s="581"/>
      <c r="I133" s="580"/>
      <c r="J133" s="581"/>
    </row>
    <row r="134" spans="2:11" ht="15" customHeight="1">
      <c r="B134" s="566"/>
      <c r="C134" s="568"/>
      <c r="D134" s="568"/>
      <c r="E134" s="568"/>
      <c r="F134" s="573"/>
      <c r="G134" s="578"/>
      <c r="H134" s="579"/>
      <c r="I134" s="578"/>
      <c r="J134" s="579"/>
    </row>
    <row r="135" spans="2:11" ht="15" customHeight="1">
      <c r="B135" s="566"/>
      <c r="C135" s="568"/>
      <c r="D135" s="572" t="s">
        <v>512</v>
      </c>
      <c r="E135" s="568"/>
      <c r="F135" s="577"/>
      <c r="G135" s="578"/>
      <c r="H135" s="579"/>
      <c r="I135" s="578"/>
      <c r="J135" s="579"/>
    </row>
    <row r="136" spans="2:11" ht="15" customHeight="1">
      <c r="B136" s="566"/>
      <c r="C136" s="568"/>
      <c r="D136" s="568"/>
      <c r="E136" s="586" t="s">
        <v>677</v>
      </c>
      <c r="F136" s="577" t="s">
        <v>744</v>
      </c>
      <c r="G136" s="358">
        <v>1093.3506150355429</v>
      </c>
      <c r="H136" s="359">
        <v>1298.7549844386983</v>
      </c>
      <c r="I136" s="358">
        <v>1093.3506150355429</v>
      </c>
      <c r="J136" s="359">
        <v>1298.7549844386983</v>
      </c>
      <c r="K136" s="1062"/>
    </row>
    <row r="137" spans="2:11" ht="15" customHeight="1">
      <c r="B137" s="566"/>
      <c r="C137" s="568"/>
      <c r="D137" s="568"/>
      <c r="E137" s="586" t="s">
        <v>678</v>
      </c>
      <c r="F137" s="577" t="s">
        <v>744</v>
      </c>
      <c r="G137" s="580"/>
      <c r="H137" s="581"/>
      <c r="I137" s="580"/>
      <c r="J137" s="581"/>
    </row>
    <row r="138" spans="2:11" ht="15" customHeight="1" thickBot="1">
      <c r="B138" s="562"/>
      <c r="C138" s="563"/>
      <c r="D138" s="563"/>
      <c r="E138" s="563"/>
      <c r="F138" s="360"/>
      <c r="G138" s="588"/>
      <c r="H138" s="589"/>
      <c r="I138" s="588"/>
      <c r="J138" s="589"/>
    </row>
    <row r="139" spans="2:11" ht="15" customHeight="1">
      <c r="B139" s="584"/>
      <c r="C139" s="585" t="s">
        <v>683</v>
      </c>
      <c r="D139" s="585"/>
      <c r="E139" s="586"/>
      <c r="F139" s="587"/>
      <c r="G139" s="578"/>
      <c r="H139" s="579"/>
      <c r="I139" s="578"/>
      <c r="J139" s="579"/>
    </row>
    <row r="140" spans="2:11" ht="15" customHeight="1">
      <c r="B140" s="566"/>
      <c r="C140" s="568"/>
      <c r="D140" s="572" t="s">
        <v>684</v>
      </c>
      <c r="E140" s="568"/>
      <c r="F140" s="577"/>
      <c r="G140" s="578"/>
      <c r="H140" s="579"/>
      <c r="I140" s="578"/>
      <c r="J140" s="579"/>
    </row>
    <row r="141" spans="2:11" ht="15" customHeight="1">
      <c r="B141" s="566"/>
      <c r="C141" s="568"/>
      <c r="D141" s="568"/>
      <c r="E141" s="586" t="s">
        <v>685</v>
      </c>
      <c r="F141" s="577" t="s">
        <v>744</v>
      </c>
      <c r="G141" s="580"/>
      <c r="H141" s="581"/>
      <c r="I141" s="580"/>
      <c r="J141" s="581"/>
    </row>
    <row r="142" spans="2:11" ht="15" customHeight="1">
      <c r="B142" s="566"/>
      <c r="C142" s="568"/>
      <c r="D142" s="568"/>
      <c r="E142" s="586" t="s">
        <v>854</v>
      </c>
      <c r="F142" s="577" t="s">
        <v>744</v>
      </c>
      <c r="G142" s="580"/>
      <c r="H142" s="581"/>
      <c r="I142" s="580"/>
      <c r="J142" s="581"/>
    </row>
    <row r="143" spans="2:11" ht="15" customHeight="1">
      <c r="B143" s="566"/>
      <c r="C143" s="586"/>
      <c r="D143" s="572"/>
      <c r="E143" s="568"/>
      <c r="F143" s="577"/>
      <c r="G143" s="578"/>
      <c r="H143" s="579"/>
      <c r="I143" s="578"/>
      <c r="J143" s="579"/>
    </row>
    <row r="144" spans="2:11" ht="15" customHeight="1">
      <c r="B144" s="566"/>
      <c r="C144" s="568"/>
      <c r="D144" s="572" t="s">
        <v>855</v>
      </c>
      <c r="E144" s="568"/>
      <c r="F144" s="577"/>
      <c r="G144" s="578"/>
      <c r="H144" s="579"/>
      <c r="I144" s="578"/>
      <c r="J144" s="579"/>
    </row>
    <row r="145" spans="2:11" ht="15" customHeight="1">
      <c r="B145" s="566"/>
      <c r="C145" s="568"/>
      <c r="D145" s="568"/>
      <c r="E145" s="586" t="s">
        <v>687</v>
      </c>
      <c r="F145" s="577" t="s">
        <v>744</v>
      </c>
      <c r="G145" s="580"/>
      <c r="H145" s="581"/>
      <c r="I145" s="580"/>
      <c r="J145" s="581"/>
    </row>
    <row r="146" spans="2:11" ht="15" customHeight="1">
      <c r="B146" s="566"/>
      <c r="C146" s="568"/>
      <c r="D146" s="568"/>
      <c r="E146" s="586" t="s">
        <v>688</v>
      </c>
      <c r="F146" s="577" t="s">
        <v>744</v>
      </c>
      <c r="G146" s="580"/>
      <c r="H146" s="581"/>
      <c r="I146" s="580"/>
      <c r="J146" s="581"/>
    </row>
    <row r="147" spans="2:11" ht="15" customHeight="1" thickBot="1">
      <c r="B147" s="562"/>
      <c r="C147" s="563"/>
      <c r="D147" s="563"/>
      <c r="E147" s="563"/>
      <c r="F147" s="360"/>
      <c r="G147" s="590"/>
      <c r="H147" s="591"/>
      <c r="I147" s="590"/>
      <c r="J147" s="591"/>
    </row>
    <row r="148" spans="2:11" ht="15" customHeight="1" thickBot="1">
      <c r="B148" s="586"/>
      <c r="C148" s="586"/>
      <c r="D148" s="586"/>
      <c r="E148" s="586"/>
      <c r="F148" s="586"/>
      <c r="G148" s="353"/>
      <c r="H148" s="353"/>
      <c r="I148" s="353"/>
      <c r="J148" s="353"/>
    </row>
    <row r="149" spans="2:11" ht="15" customHeight="1">
      <c r="B149" s="592"/>
      <c r="C149" s="593" t="s">
        <v>689</v>
      </c>
      <c r="D149" s="593"/>
      <c r="E149" s="594"/>
      <c r="F149" s="595"/>
      <c r="G149" s="596"/>
      <c r="H149" s="597"/>
      <c r="I149" s="596"/>
      <c r="J149" s="597"/>
    </row>
    <row r="150" spans="2:11" ht="15" customHeight="1">
      <c r="B150" s="576"/>
      <c r="C150" s="568"/>
      <c r="D150" s="572"/>
      <c r="E150" s="572" t="s">
        <v>80</v>
      </c>
      <c r="F150" s="577"/>
      <c r="G150" s="361">
        <v>46.447561280551298</v>
      </c>
      <c r="H150" s="362">
        <v>57.613318217652797</v>
      </c>
      <c r="I150" s="361">
        <v>46.447561280551298</v>
      </c>
      <c r="J150" s="362">
        <v>57.613318217652797</v>
      </c>
    </row>
    <row r="151" spans="2:11" ht="15" customHeight="1">
      <c r="B151" s="576"/>
      <c r="C151" s="568"/>
      <c r="D151" s="572"/>
      <c r="E151" s="598" t="s">
        <v>690</v>
      </c>
      <c r="F151" s="577" t="s">
        <v>744</v>
      </c>
      <c r="G151" s="358">
        <v>10.324422852964664</v>
      </c>
      <c r="H151" s="359">
        <v>12.806361471781452</v>
      </c>
      <c r="I151" s="358">
        <v>16.932053478862052</v>
      </c>
      <c r="J151" s="359">
        <v>21.00243281372158</v>
      </c>
      <c r="K151" s="1062"/>
    </row>
    <row r="152" spans="2:11" ht="15" customHeight="1">
      <c r="B152" s="576"/>
      <c r="C152" s="568"/>
      <c r="D152" s="572"/>
      <c r="E152" s="598" t="s">
        <v>691</v>
      </c>
      <c r="F152" s="577" t="s">
        <v>744</v>
      </c>
      <c r="G152" s="358">
        <v>29.972302446177245</v>
      </c>
      <c r="H152" s="359">
        <v>37.177491152165118</v>
      </c>
      <c r="I152" s="358">
        <v>32.985950472962763</v>
      </c>
      <c r="J152" s="359">
        <v>40.915604800682907</v>
      </c>
      <c r="K152" s="1062"/>
    </row>
    <row r="153" spans="2:11" ht="15" customHeight="1">
      <c r="B153" s="576"/>
      <c r="C153" s="568"/>
      <c r="D153" s="572"/>
      <c r="E153" s="572" t="s">
        <v>503</v>
      </c>
      <c r="F153" s="577"/>
      <c r="G153" s="361"/>
      <c r="H153" s="362"/>
      <c r="I153" s="361"/>
      <c r="J153" s="362"/>
    </row>
    <row r="154" spans="2:11" ht="15" customHeight="1">
      <c r="B154" s="576"/>
      <c r="C154" s="568"/>
      <c r="D154" s="572"/>
      <c r="E154" s="598" t="s">
        <v>690</v>
      </c>
      <c r="F154" s="577" t="s">
        <v>744</v>
      </c>
      <c r="G154" s="358">
        <v>0</v>
      </c>
      <c r="H154" s="359">
        <v>0</v>
      </c>
      <c r="I154" s="358">
        <v>0</v>
      </c>
      <c r="J154" s="359">
        <v>0</v>
      </c>
      <c r="K154" s="1062"/>
    </row>
    <row r="155" spans="2:11" ht="15" customHeight="1" thickBot="1">
      <c r="B155" s="599"/>
      <c r="C155" s="600"/>
      <c r="D155" s="601"/>
      <c r="E155" s="602" t="s">
        <v>691</v>
      </c>
      <c r="F155" s="603" t="s">
        <v>744</v>
      </c>
      <c r="G155" s="363">
        <v>0</v>
      </c>
      <c r="H155" s="364">
        <v>0</v>
      </c>
      <c r="I155" s="363">
        <v>0</v>
      </c>
      <c r="J155" s="364">
        <v>0</v>
      </c>
      <c r="K155" s="1062"/>
    </row>
  </sheetData>
  <mergeCells count="2">
    <mergeCell ref="B7:E9"/>
    <mergeCell ref="F7:F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1DFFF"/>
  </sheetPr>
  <dimension ref="A1:AL27"/>
  <sheetViews>
    <sheetView zoomScale="90" zoomScaleNormal="90" workbookViewId="0"/>
  </sheetViews>
  <sheetFormatPr defaultColWidth="8.85546875" defaultRowHeight="12.75"/>
  <cols>
    <col min="1" max="2" width="8.85546875" customWidth="1"/>
    <col min="3" max="3" width="19" customWidth="1"/>
  </cols>
  <sheetData>
    <row r="1" spans="1:38">
      <c r="A1" s="485" t="s">
        <v>16</v>
      </c>
      <c r="F1" s="241" t="s">
        <v>216</v>
      </c>
      <c r="H1" t="s">
        <v>412</v>
      </c>
    </row>
    <row r="3" spans="1:38">
      <c r="A3" s="485" t="s">
        <v>29</v>
      </c>
    </row>
    <row r="5" spans="1:38">
      <c r="C5" s="365" t="s">
        <v>413</v>
      </c>
      <c r="D5" s="366"/>
      <c r="E5" s="366"/>
      <c r="F5" s="366"/>
      <c r="G5" s="366"/>
      <c r="H5" s="366"/>
      <c r="I5" s="365"/>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7"/>
    </row>
    <row r="6" spans="1:38">
      <c r="C6" s="368"/>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70"/>
    </row>
    <row r="7" spans="1:38">
      <c r="C7" s="368"/>
      <c r="D7" s="2016" t="s">
        <v>409</v>
      </c>
      <c r="E7" s="2017"/>
      <c r="F7" s="2017"/>
      <c r="G7" s="2017"/>
      <c r="H7" s="2017"/>
      <c r="I7" s="2017"/>
      <c r="J7" s="2017"/>
      <c r="K7" s="2017"/>
      <c r="L7" s="2017"/>
      <c r="M7" s="2017"/>
      <c r="N7" s="2017"/>
      <c r="O7" s="2017"/>
      <c r="P7" s="2017"/>
      <c r="Q7" s="2017"/>
      <c r="R7" s="2017"/>
      <c r="S7" s="2017"/>
      <c r="T7" s="2017"/>
      <c r="U7" s="2017"/>
      <c r="V7" s="2017"/>
      <c r="W7" s="2017"/>
      <c r="X7" s="2018"/>
      <c r="Y7" s="2007" t="s">
        <v>475</v>
      </c>
      <c r="Z7" s="2007" t="s">
        <v>476</v>
      </c>
      <c r="AA7" s="2007" t="s">
        <v>774</v>
      </c>
      <c r="AB7" s="2007" t="s">
        <v>775</v>
      </c>
      <c r="AC7" s="2007" t="s">
        <v>760</v>
      </c>
      <c r="AD7" s="2007" t="s">
        <v>58</v>
      </c>
      <c r="AE7" s="2007" t="s">
        <v>761</v>
      </c>
      <c r="AF7" s="2007" t="s">
        <v>762</v>
      </c>
      <c r="AG7" s="2007" t="s">
        <v>763</v>
      </c>
      <c r="AH7" s="2007" t="s">
        <v>645</v>
      </c>
      <c r="AI7" s="2007" t="s">
        <v>647</v>
      </c>
      <c r="AJ7" s="2007" t="s">
        <v>648</v>
      </c>
      <c r="AK7" s="2004" t="s">
        <v>659</v>
      </c>
      <c r="AL7" s="371"/>
    </row>
    <row r="8" spans="1:38">
      <c r="C8" s="368"/>
      <c r="D8" s="2010" t="s">
        <v>656</v>
      </c>
      <c r="E8" s="2011"/>
      <c r="F8" s="2011"/>
      <c r="G8" s="2011"/>
      <c r="H8" s="2011"/>
      <c r="I8" s="2012"/>
      <c r="J8" s="2013" t="s">
        <v>472</v>
      </c>
      <c r="K8" s="2014"/>
      <c r="L8" s="2014"/>
      <c r="M8" s="2014"/>
      <c r="N8" s="2014"/>
      <c r="O8" s="2014"/>
      <c r="P8" s="2014"/>
      <c r="Q8" s="2014"/>
      <c r="R8" s="2014"/>
      <c r="S8" s="2014"/>
      <c r="T8" s="2014"/>
      <c r="U8" s="2014"/>
      <c r="V8" s="2014"/>
      <c r="W8" s="2014"/>
      <c r="X8" s="2015"/>
      <c r="Y8" s="2008"/>
      <c r="Z8" s="2008"/>
      <c r="AA8" s="2008"/>
      <c r="AB8" s="2008"/>
      <c r="AC8" s="2008"/>
      <c r="AD8" s="2008"/>
      <c r="AE8" s="2008"/>
      <c r="AF8" s="2008"/>
      <c r="AG8" s="2008"/>
      <c r="AH8" s="2008"/>
      <c r="AI8" s="2008"/>
      <c r="AJ8" s="2008"/>
      <c r="AK8" s="2005"/>
      <c r="AL8" s="371"/>
    </row>
    <row r="9" spans="1:38" s="392" customFormat="1" ht="159.75">
      <c r="C9" s="393" t="s">
        <v>504</v>
      </c>
      <c r="D9" s="394" t="s">
        <v>640</v>
      </c>
      <c r="E9" s="394" t="s">
        <v>470</v>
      </c>
      <c r="F9" s="394" t="s">
        <v>471</v>
      </c>
      <c r="G9" s="394" t="s">
        <v>212</v>
      </c>
      <c r="H9" s="394" t="s">
        <v>358</v>
      </c>
      <c r="I9" s="394" t="s">
        <v>214</v>
      </c>
      <c r="J9" s="394" t="s">
        <v>59</v>
      </c>
      <c r="K9" s="395" t="s">
        <v>60</v>
      </c>
      <c r="L9" s="395" t="s">
        <v>61</v>
      </c>
      <c r="M9" s="395" t="s">
        <v>62</v>
      </c>
      <c r="N9" s="395" t="s">
        <v>63</v>
      </c>
      <c r="O9" s="395" t="s">
        <v>64</v>
      </c>
      <c r="P9" s="395" t="s">
        <v>220</v>
      </c>
      <c r="Q9" s="395" t="s">
        <v>221</v>
      </c>
      <c r="R9" s="395" t="s">
        <v>785</v>
      </c>
      <c r="S9" s="395" t="s">
        <v>663</v>
      </c>
      <c r="T9" s="395" t="s">
        <v>784</v>
      </c>
      <c r="U9" s="395" t="s">
        <v>73</v>
      </c>
      <c r="V9" s="395" t="s">
        <v>505</v>
      </c>
      <c r="W9" s="395" t="s">
        <v>189</v>
      </c>
      <c r="X9" s="395" t="s">
        <v>474</v>
      </c>
      <c r="Y9" s="2009"/>
      <c r="Z9" s="2009"/>
      <c r="AA9" s="2009"/>
      <c r="AB9" s="2009"/>
      <c r="AC9" s="2009"/>
      <c r="AD9" s="2009"/>
      <c r="AE9" s="2009"/>
      <c r="AF9" s="2009"/>
      <c r="AG9" s="2009"/>
      <c r="AH9" s="2009"/>
      <c r="AI9" s="2009"/>
      <c r="AJ9" s="2009"/>
      <c r="AK9" s="2006"/>
      <c r="AL9" s="396"/>
    </row>
    <row r="10" spans="1:38">
      <c r="C10" s="372"/>
      <c r="D10" s="373" t="s">
        <v>157</v>
      </c>
      <c r="E10" s="373" t="s">
        <v>157</v>
      </c>
      <c r="F10" s="373" t="s">
        <v>157</v>
      </c>
      <c r="G10" s="373" t="s">
        <v>157</v>
      </c>
      <c r="H10" s="373" t="s">
        <v>157</v>
      </c>
      <c r="I10" s="373" t="s">
        <v>157</v>
      </c>
      <c r="J10" s="373" t="s">
        <v>157</v>
      </c>
      <c r="K10" s="373" t="s">
        <v>157</v>
      </c>
      <c r="L10" s="373" t="s">
        <v>157</v>
      </c>
      <c r="M10" s="373" t="s">
        <v>157</v>
      </c>
      <c r="N10" s="373" t="s">
        <v>157</v>
      </c>
      <c r="O10" s="373" t="s">
        <v>157</v>
      </c>
      <c r="P10" s="373" t="s">
        <v>157</v>
      </c>
      <c r="Q10" s="373" t="s">
        <v>157</v>
      </c>
      <c r="R10" s="373" t="s">
        <v>157</v>
      </c>
      <c r="S10" s="373" t="s">
        <v>157</v>
      </c>
      <c r="T10" s="373" t="s">
        <v>157</v>
      </c>
      <c r="U10" s="373" t="s">
        <v>157</v>
      </c>
      <c r="V10" s="373" t="s">
        <v>157</v>
      </c>
      <c r="W10" s="373" t="s">
        <v>157</v>
      </c>
      <c r="X10" s="373" t="s">
        <v>157</v>
      </c>
      <c r="Y10" s="373" t="s">
        <v>157</v>
      </c>
      <c r="Z10" s="373" t="s">
        <v>157</v>
      </c>
      <c r="AA10" s="373" t="s">
        <v>157</v>
      </c>
      <c r="AB10" s="373" t="s">
        <v>157</v>
      </c>
      <c r="AC10" s="373" t="s">
        <v>157</v>
      </c>
      <c r="AD10" s="373" t="s">
        <v>157</v>
      </c>
      <c r="AE10" s="373" t="s">
        <v>157</v>
      </c>
      <c r="AF10" s="373" t="s">
        <v>157</v>
      </c>
      <c r="AG10" s="373" t="s">
        <v>157</v>
      </c>
      <c r="AH10" s="373" t="s">
        <v>157</v>
      </c>
      <c r="AI10" s="373" t="s">
        <v>157</v>
      </c>
      <c r="AJ10" s="373" t="s">
        <v>157</v>
      </c>
      <c r="AK10" s="373" t="s">
        <v>157</v>
      </c>
      <c r="AL10" s="370"/>
    </row>
    <row r="11" spans="1:38">
      <c r="C11" s="374"/>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0"/>
    </row>
    <row r="12" spans="1:38">
      <c r="C12" s="376" t="s">
        <v>507</v>
      </c>
      <c r="D12" s="377">
        <v>9.6634520789690299</v>
      </c>
      <c r="E12" s="377">
        <v>63.506587812839619</v>
      </c>
      <c r="F12" s="377">
        <v>4.0804256415580955</v>
      </c>
      <c r="G12" s="377">
        <v>16.03439464988551</v>
      </c>
      <c r="H12" s="377">
        <v>4.7429879453085206</v>
      </c>
      <c r="I12" s="377">
        <v>1.6368881011594891</v>
      </c>
      <c r="J12" s="377">
        <v>0.79877823527135439</v>
      </c>
      <c r="K12" s="377">
        <v>8.50892620520073</v>
      </c>
      <c r="L12" s="377">
        <v>3.864575487820221</v>
      </c>
      <c r="M12" s="377">
        <v>15.017576021327987</v>
      </c>
      <c r="N12" s="377">
        <v>2.6231913412623666</v>
      </c>
      <c r="O12" s="377">
        <v>1.1971922726956574</v>
      </c>
      <c r="P12" s="377">
        <v>1.3730280456278914</v>
      </c>
      <c r="Q12" s="377">
        <v>1.137985595231386</v>
      </c>
      <c r="R12" s="377">
        <v>2.0073828743963098</v>
      </c>
      <c r="S12" s="377">
        <v>12.846120169989643</v>
      </c>
      <c r="T12" s="377">
        <v>6.9050026314811834</v>
      </c>
      <c r="U12" s="377">
        <v>2.752174273403194</v>
      </c>
      <c r="V12" s="377">
        <v>0.81469405929801364</v>
      </c>
      <c r="W12" s="377">
        <v>8.6435311720759582</v>
      </c>
      <c r="X12" s="377">
        <v>2.3115403502563221</v>
      </c>
      <c r="Y12" s="377">
        <v>15.445247999999999</v>
      </c>
      <c r="Z12" s="377">
        <v>0</v>
      </c>
      <c r="AA12" s="377">
        <v>0.61796958946554414</v>
      </c>
      <c r="AB12" s="377">
        <v>15.206595222076547</v>
      </c>
      <c r="AC12" s="377">
        <v>-0.43430239645676894</v>
      </c>
      <c r="AD12" s="377">
        <v>0.93221999999999994</v>
      </c>
      <c r="AE12" s="377">
        <v>11.957154855261129</v>
      </c>
      <c r="AF12" s="377">
        <v>59.102484352201088</v>
      </c>
      <c r="AG12" s="377">
        <v>17.0274</v>
      </c>
      <c r="AH12" s="377">
        <v>9.0830000000000002</v>
      </c>
      <c r="AI12" s="377">
        <v>0</v>
      </c>
      <c r="AJ12" s="377">
        <v>-26.259723587606004</v>
      </c>
      <c r="AK12" s="377">
        <v>273.14448100000004</v>
      </c>
      <c r="AL12" s="378"/>
    </row>
    <row r="13" spans="1:38">
      <c r="C13" s="376" t="s">
        <v>508</v>
      </c>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80">
        <v>0</v>
      </c>
      <c r="AL13" s="378"/>
    </row>
    <row r="14" spans="1:38">
      <c r="C14" s="376" t="s">
        <v>507</v>
      </c>
      <c r="D14" s="377">
        <v>9.6634520789690299</v>
      </c>
      <c r="E14" s="377">
        <v>63.506587812839619</v>
      </c>
      <c r="F14" s="377">
        <v>4.0804256415580955</v>
      </c>
      <c r="G14" s="377">
        <v>16.03439464988551</v>
      </c>
      <c r="H14" s="377">
        <v>4.7429879453085206</v>
      </c>
      <c r="I14" s="377">
        <v>1.6368881011594891</v>
      </c>
      <c r="J14" s="377">
        <v>0.79877823527135439</v>
      </c>
      <c r="K14" s="377">
        <v>8.50892620520073</v>
      </c>
      <c r="L14" s="377">
        <v>3.864575487820221</v>
      </c>
      <c r="M14" s="377">
        <v>15.017576021327987</v>
      </c>
      <c r="N14" s="377">
        <v>2.6231913412623666</v>
      </c>
      <c r="O14" s="377">
        <v>1.1971922726956574</v>
      </c>
      <c r="P14" s="377">
        <v>1.3730280456278914</v>
      </c>
      <c r="Q14" s="377">
        <v>1.137985595231386</v>
      </c>
      <c r="R14" s="377">
        <v>2.0073828743963098</v>
      </c>
      <c r="S14" s="377">
        <v>12.846120169989643</v>
      </c>
      <c r="T14" s="377">
        <v>6.9050026314811834</v>
      </c>
      <c r="U14" s="377">
        <v>2.752174273403194</v>
      </c>
      <c r="V14" s="377">
        <v>0.81469405929801364</v>
      </c>
      <c r="W14" s="377">
        <v>8.6435311720759582</v>
      </c>
      <c r="X14" s="377">
        <v>2.3115403502563221</v>
      </c>
      <c r="Y14" s="377">
        <v>15.445247999999999</v>
      </c>
      <c r="Z14" s="377">
        <v>0</v>
      </c>
      <c r="AA14" s="377">
        <v>0.61796958946554414</v>
      </c>
      <c r="AB14" s="377">
        <v>15.206595222076547</v>
      </c>
      <c r="AC14" s="377">
        <v>-0.43430239645676894</v>
      </c>
      <c r="AD14" s="377">
        <v>0.93221999999999994</v>
      </c>
      <c r="AE14" s="377">
        <v>11.957154855261129</v>
      </c>
      <c r="AF14" s="377">
        <v>59.102484352201088</v>
      </c>
      <c r="AG14" s="377">
        <v>17.0274</v>
      </c>
      <c r="AH14" s="377">
        <v>9.0830000000000002</v>
      </c>
      <c r="AI14" s="377">
        <v>0</v>
      </c>
      <c r="AJ14" s="377">
        <v>-26.259723587606004</v>
      </c>
      <c r="AK14" s="377">
        <v>273.14448100000004</v>
      </c>
      <c r="AL14" s="378"/>
    </row>
    <row r="15" spans="1:38">
      <c r="C15" s="376"/>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8"/>
    </row>
    <row r="16" spans="1:38">
      <c r="C16" s="376" t="s">
        <v>509</v>
      </c>
      <c r="D16" s="377">
        <v>-5.7923418430707221</v>
      </c>
      <c r="E16" s="377">
        <v>46.850653637644193</v>
      </c>
      <c r="F16" s="377">
        <v>3.8887473568048447</v>
      </c>
      <c r="G16" s="377">
        <v>17.013222302067078</v>
      </c>
      <c r="H16" s="377">
        <v>6.1022826028663566</v>
      </c>
      <c r="I16" s="377">
        <v>1.3428515463550674</v>
      </c>
      <c r="J16" s="377">
        <v>2.2981309609909299</v>
      </c>
      <c r="K16" s="377">
        <v>8.0668336143569572</v>
      </c>
      <c r="L16" s="377">
        <v>2.2021234162447363</v>
      </c>
      <c r="M16" s="377">
        <v>15.637826759123307</v>
      </c>
      <c r="N16" s="377">
        <v>2.4145484322630053</v>
      </c>
      <c r="O16" s="377">
        <v>1.1989483604192526</v>
      </c>
      <c r="P16" s="377">
        <v>1.7485002800000005</v>
      </c>
      <c r="Q16" s="377">
        <v>1.8731901200000001</v>
      </c>
      <c r="R16" s="377">
        <v>2.1195011587039501</v>
      </c>
      <c r="S16" s="377">
        <v>10.958341469603344</v>
      </c>
      <c r="T16" s="377">
        <v>4.8656127609643836</v>
      </c>
      <c r="U16" s="377">
        <v>2.2816883312094451</v>
      </c>
      <c r="V16" s="377">
        <v>0.84379100678478891</v>
      </c>
      <c r="W16" s="377">
        <v>7.0085806841458069</v>
      </c>
      <c r="X16" s="377">
        <v>2.1410792035677355</v>
      </c>
      <c r="Y16" s="377">
        <v>0.48485605676958615</v>
      </c>
      <c r="Z16" s="377">
        <v>0</v>
      </c>
      <c r="AA16" s="377">
        <v>6.4962762782910763</v>
      </c>
      <c r="AB16" s="377">
        <v>29.112834279382245</v>
      </c>
      <c r="AC16" s="377">
        <v>-3.6965251478481007</v>
      </c>
      <c r="AD16" s="377">
        <v>0</v>
      </c>
      <c r="AE16" s="377">
        <v>6.6843929999999983</v>
      </c>
      <c r="AF16" s="377">
        <v>59.220287600063259</v>
      </c>
      <c r="AG16" s="377">
        <v>16.605599999999999</v>
      </c>
      <c r="AH16" s="377">
        <v>9.5850000000000009</v>
      </c>
      <c r="AI16" s="377">
        <v>0</v>
      </c>
      <c r="AJ16" s="377">
        <v>-13.656834227702575</v>
      </c>
      <c r="AK16" s="377">
        <v>245.9</v>
      </c>
      <c r="AL16" s="381"/>
    </row>
    <row r="17" spans="3:38">
      <c r="C17" s="376"/>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81"/>
    </row>
    <row r="18" spans="3:38">
      <c r="C18" s="376" t="s">
        <v>510</v>
      </c>
      <c r="D18" s="377">
        <v>12.313829036969267</v>
      </c>
      <c r="E18" s="377">
        <v>36.022024113672849</v>
      </c>
      <c r="F18" s="377">
        <v>11.080708135203267</v>
      </c>
      <c r="G18" s="377">
        <v>18.249724860435073</v>
      </c>
      <c r="H18" s="377">
        <v>6.2519386198571478</v>
      </c>
      <c r="I18" s="377">
        <v>1.1407921706224478</v>
      </c>
      <c r="J18" s="377">
        <v>2.4958434693073022</v>
      </c>
      <c r="K18" s="377">
        <v>7.6493198771973905</v>
      </c>
      <c r="L18" s="377">
        <v>1.9021706971500925</v>
      </c>
      <c r="M18" s="377">
        <v>13.937219067319573</v>
      </c>
      <c r="N18" s="377">
        <v>2.3703115546737838</v>
      </c>
      <c r="O18" s="377">
        <v>1.5648181722226089</v>
      </c>
      <c r="P18" s="377">
        <v>1.1570509610241217</v>
      </c>
      <c r="Q18" s="377">
        <v>2.1188417560401716</v>
      </c>
      <c r="R18" s="377">
        <v>3.5124047323213654</v>
      </c>
      <c r="S18" s="377">
        <v>12.100303290631905</v>
      </c>
      <c r="T18" s="377">
        <v>4.0370005391247021</v>
      </c>
      <c r="U18" s="377">
        <v>2.3122985839450778</v>
      </c>
      <c r="V18" s="377">
        <v>1.6218638515417285</v>
      </c>
      <c r="W18" s="377">
        <v>8.1442222859924822</v>
      </c>
      <c r="X18" s="377">
        <v>3.1887696778411692</v>
      </c>
      <c r="Y18" s="377">
        <v>3.8182999999999998</v>
      </c>
      <c r="Z18" s="377">
        <v>51.863805526717123</v>
      </c>
      <c r="AA18" s="377">
        <v>10.12992937969543</v>
      </c>
      <c r="AB18" s="377">
        <v>19.003294158920134</v>
      </c>
      <c r="AC18" s="377">
        <v>0</v>
      </c>
      <c r="AD18" s="377">
        <v>0</v>
      </c>
      <c r="AE18" s="377">
        <v>0</v>
      </c>
      <c r="AF18" s="377">
        <v>52.262879900045036</v>
      </c>
      <c r="AG18" s="377">
        <v>16.183700000000002</v>
      </c>
      <c r="AH18" s="377">
        <v>5.8273999999999999</v>
      </c>
      <c r="AI18" s="377">
        <v>0</v>
      </c>
      <c r="AJ18" s="377">
        <v>-35.756364418471208</v>
      </c>
      <c r="AK18" s="377">
        <v>276.50440000000003</v>
      </c>
      <c r="AL18" s="381"/>
    </row>
    <row r="19" spans="3:38">
      <c r="C19" s="382"/>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78"/>
    </row>
    <row r="20" spans="3:38">
      <c r="C20" s="369"/>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78"/>
    </row>
    <row r="21" spans="3:38">
      <c r="C21" s="385" t="s">
        <v>481</v>
      </c>
      <c r="D21" s="385"/>
      <c r="E21" s="385"/>
      <c r="F21" s="386"/>
      <c r="G21" s="387"/>
      <c r="H21" s="387"/>
      <c r="I21" s="387"/>
      <c r="J21" s="387"/>
      <c r="K21" s="387"/>
      <c r="L21" s="387"/>
      <c r="M21" s="387"/>
      <c r="N21" s="387"/>
      <c r="O21" s="387"/>
      <c r="P21" s="387"/>
      <c r="Q21" s="387"/>
      <c r="R21" s="388"/>
      <c r="S21" s="385"/>
      <c r="T21" s="385"/>
      <c r="U21" s="385"/>
      <c r="V21" s="385"/>
      <c r="W21" s="385"/>
      <c r="X21" s="385"/>
      <c r="Y21" s="385"/>
      <c r="Z21" s="385"/>
      <c r="AA21" s="385"/>
      <c r="AB21" s="384"/>
      <c r="AC21" s="384"/>
      <c r="AD21" s="384"/>
      <c r="AE21" s="384"/>
      <c r="AF21" s="384"/>
      <c r="AG21" s="384"/>
      <c r="AH21" s="384"/>
      <c r="AI21" s="384"/>
      <c r="AJ21" s="384"/>
      <c r="AK21" s="384"/>
      <c r="AL21" s="378"/>
    </row>
    <row r="22" spans="3:38">
      <c r="C22" s="385">
        <v>1</v>
      </c>
      <c r="D22" s="2019" t="s">
        <v>345</v>
      </c>
      <c r="E22" s="2020"/>
      <c r="F22" s="2020"/>
      <c r="G22" s="2020"/>
      <c r="H22" s="2020"/>
      <c r="I22" s="2020"/>
      <c r="J22" s="2020"/>
      <c r="K22" s="2020"/>
      <c r="L22" s="2020"/>
      <c r="M22" s="2020"/>
      <c r="N22" s="2020"/>
      <c r="O22" s="2020"/>
      <c r="P22" s="2020"/>
      <c r="Q22" s="2020"/>
      <c r="R22" s="2020"/>
      <c r="S22" s="2020"/>
      <c r="T22" s="2020"/>
      <c r="U22" s="2020"/>
      <c r="V22" s="2020"/>
      <c r="W22" s="2020"/>
      <c r="X22" s="2020"/>
      <c r="Y22" s="2020"/>
      <c r="Z22" s="2020"/>
      <c r="AA22" s="2020"/>
      <c r="AB22" s="384"/>
      <c r="AC22" s="384"/>
      <c r="AD22" s="384"/>
      <c r="AE22" s="384"/>
      <c r="AF22" s="384"/>
      <c r="AG22" s="384"/>
      <c r="AH22" s="384"/>
      <c r="AI22" s="384"/>
      <c r="AJ22" s="384"/>
      <c r="AK22" s="384"/>
      <c r="AL22" s="378"/>
    </row>
    <row r="23" spans="3:38">
      <c r="C23" s="385">
        <v>2</v>
      </c>
      <c r="D23" s="2019" t="s">
        <v>414</v>
      </c>
      <c r="E23" s="2020"/>
      <c r="F23" s="2020"/>
      <c r="G23" s="2020"/>
      <c r="H23" s="2020"/>
      <c r="I23" s="2020"/>
      <c r="J23" s="2020"/>
      <c r="K23" s="2020"/>
      <c r="L23" s="2020"/>
      <c r="M23" s="2020"/>
      <c r="N23" s="2020"/>
      <c r="O23" s="2020"/>
      <c r="P23" s="2020"/>
      <c r="Q23" s="2020"/>
      <c r="R23" s="2020"/>
      <c r="S23" s="2020"/>
      <c r="T23" s="2020"/>
      <c r="U23" s="2020"/>
      <c r="V23" s="2020"/>
      <c r="W23" s="2020"/>
      <c r="X23" s="2020"/>
      <c r="Y23" s="2020"/>
      <c r="Z23" s="2020"/>
      <c r="AA23" s="2020"/>
      <c r="AB23" s="384"/>
      <c r="AC23" s="384"/>
      <c r="AD23" s="384"/>
      <c r="AE23" s="384"/>
      <c r="AF23" s="384"/>
      <c r="AG23" s="384"/>
      <c r="AH23" s="384"/>
      <c r="AI23" s="384"/>
      <c r="AJ23" s="384"/>
      <c r="AK23" s="384"/>
      <c r="AL23" s="378"/>
    </row>
    <row r="24" spans="3:38">
      <c r="C24" s="385">
        <v>3</v>
      </c>
      <c r="D24" s="2019" t="s">
        <v>369</v>
      </c>
      <c r="E24" s="2020"/>
      <c r="F24" s="2020"/>
      <c r="G24" s="2020"/>
      <c r="H24" s="2020"/>
      <c r="I24" s="2020"/>
      <c r="J24" s="2020"/>
      <c r="K24" s="2020"/>
      <c r="L24" s="2020"/>
      <c r="M24" s="2020"/>
      <c r="N24" s="2020"/>
      <c r="O24" s="2020"/>
      <c r="P24" s="2020"/>
      <c r="Q24" s="2020"/>
      <c r="R24" s="2020"/>
      <c r="S24" s="2020"/>
      <c r="T24" s="2020"/>
      <c r="U24" s="2020"/>
      <c r="V24" s="2020"/>
      <c r="W24" s="2020"/>
      <c r="X24" s="2020"/>
      <c r="Y24" s="2020"/>
      <c r="Z24" s="2020"/>
      <c r="AA24" s="2020"/>
      <c r="AB24" s="384"/>
      <c r="AC24" s="384"/>
      <c r="AD24" s="384"/>
      <c r="AE24" s="384"/>
      <c r="AF24" s="384"/>
      <c r="AG24" s="384"/>
      <c r="AH24" s="384"/>
      <c r="AI24" s="384"/>
      <c r="AJ24" s="384"/>
      <c r="AK24" s="384"/>
      <c r="AL24" s="378"/>
    </row>
    <row r="25" spans="3:38">
      <c r="C25" s="385">
        <v>4</v>
      </c>
      <c r="D25" s="2019" t="s">
        <v>415</v>
      </c>
      <c r="E25" s="2020"/>
      <c r="F25" s="2020"/>
      <c r="G25" s="2020"/>
      <c r="H25" s="2020"/>
      <c r="I25" s="2020"/>
      <c r="J25" s="2020"/>
      <c r="K25" s="2020"/>
      <c r="L25" s="2020"/>
      <c r="M25" s="2020"/>
      <c r="N25" s="2020"/>
      <c r="O25" s="2020"/>
      <c r="P25" s="2020"/>
      <c r="Q25" s="2020"/>
      <c r="R25" s="2020"/>
      <c r="S25" s="2020"/>
      <c r="T25" s="2020"/>
      <c r="U25" s="2020"/>
      <c r="V25" s="2020"/>
      <c r="W25" s="2020"/>
      <c r="X25" s="2020"/>
      <c r="Y25" s="2020"/>
      <c r="Z25" s="2020"/>
      <c r="AA25" s="2020"/>
      <c r="AB25" s="384"/>
      <c r="AC25" s="384"/>
      <c r="AD25" s="384"/>
      <c r="AE25" s="384"/>
      <c r="AF25" s="384"/>
      <c r="AG25" s="384"/>
      <c r="AH25" s="384"/>
      <c r="AI25" s="384"/>
      <c r="AJ25" s="384"/>
      <c r="AK25" s="384"/>
      <c r="AL25" s="378"/>
    </row>
    <row r="26" spans="3:38">
      <c r="C26" s="385">
        <v>5</v>
      </c>
      <c r="D26" s="2019" t="s">
        <v>416</v>
      </c>
      <c r="E26" s="2020"/>
      <c r="F26" s="2020"/>
      <c r="G26" s="2020"/>
      <c r="H26" s="2020"/>
      <c r="I26" s="2020"/>
      <c r="J26" s="2020"/>
      <c r="K26" s="2020"/>
      <c r="L26" s="2020"/>
      <c r="M26" s="2020"/>
      <c r="N26" s="2020"/>
      <c r="O26" s="2020"/>
      <c r="P26" s="2020"/>
      <c r="Q26" s="2020"/>
      <c r="R26" s="2020"/>
      <c r="S26" s="2020"/>
      <c r="T26" s="2020"/>
      <c r="U26" s="2020"/>
      <c r="V26" s="2020"/>
      <c r="W26" s="2020"/>
      <c r="X26" s="2020"/>
      <c r="Y26" s="2020"/>
      <c r="Z26" s="2020"/>
      <c r="AA26" s="2020"/>
      <c r="AB26" s="384"/>
      <c r="AC26" s="384"/>
      <c r="AD26" s="384"/>
      <c r="AE26" s="384"/>
      <c r="AF26" s="384"/>
      <c r="AG26" s="384"/>
      <c r="AH26" s="384"/>
      <c r="AI26" s="384"/>
      <c r="AJ26" s="384"/>
      <c r="AK26" s="384"/>
      <c r="AL26" s="378"/>
    </row>
    <row r="27" spans="3:38">
      <c r="C27" s="389"/>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sheetData>
  <mergeCells count="21">
    <mergeCell ref="D26:AA26"/>
    <mergeCell ref="D22:AA22"/>
    <mergeCell ref="D23:AA23"/>
    <mergeCell ref="D24:AA24"/>
    <mergeCell ref="D25:AA25"/>
    <mergeCell ref="D8:I8"/>
    <mergeCell ref="AJ7:AJ9"/>
    <mergeCell ref="Z7:Z9"/>
    <mergeCell ref="AH7:AH9"/>
    <mergeCell ref="AI7:AI9"/>
    <mergeCell ref="AB7:AB9"/>
    <mergeCell ref="J8:X8"/>
    <mergeCell ref="AE7:AE9"/>
    <mergeCell ref="D7:X7"/>
    <mergeCell ref="Y7:Y9"/>
    <mergeCell ref="AC7:AC9"/>
    <mergeCell ref="AK7:AK9"/>
    <mergeCell ref="AF7:AF9"/>
    <mergeCell ref="AG7:AG9"/>
    <mergeCell ref="AD7:AD9"/>
    <mergeCell ref="AA7:AA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1DFFF"/>
  </sheetPr>
  <dimension ref="A1:R51"/>
  <sheetViews>
    <sheetView zoomScale="70" zoomScaleNormal="70" zoomScalePageLayoutView="85" workbookViewId="0"/>
  </sheetViews>
  <sheetFormatPr defaultColWidth="8.85546875" defaultRowHeight="12.75"/>
  <cols>
    <col min="1" max="1" width="11.42578125" style="1223" customWidth="1"/>
    <col min="2" max="2" width="8.85546875" style="1223" customWidth="1"/>
    <col min="3" max="3" width="29.85546875" style="1223" customWidth="1"/>
    <col min="4" max="4" width="8.85546875" style="1223" customWidth="1"/>
    <col min="5" max="5" width="25.42578125" style="1223" customWidth="1"/>
    <col min="6" max="6" width="13.42578125" style="1223" customWidth="1"/>
    <col min="7" max="10" width="8.85546875" style="1223"/>
    <col min="11" max="11" width="9.42578125" style="1223" customWidth="1"/>
    <col min="12" max="12" width="8.85546875" style="1223"/>
    <col min="13" max="17" width="12.42578125" style="1223" customWidth="1"/>
    <col min="18" max="16384" width="8.85546875" style="1223"/>
  </cols>
  <sheetData>
    <row r="1" spans="1:18" ht="18" customHeight="1">
      <c r="A1" s="1485" t="s">
        <v>16</v>
      </c>
      <c r="E1" s="1486" t="s">
        <v>216</v>
      </c>
    </row>
    <row r="2" spans="1:18">
      <c r="A2" s="1485"/>
    </row>
    <row r="3" spans="1:18" ht="18" customHeight="1">
      <c r="A3" s="1485" t="s">
        <v>29</v>
      </c>
    </row>
    <row r="5" spans="1:18" ht="17.25" customHeight="1">
      <c r="A5" s="1487" t="s">
        <v>1</v>
      </c>
      <c r="B5" s="1488"/>
      <c r="C5" s="1488"/>
      <c r="D5" s="1489"/>
      <c r="E5" s="1488"/>
      <c r="F5" s="1488"/>
      <c r="G5" s="1488"/>
      <c r="H5" s="1488"/>
      <c r="I5" s="1488"/>
      <c r="J5" s="1488"/>
      <c r="K5" s="1488"/>
      <c r="L5" s="1488"/>
      <c r="M5" s="1488"/>
      <c r="N5" s="1488"/>
      <c r="O5" s="1488"/>
      <c r="P5" s="1488"/>
      <c r="Q5" s="1488"/>
      <c r="R5" s="1488"/>
    </row>
    <row r="6" spans="1:18" ht="18" customHeight="1" thickBot="1">
      <c r="A6" s="1488"/>
      <c r="B6" s="1488"/>
      <c r="C6" s="1488"/>
      <c r="D6" s="1489"/>
      <c r="E6" s="1488"/>
      <c r="F6" s="1488"/>
      <c r="G6" s="1488"/>
      <c r="H6" s="1488"/>
      <c r="I6" s="1488"/>
      <c r="J6" s="1488"/>
      <c r="K6" s="1488"/>
      <c r="L6" s="1488"/>
      <c r="R6" s="1488"/>
    </row>
    <row r="7" spans="1:18" s="1260" customFormat="1" ht="18" customHeight="1" thickBot="1">
      <c r="A7" s="1490"/>
      <c r="B7" s="1490"/>
      <c r="C7" s="1490"/>
      <c r="D7" s="1491"/>
      <c r="E7" s="2098" t="s">
        <v>2</v>
      </c>
      <c r="F7" s="2099"/>
      <c r="G7" s="2100"/>
      <c r="H7" s="1492"/>
      <c r="I7" s="2101" t="s">
        <v>3</v>
      </c>
      <c r="J7" s="2102"/>
      <c r="K7" s="2103"/>
      <c r="L7" s="1490"/>
      <c r="M7" s="2095" t="s">
        <v>410</v>
      </c>
      <c r="N7" s="2096"/>
      <c r="O7" s="2096"/>
      <c r="P7" s="2096"/>
      <c r="Q7" s="2097"/>
      <c r="R7" s="1491"/>
    </row>
    <row r="8" spans="1:18" ht="27.75" customHeight="1" thickBot="1">
      <c r="A8" s="1494"/>
      <c r="B8" s="1494"/>
      <c r="C8" s="1494"/>
      <c r="D8" s="1495"/>
      <c r="E8" s="2104" t="s">
        <v>4</v>
      </c>
      <c r="F8" s="2105"/>
      <c r="G8" s="2106"/>
      <c r="H8" s="1492"/>
      <c r="I8" s="1571" t="s">
        <v>4</v>
      </c>
      <c r="J8" s="1497"/>
      <c r="K8" s="1498" t="s">
        <v>5</v>
      </c>
      <c r="L8" s="1499"/>
      <c r="M8" s="2107" t="s">
        <v>2</v>
      </c>
      <c r="N8" s="2108"/>
      <c r="O8" s="2109"/>
      <c r="P8" s="1499"/>
      <c r="Q8" s="1573" t="s">
        <v>212</v>
      </c>
      <c r="R8" s="1500"/>
    </row>
    <row r="9" spans="1:18" ht="16.5" thickBot="1">
      <c r="A9" s="2085" t="s">
        <v>6</v>
      </c>
      <c r="B9" s="2086"/>
      <c r="C9" s="2087"/>
      <c r="D9" s="401"/>
      <c r="E9" s="1501" t="s">
        <v>7</v>
      </c>
      <c r="F9" s="1502" t="s">
        <v>19</v>
      </c>
      <c r="G9" s="1503" t="s">
        <v>20</v>
      </c>
      <c r="H9" s="1504"/>
      <c r="I9" s="1496" t="s">
        <v>20</v>
      </c>
      <c r="J9" s="1505"/>
      <c r="K9" s="1506" t="s">
        <v>20</v>
      </c>
      <c r="L9" s="1499"/>
      <c r="M9" s="1507" t="s">
        <v>7</v>
      </c>
      <c r="N9" s="1508" t="s">
        <v>19</v>
      </c>
      <c r="O9" s="1509" t="s">
        <v>20</v>
      </c>
      <c r="P9" s="1499"/>
      <c r="Q9" s="1506" t="s">
        <v>20</v>
      </c>
      <c r="R9" s="1500"/>
    </row>
    <row r="10" spans="1:18" ht="16.5" thickBot="1">
      <c r="A10" s="2088"/>
      <c r="B10" s="2089"/>
      <c r="C10" s="2090"/>
      <c r="D10" s="401"/>
      <c r="E10" s="1510" t="s">
        <v>157</v>
      </c>
      <c r="F10" s="1511" t="s">
        <v>157</v>
      </c>
      <c r="G10" s="1512" t="s">
        <v>157</v>
      </c>
      <c r="H10" s="1492"/>
      <c r="I10" s="1513"/>
      <c r="J10" s="1505"/>
      <c r="K10" s="1513"/>
      <c r="L10" s="1499"/>
      <c r="M10" s="1514" t="s">
        <v>157</v>
      </c>
      <c r="N10" s="1515" t="s">
        <v>157</v>
      </c>
      <c r="O10" s="1513" t="s">
        <v>157</v>
      </c>
      <c r="P10" s="1499"/>
      <c r="Q10" s="1513" t="s">
        <v>157</v>
      </c>
      <c r="R10" s="1500"/>
    </row>
    <row r="11" spans="1:18" ht="18" customHeight="1">
      <c r="A11" s="2077" t="s">
        <v>21</v>
      </c>
      <c r="B11" s="2073" t="s">
        <v>104</v>
      </c>
      <c r="C11" s="2074"/>
      <c r="D11" s="404"/>
      <c r="E11" s="2091">
        <v>0.52033243997305478</v>
      </c>
      <c r="F11" s="2091">
        <v>2.2199370385022496E-2</v>
      </c>
      <c r="G11" s="2094">
        <v>0.54253181035807729</v>
      </c>
      <c r="H11" s="1516"/>
      <c r="I11" s="1517">
        <v>0.33133295837051591</v>
      </c>
      <c r="J11" s="1495"/>
      <c r="K11" s="1517">
        <v>2.4021255885768755E-2</v>
      </c>
      <c r="L11" s="1500"/>
      <c r="M11" s="1500"/>
      <c r="N11" s="1500"/>
      <c r="O11" s="1500"/>
      <c r="P11" s="1500"/>
      <c r="Q11" s="1500"/>
      <c r="R11" s="1500"/>
    </row>
    <row r="12" spans="1:18" ht="18" customHeight="1">
      <c r="A12" s="2078"/>
      <c r="B12" s="2092" t="s">
        <v>105</v>
      </c>
      <c r="C12" s="2093"/>
      <c r="D12" s="404"/>
      <c r="E12" s="2084"/>
      <c r="F12" s="2084"/>
      <c r="G12" s="2067"/>
      <c r="H12" s="1516"/>
      <c r="I12" s="1518">
        <v>1.8120928488245529</v>
      </c>
      <c r="J12" s="1495"/>
      <c r="K12" s="1518">
        <v>0</v>
      </c>
      <c r="L12" s="1500"/>
      <c r="M12" s="1500"/>
      <c r="N12" s="1500"/>
      <c r="O12" s="1500"/>
      <c r="P12" s="1500"/>
      <c r="Q12" s="1500"/>
      <c r="R12" s="1500"/>
    </row>
    <row r="13" spans="1:18" ht="18" customHeight="1">
      <c r="A13" s="2077" t="s">
        <v>848</v>
      </c>
      <c r="B13" s="2080" t="s">
        <v>222</v>
      </c>
      <c r="C13" s="2081"/>
      <c r="D13" s="404"/>
      <c r="E13" s="1836">
        <v>0.18425115170524883</v>
      </c>
      <c r="F13" s="1836">
        <v>1.2465557602764354E-6</v>
      </c>
      <c r="G13" s="1837">
        <v>0.18425239826100911</v>
      </c>
      <c r="H13" s="1516"/>
      <c r="I13" s="1518">
        <v>0.83585088800670704</v>
      </c>
      <c r="J13" s="1495"/>
      <c r="K13" s="1518">
        <v>6.0598221685823211E-2</v>
      </c>
      <c r="L13" s="1500"/>
      <c r="M13" s="1500"/>
      <c r="N13" s="1500"/>
      <c r="O13" s="1500"/>
      <c r="P13" s="1500"/>
      <c r="Q13" s="1500"/>
      <c r="R13" s="1500"/>
    </row>
    <row r="14" spans="1:18" ht="18" customHeight="1">
      <c r="A14" s="2078"/>
      <c r="B14" s="2068" t="s">
        <v>22</v>
      </c>
      <c r="C14" s="2069"/>
      <c r="D14" s="404"/>
      <c r="E14" s="2082">
        <v>0.17906316791250598</v>
      </c>
      <c r="F14" s="2082">
        <v>5.0684429952913244E-2</v>
      </c>
      <c r="G14" s="2065">
        <v>0.22974759786541923</v>
      </c>
      <c r="H14" s="1516"/>
      <c r="I14" s="1518">
        <v>1.5203846166339463</v>
      </c>
      <c r="J14" s="1495"/>
      <c r="K14" s="1518">
        <v>0</v>
      </c>
      <c r="L14" s="1500"/>
      <c r="M14" s="1500"/>
      <c r="N14" s="1500"/>
      <c r="O14" s="1500"/>
      <c r="P14" s="1500"/>
      <c r="Q14" s="1500"/>
      <c r="R14" s="1500"/>
    </row>
    <row r="15" spans="1:18" ht="18" customHeight="1">
      <c r="A15" s="2078"/>
      <c r="B15" s="2068" t="s">
        <v>23</v>
      </c>
      <c r="C15" s="2069"/>
      <c r="D15" s="404"/>
      <c r="E15" s="2083"/>
      <c r="F15" s="2083"/>
      <c r="G15" s="2066"/>
      <c r="H15" s="1516"/>
      <c r="I15" s="1518">
        <v>5.3782308199129023</v>
      </c>
      <c r="J15" s="1495"/>
      <c r="K15" s="1518">
        <v>0</v>
      </c>
      <c r="L15" s="1500"/>
      <c r="M15" s="1500"/>
      <c r="N15" s="1500"/>
      <c r="O15" s="1500"/>
      <c r="P15" s="1500"/>
      <c r="Q15" s="1500"/>
      <c r="R15" s="1500"/>
    </row>
    <row r="16" spans="1:18" ht="18" customHeight="1" thickBot="1">
      <c r="A16" s="2079"/>
      <c r="B16" s="2070" t="s">
        <v>224</v>
      </c>
      <c r="C16" s="2071"/>
      <c r="D16" s="404"/>
      <c r="E16" s="2084"/>
      <c r="F16" s="2084"/>
      <c r="G16" s="2067"/>
      <c r="H16" s="1516"/>
      <c r="I16" s="1519">
        <v>0</v>
      </c>
      <c r="J16" s="1495"/>
      <c r="K16" s="1519">
        <v>0</v>
      </c>
      <c r="L16" s="1500"/>
      <c r="M16" s="1500"/>
      <c r="N16" s="1500"/>
      <c r="O16" s="1500"/>
      <c r="P16" s="1500"/>
      <c r="Q16" s="1500"/>
      <c r="R16" s="1500"/>
    </row>
    <row r="17" spans="1:18" ht="18" customHeight="1">
      <c r="A17" s="2056" t="s">
        <v>24</v>
      </c>
      <c r="B17" s="2073" t="s">
        <v>225</v>
      </c>
      <c r="C17" s="2074"/>
      <c r="D17" s="405"/>
      <c r="E17" s="1836">
        <v>0.18253447148783758</v>
      </c>
      <c r="F17" s="1836">
        <v>4.0785342111221579E-3</v>
      </c>
      <c r="G17" s="1837">
        <v>0.18661300569895975</v>
      </c>
      <c r="H17" s="1516"/>
      <c r="I17" s="1517">
        <v>1.1210882743694919</v>
      </c>
      <c r="J17" s="1495"/>
      <c r="K17" s="1520">
        <v>8.854872835471804E-2</v>
      </c>
      <c r="L17" s="1500"/>
      <c r="M17" s="1500"/>
      <c r="N17" s="1500"/>
      <c r="O17" s="1500"/>
      <c r="P17" s="1500"/>
      <c r="Q17" s="1500"/>
      <c r="R17" s="1500"/>
    </row>
    <row r="18" spans="1:18" ht="18" customHeight="1">
      <c r="A18" s="2057"/>
      <c r="B18" s="2075" t="s">
        <v>119</v>
      </c>
      <c r="C18" s="2076"/>
      <c r="D18" s="1521"/>
      <c r="E18" s="1836">
        <v>2.6008005271994265E-2</v>
      </c>
      <c r="F18" s="1836">
        <v>0</v>
      </c>
      <c r="G18" s="1838">
        <v>2.6008005271994265E-2</v>
      </c>
      <c r="H18" s="1516"/>
      <c r="I18" s="1518">
        <v>3.9380161267469282</v>
      </c>
      <c r="J18" s="1495"/>
      <c r="K18" s="1518">
        <v>0</v>
      </c>
      <c r="L18" s="1500"/>
      <c r="M18" s="1500"/>
      <c r="N18" s="1500"/>
      <c r="O18" s="1500"/>
      <c r="P18" s="1500"/>
      <c r="Q18" s="1500"/>
      <c r="R18" s="1500"/>
    </row>
    <row r="19" spans="1:18" ht="18" customHeight="1" thickBot="1">
      <c r="A19" s="2072"/>
      <c r="B19" s="2061" t="s">
        <v>615</v>
      </c>
      <c r="C19" s="2062"/>
      <c r="D19" s="405"/>
      <c r="E19" s="1839">
        <v>0.18499709951634508</v>
      </c>
      <c r="F19" s="1840">
        <v>2.7330157054193531</v>
      </c>
      <c r="G19" s="1841">
        <v>2.9180128049356981</v>
      </c>
      <c r="H19" s="1516"/>
      <c r="I19" s="1519">
        <v>0.22149422987536554</v>
      </c>
      <c r="J19" s="1495"/>
      <c r="K19" s="1524">
        <v>0</v>
      </c>
      <c r="L19" s="1500"/>
      <c r="M19" s="1500"/>
      <c r="N19" s="1500"/>
      <c r="O19" s="1500"/>
      <c r="P19" s="1500"/>
      <c r="Q19" s="1500"/>
      <c r="R19" s="1500"/>
    </row>
    <row r="20" spans="1:18" ht="18" customHeight="1">
      <c r="A20" s="2055" t="s">
        <v>245</v>
      </c>
      <c r="B20" s="2059" t="s">
        <v>225</v>
      </c>
      <c r="C20" s="2060"/>
      <c r="D20" s="405"/>
      <c r="E20" s="1836">
        <v>3.5598381318475154E-2</v>
      </c>
      <c r="F20" s="1836">
        <v>0.4273664343469406</v>
      </c>
      <c r="G20" s="1842">
        <v>0.46296481566541575</v>
      </c>
      <c r="H20" s="1516"/>
      <c r="I20" s="1517">
        <v>8.2798481827214804E-2</v>
      </c>
      <c r="J20" s="1495"/>
      <c r="K20" s="1517">
        <v>6.0027940736899791E-3</v>
      </c>
      <c r="L20" s="1500"/>
      <c r="M20" s="1500"/>
      <c r="N20" s="1500"/>
      <c r="O20" s="1500"/>
      <c r="P20" s="1500"/>
      <c r="Q20" s="1500"/>
      <c r="R20" s="1500"/>
    </row>
    <row r="21" spans="1:18" ht="18" customHeight="1">
      <c r="A21" s="2056"/>
      <c r="B21" s="1307" t="s">
        <v>616</v>
      </c>
      <c r="C21" s="403"/>
      <c r="D21" s="404"/>
      <c r="E21" s="1836">
        <v>0</v>
      </c>
      <c r="F21" s="1836">
        <v>0.11518966204679404</v>
      </c>
      <c r="G21" s="1837">
        <v>0.11518966204679404</v>
      </c>
      <c r="H21" s="1516"/>
      <c r="I21" s="1520">
        <v>0.87942964104800436</v>
      </c>
      <c r="J21" s="1495"/>
      <c r="K21" s="1520">
        <v>0</v>
      </c>
      <c r="L21" s="1500"/>
      <c r="M21" s="1500"/>
      <c r="N21" s="1500"/>
      <c r="O21" s="1500"/>
      <c r="P21" s="1500"/>
      <c r="Q21" s="1500"/>
      <c r="R21" s="1500"/>
    </row>
    <row r="22" spans="1:18" ht="18" customHeight="1">
      <c r="A22" s="2057"/>
      <c r="B22" s="1307" t="s">
        <v>617</v>
      </c>
      <c r="C22" s="403"/>
      <c r="D22" s="404"/>
      <c r="E22" s="1836">
        <v>0</v>
      </c>
      <c r="F22" s="1836">
        <v>2.879741551169851E-2</v>
      </c>
      <c r="G22" s="1838">
        <v>2.879741551169851E-2</v>
      </c>
      <c r="H22" s="1516"/>
      <c r="I22" s="1518">
        <v>0.38070624314143275</v>
      </c>
      <c r="J22" s="1495"/>
      <c r="K22" s="1518">
        <v>0</v>
      </c>
      <c r="L22" s="1500"/>
      <c r="M22" s="1500"/>
      <c r="N22" s="1500"/>
      <c r="O22" s="1500"/>
      <c r="P22" s="1500"/>
      <c r="Q22" s="1500"/>
      <c r="R22" s="1500"/>
    </row>
    <row r="23" spans="1:18" ht="18" customHeight="1" thickBot="1">
      <c r="A23" s="2058"/>
      <c r="B23" s="2061" t="s">
        <v>615</v>
      </c>
      <c r="C23" s="2062"/>
      <c r="D23" s="404"/>
      <c r="E23" s="1839">
        <v>0.26013731831620185</v>
      </c>
      <c r="F23" s="1840">
        <v>0.92631325336741699</v>
      </c>
      <c r="G23" s="1843">
        <v>1.1864505716836189</v>
      </c>
      <c r="H23" s="1516"/>
      <c r="I23" s="1519">
        <v>0.40941682883353286</v>
      </c>
      <c r="J23" s="1495"/>
      <c r="K23" s="1519">
        <v>0</v>
      </c>
      <c r="L23" s="1500"/>
      <c r="M23" s="1500"/>
      <c r="N23" s="1500"/>
      <c r="O23" s="1500"/>
      <c r="P23" s="1500"/>
      <c r="Q23" s="1500"/>
      <c r="R23" s="1500"/>
    </row>
    <row r="24" spans="1:18" ht="18" customHeight="1">
      <c r="A24" s="2063" t="s">
        <v>243</v>
      </c>
      <c r="B24" s="2059" t="s">
        <v>225</v>
      </c>
      <c r="C24" s="2060"/>
      <c r="D24" s="405"/>
      <c r="E24" s="1836">
        <v>1.7349187499894145E-2</v>
      </c>
      <c r="F24" s="1836">
        <v>0</v>
      </c>
      <c r="G24" s="1837">
        <v>1.7349187499894145E-2</v>
      </c>
      <c r="H24" s="1516"/>
      <c r="I24" s="1520">
        <v>5.1629459647361806E-2</v>
      </c>
      <c r="J24" s="1495"/>
      <c r="K24" s="1520">
        <v>0</v>
      </c>
      <c r="L24" s="1500"/>
      <c r="M24" s="1525"/>
      <c r="N24" s="1525"/>
      <c r="O24" s="1526">
        <v>0</v>
      </c>
      <c r="P24" s="1500"/>
      <c r="Q24" s="1517"/>
      <c r="R24" s="1500"/>
    </row>
    <row r="25" spans="1:18" ht="18" customHeight="1">
      <c r="A25" s="2064"/>
      <c r="B25" s="1307" t="s">
        <v>616</v>
      </c>
      <c r="C25" s="1308"/>
      <c r="D25" s="404"/>
      <c r="E25" s="1836">
        <v>0</v>
      </c>
      <c r="F25" s="1836">
        <v>0.15620326473788518</v>
      </c>
      <c r="G25" s="1838">
        <v>0.15620326473788518</v>
      </c>
      <c r="H25" s="1516"/>
      <c r="I25" s="1518">
        <v>0.16259708000338929</v>
      </c>
      <c r="J25" s="1495"/>
      <c r="K25" s="1518">
        <v>0</v>
      </c>
      <c r="L25" s="1500"/>
      <c r="M25" s="1522"/>
      <c r="N25" s="1522"/>
      <c r="O25" s="1523">
        <v>0</v>
      </c>
      <c r="P25" s="1500"/>
      <c r="Q25" s="1518"/>
      <c r="R25" s="1500"/>
    </row>
    <row r="26" spans="1:18" ht="18" customHeight="1">
      <c r="A26" s="2064"/>
      <c r="B26" s="1307" t="s">
        <v>617</v>
      </c>
      <c r="C26" s="1308"/>
      <c r="D26" s="404"/>
      <c r="E26" s="1836">
        <v>0</v>
      </c>
      <c r="F26" s="1836">
        <v>3.9050816184471294E-2</v>
      </c>
      <c r="G26" s="1838">
        <v>3.9050816184471294E-2</v>
      </c>
      <c r="H26" s="1516"/>
      <c r="I26" s="1518">
        <v>7.3832998422352664E-2</v>
      </c>
      <c r="J26" s="1495"/>
      <c r="K26" s="1518">
        <v>0</v>
      </c>
      <c r="L26" s="1500"/>
      <c r="M26" s="1522"/>
      <c r="N26" s="1522"/>
      <c r="O26" s="1523">
        <v>0</v>
      </c>
      <c r="P26" s="1500"/>
      <c r="Q26" s="1518"/>
      <c r="R26" s="1500"/>
    </row>
    <row r="27" spans="1:18" ht="18" customHeight="1" thickBot="1">
      <c r="A27" s="2064"/>
      <c r="B27" s="2061" t="s">
        <v>615</v>
      </c>
      <c r="C27" s="2062"/>
      <c r="D27" s="404"/>
      <c r="E27" s="1836">
        <v>0</v>
      </c>
      <c r="F27" s="1836">
        <v>1.3575953174206136E-2</v>
      </c>
      <c r="G27" s="1841">
        <v>1.3575953174206136E-2</v>
      </c>
      <c r="H27" s="1516"/>
      <c r="I27" s="1524">
        <v>0.21729886709245469</v>
      </c>
      <c r="J27" s="1495"/>
      <c r="K27" s="1524">
        <v>0</v>
      </c>
      <c r="L27" s="1500"/>
      <c r="M27" s="1527"/>
      <c r="N27" s="1527"/>
      <c r="O27" s="1528">
        <v>0</v>
      </c>
      <c r="P27" s="1500"/>
      <c r="Q27" s="1519"/>
      <c r="R27" s="1500"/>
    </row>
    <row r="28" spans="1:18" ht="18" customHeight="1" thickBot="1">
      <c r="A28" s="2027" t="s">
        <v>618</v>
      </c>
      <c r="B28" s="2028"/>
      <c r="C28" s="2029"/>
      <c r="D28" s="404"/>
      <c r="E28" s="1836">
        <v>0</v>
      </c>
      <c r="F28" s="1836">
        <v>0</v>
      </c>
      <c r="G28" s="1844">
        <v>0</v>
      </c>
      <c r="H28" s="1516"/>
      <c r="I28" s="1531">
        <v>0</v>
      </c>
      <c r="J28" s="1495"/>
      <c r="K28" s="1531">
        <v>0</v>
      </c>
      <c r="L28" s="1500"/>
      <c r="M28" s="1529"/>
      <c r="N28" s="1529"/>
      <c r="O28" s="1530">
        <v>0</v>
      </c>
      <c r="P28" s="1500"/>
      <c r="Q28" s="1531"/>
      <c r="R28" s="1500"/>
    </row>
    <row r="29" spans="1:18" ht="18" customHeight="1" thickBot="1">
      <c r="A29" s="2027" t="s">
        <v>734</v>
      </c>
      <c r="B29" s="2028"/>
      <c r="C29" s="2029"/>
      <c r="D29" s="406"/>
      <c r="E29" s="1532"/>
      <c r="F29" s="1533"/>
      <c r="G29" s="1534"/>
      <c r="H29" s="1535"/>
      <c r="I29" s="1536">
        <v>1.2323194978474308</v>
      </c>
      <c r="J29" s="1495"/>
      <c r="K29" s="1536">
        <v>0</v>
      </c>
      <c r="L29" s="1537"/>
      <c r="M29" s="1538"/>
      <c r="N29" s="1539"/>
      <c r="O29" s="1534"/>
      <c r="P29" s="1537"/>
      <c r="Q29" s="1540"/>
      <c r="R29" s="1537"/>
    </row>
    <row r="30" spans="1:18" ht="18" customHeight="1" thickBot="1">
      <c r="A30" s="2027" t="s">
        <v>25</v>
      </c>
      <c r="B30" s="2028"/>
      <c r="C30" s="2029"/>
      <c r="D30" s="406"/>
      <c r="E30" s="1532"/>
      <c r="F30" s="1541">
        <v>0</v>
      </c>
      <c r="G30" s="1818">
        <f>SUM(E30:F30)</f>
        <v>0</v>
      </c>
      <c r="H30" s="1535"/>
      <c r="I30" s="1542"/>
      <c r="J30" s="1495"/>
      <c r="K30" s="1543"/>
      <c r="L30" s="1537"/>
      <c r="M30" s="1532"/>
      <c r="N30" s="1533"/>
      <c r="O30" s="1534"/>
      <c r="P30" s="1537"/>
      <c r="Q30" s="1544"/>
      <c r="R30" s="1537"/>
    </row>
    <row r="31" spans="1:18" ht="18" customHeight="1" thickBot="1">
      <c r="A31" s="2027" t="s">
        <v>26</v>
      </c>
      <c r="B31" s="2028"/>
      <c r="C31" s="2029"/>
      <c r="D31" s="406"/>
      <c r="E31" s="1532"/>
      <c r="F31" s="1541"/>
      <c r="G31" s="1530">
        <f>SUM(E31:F31)</f>
        <v>0</v>
      </c>
      <c r="H31" s="1535"/>
      <c r="I31" s="1542"/>
      <c r="J31" s="1495"/>
      <c r="K31" s="1543"/>
      <c r="L31" s="1537"/>
      <c r="M31" s="1532"/>
      <c r="N31" s="1533"/>
      <c r="O31" s="1534"/>
      <c r="P31" s="1537"/>
      <c r="Q31" s="1544"/>
      <c r="R31" s="1537"/>
    </row>
    <row r="32" spans="1:18" ht="18" customHeight="1" thickBot="1">
      <c r="A32" s="2027" t="s">
        <v>27</v>
      </c>
      <c r="B32" s="2028"/>
      <c r="C32" s="2029"/>
      <c r="D32" s="406"/>
      <c r="E32" s="1532"/>
      <c r="F32" s="1533"/>
      <c r="G32" s="1534"/>
      <c r="H32" s="1535"/>
      <c r="I32" s="1536">
        <v>-1.4375941713976075</v>
      </c>
      <c r="J32" s="1495"/>
      <c r="K32" s="1543"/>
      <c r="L32" s="1537"/>
      <c r="M32" s="1532"/>
      <c r="N32" s="1533"/>
      <c r="O32" s="1534"/>
      <c r="P32" s="1537"/>
      <c r="Q32" s="1544"/>
      <c r="R32" s="1537"/>
    </row>
    <row r="33" spans="1:18" ht="18" customHeight="1" thickBot="1">
      <c r="A33" s="2027" t="s">
        <v>28</v>
      </c>
      <c r="B33" s="2028"/>
      <c r="C33" s="2029"/>
      <c r="D33" s="406"/>
      <c r="E33" s="1532"/>
      <c r="F33" s="1545"/>
      <c r="G33" s="1530">
        <f>SUM(E33:F33)</f>
        <v>0</v>
      </c>
      <c r="H33" s="1535"/>
      <c r="I33" s="1543"/>
      <c r="J33" s="1495"/>
      <c r="K33" s="1543"/>
      <c r="L33" s="1537"/>
      <c r="M33" s="1532"/>
      <c r="N33" s="1533"/>
      <c r="O33" s="1534"/>
      <c r="P33" s="1537"/>
      <c r="Q33" s="1544"/>
      <c r="R33" s="1537"/>
    </row>
    <row r="34" spans="1:18" ht="18" customHeight="1" thickBot="1">
      <c r="A34" s="2030" t="s">
        <v>246</v>
      </c>
      <c r="B34" s="2031"/>
      <c r="C34" s="2032"/>
      <c r="D34" s="1546"/>
      <c r="E34" s="1547">
        <f>SUM(E11:E33)</f>
        <v>1.5902712230015577</v>
      </c>
      <c r="F34" s="1547">
        <f>SUM(F11:F33)</f>
        <v>4.5164760858935846</v>
      </c>
      <c r="G34" s="1547">
        <f>SUM(G11:G33)</f>
        <v>6.1067473088951436</v>
      </c>
      <c r="H34" s="1548"/>
      <c r="I34" s="1547">
        <v>17.210925689205979</v>
      </c>
      <c r="J34" s="1546"/>
      <c r="K34" s="1547">
        <v>0.17917099999999997</v>
      </c>
      <c r="L34" s="1549"/>
      <c r="M34" s="1547">
        <v>0</v>
      </c>
      <c r="N34" s="1547">
        <v>0</v>
      </c>
      <c r="O34" s="1547">
        <v>0</v>
      </c>
      <c r="P34" s="1549"/>
      <c r="Q34" s="1547">
        <v>0</v>
      </c>
      <c r="R34" s="1549"/>
    </row>
    <row r="35" spans="1:18" ht="15" thickBot="1">
      <c r="A35" s="1500"/>
      <c r="B35" s="1500"/>
      <c r="C35" s="1500"/>
      <c r="D35" s="1550"/>
      <c r="E35" s="1500"/>
      <c r="F35" s="1500"/>
      <c r="G35" s="1551"/>
      <c r="H35" s="1500"/>
      <c r="I35" s="1551"/>
      <c r="J35" s="1499"/>
      <c r="K35" s="1551"/>
      <c r="L35" s="1500"/>
      <c r="M35" s="1500"/>
      <c r="N35" s="1500"/>
      <c r="O35" s="1500"/>
      <c r="P35" s="1500"/>
      <c r="Q35" s="1500"/>
      <c r="R35" s="1500"/>
    </row>
    <row r="36" spans="1:18" ht="30.75" thickBot="1">
      <c r="A36" s="1552"/>
      <c r="B36" s="1552"/>
      <c r="C36" s="1553"/>
      <c r="D36" s="453"/>
      <c r="E36" s="1554" t="s">
        <v>747</v>
      </c>
      <c r="F36" s="1555"/>
      <c r="G36" s="1555"/>
      <c r="H36" s="1555"/>
      <c r="I36" s="1572" t="s">
        <v>4</v>
      </c>
      <c r="J36" s="1546"/>
      <c r="K36" s="1557" t="s">
        <v>5</v>
      </c>
      <c r="L36" s="1558"/>
      <c r="M36" s="1549"/>
      <c r="N36" s="1549"/>
      <c r="O36" s="1549"/>
      <c r="P36" s="1549"/>
      <c r="Q36" s="1549"/>
      <c r="R36" s="1549"/>
    </row>
    <row r="37" spans="1:18" ht="17.25" customHeight="1" thickBot="1">
      <c r="A37" s="1549"/>
      <c r="B37" s="1558"/>
      <c r="C37" s="1558"/>
      <c r="D37" s="1558"/>
      <c r="E37" s="2043"/>
      <c r="F37" s="2044"/>
      <c r="G37" s="2044"/>
      <c r="H37" s="2045"/>
      <c r="I37" s="1559" t="s">
        <v>157</v>
      </c>
      <c r="J37" s="1546"/>
      <c r="K37" s="1556" t="s">
        <v>157</v>
      </c>
      <c r="L37" s="1549"/>
      <c r="M37" s="1549"/>
      <c r="N37" s="1549"/>
      <c r="O37" s="1549"/>
      <c r="P37" s="1549"/>
      <c r="Q37" s="1549"/>
      <c r="R37" s="1549"/>
    </row>
    <row r="38" spans="1:18" ht="17.25" customHeight="1">
      <c r="A38" s="1500"/>
      <c r="B38" s="1550"/>
      <c r="C38" s="1550"/>
      <c r="D38" s="1550"/>
      <c r="E38" s="2046" t="s">
        <v>748</v>
      </c>
      <c r="F38" s="2047"/>
      <c r="G38" s="2047"/>
      <c r="H38" s="2048"/>
      <c r="I38" s="1560">
        <v>5.9375638778617912</v>
      </c>
      <c r="J38" s="1495"/>
      <c r="K38" s="1520">
        <v>5.3751300000000002E-2</v>
      </c>
      <c r="L38" s="1500"/>
      <c r="M38" s="1500"/>
      <c r="N38" s="1500"/>
      <c r="O38" s="1500"/>
      <c r="P38" s="1500"/>
      <c r="Q38" s="1500"/>
      <c r="R38" s="1500"/>
    </row>
    <row r="39" spans="1:18" ht="17.25" customHeight="1" thickBot="1">
      <c r="A39" s="1500"/>
      <c r="B39" s="1550"/>
      <c r="C39" s="1550"/>
      <c r="D39" s="1550"/>
      <c r="E39" s="2049" t="s">
        <v>749</v>
      </c>
      <c r="F39" s="2050"/>
      <c r="G39" s="2050"/>
      <c r="H39" s="2051"/>
      <c r="I39" s="1561">
        <v>11.27335388249776</v>
      </c>
      <c r="J39" s="1495"/>
      <c r="K39" s="1524">
        <v>0.1254197</v>
      </c>
      <c r="L39" s="1500"/>
      <c r="M39" s="1500"/>
      <c r="N39" s="1500"/>
      <c r="O39" s="1500"/>
      <c r="P39" s="1500"/>
      <c r="Q39" s="1500"/>
      <c r="R39" s="1500"/>
    </row>
    <row r="40" spans="1:18" ht="17.25" customHeight="1" thickBot="1">
      <c r="A40" s="1500"/>
      <c r="B40" s="1546"/>
      <c r="C40" s="1546"/>
      <c r="D40" s="1546"/>
      <c r="E40" s="2052" t="s">
        <v>750</v>
      </c>
      <c r="F40" s="2053"/>
      <c r="G40" s="2053"/>
      <c r="H40" s="2054"/>
      <c r="I40" s="1530">
        <v>17.21091776035955</v>
      </c>
      <c r="J40" s="1495"/>
      <c r="K40" s="1530">
        <v>0.179171</v>
      </c>
      <c r="L40" s="1500"/>
      <c r="M40" s="1500"/>
      <c r="N40" s="1500"/>
      <c r="O40" s="1500"/>
      <c r="P40" s="1500"/>
      <c r="Q40" s="1500"/>
      <c r="R40" s="1500"/>
    </row>
    <row r="41" spans="1:18" ht="15" thickBot="1">
      <c r="A41" s="1500"/>
      <c r="B41" s="1500"/>
      <c r="C41" s="1500"/>
      <c r="D41" s="1550"/>
      <c r="E41" s="1500"/>
      <c r="F41" s="1500"/>
      <c r="G41" s="1500"/>
      <c r="H41" s="1500"/>
      <c r="I41" s="1551"/>
      <c r="J41" s="1562"/>
      <c r="K41" s="1551"/>
      <c r="L41" s="1500"/>
      <c r="M41" s="1500"/>
      <c r="N41" s="1500"/>
      <c r="O41" s="1500"/>
      <c r="P41" s="1500"/>
      <c r="Q41" s="1500"/>
      <c r="R41" s="1500"/>
    </row>
    <row r="42" spans="1:18" ht="20.25">
      <c r="A42" s="1499"/>
      <c r="B42" s="1563"/>
      <c r="C42" s="2035" t="s">
        <v>214</v>
      </c>
      <c r="D42" s="2036"/>
      <c r="E42" s="2036"/>
      <c r="F42" s="2037"/>
      <c r="G42" s="2041" t="s">
        <v>157</v>
      </c>
      <c r="H42" s="1495"/>
      <c r="I42" s="1499"/>
      <c r="J42" s="1499"/>
      <c r="K42" s="1499"/>
      <c r="L42" s="1499"/>
      <c r="M42" s="2035" t="s">
        <v>214</v>
      </c>
      <c r="N42" s="2036"/>
      <c r="O42" s="2041" t="s">
        <v>157</v>
      </c>
      <c r="P42" s="1499"/>
      <c r="Q42" s="1499"/>
      <c r="R42" s="1499"/>
    </row>
    <row r="43" spans="1:18" ht="21" thickBot="1">
      <c r="A43" s="1499"/>
      <c r="B43" s="1563"/>
      <c r="C43" s="2038"/>
      <c r="D43" s="2039"/>
      <c r="E43" s="2039"/>
      <c r="F43" s="2040"/>
      <c r="G43" s="2042"/>
      <c r="H43" s="1495"/>
      <c r="I43" s="1499"/>
      <c r="J43" s="1499"/>
      <c r="K43" s="1499"/>
      <c r="L43" s="1499"/>
      <c r="M43" s="2038"/>
      <c r="N43" s="2039"/>
      <c r="O43" s="2042"/>
      <c r="P43" s="1499"/>
      <c r="Q43" s="1499"/>
      <c r="R43" s="1499"/>
    </row>
    <row r="44" spans="1:18" ht="18" customHeight="1" thickBot="1">
      <c r="A44" s="1499"/>
      <c r="B44" s="1564"/>
      <c r="C44" s="2021" t="s">
        <v>240</v>
      </c>
      <c r="D44" s="2022"/>
      <c r="E44" s="2022"/>
      <c r="F44" s="2023"/>
      <c r="G44" s="1560">
        <v>0.65887043882025875</v>
      </c>
      <c r="H44" s="1495"/>
      <c r="I44" s="1499"/>
      <c r="J44" s="1499"/>
      <c r="K44" s="1499"/>
      <c r="L44" s="1499"/>
      <c r="M44" s="2033" t="s">
        <v>243</v>
      </c>
      <c r="N44" s="2034"/>
      <c r="O44" s="1529"/>
      <c r="P44" s="1499"/>
      <c r="Q44" s="1499"/>
      <c r="R44" s="1499"/>
    </row>
    <row r="45" spans="1:18" ht="18" customHeight="1" thickBot="1">
      <c r="A45" s="1499"/>
      <c r="B45" s="1564"/>
      <c r="C45" s="2021" t="s">
        <v>239</v>
      </c>
      <c r="D45" s="2022"/>
      <c r="E45" s="2022"/>
      <c r="F45" s="2023"/>
      <c r="G45" s="1565">
        <v>0.63796925816372496</v>
      </c>
      <c r="H45" s="1495"/>
      <c r="I45" s="1499"/>
      <c r="J45" s="1499"/>
      <c r="K45" s="1499"/>
      <c r="L45" s="1499"/>
      <c r="M45" s="1499"/>
      <c r="N45" s="1499"/>
      <c r="O45" s="1499"/>
      <c r="P45" s="1499"/>
      <c r="Q45" s="1499"/>
      <c r="R45" s="1499"/>
    </row>
    <row r="46" spans="1:18" ht="18" customHeight="1" thickBot="1">
      <c r="A46" s="1499"/>
      <c r="B46" s="1564"/>
      <c r="C46" s="2021" t="s">
        <v>245</v>
      </c>
      <c r="D46" s="2022"/>
      <c r="E46" s="2022"/>
      <c r="F46" s="2023"/>
      <c r="G46" s="1565">
        <v>0.19667798902214875</v>
      </c>
      <c r="H46" s="1495"/>
      <c r="I46" s="1499"/>
      <c r="J46" s="1499"/>
      <c r="K46" s="1499"/>
      <c r="L46" s="1499"/>
      <c r="M46" s="1499"/>
      <c r="N46" s="1499"/>
      <c r="O46" s="1499"/>
      <c r="P46" s="1499"/>
      <c r="Q46" s="1499"/>
      <c r="R46" s="1499"/>
    </row>
    <row r="47" spans="1:18" ht="18" customHeight="1" thickBot="1">
      <c r="A47" s="1499"/>
      <c r="B47" s="1564"/>
      <c r="C47" s="2021" t="s">
        <v>243</v>
      </c>
      <c r="D47" s="2022"/>
      <c r="E47" s="2022"/>
      <c r="F47" s="2023"/>
      <c r="G47" s="1561">
        <v>0.23546657743475496</v>
      </c>
      <c r="H47" s="1495"/>
      <c r="I47" s="1499"/>
      <c r="J47" s="1499"/>
      <c r="K47" s="1499"/>
      <c r="L47" s="1499"/>
      <c r="M47" s="1499"/>
      <c r="N47" s="1499"/>
      <c r="O47" s="1499"/>
      <c r="P47" s="1499"/>
      <c r="Q47" s="1499"/>
      <c r="R47" s="1499"/>
    </row>
    <row r="48" spans="1:18" ht="18" customHeight="1" thickBot="1">
      <c r="A48" s="1499"/>
      <c r="B48" s="1566"/>
      <c r="C48" s="2024" t="s">
        <v>39</v>
      </c>
      <c r="D48" s="2025"/>
      <c r="E48" s="2025"/>
      <c r="F48" s="2026"/>
      <c r="G48" s="1567">
        <v>1.7289842634408874</v>
      </c>
      <c r="H48" s="1495"/>
      <c r="I48" s="1499"/>
      <c r="J48" s="1499"/>
      <c r="K48" s="1499"/>
      <c r="L48" s="1499"/>
      <c r="M48" s="1499"/>
      <c r="N48" s="1499"/>
      <c r="O48" s="1499"/>
      <c r="P48" s="1499"/>
      <c r="Q48" s="1499"/>
      <c r="R48" s="1499"/>
    </row>
    <row r="49" spans="1:18" ht="15">
      <c r="A49" s="447"/>
      <c r="B49" s="447"/>
      <c r="C49" s="447"/>
      <c r="D49" s="447"/>
      <c r="E49" s="447"/>
      <c r="F49" s="447"/>
      <c r="G49" s="1551"/>
      <c r="H49" s="1568"/>
      <c r="I49" s="1569"/>
      <c r="J49" s="1569"/>
      <c r="K49" s="1569"/>
      <c r="L49" s="1570"/>
      <c r="M49" s="1500"/>
      <c r="N49" s="1500"/>
      <c r="O49" s="1500"/>
      <c r="P49" s="1500"/>
      <c r="Q49" s="1500"/>
      <c r="R49" s="1500"/>
    </row>
    <row r="50" spans="1:18" ht="13.5" thickBot="1"/>
    <row r="51" spans="1:18" ht="14.25">
      <c r="E51" s="2021"/>
      <c r="F51" s="2022"/>
      <c r="G51" s="2022"/>
      <c r="H51" s="2023"/>
    </row>
  </sheetData>
  <mergeCells count="52">
    <mergeCell ref="G11:G12"/>
    <mergeCell ref="F11:F12"/>
    <mergeCell ref="M7:Q7"/>
    <mergeCell ref="E7:G7"/>
    <mergeCell ref="I7:K7"/>
    <mergeCell ref="E8:G8"/>
    <mergeCell ref="M8:O8"/>
    <mergeCell ref="A9:C10"/>
    <mergeCell ref="A11:A12"/>
    <mergeCell ref="B11:C11"/>
    <mergeCell ref="E11:E12"/>
    <mergeCell ref="B12:C12"/>
    <mergeCell ref="G14:G16"/>
    <mergeCell ref="B15:C15"/>
    <mergeCell ref="B16:C16"/>
    <mergeCell ref="A17:A19"/>
    <mergeCell ref="B17:C17"/>
    <mergeCell ref="B18:C18"/>
    <mergeCell ref="B19:C19"/>
    <mergeCell ref="A13:A16"/>
    <mergeCell ref="B13:C13"/>
    <mergeCell ref="B14:C14"/>
    <mergeCell ref="E14:E16"/>
    <mergeCell ref="F14:F16"/>
    <mergeCell ref="A20:A23"/>
    <mergeCell ref="B20:C20"/>
    <mergeCell ref="B23:C23"/>
    <mergeCell ref="A24:A27"/>
    <mergeCell ref="B24:C24"/>
    <mergeCell ref="B27:C27"/>
    <mergeCell ref="O42:O43"/>
    <mergeCell ref="G42:G43"/>
    <mergeCell ref="E37:H37"/>
    <mergeCell ref="E38:H38"/>
    <mergeCell ref="E39:H39"/>
    <mergeCell ref="E40:H40"/>
    <mergeCell ref="M42:N43"/>
    <mergeCell ref="M44:N44"/>
    <mergeCell ref="C42:F43"/>
    <mergeCell ref="C44:F44"/>
    <mergeCell ref="C45:F45"/>
    <mergeCell ref="C46:F46"/>
    <mergeCell ref="C47:F47"/>
    <mergeCell ref="C48:F48"/>
    <mergeCell ref="E51:H51"/>
    <mergeCell ref="A28:C28"/>
    <mergeCell ref="A34:C34"/>
    <mergeCell ref="A32:C32"/>
    <mergeCell ref="A33:C33"/>
    <mergeCell ref="A29:C29"/>
    <mergeCell ref="A30:C30"/>
    <mergeCell ref="A31:C31"/>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1DFFF"/>
  </sheetPr>
  <dimension ref="A1:N89"/>
  <sheetViews>
    <sheetView zoomScale="70" zoomScaleNormal="70" workbookViewId="0"/>
  </sheetViews>
  <sheetFormatPr defaultColWidth="8.85546875" defaultRowHeight="12.75"/>
  <cols>
    <col min="1" max="2" width="8.85546875" customWidth="1"/>
    <col min="3" max="3" width="74.85546875" bestFit="1" customWidth="1"/>
    <col min="4" max="4" width="42" customWidth="1"/>
  </cols>
  <sheetData>
    <row r="1" spans="1:14" s="1223" customFormat="1">
      <c r="A1" s="1485" t="s">
        <v>16</v>
      </c>
      <c r="E1" s="1486" t="s">
        <v>216</v>
      </c>
    </row>
    <row r="2" spans="1:14">
      <c r="A2" s="485"/>
    </row>
    <row r="3" spans="1:14">
      <c r="A3" s="485" t="s">
        <v>29</v>
      </c>
    </row>
    <row r="5" spans="1:14" ht="20.25">
      <c r="A5" s="397" t="s">
        <v>194</v>
      </c>
      <c r="B5" s="398"/>
      <c r="C5" s="398"/>
      <c r="D5" s="399"/>
      <c r="E5" s="398"/>
      <c r="F5" s="398"/>
      <c r="G5" s="398"/>
      <c r="H5" s="398"/>
      <c r="I5" s="398"/>
      <c r="J5" s="398"/>
      <c r="K5" s="398"/>
      <c r="L5" s="398"/>
      <c r="M5" s="409"/>
      <c r="N5" s="409"/>
    </row>
    <row r="6" spans="1:14" ht="21" thickBot="1">
      <c r="A6" s="397"/>
      <c r="B6" s="398"/>
      <c r="C6" s="398"/>
      <c r="D6" s="399"/>
      <c r="E6" s="398"/>
      <c r="F6" s="398"/>
      <c r="G6" s="398"/>
      <c r="H6" s="398"/>
      <c r="I6" s="398"/>
      <c r="J6" s="398"/>
      <c r="K6" s="398"/>
      <c r="L6" s="398"/>
      <c r="M6" s="409"/>
      <c r="N6" s="409"/>
    </row>
    <row r="7" spans="1:14" ht="18.75" thickBot="1">
      <c r="A7" s="400"/>
      <c r="B7" s="400"/>
      <c r="C7" s="2129" t="s">
        <v>753</v>
      </c>
      <c r="D7" s="2130"/>
      <c r="E7" s="410"/>
      <c r="F7" s="410"/>
      <c r="G7" s="410"/>
      <c r="H7" s="410"/>
      <c r="I7" s="410"/>
      <c r="J7" s="410"/>
      <c r="K7" s="410"/>
      <c r="L7" s="411"/>
      <c r="M7" s="400"/>
      <c r="N7" s="400"/>
    </row>
    <row r="8" spans="1:14" ht="99.75" thickBot="1">
      <c r="A8" s="400"/>
      <c r="B8" s="400"/>
      <c r="C8" s="2085" t="s">
        <v>83</v>
      </c>
      <c r="D8" s="2087"/>
      <c r="E8" s="412" t="s">
        <v>84</v>
      </c>
      <c r="F8" s="1575" t="s">
        <v>85</v>
      </c>
      <c r="G8" s="1575" t="s">
        <v>86</v>
      </c>
      <c r="H8" s="412" t="s">
        <v>159</v>
      </c>
      <c r="I8" s="1575" t="s">
        <v>160</v>
      </c>
      <c r="J8" s="1576" t="s">
        <v>15</v>
      </c>
      <c r="K8" s="1577" t="s">
        <v>786</v>
      </c>
      <c r="L8" s="413" t="s">
        <v>246</v>
      </c>
      <c r="M8" s="400"/>
      <c r="N8" s="400"/>
    </row>
    <row r="9" spans="1:14" ht="15.75" thickBot="1">
      <c r="A9" s="400"/>
      <c r="B9" s="400"/>
      <c r="C9" s="2088"/>
      <c r="D9" s="2090"/>
      <c r="E9" s="414" t="s">
        <v>157</v>
      </c>
      <c r="F9" s="415" t="s">
        <v>157</v>
      </c>
      <c r="G9" s="415" t="s">
        <v>157</v>
      </c>
      <c r="H9" s="414" t="s">
        <v>157</v>
      </c>
      <c r="I9" s="415" t="s">
        <v>157</v>
      </c>
      <c r="J9" s="415" t="s">
        <v>157</v>
      </c>
      <c r="K9" s="416" t="s">
        <v>157</v>
      </c>
      <c r="L9" s="417" t="s">
        <v>157</v>
      </c>
      <c r="M9" s="400"/>
      <c r="N9" s="400"/>
    </row>
    <row r="10" spans="1:14" ht="15">
      <c r="A10" s="400"/>
      <c r="B10" s="400"/>
      <c r="C10" s="2139" t="s">
        <v>670</v>
      </c>
      <c r="D10" s="2140"/>
      <c r="E10" s="418"/>
      <c r="F10" s="419"/>
      <c r="G10" s="419"/>
      <c r="H10" s="418"/>
      <c r="I10" s="419"/>
      <c r="J10" s="420"/>
      <c r="K10" s="420"/>
      <c r="L10" s="421">
        <f t="shared" ref="L10" si="0">SUM(E10:K10)</f>
        <v>0</v>
      </c>
      <c r="M10" s="400"/>
      <c r="N10" s="400"/>
    </row>
    <row r="11" spans="1:14" ht="14.25">
      <c r="A11" s="400"/>
      <c r="B11" s="400"/>
      <c r="C11" s="2152" t="s">
        <v>671</v>
      </c>
      <c r="D11" s="2153"/>
      <c r="E11" s="1845">
        <v>19.553231472380414</v>
      </c>
      <c r="F11" s="1845">
        <v>11.419735837268016</v>
      </c>
      <c r="G11" s="1845">
        <v>1.0181504028354396</v>
      </c>
      <c r="H11" s="1845">
        <v>0</v>
      </c>
      <c r="I11" s="422"/>
      <c r="J11" s="423"/>
      <c r="K11" s="424"/>
      <c r="L11" s="425">
        <v>31.99111771248387</v>
      </c>
      <c r="M11" s="400"/>
      <c r="N11" s="400"/>
    </row>
    <row r="12" spans="1:14" ht="14.25">
      <c r="A12" s="400"/>
      <c r="B12" s="400"/>
      <c r="C12" s="2152" t="s">
        <v>672</v>
      </c>
      <c r="D12" s="2153"/>
      <c r="E12" s="1845">
        <v>4.8858017841760244</v>
      </c>
      <c r="F12" s="1845">
        <v>1.7785972336794111</v>
      </c>
      <c r="G12" s="1845">
        <v>7.9391938508412245</v>
      </c>
      <c r="H12" s="1845">
        <v>0</v>
      </c>
      <c r="I12" s="422"/>
      <c r="J12" s="423"/>
      <c r="K12" s="424"/>
      <c r="L12" s="425">
        <v>14.60359286869666</v>
      </c>
      <c r="M12" s="400"/>
      <c r="N12" s="400"/>
    </row>
    <row r="13" spans="1:14" ht="14.25">
      <c r="A13" s="400"/>
      <c r="B13" s="400"/>
      <c r="C13" s="2152" t="s">
        <v>845</v>
      </c>
      <c r="D13" s="2153"/>
      <c r="E13" s="1845">
        <v>0</v>
      </c>
      <c r="F13" s="1845">
        <v>5.2524770587155448E-2</v>
      </c>
      <c r="G13" s="1845">
        <v>2.7454528819332271</v>
      </c>
      <c r="H13" s="1845">
        <v>0</v>
      </c>
      <c r="I13" s="422"/>
      <c r="J13" s="423"/>
      <c r="K13" s="424"/>
      <c r="L13" s="425">
        <v>2.7979776525203826</v>
      </c>
      <c r="M13" s="400"/>
      <c r="N13" s="400"/>
    </row>
    <row r="14" spans="1:14" ht="14.25">
      <c r="A14" s="400"/>
      <c r="B14" s="400"/>
      <c r="C14" s="2143" t="s">
        <v>846</v>
      </c>
      <c r="D14" s="2144"/>
      <c r="E14" s="1845">
        <v>4.4971044776271895E-6</v>
      </c>
      <c r="F14" s="1845">
        <v>0</v>
      </c>
      <c r="G14" s="1845">
        <v>5.2754013112341626E-5</v>
      </c>
      <c r="H14" s="1845">
        <v>0</v>
      </c>
      <c r="I14" s="422"/>
      <c r="J14" s="423"/>
      <c r="K14" s="424"/>
      <c r="L14" s="425">
        <v>5.7251117589968813E-5</v>
      </c>
      <c r="M14" s="400"/>
      <c r="N14" s="400"/>
    </row>
    <row r="15" spans="1:14" ht="15">
      <c r="A15" s="400"/>
      <c r="B15" s="400"/>
      <c r="C15" s="2141" t="s">
        <v>847</v>
      </c>
      <c r="D15" s="2142"/>
      <c r="E15" s="426"/>
      <c r="F15" s="427"/>
      <c r="G15" s="427"/>
      <c r="H15" s="426"/>
      <c r="I15" s="422"/>
      <c r="J15" s="423"/>
      <c r="K15" s="424"/>
      <c r="L15" s="428">
        <v>0</v>
      </c>
      <c r="M15" s="400"/>
      <c r="N15" s="400"/>
    </row>
    <row r="16" spans="1:14" ht="14.25">
      <c r="A16" s="400"/>
      <c r="B16" s="400"/>
      <c r="C16" s="2143" t="s">
        <v>848</v>
      </c>
      <c r="D16" s="2144"/>
      <c r="E16" s="429"/>
      <c r="F16" s="422"/>
      <c r="G16" s="422"/>
      <c r="H16" s="422"/>
      <c r="I16" s="1845">
        <v>0.2246509313515678</v>
      </c>
      <c r="J16" s="1845">
        <v>0</v>
      </c>
      <c r="K16" s="424"/>
      <c r="L16" s="425">
        <v>0.2246509313515678</v>
      </c>
      <c r="M16" s="400"/>
      <c r="N16" s="400"/>
    </row>
    <row r="17" spans="1:14" ht="14.25">
      <c r="A17" s="400"/>
      <c r="B17" s="400"/>
      <c r="C17" s="2143" t="s">
        <v>843</v>
      </c>
      <c r="D17" s="2144"/>
      <c r="E17" s="429"/>
      <c r="F17" s="422"/>
      <c r="G17" s="422"/>
      <c r="H17" s="422"/>
      <c r="I17" s="1845">
        <v>3.2944577357553961</v>
      </c>
      <c r="J17" s="1845">
        <v>0.37104529143275222</v>
      </c>
      <c r="K17" s="424"/>
      <c r="L17" s="425">
        <v>3.6655030271881484</v>
      </c>
      <c r="M17" s="400"/>
      <c r="N17" s="400"/>
    </row>
    <row r="18" spans="1:14" ht="14.25">
      <c r="A18" s="400"/>
      <c r="B18" s="400"/>
      <c r="C18" s="2143" t="s">
        <v>844</v>
      </c>
      <c r="D18" s="2144"/>
      <c r="E18" s="429"/>
      <c r="F18" s="422"/>
      <c r="G18" s="422"/>
      <c r="H18" s="422"/>
      <c r="I18" s="1845">
        <v>4.0676559712714866</v>
      </c>
      <c r="J18" s="1845">
        <v>5.7657703640106125E-2</v>
      </c>
      <c r="K18" s="424"/>
      <c r="L18" s="425">
        <v>4.1253136749115926</v>
      </c>
      <c r="M18" s="400"/>
      <c r="N18" s="400"/>
    </row>
    <row r="19" spans="1:14" ht="14.25">
      <c r="A19" s="400"/>
      <c r="B19" s="400"/>
      <c r="C19" s="2143" t="s">
        <v>787</v>
      </c>
      <c r="D19" s="2144"/>
      <c r="E19" s="429"/>
      <c r="F19" s="422"/>
      <c r="G19" s="422"/>
      <c r="H19" s="422"/>
      <c r="I19" s="1845">
        <v>19.310107863221326</v>
      </c>
      <c r="J19" s="1845">
        <v>0</v>
      </c>
      <c r="K19" s="424"/>
      <c r="L19" s="425">
        <v>19.310107863221326</v>
      </c>
      <c r="M19" s="400"/>
      <c r="N19" s="400"/>
    </row>
    <row r="20" spans="1:14" ht="15">
      <c r="A20" s="400"/>
      <c r="B20" s="400"/>
      <c r="C20" s="2141" t="s">
        <v>786</v>
      </c>
      <c r="D20" s="2142"/>
      <c r="E20" s="430"/>
      <c r="F20" s="431"/>
      <c r="G20" s="431"/>
      <c r="H20" s="431"/>
      <c r="I20" s="431"/>
      <c r="J20" s="424"/>
      <c r="K20" s="1845">
        <v>6.2180071494739426</v>
      </c>
      <c r="L20" s="425">
        <v>6.2180071494739426</v>
      </c>
      <c r="M20" s="400"/>
      <c r="N20" s="400"/>
    </row>
    <row r="21" spans="1:14" ht="15">
      <c r="A21" s="400"/>
      <c r="B21" s="400"/>
      <c r="C21" s="2141" t="s">
        <v>788</v>
      </c>
      <c r="D21" s="2142"/>
      <c r="E21" s="432">
        <v>24.439037753660916</v>
      </c>
      <c r="F21" s="432">
        <v>13.250857841534582</v>
      </c>
      <c r="G21" s="432">
        <v>11.702849889623003</v>
      </c>
      <c r="H21" s="432">
        <v>0</v>
      </c>
      <c r="I21" s="432">
        <v>26.896872501599777</v>
      </c>
      <c r="J21" s="432">
        <v>0.42870299507285836</v>
      </c>
      <c r="K21" s="433">
        <v>6.2180071494739426</v>
      </c>
      <c r="L21" s="434">
        <v>82.93632813096508</v>
      </c>
      <c r="M21" s="435"/>
      <c r="N21" s="400"/>
    </row>
    <row r="22" spans="1:14" ht="15" customHeight="1">
      <c r="A22" s="400"/>
      <c r="B22" s="400"/>
      <c r="C22" s="2143" t="s">
        <v>789</v>
      </c>
      <c r="D22" s="2144"/>
      <c r="E22" s="1845">
        <v>0</v>
      </c>
      <c r="F22" s="422"/>
      <c r="G22" s="1845">
        <v>0</v>
      </c>
      <c r="H22" s="1845">
        <v>0</v>
      </c>
      <c r="I22" s="1845">
        <v>0</v>
      </c>
      <c r="J22" s="1845">
        <v>0</v>
      </c>
      <c r="K22" s="1845">
        <v>0</v>
      </c>
      <c r="L22" s="425">
        <v>0</v>
      </c>
      <c r="M22" s="435"/>
      <c r="N22" s="400"/>
    </row>
    <row r="23" spans="1:14" ht="15">
      <c r="A23" s="400"/>
      <c r="B23" s="400"/>
      <c r="C23" s="2141" t="s">
        <v>837</v>
      </c>
      <c r="D23" s="2142"/>
      <c r="E23" s="432">
        <v>24.439037753660916</v>
      </c>
      <c r="F23" s="436">
        <v>13.250857841534582</v>
      </c>
      <c r="G23" s="436">
        <v>11.702849889623003</v>
      </c>
      <c r="H23" s="436">
        <v>0</v>
      </c>
      <c r="I23" s="436">
        <v>26.896872501599777</v>
      </c>
      <c r="J23" s="436">
        <v>0.42870299507285836</v>
      </c>
      <c r="K23" s="437">
        <v>6.2180071494739426</v>
      </c>
      <c r="L23" s="434">
        <v>82.93632813096508</v>
      </c>
      <c r="M23" s="438"/>
      <c r="N23" s="400"/>
    </row>
    <row r="24" spans="1:14" ht="15.75" thickBot="1">
      <c r="A24" s="400"/>
      <c r="B24" s="400"/>
      <c r="C24" s="2143" t="s">
        <v>838</v>
      </c>
      <c r="D24" s="2144"/>
      <c r="E24" s="1845">
        <v>-40.2733475889925</v>
      </c>
      <c r="F24" s="1845">
        <v>-13.189215551007493</v>
      </c>
      <c r="G24" s="1845">
        <v>-7.6111455399999999</v>
      </c>
      <c r="H24" s="439"/>
      <c r="I24" s="440"/>
      <c r="J24" s="440"/>
      <c r="K24" s="1845">
        <v>-6.8928000000000011</v>
      </c>
      <c r="L24" s="441">
        <v>-67.966508680000004</v>
      </c>
      <c r="M24" s="442"/>
      <c r="N24" s="400"/>
    </row>
    <row r="25" spans="1:14" ht="15.75" thickBot="1">
      <c r="A25" s="400"/>
      <c r="B25" s="400"/>
      <c r="C25" s="2141" t="s">
        <v>839</v>
      </c>
      <c r="D25" s="2142"/>
      <c r="E25" s="443">
        <v>-15.834309835331585</v>
      </c>
      <c r="F25" s="444">
        <v>6.1642290527089472E-2</v>
      </c>
      <c r="G25" s="444">
        <v>4.0917043496230034</v>
      </c>
      <c r="H25" s="444">
        <v>0</v>
      </c>
      <c r="I25" s="444">
        <v>26.896872501599777</v>
      </c>
      <c r="J25" s="444">
        <v>0.42870299507285836</v>
      </c>
      <c r="K25" s="445">
        <v>-0.67479285052605853</v>
      </c>
      <c r="L25" s="446">
        <v>14.969819450965087</v>
      </c>
      <c r="M25" s="438"/>
      <c r="N25" s="400"/>
    </row>
    <row r="26" spans="1:14" ht="15.75" thickBot="1">
      <c r="A26" s="400"/>
      <c r="B26" s="400"/>
      <c r="C26" s="447"/>
      <c r="D26" s="447"/>
      <c r="E26" s="448"/>
      <c r="F26" s="448"/>
      <c r="G26" s="408"/>
      <c r="H26" s="449"/>
      <c r="I26" s="400"/>
      <c r="J26" s="400"/>
      <c r="K26" s="400"/>
      <c r="L26" s="400"/>
      <c r="M26" s="400"/>
      <c r="N26" s="400"/>
    </row>
    <row r="27" spans="1:14" ht="18.75" thickBot="1">
      <c r="A27" s="400"/>
      <c r="B27" s="400"/>
      <c r="C27" s="2131" t="s">
        <v>919</v>
      </c>
      <c r="D27" s="2132"/>
      <c r="E27" s="450"/>
      <c r="F27" s="450"/>
      <c r="G27" s="451"/>
      <c r="H27" s="400"/>
      <c r="I27" s="400"/>
      <c r="J27" s="400"/>
      <c r="K27" s="400"/>
      <c r="L27" s="407"/>
      <c r="M27" s="400"/>
      <c r="N27" s="400"/>
    </row>
    <row r="28" spans="1:14" ht="18" customHeight="1" thickBot="1">
      <c r="A28" s="400"/>
      <c r="B28" s="400"/>
      <c r="C28" s="2085" t="s">
        <v>83</v>
      </c>
      <c r="D28" s="2087"/>
      <c r="E28" s="2148" t="s">
        <v>49</v>
      </c>
      <c r="F28" s="2149"/>
      <c r="G28" s="452"/>
      <c r="H28" s="400"/>
      <c r="I28" s="400"/>
      <c r="J28" s="400"/>
      <c r="K28" s="400"/>
      <c r="L28" s="407"/>
      <c r="M28" s="400"/>
      <c r="N28" s="400"/>
    </row>
    <row r="29" spans="1:14" ht="45.75" thickBot="1">
      <c r="A29" s="400"/>
      <c r="B29" s="400"/>
      <c r="C29" s="2133"/>
      <c r="D29" s="2134"/>
      <c r="E29" s="1578" t="s">
        <v>851</v>
      </c>
      <c r="F29" s="1578" t="s">
        <v>101</v>
      </c>
      <c r="G29" s="1578" t="s">
        <v>102</v>
      </c>
      <c r="H29" s="400"/>
      <c r="I29" s="400"/>
      <c r="J29" s="400"/>
      <c r="K29" s="400"/>
      <c r="L29" s="407"/>
      <c r="M29" s="400"/>
      <c r="N29" s="400"/>
    </row>
    <row r="30" spans="1:14" ht="15.75" thickBot="1">
      <c r="A30" s="400"/>
      <c r="B30" s="400"/>
      <c r="C30" s="2088"/>
      <c r="D30" s="2090"/>
      <c r="E30" s="402" t="s">
        <v>157</v>
      </c>
      <c r="F30" s="402" t="s">
        <v>157</v>
      </c>
      <c r="G30" s="402" t="s">
        <v>157</v>
      </c>
      <c r="H30" s="400"/>
      <c r="I30" s="400"/>
      <c r="J30" s="400"/>
      <c r="K30" s="400"/>
      <c r="L30" s="407"/>
      <c r="M30" s="400"/>
      <c r="N30" s="400"/>
    </row>
    <row r="31" spans="1:14" s="1223" customFormat="1" ht="18" customHeight="1">
      <c r="A31" s="1500"/>
      <c r="B31" s="1500"/>
      <c r="C31" s="2150" t="s">
        <v>103</v>
      </c>
      <c r="D31" s="455" t="s">
        <v>104</v>
      </c>
      <c r="E31" s="1846">
        <v>0.44808719704037192</v>
      </c>
      <c r="F31" s="1845">
        <v>0</v>
      </c>
      <c r="G31" s="1847">
        <v>0.44808719704037192</v>
      </c>
      <c r="H31" s="1500"/>
      <c r="I31" s="1500"/>
      <c r="J31" s="1500"/>
      <c r="K31" s="1500"/>
      <c r="L31" s="1549"/>
      <c r="M31" s="1500"/>
      <c r="N31" s="1500"/>
    </row>
    <row r="32" spans="1:14" s="1223" customFormat="1" ht="18" customHeight="1" thickBot="1">
      <c r="A32" s="1500"/>
      <c r="B32" s="1500"/>
      <c r="C32" s="2151"/>
      <c r="D32" s="1579" t="s">
        <v>105</v>
      </c>
      <c r="E32" s="1848">
        <v>2.9936154664476931</v>
      </c>
      <c r="F32" s="1848">
        <v>2.1922316234681701E-3</v>
      </c>
      <c r="G32" s="1849">
        <v>2.9958076980711614</v>
      </c>
      <c r="H32" s="1500"/>
      <c r="I32" s="1500"/>
      <c r="J32" s="1500"/>
      <c r="K32" s="1500"/>
      <c r="L32" s="1549"/>
      <c r="M32" s="1500"/>
      <c r="N32" s="1500"/>
    </row>
    <row r="33" spans="1:14" s="1223" customFormat="1" ht="18" customHeight="1">
      <c r="A33" s="1500"/>
      <c r="B33" s="1500"/>
      <c r="C33" s="2150" t="s">
        <v>106</v>
      </c>
      <c r="D33" s="455" t="s">
        <v>104</v>
      </c>
      <c r="E33" s="1846">
        <v>0</v>
      </c>
      <c r="F33" s="1845">
        <v>0</v>
      </c>
      <c r="G33" s="1847">
        <v>0</v>
      </c>
      <c r="H33" s="1500"/>
      <c r="I33" s="1500"/>
      <c r="J33" s="1500"/>
      <c r="K33" s="1500"/>
      <c r="L33" s="1549"/>
      <c r="M33" s="1500"/>
      <c r="N33" s="1500"/>
    </row>
    <row r="34" spans="1:14" s="1223" customFormat="1" ht="18" customHeight="1" thickBot="1">
      <c r="A34" s="1500"/>
      <c r="B34" s="1500"/>
      <c r="C34" s="2151"/>
      <c r="D34" s="1579" t="s">
        <v>105</v>
      </c>
      <c r="E34" s="1848">
        <v>0.35633144762327634</v>
      </c>
      <c r="F34" s="1848">
        <v>0</v>
      </c>
      <c r="G34" s="1849">
        <v>0.35633144762327634</v>
      </c>
      <c r="H34" s="1500"/>
      <c r="I34" s="1500"/>
      <c r="J34" s="1500"/>
      <c r="K34" s="1500"/>
      <c r="L34" s="1549"/>
      <c r="M34" s="1500"/>
      <c r="N34" s="1500"/>
    </row>
    <row r="35" spans="1:14" s="1223" customFormat="1" ht="18" customHeight="1">
      <c r="A35" s="1500"/>
      <c r="B35" s="1500"/>
      <c r="C35" s="2145" t="s">
        <v>848</v>
      </c>
      <c r="D35" s="455" t="s">
        <v>222</v>
      </c>
      <c r="E35" s="1846">
        <v>1.144180319598318</v>
      </c>
      <c r="F35" s="1845">
        <v>1.1141881648570558E-2</v>
      </c>
      <c r="G35" s="1847">
        <v>1.1553222012468887</v>
      </c>
      <c r="H35" s="1500"/>
      <c r="I35" s="1500"/>
      <c r="J35" s="1500"/>
      <c r="K35" s="1500"/>
      <c r="L35" s="1549"/>
      <c r="M35" s="1500"/>
      <c r="N35" s="1500"/>
    </row>
    <row r="36" spans="1:14" s="1223" customFormat="1" ht="18" customHeight="1">
      <c r="A36" s="1500"/>
      <c r="B36" s="1500"/>
      <c r="C36" s="2146"/>
      <c r="D36" s="1580" t="s">
        <v>223</v>
      </c>
      <c r="E36" s="1846">
        <v>2.1066574651408567</v>
      </c>
      <c r="F36" s="1845">
        <v>4.3893149134805176</v>
      </c>
      <c r="G36" s="425">
        <v>6.4959723786213743</v>
      </c>
      <c r="H36" s="1500"/>
      <c r="I36" s="1500"/>
      <c r="J36" s="1500"/>
      <c r="K36" s="1500"/>
      <c r="L36" s="1549"/>
      <c r="M36" s="1500"/>
      <c r="N36" s="1500"/>
    </row>
    <row r="37" spans="1:14" s="1223" customFormat="1" ht="18" customHeight="1" thickBot="1">
      <c r="A37" s="1500"/>
      <c r="B37" s="1500"/>
      <c r="C37" s="2147"/>
      <c r="D37" s="454" t="s">
        <v>224</v>
      </c>
      <c r="E37" s="1848">
        <v>0.39135948330497683</v>
      </c>
      <c r="F37" s="1848">
        <v>3.4484982697774226E-5</v>
      </c>
      <c r="G37" s="1849">
        <v>0.39139396828767459</v>
      </c>
      <c r="H37" s="1500"/>
      <c r="I37" s="1500"/>
      <c r="J37" s="1500"/>
      <c r="K37" s="1500"/>
      <c r="L37" s="1549"/>
      <c r="M37" s="1500"/>
      <c r="N37" s="1500"/>
    </row>
    <row r="38" spans="1:14" s="1223" customFormat="1" ht="18" customHeight="1">
      <c r="A38" s="1500"/>
      <c r="B38" s="1500"/>
      <c r="C38" s="2145" t="s">
        <v>239</v>
      </c>
      <c r="D38" s="455" t="s">
        <v>225</v>
      </c>
      <c r="E38" s="1846">
        <v>3.4026867884553718</v>
      </c>
      <c r="F38" s="1845">
        <v>0.10029300000000001</v>
      </c>
      <c r="G38" s="1847">
        <v>3.5029797884553719</v>
      </c>
      <c r="H38" s="1500"/>
      <c r="I38" s="1500"/>
      <c r="J38" s="1500"/>
      <c r="K38" s="1500"/>
      <c r="L38" s="1549"/>
      <c r="M38" s="1500"/>
      <c r="N38" s="1500"/>
    </row>
    <row r="39" spans="1:14" s="1223" customFormat="1" ht="18" customHeight="1">
      <c r="A39" s="1500"/>
      <c r="B39" s="1500"/>
      <c r="C39" s="2146"/>
      <c r="D39" s="1580" t="s">
        <v>119</v>
      </c>
      <c r="E39" s="1846">
        <v>2.3622165648736089</v>
      </c>
      <c r="F39" s="1845">
        <v>0.24253409203749013</v>
      </c>
      <c r="G39" s="425">
        <v>2.604750656911099</v>
      </c>
      <c r="H39" s="1500"/>
      <c r="I39" s="1500"/>
      <c r="J39" s="1500"/>
      <c r="K39" s="1500"/>
      <c r="L39" s="1549"/>
      <c r="M39" s="1500"/>
      <c r="N39" s="1500"/>
    </row>
    <row r="40" spans="1:14" s="1223" customFormat="1" ht="18" customHeight="1">
      <c r="A40" s="1500"/>
      <c r="B40" s="1500"/>
      <c r="C40" s="2146"/>
      <c r="D40" s="456" t="s">
        <v>120</v>
      </c>
      <c r="E40" s="1846">
        <v>0</v>
      </c>
      <c r="F40" s="1845">
        <v>0</v>
      </c>
      <c r="G40" s="425">
        <v>0</v>
      </c>
      <c r="H40" s="1500"/>
      <c r="I40" s="1500"/>
      <c r="J40" s="1500"/>
      <c r="K40" s="1500"/>
      <c r="L40" s="1549"/>
      <c r="M40" s="1500"/>
      <c r="N40" s="1500"/>
    </row>
    <row r="41" spans="1:14" s="1223" customFormat="1" ht="18" customHeight="1">
      <c r="A41" s="1500"/>
      <c r="B41" s="1500"/>
      <c r="C41" s="2146"/>
      <c r="D41" s="456" t="s">
        <v>224</v>
      </c>
      <c r="E41" s="1846">
        <v>3.2624663172500248</v>
      </c>
      <c r="F41" s="1845">
        <v>0.10018634958919283</v>
      </c>
      <c r="G41" s="425">
        <v>3.3626526668392178</v>
      </c>
      <c r="H41" s="1500"/>
      <c r="I41" s="1500"/>
      <c r="J41" s="1500"/>
      <c r="K41" s="1500"/>
      <c r="L41" s="1549"/>
      <c r="M41" s="1500"/>
      <c r="N41" s="1500"/>
    </row>
    <row r="42" spans="1:14" s="1223" customFormat="1" ht="18" customHeight="1">
      <c r="A42" s="1500"/>
      <c r="B42" s="1500"/>
      <c r="C42" s="2146"/>
      <c r="D42" s="1580" t="s">
        <v>868</v>
      </c>
      <c r="E42" s="1846">
        <v>0.84310614350525226</v>
      </c>
      <c r="F42" s="1845">
        <v>7.020998950358133E-2</v>
      </c>
      <c r="G42" s="425">
        <v>0.91331613300883363</v>
      </c>
      <c r="H42" s="1500"/>
      <c r="I42" s="1500"/>
      <c r="J42" s="1500"/>
      <c r="K42" s="1500"/>
      <c r="L42" s="1549"/>
      <c r="M42" s="1500"/>
      <c r="N42" s="1500"/>
    </row>
    <row r="43" spans="1:14" s="1223" customFormat="1" ht="18" customHeight="1" thickBot="1">
      <c r="A43" s="1500"/>
      <c r="B43" s="1500"/>
      <c r="C43" s="2147"/>
      <c r="D43" s="1579" t="s">
        <v>869</v>
      </c>
      <c r="E43" s="1848">
        <v>5.4091528071062109</v>
      </c>
      <c r="F43" s="1848">
        <v>0</v>
      </c>
      <c r="G43" s="1849">
        <v>5.4091528071062109</v>
      </c>
      <c r="H43" s="1500"/>
      <c r="I43" s="1500"/>
      <c r="J43" s="1500"/>
      <c r="K43" s="1500"/>
      <c r="L43" s="1549"/>
      <c r="M43" s="1500"/>
      <c r="N43" s="1500"/>
    </row>
    <row r="44" spans="1:14" s="1223" customFormat="1" ht="18" customHeight="1">
      <c r="A44" s="1500"/>
      <c r="B44" s="1500"/>
      <c r="C44" s="2145" t="s">
        <v>245</v>
      </c>
      <c r="D44" s="455" t="s">
        <v>225</v>
      </c>
      <c r="E44" s="1846">
        <v>0.93196617727390996</v>
      </c>
      <c r="F44" s="1845">
        <v>0</v>
      </c>
      <c r="G44" s="1847">
        <v>0.93196617727390996</v>
      </c>
      <c r="H44" s="1500"/>
      <c r="I44" s="1500"/>
      <c r="J44" s="1500"/>
      <c r="K44" s="1500"/>
      <c r="L44" s="1549"/>
      <c r="M44" s="1500"/>
      <c r="N44" s="1500"/>
    </row>
    <row r="45" spans="1:14" s="1223" customFormat="1" ht="18" customHeight="1">
      <c r="A45" s="1500"/>
      <c r="B45" s="1500"/>
      <c r="C45" s="2146"/>
      <c r="D45" s="1580" t="s">
        <v>119</v>
      </c>
      <c r="E45" s="1846">
        <v>5.0250118695964039</v>
      </c>
      <c r="F45" s="1845">
        <v>0</v>
      </c>
      <c r="G45" s="425">
        <v>5.0250118695964039</v>
      </c>
      <c r="H45" s="1500"/>
      <c r="I45" s="1500"/>
      <c r="J45" s="1500"/>
      <c r="K45" s="1500"/>
      <c r="L45" s="1549"/>
      <c r="M45" s="1500"/>
      <c r="N45" s="1500"/>
    </row>
    <row r="46" spans="1:14" s="1223" customFormat="1" ht="18" customHeight="1">
      <c r="A46" s="1500"/>
      <c r="B46" s="1500"/>
      <c r="C46" s="2146"/>
      <c r="D46" s="1580" t="s">
        <v>120</v>
      </c>
      <c r="E46" s="1846">
        <v>0</v>
      </c>
      <c r="F46" s="1845">
        <v>0</v>
      </c>
      <c r="G46" s="425">
        <v>0</v>
      </c>
      <c r="H46" s="1500"/>
      <c r="I46" s="1500"/>
      <c r="J46" s="1500"/>
      <c r="K46" s="1500"/>
      <c r="L46" s="1549"/>
      <c r="M46" s="1500"/>
      <c r="N46" s="1500"/>
    </row>
    <row r="47" spans="1:14" s="1223" customFormat="1" ht="18" customHeight="1">
      <c r="A47" s="1500"/>
      <c r="B47" s="1500"/>
      <c r="C47" s="2146"/>
      <c r="D47" s="1580" t="s">
        <v>224</v>
      </c>
      <c r="E47" s="1846">
        <v>1.1958971517073076</v>
      </c>
      <c r="F47" s="1845">
        <v>0</v>
      </c>
      <c r="G47" s="425">
        <v>1.1958971517073076</v>
      </c>
      <c r="H47" s="1500"/>
      <c r="I47" s="1500"/>
      <c r="J47" s="1500"/>
      <c r="K47" s="1500"/>
      <c r="L47" s="1549"/>
      <c r="M47" s="1500"/>
      <c r="N47" s="1500"/>
    </row>
    <row r="48" spans="1:14" s="1223" customFormat="1" ht="18" customHeight="1">
      <c r="A48" s="1500"/>
      <c r="B48" s="1500"/>
      <c r="C48" s="2146"/>
      <c r="D48" s="1580" t="s">
        <v>868</v>
      </c>
      <c r="E48" s="1846">
        <v>1.1940553388939679</v>
      </c>
      <c r="F48" s="1845">
        <v>0</v>
      </c>
      <c r="G48" s="425">
        <v>1.1940553388939679</v>
      </c>
      <c r="H48" s="1500"/>
      <c r="I48" s="1500"/>
      <c r="J48" s="1500"/>
      <c r="K48" s="1500"/>
      <c r="L48" s="1549"/>
      <c r="M48" s="1500"/>
      <c r="N48" s="1500"/>
    </row>
    <row r="49" spans="1:14" s="1223" customFormat="1" ht="18" customHeight="1" thickBot="1">
      <c r="A49" s="1500"/>
      <c r="B49" s="1500"/>
      <c r="C49" s="2147"/>
      <c r="D49" s="454" t="s">
        <v>869</v>
      </c>
      <c r="E49" s="1848">
        <v>2.135379546153533</v>
      </c>
      <c r="F49" s="1848">
        <v>0</v>
      </c>
      <c r="G49" s="1849">
        <v>2.135379546153533</v>
      </c>
      <c r="H49" s="1500"/>
      <c r="I49" s="1500"/>
      <c r="J49" s="1500"/>
      <c r="K49" s="1500"/>
      <c r="L49" s="1549"/>
      <c r="M49" s="1500"/>
      <c r="N49" s="1500"/>
    </row>
    <row r="50" spans="1:14" s="1223" customFormat="1" ht="18" customHeight="1">
      <c r="A50" s="1500"/>
      <c r="B50" s="1500"/>
      <c r="C50" s="2145" t="s">
        <v>243</v>
      </c>
      <c r="D50" s="455" t="s">
        <v>225</v>
      </c>
      <c r="E50" s="1846">
        <v>1.5229223498011433</v>
      </c>
      <c r="F50" s="1845">
        <v>0</v>
      </c>
      <c r="G50" s="1847">
        <v>1.5229223498011433</v>
      </c>
      <c r="H50" s="1500"/>
      <c r="I50" s="1500"/>
      <c r="J50" s="1500"/>
      <c r="K50" s="1500"/>
      <c r="L50" s="1549"/>
      <c r="M50" s="1500"/>
      <c r="N50" s="1500"/>
    </row>
    <row r="51" spans="1:14" s="1223" customFormat="1" ht="18" customHeight="1">
      <c r="A51" s="1500"/>
      <c r="B51" s="1500"/>
      <c r="C51" s="2146"/>
      <c r="D51" s="1580" t="s">
        <v>119</v>
      </c>
      <c r="E51" s="1846">
        <v>3.8784986560213537</v>
      </c>
      <c r="F51" s="1845">
        <v>0</v>
      </c>
      <c r="G51" s="425">
        <v>3.8784986560213537</v>
      </c>
      <c r="H51" s="1500"/>
      <c r="I51" s="1500"/>
      <c r="J51" s="1500"/>
      <c r="K51" s="1500"/>
      <c r="L51" s="1549"/>
      <c r="M51" s="1500"/>
      <c r="N51" s="1500"/>
    </row>
    <row r="52" spans="1:14" s="1223" customFormat="1" ht="18" customHeight="1">
      <c r="A52" s="1500"/>
      <c r="B52" s="1500"/>
      <c r="C52" s="2146"/>
      <c r="D52" s="456" t="s">
        <v>870</v>
      </c>
      <c r="E52" s="1846">
        <v>0</v>
      </c>
      <c r="F52" s="1845">
        <v>0</v>
      </c>
      <c r="G52" s="425">
        <v>0</v>
      </c>
      <c r="H52" s="1500"/>
      <c r="I52" s="1500"/>
      <c r="J52" s="1500"/>
      <c r="K52" s="1500"/>
      <c r="L52" s="1549"/>
      <c r="M52" s="1500"/>
      <c r="N52" s="1500"/>
    </row>
    <row r="53" spans="1:14" s="1223" customFormat="1" ht="18" customHeight="1">
      <c r="A53" s="1500"/>
      <c r="B53" s="1500"/>
      <c r="C53" s="2146"/>
      <c r="D53" s="456" t="s">
        <v>224</v>
      </c>
      <c r="E53" s="1846">
        <v>3.6233309664563258</v>
      </c>
      <c r="F53" s="1845">
        <v>0</v>
      </c>
      <c r="G53" s="425">
        <v>3.6233309664563258</v>
      </c>
      <c r="H53" s="1500"/>
      <c r="I53" s="1500"/>
      <c r="J53" s="1500"/>
      <c r="K53" s="1500"/>
      <c r="L53" s="1549"/>
      <c r="M53" s="1500"/>
      <c r="N53" s="1500"/>
    </row>
    <row r="54" spans="1:14" s="1223" customFormat="1" ht="18" customHeight="1">
      <c r="A54" s="1500"/>
      <c r="B54" s="1500"/>
      <c r="C54" s="2146"/>
      <c r="D54" s="456" t="s">
        <v>868</v>
      </c>
      <c r="E54" s="1846">
        <v>0.43285122137289139</v>
      </c>
      <c r="F54" s="1845">
        <v>0</v>
      </c>
      <c r="G54" s="425">
        <v>0.43285122137289139</v>
      </c>
      <c r="H54" s="1500"/>
      <c r="I54" s="1500"/>
      <c r="J54" s="1500"/>
      <c r="K54" s="1500"/>
      <c r="L54" s="1549"/>
      <c r="M54" s="1500"/>
      <c r="N54" s="1500"/>
    </row>
    <row r="55" spans="1:14" s="1223" customFormat="1" ht="18" customHeight="1" thickBot="1">
      <c r="A55" s="1500"/>
      <c r="B55" s="1500"/>
      <c r="C55" s="2147"/>
      <c r="D55" s="454" t="s">
        <v>869</v>
      </c>
      <c r="E55" s="1846">
        <v>1.6394007251871514</v>
      </c>
      <c r="F55" s="1845">
        <v>0</v>
      </c>
      <c r="G55" s="425">
        <v>1.6394007251871514</v>
      </c>
      <c r="H55" s="1500"/>
      <c r="I55" s="1500"/>
      <c r="J55" s="1500"/>
      <c r="K55" s="1500"/>
      <c r="L55" s="1549"/>
      <c r="M55" s="1500"/>
      <c r="N55" s="1500"/>
    </row>
    <row r="56" spans="1:14" s="1223" customFormat="1" ht="18" customHeight="1" thickBot="1">
      <c r="A56" s="1500"/>
      <c r="B56" s="1500"/>
      <c r="C56" s="2030" t="s">
        <v>871</v>
      </c>
      <c r="D56" s="2032"/>
      <c r="E56" s="1850">
        <v>44.299174002809949</v>
      </c>
      <c r="F56" s="1850">
        <v>4.9159069428655187</v>
      </c>
      <c r="G56" s="1850">
        <v>49.215080945675467</v>
      </c>
      <c r="H56" s="1581"/>
      <c r="I56" s="1500"/>
      <c r="J56" s="1500"/>
      <c r="K56" s="1500"/>
      <c r="L56" s="1500"/>
      <c r="M56" s="1549"/>
      <c r="N56" s="1500"/>
    </row>
    <row r="57" spans="1:14" s="1223" customFormat="1" ht="18" customHeight="1" thickBot="1">
      <c r="A57" s="1500"/>
      <c r="B57" s="1500"/>
      <c r="C57" s="2112" t="s">
        <v>838</v>
      </c>
      <c r="D57" s="2113"/>
      <c r="E57" s="1846">
        <v>-1.5631310000000002E-2</v>
      </c>
      <c r="F57" s="1845">
        <v>0</v>
      </c>
      <c r="G57" s="425">
        <v>-1.5631310000000002E-2</v>
      </c>
      <c r="H57" s="1581"/>
      <c r="I57" s="1581"/>
      <c r="J57" s="1581"/>
      <c r="K57" s="1500"/>
      <c r="L57" s="1500"/>
      <c r="M57" s="1549"/>
      <c r="N57" s="1500"/>
    </row>
    <row r="58" spans="1:14" s="1223" customFormat="1" ht="18" customHeight="1" thickBot="1">
      <c r="A58" s="1500"/>
      <c r="B58" s="1500"/>
      <c r="C58" s="2030" t="s">
        <v>872</v>
      </c>
      <c r="D58" s="2032"/>
      <c r="E58" s="1850">
        <v>44.283542692809945</v>
      </c>
      <c r="F58" s="1850">
        <v>4.9159069428655187</v>
      </c>
      <c r="G58" s="1850">
        <v>49.199449635675464</v>
      </c>
      <c r="H58" s="1500"/>
      <c r="I58" s="1500"/>
      <c r="J58" s="1500"/>
      <c r="K58" s="1500"/>
      <c r="L58" s="1549"/>
      <c r="M58" s="1500"/>
      <c r="N58" s="1500"/>
    </row>
    <row r="59" spans="1:14" s="1223" customFormat="1" ht="18" customHeight="1" thickBot="1">
      <c r="C59" s="2114"/>
      <c r="D59" s="2114"/>
    </row>
    <row r="60" spans="1:14" s="1223" customFormat="1" ht="18" customHeight="1" thickBot="1">
      <c r="A60" s="1500"/>
      <c r="B60" s="1500"/>
      <c r="C60" s="2135" t="s">
        <v>873</v>
      </c>
      <c r="D60" s="2136"/>
      <c r="E60" s="1582" t="s">
        <v>240</v>
      </c>
      <c r="F60" s="1582" t="s">
        <v>239</v>
      </c>
      <c r="G60" s="1582" t="s">
        <v>245</v>
      </c>
      <c r="H60" s="1582" t="s">
        <v>243</v>
      </c>
      <c r="I60" s="1582" t="s">
        <v>246</v>
      </c>
      <c r="J60" s="1500"/>
      <c r="K60" s="1500"/>
      <c r="L60" s="1500"/>
      <c r="M60" s="1549"/>
      <c r="N60" s="1500"/>
    </row>
    <row r="61" spans="1:14" s="1223" customFormat="1" ht="18" customHeight="1" thickBot="1">
      <c r="A61" s="1500"/>
      <c r="B61" s="1500"/>
      <c r="C61" s="2137" t="s">
        <v>83</v>
      </c>
      <c r="D61" s="2138"/>
      <c r="E61" s="1556" t="s">
        <v>157</v>
      </c>
      <c r="F61" s="1556" t="s">
        <v>157</v>
      </c>
      <c r="G61" s="1556" t="s">
        <v>157</v>
      </c>
      <c r="H61" s="1556" t="s">
        <v>157</v>
      </c>
      <c r="I61" s="1556" t="s">
        <v>157</v>
      </c>
      <c r="J61" s="1500"/>
      <c r="K61" s="1500"/>
      <c r="L61" s="1500"/>
      <c r="M61" s="1500"/>
      <c r="N61" s="1549"/>
    </row>
    <row r="62" spans="1:14" s="1223" customFormat="1" ht="18" customHeight="1">
      <c r="A62" s="1500"/>
      <c r="B62" s="1500"/>
      <c r="C62" s="2127" t="s">
        <v>874</v>
      </c>
      <c r="D62" s="2128"/>
      <c r="E62" s="1846">
        <v>4.8661316149128934E-2</v>
      </c>
      <c r="F62" s="1845">
        <v>0.60351263311352998</v>
      </c>
      <c r="G62" s="1845">
        <v>0</v>
      </c>
      <c r="H62" s="1845">
        <v>9.1138597349677639E-3</v>
      </c>
      <c r="I62" s="1851">
        <v>0.66128780899762674</v>
      </c>
      <c r="J62" s="1500"/>
      <c r="K62" s="1500"/>
      <c r="L62" s="1500"/>
      <c r="M62" s="1500"/>
      <c r="N62" s="1549"/>
    </row>
    <row r="63" spans="1:14" s="1223" customFormat="1" ht="18" customHeight="1">
      <c r="A63" s="1500"/>
      <c r="B63" s="1500"/>
      <c r="C63" s="2121" t="s">
        <v>875</v>
      </c>
      <c r="D63" s="2122"/>
      <c r="E63" s="1846">
        <v>7.1027282547661127E-3</v>
      </c>
      <c r="F63" s="1845">
        <v>0.2027828429656873</v>
      </c>
      <c r="G63" s="1845">
        <v>0.11180673211614993</v>
      </c>
      <c r="H63" s="1845">
        <v>0.10059860438270779</v>
      </c>
      <c r="I63" s="434">
        <v>0.4222909077193111</v>
      </c>
      <c r="J63" s="1500"/>
      <c r="K63" s="1500"/>
      <c r="L63" s="1500"/>
      <c r="M63" s="1500"/>
      <c r="N63" s="1549"/>
    </row>
    <row r="64" spans="1:14" s="1223" customFormat="1" ht="18" customHeight="1">
      <c r="A64" s="1500"/>
      <c r="B64" s="1500"/>
      <c r="C64" s="2121" t="s">
        <v>121</v>
      </c>
      <c r="D64" s="2122"/>
      <c r="E64" s="1846">
        <v>0</v>
      </c>
      <c r="F64" s="1845">
        <v>1.6703329368818517E-2</v>
      </c>
      <c r="G64" s="1845">
        <v>2.1540312868729892</v>
      </c>
      <c r="H64" s="1845">
        <v>1.5332488206301627</v>
      </c>
      <c r="I64" s="434">
        <v>3.7039834368719706</v>
      </c>
      <c r="J64" s="1500"/>
      <c r="K64" s="1500"/>
      <c r="L64" s="1500"/>
      <c r="M64" s="1500"/>
      <c r="N64" s="1549"/>
    </row>
    <row r="65" spans="1:14" s="1223" customFormat="1" ht="18" customHeight="1">
      <c r="A65" s="1500"/>
      <c r="B65" s="1500"/>
      <c r="C65" s="2121" t="s">
        <v>122</v>
      </c>
      <c r="D65" s="2122"/>
      <c r="E65" s="1846">
        <v>4.861966332623702E-5</v>
      </c>
      <c r="F65" s="1845">
        <v>0.13333093959172307</v>
      </c>
      <c r="G65" s="1845">
        <v>1.5592703345169084E-4</v>
      </c>
      <c r="H65" s="1845">
        <v>0</v>
      </c>
      <c r="I65" s="434">
        <v>0.13353548628850098</v>
      </c>
      <c r="J65" s="1500"/>
      <c r="K65" s="1500"/>
      <c r="L65" s="1500"/>
      <c r="M65" s="1500"/>
      <c r="N65" s="1549"/>
    </row>
    <row r="66" spans="1:14" s="1223" customFormat="1" ht="18" customHeight="1">
      <c r="A66" s="1500"/>
      <c r="B66" s="1500"/>
      <c r="C66" s="2121" t="s">
        <v>123</v>
      </c>
      <c r="D66" s="2122"/>
      <c r="E66" s="1846">
        <v>2.4725052200271822</v>
      </c>
      <c r="F66" s="1845">
        <v>0.37839999999999996</v>
      </c>
      <c r="G66" s="1845">
        <v>0</v>
      </c>
      <c r="H66" s="1845">
        <v>0</v>
      </c>
      <c r="I66" s="434">
        <v>2.8509052200271823</v>
      </c>
      <c r="J66" s="1500"/>
      <c r="K66" s="1500"/>
      <c r="L66" s="1500"/>
      <c r="M66" s="1500"/>
      <c r="N66" s="1549"/>
    </row>
    <row r="67" spans="1:14" s="1223" customFormat="1" ht="18" customHeight="1">
      <c r="A67" s="1500"/>
      <c r="B67" s="1500"/>
      <c r="C67" s="2121" t="s">
        <v>124</v>
      </c>
      <c r="D67" s="2122"/>
      <c r="E67" s="1846">
        <v>0</v>
      </c>
      <c r="F67" s="1845">
        <v>0</v>
      </c>
      <c r="G67" s="1845">
        <v>0</v>
      </c>
      <c r="H67" s="1845">
        <v>0</v>
      </c>
      <c r="I67" s="434">
        <v>0</v>
      </c>
      <c r="J67" s="1500"/>
      <c r="K67" s="1500"/>
      <c r="L67" s="1500"/>
      <c r="M67" s="1500"/>
      <c r="N67" s="1549"/>
    </row>
    <row r="68" spans="1:14" s="1223" customFormat="1" ht="18" customHeight="1">
      <c r="A68" s="1500"/>
      <c r="B68" s="1500"/>
      <c r="C68" s="2121" t="s">
        <v>125</v>
      </c>
      <c r="D68" s="2122"/>
      <c r="E68" s="1846">
        <v>0</v>
      </c>
      <c r="F68" s="1845">
        <v>0.82576845200793592</v>
      </c>
      <c r="G68" s="1845">
        <v>0.85068876664371018</v>
      </c>
      <c r="H68" s="1845">
        <v>0.82576845200793592</v>
      </c>
      <c r="I68" s="434">
        <v>2.5022256706595822</v>
      </c>
      <c r="J68" s="1500"/>
      <c r="K68" s="1500"/>
      <c r="L68" s="1500"/>
      <c r="M68" s="1500"/>
      <c r="N68" s="1549"/>
    </row>
    <row r="69" spans="1:14" s="1223" customFormat="1" ht="18" customHeight="1">
      <c r="A69" s="1500"/>
      <c r="B69" s="1500"/>
      <c r="C69" s="2121" t="s">
        <v>143</v>
      </c>
      <c r="D69" s="2122"/>
      <c r="E69" s="1846">
        <v>1.249351063204748</v>
      </c>
      <c r="F69" s="1845">
        <v>1.7250726601557405</v>
      </c>
      <c r="G69" s="1845">
        <v>0.16508007547681552</v>
      </c>
      <c r="H69" s="1845">
        <v>0.13737320019651775</v>
      </c>
      <c r="I69" s="441">
        <v>3.276876999033822</v>
      </c>
      <c r="J69" s="1500"/>
      <c r="K69" s="1500"/>
      <c r="L69" s="1500"/>
      <c r="M69" s="1500"/>
      <c r="N69" s="1549"/>
    </row>
    <row r="70" spans="1:14" s="1223" customFormat="1" ht="18" customHeight="1" thickBot="1">
      <c r="A70" s="1500"/>
      <c r="B70" s="1500"/>
      <c r="C70" s="2123" t="s">
        <v>144</v>
      </c>
      <c r="D70" s="2124"/>
      <c r="E70" s="1846">
        <v>0.31780475187639662</v>
      </c>
      <c r="F70" s="1845">
        <v>1.1637064437933533</v>
      </c>
      <c r="G70" s="1845">
        <v>0.73911426780239686</v>
      </c>
      <c r="H70" s="1845">
        <v>0.60386841073674202</v>
      </c>
      <c r="I70" s="1852">
        <v>2.8244938742088888</v>
      </c>
      <c r="J70" s="1500"/>
      <c r="K70" s="1500"/>
      <c r="L70" s="1500"/>
      <c r="M70" s="1500"/>
      <c r="N70" s="1549"/>
    </row>
    <row r="71" spans="1:14" s="1223" customFormat="1" ht="18" customHeight="1" thickBot="1">
      <c r="A71" s="1500"/>
      <c r="B71" s="1500"/>
      <c r="C71" s="2115" t="s">
        <v>135</v>
      </c>
      <c r="D71" s="2116"/>
      <c r="E71" s="446">
        <v>4.0954736991755478</v>
      </c>
      <c r="F71" s="446">
        <v>5.0492773009967884</v>
      </c>
      <c r="G71" s="446">
        <v>4.0208770559455136</v>
      </c>
      <c r="H71" s="446">
        <v>3.2099713476890344</v>
      </c>
      <c r="I71" s="446">
        <v>16.375599403806884</v>
      </c>
      <c r="J71" s="1500"/>
      <c r="K71" s="1500"/>
      <c r="L71" s="1500"/>
      <c r="M71" s="1500"/>
      <c r="N71" s="1549"/>
    </row>
    <row r="72" spans="1:14" s="1223" customFormat="1" ht="18" customHeight="1" thickBot="1">
      <c r="A72" s="1500"/>
      <c r="B72" s="1500"/>
      <c r="C72" s="2125" t="s">
        <v>838</v>
      </c>
      <c r="D72" s="2126"/>
      <c r="E72" s="1846">
        <v>0</v>
      </c>
      <c r="F72" s="1845">
        <v>-3.6392279999999999E-2</v>
      </c>
      <c r="G72" s="1845">
        <v>0</v>
      </c>
      <c r="H72" s="1845">
        <v>0</v>
      </c>
      <c r="I72" s="446">
        <v>-3.6392279999999999E-2</v>
      </c>
      <c r="J72" s="1500"/>
      <c r="K72" s="1500"/>
      <c r="L72" s="1500"/>
      <c r="M72" s="1549"/>
      <c r="N72" s="1500"/>
    </row>
    <row r="73" spans="1:14" s="1223" customFormat="1" ht="18" customHeight="1" thickBot="1">
      <c r="A73" s="1500"/>
      <c r="B73" s="1500"/>
      <c r="C73" s="2115" t="s">
        <v>0</v>
      </c>
      <c r="D73" s="2116"/>
      <c r="E73" s="1853">
        <v>4.0954736991755478</v>
      </c>
      <c r="F73" s="1853">
        <v>5.0128850209967881</v>
      </c>
      <c r="G73" s="1853">
        <v>4.0208770559455136</v>
      </c>
      <c r="H73" s="1853">
        <v>3.2099713476890344</v>
      </c>
      <c r="I73" s="1853">
        <v>16.339207123806883</v>
      </c>
      <c r="J73" s="1500"/>
      <c r="K73" s="1500"/>
      <c r="L73" s="1500"/>
      <c r="M73" s="1549"/>
      <c r="N73" s="1500"/>
    </row>
    <row r="74" spans="1:14" s="1223" customFormat="1" ht="18" customHeight="1" thickBot="1">
      <c r="A74" s="1500"/>
      <c r="B74" s="1500"/>
      <c r="C74" s="1493"/>
      <c r="D74" s="1585"/>
      <c r="E74" s="1854"/>
      <c r="F74" s="1854"/>
      <c r="G74" s="1854"/>
      <c r="H74" s="1855"/>
      <c r="I74" s="1855"/>
      <c r="J74" s="1586"/>
      <c r="K74" s="1586"/>
      <c r="L74" s="1500"/>
      <c r="M74" s="1500"/>
      <c r="N74" s="1500"/>
    </row>
    <row r="75" spans="1:14" s="1223" customFormat="1" ht="18" customHeight="1" thickBot="1">
      <c r="A75" s="1500"/>
      <c r="B75" s="1500"/>
      <c r="C75" s="2115" t="s">
        <v>715</v>
      </c>
      <c r="D75" s="2116"/>
      <c r="E75" s="1856">
        <v>65.590680349482355</v>
      </c>
      <c r="F75" s="442"/>
      <c r="G75" s="400"/>
      <c r="H75" s="400"/>
      <c r="I75" s="400"/>
      <c r="J75" s="1500"/>
      <c r="K75" s="1500"/>
      <c r="L75" s="1500"/>
      <c r="M75" s="1549"/>
      <c r="N75" s="1500"/>
    </row>
    <row r="76" spans="1:14" s="1223" customFormat="1" ht="18" customHeight="1" thickBot="1">
      <c r="A76" s="1500"/>
      <c r="B76" s="1500"/>
      <c r="C76" s="2115" t="s">
        <v>838</v>
      </c>
      <c r="D76" s="2116"/>
      <c r="E76" s="1857">
        <v>-5.2023590000000001E-2</v>
      </c>
      <c r="F76" s="442"/>
      <c r="G76" s="400"/>
      <c r="H76" s="400"/>
      <c r="I76" s="400"/>
      <c r="J76" s="1500"/>
      <c r="K76" s="1500"/>
      <c r="L76" s="1500"/>
      <c r="M76" s="1549"/>
      <c r="N76" s="1500"/>
    </row>
    <row r="77" spans="1:14" s="1223" customFormat="1" ht="18" customHeight="1" thickBot="1">
      <c r="A77" s="1500"/>
      <c r="B77" s="1500"/>
      <c r="C77" s="2115" t="s">
        <v>606</v>
      </c>
      <c r="D77" s="2116"/>
      <c r="E77" s="1853">
        <v>65.53865675948235</v>
      </c>
      <c r="F77" s="400"/>
      <c r="G77" s="400"/>
      <c r="H77" s="400"/>
      <c r="I77" s="400"/>
      <c r="J77" s="1500"/>
      <c r="K77" s="1500"/>
      <c r="L77" s="1500"/>
      <c r="M77" s="1549"/>
      <c r="N77" s="1500"/>
    </row>
    <row r="78" spans="1:14" s="1223" customFormat="1" ht="18" customHeight="1" thickBot="1">
      <c r="A78" s="1500"/>
      <c r="B78" s="1500"/>
      <c r="C78" s="1494"/>
      <c r="D78" s="1494"/>
      <c r="E78" s="1494"/>
      <c r="F78" s="1494"/>
      <c r="G78" s="1494"/>
      <c r="H78" s="1494"/>
      <c r="I78" s="1494"/>
      <c r="J78" s="1494"/>
      <c r="K78" s="1494"/>
      <c r="L78" s="1500"/>
      <c r="M78" s="1500"/>
      <c r="N78" s="1500"/>
    </row>
    <row r="79" spans="1:14" s="1223" customFormat="1" ht="18.75" thickBot="1">
      <c r="A79" s="1500"/>
      <c r="B79" s="1500"/>
      <c r="C79" s="457" t="s">
        <v>607</v>
      </c>
      <c r="D79" s="458"/>
      <c r="E79" s="1587"/>
      <c r="F79" s="1587"/>
      <c r="G79" s="1588"/>
      <c r="H79" s="1500"/>
      <c r="I79" s="1500"/>
      <c r="J79" s="1500"/>
      <c r="K79" s="1500"/>
      <c r="L79" s="1500"/>
      <c r="M79" s="1500"/>
      <c r="N79" s="1500"/>
    </row>
    <row r="80" spans="1:14" s="1223" customFormat="1" ht="60.75" thickBot="1">
      <c r="A80" s="1500"/>
      <c r="B80" s="1500"/>
      <c r="C80" s="2117" t="s">
        <v>83</v>
      </c>
      <c r="D80" s="2118"/>
      <c r="E80" s="1589" t="s">
        <v>246</v>
      </c>
      <c r="F80" s="1590" t="s">
        <v>608</v>
      </c>
      <c r="G80" s="1590" t="s">
        <v>609</v>
      </c>
      <c r="H80" s="1500"/>
      <c r="I80" s="1500"/>
      <c r="J80" s="1500"/>
      <c r="K80" s="1500"/>
      <c r="L80" s="1500"/>
      <c r="M80" s="1500"/>
      <c r="N80" s="1500"/>
    </row>
    <row r="81" spans="1:14" s="1223" customFormat="1" ht="15.75" thickBot="1">
      <c r="A81" s="1500"/>
      <c r="B81" s="1500"/>
      <c r="C81" s="2119"/>
      <c r="D81" s="2120"/>
      <c r="E81" s="1574" t="s">
        <v>157</v>
      </c>
      <c r="F81" s="1556" t="s">
        <v>157</v>
      </c>
      <c r="G81" s="1556" t="s">
        <v>157</v>
      </c>
      <c r="H81" s="1500"/>
      <c r="I81" s="1500"/>
      <c r="J81" s="1500"/>
      <c r="K81" s="1500"/>
      <c r="L81" s="1500"/>
      <c r="M81" s="1500"/>
      <c r="N81" s="1500"/>
    </row>
    <row r="82" spans="1:14" s="1223" customFormat="1" ht="18" customHeight="1">
      <c r="A82" s="1500"/>
      <c r="B82" s="1500"/>
      <c r="C82" s="2046" t="s">
        <v>727</v>
      </c>
      <c r="D82" s="2048"/>
      <c r="E82" s="1847">
        <v>3.3188799568230634</v>
      </c>
      <c r="F82" s="1845">
        <v>0</v>
      </c>
      <c r="G82" s="1846">
        <v>3.3188799568230634</v>
      </c>
      <c r="H82" s="400"/>
      <c r="I82" s="1500"/>
      <c r="J82" s="1500"/>
      <c r="K82" s="1500"/>
      <c r="L82" s="1500"/>
      <c r="M82" s="1500"/>
      <c r="N82" s="1500"/>
    </row>
    <row r="83" spans="1:14" s="1223" customFormat="1" ht="18" customHeight="1">
      <c r="A83" s="1500"/>
      <c r="B83" s="1500"/>
      <c r="C83" s="2110" t="s">
        <v>610</v>
      </c>
      <c r="D83" s="2111"/>
      <c r="E83" s="425">
        <v>0</v>
      </c>
      <c r="F83" s="1845">
        <v>0</v>
      </c>
      <c r="G83" s="1846">
        <v>0</v>
      </c>
      <c r="H83" s="400"/>
      <c r="I83" s="1500"/>
      <c r="J83" s="1500"/>
      <c r="K83" s="1500"/>
      <c r="L83" s="1500"/>
      <c r="M83" s="1500"/>
      <c r="N83" s="1500"/>
    </row>
    <row r="84" spans="1:14" s="1223" customFormat="1" ht="18" customHeight="1">
      <c r="A84" s="1500"/>
      <c r="B84" s="1500"/>
      <c r="C84" s="2110" t="s">
        <v>611</v>
      </c>
      <c r="D84" s="2111"/>
      <c r="E84" s="425">
        <v>0.6453296002084451</v>
      </c>
      <c r="F84" s="1845">
        <v>0</v>
      </c>
      <c r="G84" s="1846">
        <v>0.6453296002084451</v>
      </c>
      <c r="H84" s="400"/>
      <c r="I84" s="1500"/>
      <c r="J84" s="1500"/>
      <c r="K84" s="1500"/>
      <c r="L84" s="1500"/>
      <c r="M84" s="1500"/>
      <c r="N84" s="1500"/>
    </row>
    <row r="85" spans="1:14" s="1223" customFormat="1" ht="18" customHeight="1">
      <c r="A85" s="1500"/>
      <c r="B85" s="1500"/>
      <c r="C85" s="2110" t="s">
        <v>612</v>
      </c>
      <c r="D85" s="2111"/>
      <c r="E85" s="425">
        <v>0</v>
      </c>
      <c r="F85" s="1845">
        <v>0</v>
      </c>
      <c r="G85" s="1846">
        <v>0</v>
      </c>
      <c r="H85" s="400"/>
      <c r="I85" s="1500"/>
      <c r="J85" s="1500"/>
      <c r="K85" s="1500"/>
      <c r="L85" s="1500"/>
      <c r="M85" s="1500"/>
      <c r="N85" s="1500"/>
    </row>
    <row r="86" spans="1:14" s="1223" customFormat="1" ht="18" customHeight="1">
      <c r="A86" s="1500"/>
      <c r="B86" s="1500"/>
      <c r="C86" s="2110" t="s">
        <v>716</v>
      </c>
      <c r="D86" s="2111"/>
      <c r="E86" s="425">
        <v>0</v>
      </c>
      <c r="F86" s="1845">
        <v>0</v>
      </c>
      <c r="G86" s="1846">
        <v>0</v>
      </c>
      <c r="H86" s="400"/>
      <c r="I86" s="1500"/>
      <c r="J86" s="1500"/>
      <c r="K86" s="1500"/>
      <c r="L86" s="1500"/>
      <c r="M86" s="1500"/>
      <c r="N86" s="1500"/>
    </row>
    <row r="87" spans="1:14" s="1223" customFormat="1" ht="18" customHeight="1">
      <c r="A87" s="1500"/>
      <c r="B87" s="1500"/>
      <c r="C87" s="2110" t="s">
        <v>134</v>
      </c>
      <c r="D87" s="2111"/>
      <c r="E87" s="425">
        <v>0.30826771868454289</v>
      </c>
      <c r="F87" s="1845">
        <v>0.30826771868454289</v>
      </c>
      <c r="G87" s="1846">
        <v>0</v>
      </c>
      <c r="H87" s="400"/>
      <c r="I87" s="1500"/>
      <c r="J87" s="1500"/>
      <c r="K87" s="1500"/>
      <c r="L87" s="1500"/>
      <c r="M87" s="1500"/>
      <c r="N87" s="1500"/>
    </row>
    <row r="88" spans="1:14" s="1223" customFormat="1" ht="18" customHeight="1" thickBot="1">
      <c r="A88" s="1500"/>
      <c r="B88" s="1500"/>
      <c r="C88" s="2049" t="s">
        <v>231</v>
      </c>
      <c r="D88" s="2051"/>
      <c r="E88" s="425">
        <v>2.923343259505772E-3</v>
      </c>
      <c r="F88" s="1845">
        <v>0</v>
      </c>
      <c r="G88" s="1846">
        <v>2.923343259505772E-3</v>
      </c>
      <c r="H88" s="442"/>
      <c r="I88" s="1500"/>
      <c r="J88" s="1500"/>
      <c r="K88" s="1500"/>
      <c r="L88" s="1500"/>
      <c r="M88" s="1500"/>
      <c r="N88" s="1500"/>
    </row>
    <row r="89" spans="1:14" s="1223" customFormat="1" ht="18" customHeight="1" thickBot="1">
      <c r="A89" s="1500"/>
      <c r="B89" s="1500"/>
      <c r="C89" s="2030" t="s">
        <v>232</v>
      </c>
      <c r="D89" s="2032"/>
      <c r="E89" s="1583">
        <f>SUM(E82:E88)</f>
        <v>4.2754006189755573</v>
      </c>
      <c r="F89" s="1583">
        <f>SUM(F82:F88)</f>
        <v>0.30826771868454289</v>
      </c>
      <c r="G89" s="1583">
        <f>SUM(G82:G88)</f>
        <v>3.9671329002910141</v>
      </c>
      <c r="H89" s="1581"/>
      <c r="I89" s="1500"/>
      <c r="J89" s="1500"/>
      <c r="K89" s="1500"/>
      <c r="L89" s="1500"/>
      <c r="M89" s="1500"/>
      <c r="N89" s="1500"/>
    </row>
  </sheetData>
  <mergeCells count="57">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 ref="C7:D7"/>
    <mergeCell ref="C27:D27"/>
    <mergeCell ref="C28:D30"/>
    <mergeCell ref="C60:D60"/>
    <mergeCell ref="C61:D61"/>
    <mergeCell ref="C8:D9"/>
    <mergeCell ref="C10:D10"/>
    <mergeCell ref="C15:D15"/>
    <mergeCell ref="C16:D16"/>
    <mergeCell ref="C44:C49"/>
    <mergeCell ref="C50:C55"/>
    <mergeCell ref="C38:C43"/>
    <mergeCell ref="C24:D24"/>
    <mergeCell ref="C62:D62"/>
    <mergeCell ref="C63:D63"/>
    <mergeCell ref="C64:D64"/>
    <mergeCell ref="C65:D65"/>
    <mergeCell ref="C66:D66"/>
    <mergeCell ref="C80:D81"/>
    <mergeCell ref="C67:D67"/>
    <mergeCell ref="C68:D68"/>
    <mergeCell ref="C69:D69"/>
    <mergeCell ref="C70:D70"/>
    <mergeCell ref="C72:D72"/>
    <mergeCell ref="C71:D71"/>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s>
  <phoneticPr fontId="0"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1DFFF"/>
  </sheetPr>
  <dimension ref="A1:M101"/>
  <sheetViews>
    <sheetView zoomScale="80" zoomScaleNormal="80" workbookViewId="0"/>
  </sheetViews>
  <sheetFormatPr defaultColWidth="10.140625" defaultRowHeight="12.75"/>
  <cols>
    <col min="1" max="3" width="10.140625" style="1223"/>
    <col min="4" max="6" width="12.28515625" style="1223" customWidth="1"/>
    <col min="7" max="16384" width="10.140625" style="1223"/>
  </cols>
  <sheetData>
    <row r="1" spans="1:13">
      <c r="A1" s="1485" t="s">
        <v>91</v>
      </c>
      <c r="F1" s="1486" t="s">
        <v>216</v>
      </c>
    </row>
    <row r="2" spans="1:13">
      <c r="A2" s="1485"/>
    </row>
    <row r="3" spans="1:13">
      <c r="A3" s="1485" t="s">
        <v>29</v>
      </c>
    </row>
    <row r="5" spans="1:13">
      <c r="A5" s="1591" t="s">
        <v>92</v>
      </c>
      <c r="B5" s="1260"/>
      <c r="C5" s="1260"/>
      <c r="D5" s="1260"/>
      <c r="E5" s="1260"/>
      <c r="F5" s="1592"/>
      <c r="G5" s="1592"/>
      <c r="H5" s="1592"/>
      <c r="I5" s="1592"/>
      <c r="J5" s="1592"/>
      <c r="K5" s="1592"/>
      <c r="L5" s="1592"/>
      <c r="M5" s="1592"/>
    </row>
    <row r="6" spans="1:13" ht="13.5" thickBot="1">
      <c r="A6" s="1593"/>
      <c r="B6" s="1594"/>
      <c r="C6" s="1595"/>
      <c r="D6" s="1596"/>
      <c r="E6" s="1594"/>
      <c r="F6" s="1594"/>
      <c r="G6" s="1593"/>
      <c r="H6" s="1593"/>
      <c r="I6" s="1593"/>
      <c r="J6" s="1593"/>
      <c r="K6" s="1593"/>
      <c r="L6" s="1593"/>
      <c r="M6" s="1593"/>
    </row>
    <row r="7" spans="1:13" ht="13.5" thickBot="1">
      <c r="A7" s="1592"/>
      <c r="B7" s="1597"/>
      <c r="C7" s="1598" t="s">
        <v>156</v>
      </c>
      <c r="D7" s="1599"/>
      <c r="E7" s="1600"/>
      <c r="F7" s="1600"/>
      <c r="G7" s="1600"/>
      <c r="H7" s="1601"/>
      <c r="I7" s="1602"/>
      <c r="J7" s="1592"/>
      <c r="K7" s="1592"/>
      <c r="L7" s="1592"/>
      <c r="M7" s="1592"/>
    </row>
    <row r="8" spans="1:13" ht="13.5" thickBot="1">
      <c r="A8" s="1592"/>
      <c r="B8" s="1603"/>
      <c r="C8" s="1493"/>
      <c r="D8" s="1493"/>
      <c r="E8" s="1592"/>
      <c r="F8" s="1592"/>
      <c r="G8" s="1604" t="s">
        <v>157</v>
      </c>
      <c r="H8" s="1604" t="s">
        <v>157</v>
      </c>
      <c r="I8" s="1605"/>
      <c r="J8" s="1592"/>
      <c r="K8" s="1592"/>
      <c r="L8" s="1592"/>
      <c r="M8" s="1592"/>
    </row>
    <row r="9" spans="1:13">
      <c r="A9" s="1592"/>
      <c r="B9" s="1606"/>
      <c r="C9" s="1598" t="s">
        <v>158</v>
      </c>
      <c r="D9" s="1493"/>
      <c r="E9" s="1607"/>
      <c r="F9" s="1592"/>
      <c r="G9" s="1737"/>
      <c r="H9" s="1608"/>
      <c r="I9" s="1605"/>
      <c r="J9" s="1592"/>
      <c r="K9" s="1592"/>
      <c r="L9" s="1592"/>
      <c r="M9" s="1592"/>
    </row>
    <row r="10" spans="1:13">
      <c r="A10" s="1592"/>
      <c r="B10" s="1609"/>
      <c r="C10" s="1562"/>
      <c r="D10" s="1610" t="s">
        <v>145</v>
      </c>
      <c r="E10" s="1611"/>
      <c r="F10" s="1593"/>
      <c r="G10" s="1632">
        <v>9.0830000000000002</v>
      </c>
      <c r="H10" s="1612"/>
      <c r="I10" s="1613"/>
      <c r="J10" s="1614"/>
      <c r="K10" s="1614"/>
      <c r="L10" s="1614"/>
      <c r="M10" s="1592"/>
    </row>
    <row r="11" spans="1:13">
      <c r="A11" s="1592"/>
      <c r="B11" s="1609"/>
      <c r="C11" s="1562"/>
      <c r="D11" s="1610" t="s">
        <v>146</v>
      </c>
      <c r="E11" s="1611"/>
      <c r="F11" s="1593"/>
      <c r="G11" s="1632">
        <v>-0.502</v>
      </c>
      <c r="H11" s="1612"/>
      <c r="I11" s="1613"/>
      <c r="J11" s="1614"/>
      <c r="K11" s="1614"/>
      <c r="L11" s="1614"/>
      <c r="M11" s="1592"/>
    </row>
    <row r="12" spans="1:13">
      <c r="A12" s="1592"/>
      <c r="B12" s="1609"/>
      <c r="C12" s="1562"/>
      <c r="D12" s="1610" t="s">
        <v>147</v>
      </c>
      <c r="E12" s="1611"/>
      <c r="F12" s="1505"/>
      <c r="G12" s="1632">
        <v>17.0274</v>
      </c>
      <c r="H12" s="1612"/>
      <c r="I12" s="1613"/>
      <c r="J12" s="1614"/>
      <c r="K12" s="1614"/>
      <c r="L12" s="1614"/>
      <c r="M12" s="1592"/>
    </row>
    <row r="13" spans="1:13">
      <c r="A13" s="1592"/>
      <c r="B13" s="1609"/>
      <c r="C13" s="1562"/>
      <c r="D13" s="1610" t="s">
        <v>227</v>
      </c>
      <c r="E13" s="1611"/>
      <c r="F13" s="1505"/>
      <c r="G13" s="1632">
        <v>1.0512000000000001</v>
      </c>
      <c r="H13" s="1612"/>
      <c r="I13" s="1613"/>
      <c r="J13" s="1614"/>
      <c r="K13" s="1614"/>
      <c r="L13" s="1614"/>
      <c r="M13" s="1592"/>
    </row>
    <row r="14" spans="1:13">
      <c r="A14" s="1592"/>
      <c r="B14" s="1609"/>
      <c r="C14" s="1562"/>
      <c r="D14" s="1615" t="s">
        <v>228</v>
      </c>
      <c r="E14" s="1611"/>
      <c r="F14" s="1505"/>
      <c r="G14" s="1632">
        <v>0</v>
      </c>
      <c r="H14" s="1612"/>
      <c r="I14" s="1613"/>
      <c r="J14" s="1614"/>
      <c r="K14" s="1614"/>
      <c r="L14" s="1614"/>
      <c r="M14" s="1592"/>
    </row>
    <row r="15" spans="1:13" ht="25.5" customHeight="1">
      <c r="A15" s="1592"/>
      <c r="B15" s="1609"/>
      <c r="C15" s="1611"/>
      <c r="D15" s="2156" t="s">
        <v>882</v>
      </c>
      <c r="E15" s="2156"/>
      <c r="F15" s="2157"/>
      <c r="G15" s="1723">
        <v>0</v>
      </c>
      <c r="H15" s="1612">
        <v>26.659600000000001</v>
      </c>
      <c r="I15" s="1613"/>
      <c r="J15" s="1614"/>
      <c r="K15" s="1614"/>
      <c r="L15" s="1614"/>
      <c r="M15" s="1592"/>
    </row>
    <row r="16" spans="1:13">
      <c r="A16" s="1592"/>
      <c r="B16" s="1609"/>
      <c r="C16" s="1598" t="s">
        <v>148</v>
      </c>
      <c r="D16" s="1615"/>
      <c r="E16" s="1611"/>
      <c r="F16" s="1593"/>
      <c r="G16" s="1738"/>
      <c r="H16" s="1616"/>
      <c r="I16" s="1613"/>
      <c r="J16" s="1614"/>
      <c r="K16" s="1614"/>
      <c r="L16" s="1614"/>
      <c r="M16" s="1592"/>
    </row>
    <row r="17" spans="1:13" ht="25.5" customHeight="1">
      <c r="A17" s="1592"/>
      <c r="B17" s="1609"/>
      <c r="C17" s="1611"/>
      <c r="D17" s="2156" t="s">
        <v>233</v>
      </c>
      <c r="E17" s="2156"/>
      <c r="F17" s="2157"/>
      <c r="G17" s="1632">
        <v>5.0967249999999999E-2</v>
      </c>
      <c r="H17" s="1612"/>
      <c r="I17" s="1613"/>
      <c r="J17" s="1614"/>
      <c r="K17" s="1614"/>
      <c r="L17" s="1614"/>
      <c r="M17" s="1592"/>
    </row>
    <row r="18" spans="1:13">
      <c r="A18" s="1592"/>
      <c r="B18" s="1609"/>
      <c r="C18" s="1611"/>
      <c r="D18" s="1615" t="s">
        <v>132</v>
      </c>
      <c r="E18" s="1611"/>
      <c r="F18" s="1593"/>
      <c r="G18" s="1632">
        <v>0.19289935999999999</v>
      </c>
      <c r="H18" s="1612"/>
      <c r="I18" s="1613"/>
      <c r="J18" s="1614"/>
      <c r="K18" s="1614"/>
      <c r="L18" s="1614"/>
      <c r="M18" s="1592"/>
    </row>
    <row r="19" spans="1:13">
      <c r="A19" s="1592"/>
      <c r="B19" s="1609"/>
      <c r="C19" s="1611"/>
      <c r="D19" s="1615" t="s">
        <v>133</v>
      </c>
      <c r="E19" s="1611"/>
      <c r="F19" s="1593"/>
      <c r="G19" s="1723">
        <v>0.69310000000000005</v>
      </c>
      <c r="H19" s="1612">
        <v>0.93696661000000003</v>
      </c>
      <c r="I19" s="1613"/>
      <c r="J19" s="1614"/>
      <c r="K19" s="1614"/>
      <c r="L19" s="1614"/>
      <c r="M19" s="1592"/>
    </row>
    <row r="20" spans="1:13">
      <c r="A20" s="1592"/>
      <c r="B20" s="1609"/>
      <c r="C20" s="1598" t="s">
        <v>93</v>
      </c>
      <c r="D20" s="1615"/>
      <c r="E20" s="1611"/>
      <c r="F20" s="1593"/>
      <c r="G20" s="1738"/>
      <c r="H20" s="1616"/>
      <c r="I20" s="1613"/>
      <c r="J20" s="1614"/>
      <c r="K20" s="1614"/>
      <c r="L20" s="1614"/>
      <c r="M20" s="1592"/>
    </row>
    <row r="21" spans="1:13" ht="27.75" customHeight="1">
      <c r="A21" s="1592"/>
      <c r="B21" s="1609"/>
      <c r="C21" s="1611"/>
      <c r="D21" s="2156" t="s">
        <v>202</v>
      </c>
      <c r="E21" s="2156"/>
      <c r="F21" s="2157"/>
      <c r="G21" s="1632">
        <v>2.1432373200000003</v>
      </c>
      <c r="H21" s="1612"/>
      <c r="I21" s="1613"/>
      <c r="J21" s="1614"/>
      <c r="K21" s="1614"/>
      <c r="L21" s="1614"/>
      <c r="M21" s="1592"/>
    </row>
    <row r="22" spans="1:13" ht="26.25" customHeight="1">
      <c r="A22" s="1592"/>
      <c r="B22" s="1609"/>
      <c r="C22" s="1611"/>
      <c r="D22" s="2154" t="s">
        <v>203</v>
      </c>
      <c r="E22" s="2154"/>
      <c r="F22" s="2155"/>
      <c r="G22" s="1632">
        <v>49.771000000000001</v>
      </c>
      <c r="H22" s="1612"/>
      <c r="I22" s="1613"/>
      <c r="J22" s="1614"/>
      <c r="K22" s="1614"/>
      <c r="L22" s="1614"/>
      <c r="M22" s="1592"/>
    </row>
    <row r="23" spans="1:13">
      <c r="A23" s="1592"/>
      <c r="B23" s="1609"/>
      <c r="C23" s="1611"/>
      <c r="D23" s="1617" t="s">
        <v>204</v>
      </c>
      <c r="E23" s="1611"/>
      <c r="F23" s="1505"/>
      <c r="G23" s="1723">
        <v>0</v>
      </c>
      <c r="H23" s="1612">
        <v>51.914237319999998</v>
      </c>
      <c r="I23" s="1613"/>
      <c r="J23" s="1614"/>
      <c r="K23" s="1614"/>
      <c r="L23" s="1614"/>
      <c r="M23" s="1592"/>
    </row>
    <row r="24" spans="1:13" ht="13.5" thickBot="1">
      <c r="A24" s="1592"/>
      <c r="B24" s="1609"/>
      <c r="C24" s="1611"/>
      <c r="D24" s="1610"/>
      <c r="E24" s="1607"/>
      <c r="F24" s="1505"/>
      <c r="G24" s="1738"/>
      <c r="H24" s="1616"/>
      <c r="I24" s="1613"/>
      <c r="J24" s="1614"/>
      <c r="K24" s="1614"/>
      <c r="L24" s="1614"/>
      <c r="M24" s="1592"/>
    </row>
    <row r="25" spans="1:13" ht="13.5" thickBot="1">
      <c r="A25" s="1592"/>
      <c r="B25" s="1584"/>
      <c r="C25" s="2158" t="s">
        <v>205</v>
      </c>
      <c r="D25" s="2158"/>
      <c r="E25" s="2158"/>
      <c r="F25" s="2159"/>
      <c r="G25" s="1739"/>
      <c r="H25" s="1740">
        <v>79.510803929999994</v>
      </c>
      <c r="I25" s="1613"/>
      <c r="J25" s="1614"/>
      <c r="K25" s="1614"/>
      <c r="L25" s="1614"/>
      <c r="M25" s="1592"/>
    </row>
    <row r="26" spans="1:13" ht="13.5" thickBot="1">
      <c r="A26" s="1592"/>
      <c r="B26" s="1619"/>
      <c r="C26" s="1620"/>
      <c r="D26" s="1620"/>
      <c r="E26" s="1620"/>
      <c r="F26" s="1621"/>
      <c r="G26" s="1622"/>
      <c r="H26" s="1622"/>
      <c r="I26" s="1623"/>
      <c r="J26" s="1614"/>
      <c r="K26" s="1614"/>
      <c r="L26" s="1614"/>
      <c r="M26" s="1592"/>
    </row>
    <row r="27" spans="1:13" ht="13.5" thickBot="1">
      <c r="A27" s="1592"/>
      <c r="B27" s="1594"/>
      <c r="C27" s="1600"/>
      <c r="D27" s="1592"/>
      <c r="E27" s="1618"/>
      <c r="F27" s="1594"/>
      <c r="G27" s="1614"/>
      <c r="H27" s="1614"/>
      <c r="I27" s="1614"/>
      <c r="J27" s="1614"/>
      <c r="K27" s="1614"/>
      <c r="L27" s="1614"/>
      <c r="M27" s="1592"/>
    </row>
    <row r="28" spans="1:13">
      <c r="A28" s="1592"/>
      <c r="B28" s="1597"/>
      <c r="C28" s="1624" t="s">
        <v>206</v>
      </c>
      <c r="D28" s="1600"/>
      <c r="E28" s="1600"/>
      <c r="F28" s="1625"/>
      <c r="G28" s="1626"/>
      <c r="H28" s="1627"/>
      <c r="I28" s="1627"/>
      <c r="J28" s="1627"/>
      <c r="K28" s="1627"/>
      <c r="L28" s="1627"/>
      <c r="M28" s="1602"/>
    </row>
    <row r="29" spans="1:13" ht="13.5" thickBot="1">
      <c r="A29" s="1592"/>
      <c r="B29" s="1603"/>
      <c r="C29" s="1592"/>
      <c r="D29" s="1598" t="s">
        <v>207</v>
      </c>
      <c r="E29" s="1598"/>
      <c r="F29" s="1593"/>
      <c r="G29" s="1628"/>
      <c r="H29" s="1628"/>
      <c r="I29" s="1614"/>
      <c r="J29" s="1614"/>
      <c r="K29" s="1614"/>
      <c r="L29" s="1614"/>
      <c r="M29" s="1605"/>
    </row>
    <row r="30" spans="1:13" ht="13.5" thickBot="1">
      <c r="A30" s="1592"/>
      <c r="B30" s="1629"/>
      <c r="C30" s="1592"/>
      <c r="D30" s="1611" t="s">
        <v>208</v>
      </c>
      <c r="F30" s="1505"/>
      <c r="G30" s="1630" t="s">
        <v>157</v>
      </c>
      <c r="H30" s="1631"/>
      <c r="I30" s="1614"/>
      <c r="J30" s="1614"/>
      <c r="K30" s="1614"/>
      <c r="L30" s="1614"/>
      <c r="M30" s="1605"/>
    </row>
    <row r="31" spans="1:13">
      <c r="A31" s="1592"/>
      <c r="B31" s="1629"/>
      <c r="C31" s="1592"/>
      <c r="D31" s="1615" t="s">
        <v>209</v>
      </c>
      <c r="F31" s="1592"/>
      <c r="G31" s="1632">
        <v>-0.33737599999999995</v>
      </c>
      <c r="H31" s="1631"/>
      <c r="I31" s="1614"/>
      <c r="J31" s="1614"/>
      <c r="K31" s="1614"/>
      <c r="L31" s="1614"/>
      <c r="M31" s="1605"/>
    </row>
    <row r="32" spans="1:13" ht="14.25">
      <c r="A32" s="1592"/>
      <c r="B32" s="1629"/>
      <c r="C32" s="1592"/>
      <c r="D32" s="1615" t="s">
        <v>210</v>
      </c>
      <c r="F32" s="1592"/>
      <c r="G32" s="1633">
        <v>0</v>
      </c>
      <c r="H32" s="1631"/>
      <c r="I32" s="1614"/>
      <c r="J32" s="1614"/>
      <c r="K32" s="1614"/>
      <c r="L32" s="1614"/>
      <c r="M32" s="1605"/>
    </row>
    <row r="33" spans="1:13" ht="14.25">
      <c r="A33" s="1593"/>
      <c r="B33" s="1634"/>
      <c r="C33" s="1593"/>
      <c r="D33" s="1615" t="s">
        <v>840</v>
      </c>
      <c r="F33" s="1593"/>
      <c r="G33" s="1633">
        <v>-16.942247000000002</v>
      </c>
      <c r="H33" s="1631"/>
      <c r="I33" s="1628"/>
      <c r="J33" s="1628"/>
      <c r="K33" s="1628"/>
      <c r="L33" s="1628"/>
      <c r="M33" s="1635"/>
    </row>
    <row r="34" spans="1:13" ht="15.75" thickBot="1">
      <c r="A34" s="1593"/>
      <c r="B34" s="1634"/>
      <c r="C34" s="1593"/>
      <c r="D34" s="1505"/>
      <c r="E34" s="1636" t="s">
        <v>246</v>
      </c>
      <c r="F34" s="1505"/>
      <c r="G34" s="1637">
        <v>-17.279623000000001</v>
      </c>
      <c r="H34" s="1631"/>
      <c r="I34" s="1628"/>
      <c r="J34" s="1628"/>
      <c r="K34" s="1628"/>
      <c r="L34" s="1628"/>
      <c r="M34" s="1635"/>
    </row>
    <row r="35" spans="1:13" ht="14.25" thickTop="1" thickBot="1">
      <c r="A35" s="1593"/>
      <c r="B35" s="1634"/>
      <c r="C35" s="1596"/>
      <c r="D35" s="1505"/>
      <c r="E35" s="1505"/>
      <c r="F35" s="1505"/>
      <c r="G35" s="1631"/>
      <c r="H35" s="1631"/>
      <c r="I35" s="1628"/>
      <c r="J35" s="1628"/>
      <c r="K35" s="1628"/>
      <c r="L35" s="1628"/>
      <c r="M35" s="1635"/>
    </row>
    <row r="36" spans="1:13" ht="38.25">
      <c r="A36" s="1593"/>
      <c r="B36" s="1584"/>
      <c r="C36" s="1505"/>
      <c r="D36" s="1505"/>
      <c r="E36" s="2172" t="s">
        <v>155</v>
      </c>
      <c r="F36" s="2173"/>
      <c r="G36" s="1729" t="s">
        <v>8</v>
      </c>
      <c r="H36" s="1729" t="s">
        <v>9</v>
      </c>
      <c r="I36" s="1729" t="s">
        <v>10</v>
      </c>
      <c r="J36" s="1729" t="s">
        <v>11</v>
      </c>
      <c r="K36" s="1730" t="s">
        <v>447</v>
      </c>
      <c r="L36" s="2170" t="s">
        <v>12</v>
      </c>
      <c r="M36" s="1635"/>
    </row>
    <row r="37" spans="1:13">
      <c r="A37" s="1593"/>
      <c r="B37" s="1584"/>
      <c r="C37" s="1505"/>
      <c r="D37" s="1505"/>
      <c r="E37" s="2168" t="s">
        <v>13</v>
      </c>
      <c r="F37" s="2169"/>
      <c r="G37" s="1638" t="s">
        <v>14</v>
      </c>
      <c r="H37" s="1638" t="s">
        <v>14</v>
      </c>
      <c r="I37" s="1638" t="s">
        <v>14</v>
      </c>
      <c r="J37" s="1638" t="s">
        <v>14</v>
      </c>
      <c r="K37" s="1731" t="s">
        <v>14</v>
      </c>
      <c r="L37" s="2171"/>
      <c r="M37" s="1635"/>
    </row>
    <row r="38" spans="1:13" ht="14.25">
      <c r="A38" s="1593"/>
      <c r="B38" s="1584"/>
      <c r="C38" s="1505"/>
      <c r="D38" s="1505"/>
      <c r="E38" s="2166"/>
      <c r="F38" s="2167"/>
      <c r="G38" s="1639">
        <v>0.17078499999999999</v>
      </c>
      <c r="H38" s="1639">
        <v>0.170513</v>
      </c>
      <c r="I38" s="1640">
        <v>2.7199999999999447E-4</v>
      </c>
      <c r="J38" s="1639">
        <v>0.31273699999999999</v>
      </c>
      <c r="K38" s="1732">
        <v>-0.31246499999999999</v>
      </c>
      <c r="L38" s="1734" t="s">
        <v>1055</v>
      </c>
      <c r="M38" s="1635"/>
    </row>
    <row r="39" spans="1:13" ht="14.25">
      <c r="A39" s="1593"/>
      <c r="B39" s="1584"/>
      <c r="C39" s="1505"/>
      <c r="D39" s="1505"/>
      <c r="E39" s="2166"/>
      <c r="F39" s="2167"/>
      <c r="G39" s="1639">
        <v>0.1341</v>
      </c>
      <c r="H39" s="1639">
        <v>0</v>
      </c>
      <c r="I39" s="1640">
        <v>0.1341</v>
      </c>
      <c r="J39" s="1639">
        <v>0.1341</v>
      </c>
      <c r="K39" s="1732">
        <v>0</v>
      </c>
      <c r="L39" s="1735" t="s">
        <v>1055</v>
      </c>
      <c r="M39" s="1635"/>
    </row>
    <row r="40" spans="1:13" ht="14.25">
      <c r="A40" s="1593"/>
      <c r="B40" s="1584"/>
      <c r="C40" s="1505"/>
      <c r="D40" s="1505"/>
      <c r="E40" s="2166"/>
      <c r="F40" s="2167"/>
      <c r="G40" s="1639">
        <v>3.0800999999999999E-2</v>
      </c>
      <c r="H40" s="1639">
        <v>6.1619999999999999E-3</v>
      </c>
      <c r="I40" s="1640">
        <v>2.4638999999999998E-2</v>
      </c>
      <c r="J40" s="1639">
        <v>2.4638999999999998E-2</v>
      </c>
      <c r="K40" s="1732">
        <v>0</v>
      </c>
      <c r="L40" s="1735" t="s">
        <v>1055</v>
      </c>
      <c r="M40" s="1635"/>
    </row>
    <row r="41" spans="1:13" ht="14.25">
      <c r="A41" s="1593"/>
      <c r="B41" s="1584"/>
      <c r="C41" s="1505"/>
      <c r="D41" s="1505"/>
      <c r="E41" s="2166"/>
      <c r="F41" s="2167"/>
      <c r="G41" s="1639">
        <v>0.26225799999999999</v>
      </c>
      <c r="H41" s="1639">
        <v>6.8647E-2</v>
      </c>
      <c r="I41" s="1640">
        <v>0.19361099999999998</v>
      </c>
      <c r="J41" s="1639">
        <v>0.19361099999999998</v>
      </c>
      <c r="K41" s="1732">
        <v>0</v>
      </c>
      <c r="L41" s="1735" t="s">
        <v>1055</v>
      </c>
      <c r="M41" s="1635"/>
    </row>
    <row r="42" spans="1:13" ht="14.25">
      <c r="A42" s="1593"/>
      <c r="B42" s="1584"/>
      <c r="C42" s="1505"/>
      <c r="D42" s="1505"/>
      <c r="E42" s="2166"/>
      <c r="F42" s="2167"/>
      <c r="G42" s="1641">
        <v>13.327817999999999</v>
      </c>
      <c r="H42" s="1641">
        <v>8.7060910000000007</v>
      </c>
      <c r="I42" s="1642">
        <v>4.6217269999999981</v>
      </c>
      <c r="J42" s="1641">
        <v>4.621726999999999</v>
      </c>
      <c r="K42" s="1733">
        <v>0</v>
      </c>
      <c r="L42" s="1735" t="s">
        <v>1055</v>
      </c>
      <c r="M42" s="1635"/>
    </row>
    <row r="43" spans="1:13" ht="14.25">
      <c r="A43" s="1593"/>
      <c r="B43" s="1584"/>
      <c r="C43" s="1505"/>
      <c r="D43" s="1505"/>
      <c r="E43" s="2166"/>
      <c r="F43" s="2167"/>
      <c r="G43" s="1641">
        <v>17.720642999999999</v>
      </c>
      <c r="H43" s="1641">
        <v>12.211765</v>
      </c>
      <c r="I43" s="1642">
        <v>5.5088779999999993</v>
      </c>
      <c r="J43" s="1641">
        <v>5.5088780000000011</v>
      </c>
      <c r="K43" s="1733">
        <v>0</v>
      </c>
      <c r="L43" s="1735" t="s">
        <v>1055</v>
      </c>
      <c r="M43" s="1635"/>
    </row>
    <row r="44" spans="1:13" ht="14.25">
      <c r="A44" s="1593"/>
      <c r="B44" s="1584"/>
      <c r="C44" s="1505"/>
      <c r="D44" s="1505"/>
      <c r="E44" s="2166"/>
      <c r="F44" s="2167"/>
      <c r="G44" s="1641">
        <v>11.093896000000001</v>
      </c>
      <c r="H44" s="1641">
        <v>2.1759850000000003</v>
      </c>
      <c r="I44" s="1642">
        <v>8.9179110000000001</v>
      </c>
      <c r="J44" s="1641">
        <v>6.2839310000000008</v>
      </c>
      <c r="K44" s="1733">
        <v>2.6339799999999993</v>
      </c>
      <c r="L44" s="1735" t="s">
        <v>1055</v>
      </c>
      <c r="M44" s="1635"/>
    </row>
    <row r="45" spans="1:13" ht="14.25">
      <c r="A45" s="1593"/>
      <c r="B45" s="1584"/>
      <c r="C45" s="1505"/>
      <c r="D45" s="1505"/>
      <c r="E45" s="2166"/>
      <c r="F45" s="2167"/>
      <c r="G45" s="1641">
        <v>1.4150611000000002</v>
      </c>
      <c r="H45" s="1641">
        <v>1.3933768099999999</v>
      </c>
      <c r="I45" s="1642">
        <v>2.1684290000000273E-2</v>
      </c>
      <c r="J45" s="1641">
        <v>0.2</v>
      </c>
      <c r="K45" s="1733">
        <v>-0.17831570999999974</v>
      </c>
      <c r="L45" s="1735" t="s">
        <v>1056</v>
      </c>
      <c r="M45" s="1635"/>
    </row>
    <row r="46" spans="1:13" ht="14.25">
      <c r="A46" s="1593"/>
      <c r="B46" s="1584"/>
      <c r="C46" s="1505"/>
      <c r="D46" s="1505"/>
      <c r="E46" s="2166"/>
      <c r="F46" s="2167"/>
      <c r="G46" s="1641">
        <v>8.9465000000000003E-2</v>
      </c>
      <c r="H46" s="1641">
        <v>8.9426969999999995E-2</v>
      </c>
      <c r="I46" s="1642">
        <v>3.8030000000008335E-5</v>
      </c>
      <c r="J46" s="1641">
        <v>0</v>
      </c>
      <c r="K46" s="1733">
        <v>3.8030000000008335E-5</v>
      </c>
      <c r="L46" s="1735" t="s">
        <v>1056</v>
      </c>
      <c r="M46" s="1635"/>
    </row>
    <row r="47" spans="1:13" ht="14.25">
      <c r="A47" s="1593"/>
      <c r="B47" s="1584"/>
      <c r="C47" s="1505"/>
      <c r="D47" s="1505"/>
      <c r="E47" s="2166"/>
      <c r="F47" s="2167"/>
      <c r="G47" s="1641">
        <v>0</v>
      </c>
      <c r="H47" s="1641">
        <v>0</v>
      </c>
      <c r="I47" s="1642">
        <v>0</v>
      </c>
      <c r="J47" s="1641">
        <v>0</v>
      </c>
      <c r="K47" s="1733">
        <v>0</v>
      </c>
      <c r="L47" s="1735">
        <v>0</v>
      </c>
      <c r="M47" s="1635"/>
    </row>
    <row r="48" spans="1:13" ht="14.25">
      <c r="A48" s="1593"/>
      <c r="B48" s="1584"/>
      <c r="C48" s="1505"/>
      <c r="D48" s="1505"/>
      <c r="E48" s="2166"/>
      <c r="F48" s="2167"/>
      <c r="G48" s="1641">
        <v>0</v>
      </c>
      <c r="H48" s="1641">
        <v>0</v>
      </c>
      <c r="I48" s="1642">
        <v>0</v>
      </c>
      <c r="J48" s="1641">
        <v>0</v>
      </c>
      <c r="K48" s="1733">
        <v>0</v>
      </c>
      <c r="L48" s="1735">
        <v>0</v>
      </c>
      <c r="M48" s="1635"/>
    </row>
    <row r="49" spans="1:13" ht="14.25">
      <c r="A49" s="1593"/>
      <c r="B49" s="1584"/>
      <c r="C49" s="1505"/>
      <c r="D49" s="1505"/>
      <c r="E49" s="2166"/>
      <c r="F49" s="2167"/>
      <c r="G49" s="1641">
        <v>0</v>
      </c>
      <c r="H49" s="1641">
        <v>0</v>
      </c>
      <c r="I49" s="1642">
        <v>0</v>
      </c>
      <c r="J49" s="1641">
        <v>0</v>
      </c>
      <c r="K49" s="1733">
        <v>0</v>
      </c>
      <c r="L49" s="1735">
        <v>0</v>
      </c>
      <c r="M49" s="1635"/>
    </row>
    <row r="50" spans="1:13" ht="15" thickBot="1">
      <c r="A50" s="1593"/>
      <c r="B50" s="1584"/>
      <c r="C50" s="1505"/>
      <c r="D50" s="1505"/>
      <c r="E50" s="2166"/>
      <c r="F50" s="2167"/>
      <c r="G50" s="1641">
        <v>0</v>
      </c>
      <c r="H50" s="1641">
        <v>0</v>
      </c>
      <c r="I50" s="1642">
        <v>0</v>
      </c>
      <c r="J50" s="1641"/>
      <c r="K50" s="1733">
        <v>0</v>
      </c>
      <c r="L50" s="1736">
        <v>0</v>
      </c>
      <c r="M50" s="1635"/>
    </row>
    <row r="51" spans="1:13" ht="13.5" thickBot="1">
      <c r="A51" s="1593"/>
      <c r="B51" s="1584"/>
      <c r="C51" s="1505"/>
      <c r="D51" s="1505"/>
      <c r="E51" s="1676" t="s">
        <v>246</v>
      </c>
      <c r="F51" s="1676"/>
      <c r="G51" s="1676">
        <v>44.244827100000002</v>
      </c>
      <c r="H51" s="1676">
        <v>24.821966780000004</v>
      </c>
      <c r="I51" s="1676">
        <v>19.422860319999995</v>
      </c>
      <c r="J51" s="1676">
        <v>17.279622999999997</v>
      </c>
      <c r="K51" s="1676">
        <v>2.1432373199999994</v>
      </c>
      <c r="L51" s="1593"/>
      <c r="M51" s="1635"/>
    </row>
    <row r="52" spans="1:13">
      <c r="A52" s="1593"/>
      <c r="B52" s="1584"/>
      <c r="C52" s="1505"/>
      <c r="D52" s="1505"/>
      <c r="E52" s="1505"/>
      <c r="F52" s="1505"/>
      <c r="G52" s="1593"/>
      <c r="H52" s="1593"/>
      <c r="I52" s="1593"/>
      <c r="J52" s="1643" t="s">
        <v>728</v>
      </c>
      <c r="K52" s="1643" t="s">
        <v>728</v>
      </c>
      <c r="L52" s="1593"/>
      <c r="M52" s="1635"/>
    </row>
    <row r="53" spans="1:13" ht="13.5" thickBot="1">
      <c r="A53" s="1593"/>
      <c r="B53" s="1584"/>
      <c r="C53" s="1505"/>
      <c r="D53" s="1505"/>
      <c r="E53" s="1505"/>
      <c r="F53" s="1505"/>
      <c r="G53" s="1593"/>
      <c r="H53" s="1593"/>
      <c r="I53" s="1593"/>
      <c r="J53" s="1593"/>
      <c r="K53" s="1593"/>
      <c r="L53" s="1593"/>
      <c r="M53" s="1635"/>
    </row>
    <row r="54" spans="1:13" ht="13.5" thickBot="1">
      <c r="A54" s="1593"/>
      <c r="B54" s="1584"/>
      <c r="C54" s="1598" t="s">
        <v>729</v>
      </c>
      <c r="E54" s="1645"/>
      <c r="F54" s="1593"/>
      <c r="G54" s="1630" t="s">
        <v>14</v>
      </c>
      <c r="H54" s="1630" t="s">
        <v>14</v>
      </c>
      <c r="I54" s="1593"/>
      <c r="J54" s="1628"/>
      <c r="K54" s="1628"/>
      <c r="L54" s="1628"/>
      <c r="M54" s="1646"/>
    </row>
    <row r="55" spans="1:13" ht="26.25" thickBot="1">
      <c r="A55" s="1593"/>
      <c r="B55" s="1584"/>
      <c r="C55" s="1505"/>
      <c r="D55" s="1593"/>
      <c r="E55" s="1593"/>
      <c r="F55" s="1593"/>
      <c r="G55" s="1647"/>
      <c r="H55" s="1648" t="s">
        <v>730</v>
      </c>
      <c r="I55" s="1593"/>
      <c r="J55" s="1628"/>
      <c r="K55" s="1628"/>
      <c r="L55" s="1628"/>
      <c r="M55" s="1646"/>
    </row>
    <row r="56" spans="1:13">
      <c r="A56" s="1593"/>
      <c r="B56" s="1584"/>
      <c r="D56" s="1645" t="s">
        <v>731</v>
      </c>
      <c r="F56" s="1593"/>
      <c r="G56" s="1632">
        <v>0</v>
      </c>
      <c r="H56" s="1649">
        <v>0</v>
      </c>
      <c r="I56" s="1593"/>
      <c r="J56" s="1628"/>
      <c r="K56" s="1628"/>
      <c r="L56" s="1628"/>
      <c r="M56" s="1646"/>
    </row>
    <row r="57" spans="1:13" ht="13.5" thickBot="1">
      <c r="A57" s="1593"/>
      <c r="B57" s="1584"/>
      <c r="D57" s="1645" t="s">
        <v>732</v>
      </c>
      <c r="F57" s="1593"/>
      <c r="G57" s="1632">
        <v>0</v>
      </c>
      <c r="H57" s="1650">
        <v>0</v>
      </c>
      <c r="I57" s="1593"/>
      <c r="J57" s="1628"/>
      <c r="K57" s="1628"/>
      <c r="L57" s="1628"/>
      <c r="M57" s="1646"/>
    </row>
    <row r="58" spans="1:13" ht="13.5" thickBot="1">
      <c r="A58" s="1593"/>
      <c r="B58" s="1584"/>
      <c r="C58" s="1505"/>
      <c r="E58" s="1636" t="s">
        <v>733</v>
      </c>
      <c r="F58" s="1593"/>
      <c r="G58" s="1651">
        <v>0</v>
      </c>
      <c r="H58" s="1628"/>
      <c r="I58" s="1593"/>
      <c r="J58" s="1628"/>
      <c r="K58" s="1628"/>
      <c r="L58" s="1628"/>
      <c r="M58" s="1646"/>
    </row>
    <row r="59" spans="1:13" ht="14.25" thickTop="1" thickBot="1">
      <c r="A59" s="1593"/>
      <c r="B59" s="1584"/>
      <c r="C59" s="1505"/>
      <c r="D59" s="1505"/>
      <c r="E59" s="1636"/>
      <c r="F59" s="1593"/>
      <c r="G59" s="1628"/>
      <c r="H59" s="1628"/>
      <c r="I59" s="1593"/>
      <c r="J59" s="1628"/>
      <c r="K59" s="1628"/>
      <c r="L59" s="1628"/>
      <c r="M59" s="1646"/>
    </row>
    <row r="60" spans="1:13" ht="73.5" customHeight="1" thickBot="1">
      <c r="A60" s="1593"/>
      <c r="B60" s="1584"/>
      <c r="C60" s="2160" t="s">
        <v>95</v>
      </c>
      <c r="D60" s="2160"/>
      <c r="E60" s="2160"/>
      <c r="F60" s="1593"/>
      <c r="G60" s="1652" t="s">
        <v>246</v>
      </c>
      <c r="H60" s="1653" t="s">
        <v>96</v>
      </c>
      <c r="I60" s="1653" t="s">
        <v>97</v>
      </c>
      <c r="J60" s="1653" t="s">
        <v>98</v>
      </c>
      <c r="K60" s="1653" t="s">
        <v>99</v>
      </c>
      <c r="L60" s="1628"/>
      <c r="M60" s="1635"/>
    </row>
    <row r="61" spans="1:13" ht="13.5" thickBot="1">
      <c r="A61" s="1593"/>
      <c r="B61" s="1634"/>
      <c r="C61" s="1596"/>
      <c r="D61" s="1598"/>
      <c r="E61" s="1562"/>
      <c r="F61" s="1505"/>
      <c r="G61" s="1630" t="s">
        <v>14</v>
      </c>
      <c r="H61" s="1630" t="s">
        <v>14</v>
      </c>
      <c r="I61" s="1630" t="s">
        <v>14</v>
      </c>
      <c r="J61" s="1630" t="s">
        <v>14</v>
      </c>
      <c r="K61" s="1630" t="s">
        <v>14</v>
      </c>
      <c r="L61" s="1628"/>
      <c r="M61" s="1635"/>
    </row>
    <row r="62" spans="1:13">
      <c r="A62" s="1593"/>
      <c r="B62" s="1634"/>
      <c r="D62" s="2154" t="s">
        <v>100</v>
      </c>
      <c r="E62" s="2154"/>
      <c r="F62" s="2155"/>
      <c r="G62" s="1654">
        <v>-2.0513537374125059</v>
      </c>
      <c r="H62" s="1655">
        <v>-0.44830776142227252</v>
      </c>
      <c r="I62" s="1656">
        <v>-0.41700696499193829</v>
      </c>
      <c r="J62" s="1656">
        <v>-1.1206507958357173</v>
      </c>
      <c r="K62" s="1657">
        <v>-6.5388215162577992E-2</v>
      </c>
      <c r="L62" s="1628"/>
      <c r="M62" s="1635"/>
    </row>
    <row r="63" spans="1:13" ht="24.75" customHeight="1" thickBot="1">
      <c r="A63" s="1593"/>
      <c r="B63" s="1634"/>
      <c r="D63" s="2154" t="s">
        <v>176</v>
      </c>
      <c r="E63" s="2154"/>
      <c r="F63" s="2155"/>
      <c r="G63" s="1658">
        <v>2.0513537374125059</v>
      </c>
      <c r="H63" s="1659">
        <v>0.44830776142227252</v>
      </c>
      <c r="I63" s="1660">
        <v>0.41700696499193829</v>
      </c>
      <c r="J63" s="1660">
        <v>1.1206507958357173</v>
      </c>
      <c r="K63" s="1661">
        <v>6.5388215162577992E-2</v>
      </c>
      <c r="L63" s="1628"/>
      <c r="M63" s="1635"/>
    </row>
    <row r="64" spans="1:13" ht="13.5" thickBot="1">
      <c r="A64" s="1593"/>
      <c r="B64" s="1634"/>
      <c r="C64" s="1596"/>
      <c r="D64" s="1505"/>
      <c r="E64" s="1505"/>
      <c r="F64" s="1505"/>
      <c r="G64" s="1631"/>
      <c r="H64" s="1631"/>
      <c r="I64" s="1628"/>
      <c r="J64" s="1628"/>
      <c r="K64" s="1628"/>
      <c r="L64" s="1628"/>
      <c r="M64" s="1635"/>
    </row>
    <row r="65" spans="1:13" ht="90" thickBot="1">
      <c r="A65" s="1593"/>
      <c r="B65" s="1584"/>
      <c r="C65" s="2160" t="s">
        <v>40</v>
      </c>
      <c r="D65" s="2160"/>
      <c r="E65" s="2160"/>
      <c r="F65" s="1593"/>
      <c r="G65" s="1662" t="s">
        <v>246</v>
      </c>
      <c r="H65" s="1663" t="s">
        <v>753</v>
      </c>
      <c r="I65" s="1663" t="s">
        <v>211</v>
      </c>
      <c r="J65" s="1663" t="s">
        <v>212</v>
      </c>
      <c r="K65" s="1663" t="s">
        <v>213</v>
      </c>
      <c r="L65" s="1663" t="s">
        <v>214</v>
      </c>
      <c r="M65" s="1635"/>
    </row>
    <row r="66" spans="1:13" ht="13.5" thickBot="1">
      <c r="A66" s="1593"/>
      <c r="B66" s="1584"/>
      <c r="C66" s="1505"/>
      <c r="D66" s="1645"/>
      <c r="E66" s="1593"/>
      <c r="F66" s="1593"/>
      <c r="G66" s="1630" t="s">
        <v>14</v>
      </c>
      <c r="H66" s="1630" t="s">
        <v>14</v>
      </c>
      <c r="I66" s="1630" t="s">
        <v>14</v>
      </c>
      <c r="J66" s="1630" t="s">
        <v>14</v>
      </c>
      <c r="K66" s="1630" t="s">
        <v>14</v>
      </c>
      <c r="L66" s="1630" t="s">
        <v>14</v>
      </c>
      <c r="M66" s="1635"/>
    </row>
    <row r="67" spans="1:13" ht="14.25">
      <c r="A67" s="1593"/>
      <c r="B67" s="1584"/>
      <c r="D67" s="1617" t="s">
        <v>215</v>
      </c>
      <c r="F67" s="1593"/>
      <c r="G67" s="1664">
        <v>0.1</v>
      </c>
      <c r="H67" s="1665">
        <v>0</v>
      </c>
      <c r="I67" s="1666">
        <v>0</v>
      </c>
      <c r="J67" s="1666">
        <v>0.1</v>
      </c>
      <c r="K67" s="1667">
        <v>0</v>
      </c>
      <c r="L67" s="1668">
        <v>0</v>
      </c>
      <c r="M67" s="1635"/>
    </row>
    <row r="68" spans="1:13">
      <c r="A68" s="1593"/>
      <c r="B68" s="1584"/>
      <c r="D68" s="1645" t="s">
        <v>107</v>
      </c>
      <c r="F68" s="1593"/>
      <c r="G68" s="1669">
        <v>0.10442487076963758</v>
      </c>
      <c r="H68" s="1670">
        <v>1.6734887064506535E-3</v>
      </c>
      <c r="I68" s="1671">
        <v>9.9575613795699781E-3</v>
      </c>
      <c r="J68" s="1671">
        <v>9.240000000000001E-2</v>
      </c>
      <c r="K68" s="1667">
        <v>3.9382068361692736E-4</v>
      </c>
      <c r="L68" s="1668">
        <v>0</v>
      </c>
      <c r="M68" s="1635"/>
    </row>
    <row r="69" spans="1:13">
      <c r="A69" s="1593"/>
      <c r="B69" s="1584"/>
      <c r="D69" s="1645" t="s">
        <v>108</v>
      </c>
      <c r="F69" s="1593"/>
      <c r="G69" s="1669">
        <v>0</v>
      </c>
      <c r="H69" s="1670">
        <v>0</v>
      </c>
      <c r="I69" s="1671">
        <v>0</v>
      </c>
      <c r="J69" s="1671">
        <v>0</v>
      </c>
      <c r="K69" s="1667">
        <v>0</v>
      </c>
      <c r="L69" s="1668">
        <v>0</v>
      </c>
      <c r="M69" s="1635"/>
    </row>
    <row r="70" spans="1:13">
      <c r="A70" s="1593"/>
      <c r="B70" s="1584"/>
      <c r="D70" s="1645" t="s">
        <v>109</v>
      </c>
      <c r="F70" s="1593"/>
      <c r="G70" s="1669">
        <v>0</v>
      </c>
      <c r="H70" s="1672">
        <v>0</v>
      </c>
      <c r="I70" s="1673">
        <v>0</v>
      </c>
      <c r="J70" s="1673">
        <v>0</v>
      </c>
      <c r="K70" s="1674">
        <v>0</v>
      </c>
      <c r="L70" s="1675">
        <v>0</v>
      </c>
      <c r="M70" s="1635"/>
    </row>
    <row r="71" spans="1:13" ht="13.5" thickBot="1">
      <c r="A71" s="1593"/>
      <c r="B71" s="1584"/>
      <c r="C71" s="1505"/>
      <c r="D71" s="1505"/>
      <c r="E71" s="1636" t="s">
        <v>110</v>
      </c>
      <c r="F71" s="1593"/>
      <c r="G71" s="1676">
        <v>0.20442487076963758</v>
      </c>
      <c r="H71" s="1676">
        <v>1.6734887064506535E-3</v>
      </c>
      <c r="I71" s="1676">
        <v>9.9575613795699781E-3</v>
      </c>
      <c r="J71" s="1676">
        <v>0.19240000000000002</v>
      </c>
      <c r="K71" s="1676">
        <v>3.9382068361692736E-4</v>
      </c>
      <c r="L71" s="1676">
        <v>0</v>
      </c>
      <c r="M71" s="1635"/>
    </row>
    <row r="72" spans="1:13" ht="13.5" thickBot="1">
      <c r="A72" s="1593"/>
      <c r="B72" s="1677"/>
      <c r="C72" s="1678"/>
      <c r="D72" s="1678"/>
      <c r="E72" s="1679"/>
      <c r="F72" s="1680"/>
      <c r="G72" s="1679"/>
      <c r="H72" s="1681"/>
      <c r="I72" s="1682"/>
      <c r="J72" s="1682"/>
      <c r="K72" s="1682"/>
      <c r="L72" s="1682"/>
      <c r="M72" s="1683"/>
    </row>
    <row r="73" spans="1:13" ht="13.5" thickBot="1">
      <c r="A73" s="1593"/>
      <c r="B73" s="1593"/>
      <c r="C73" s="1680"/>
      <c r="D73" s="1593"/>
      <c r="E73" s="1593"/>
      <c r="F73" s="1593"/>
      <c r="G73" s="1628"/>
      <c r="H73" s="1628"/>
      <c r="I73" s="1628"/>
      <c r="J73" s="1628"/>
      <c r="K73" s="1628"/>
      <c r="L73" s="1628"/>
      <c r="M73" s="1593"/>
    </row>
    <row r="74" spans="1:13">
      <c r="A74" s="1593"/>
      <c r="B74" s="1597"/>
      <c r="C74" s="1598" t="s">
        <v>111</v>
      </c>
      <c r="D74" s="1600"/>
      <c r="E74" s="1684"/>
      <c r="F74" s="1600"/>
      <c r="G74" s="1627"/>
      <c r="H74" s="1627"/>
      <c r="I74" s="1626"/>
      <c r="J74" s="1626"/>
      <c r="K74" s="1626"/>
      <c r="L74" s="1626"/>
      <c r="M74" s="1685"/>
    </row>
    <row r="75" spans="1:13" ht="13.5" thickBot="1">
      <c r="A75" s="1593"/>
      <c r="B75" s="1603"/>
      <c r="C75" s="1644"/>
      <c r="D75" s="1592"/>
      <c r="E75" s="1610"/>
      <c r="F75" s="1592"/>
      <c r="G75" s="1614"/>
      <c r="H75" s="1614"/>
      <c r="I75" s="1628"/>
      <c r="J75" s="1628"/>
      <c r="K75" s="1628"/>
      <c r="L75" s="1628"/>
      <c r="M75" s="1635"/>
    </row>
    <row r="76" spans="1:13" ht="90" customHeight="1" thickBot="1">
      <c r="A76" s="1593"/>
      <c r="B76" s="1584"/>
      <c r="C76" s="2160" t="s">
        <v>94</v>
      </c>
      <c r="D76" s="2160"/>
      <c r="E76" s="2160"/>
      <c r="F76" s="2161"/>
      <c r="G76" s="1662" t="s">
        <v>246</v>
      </c>
      <c r="H76" s="1663" t="s">
        <v>753</v>
      </c>
      <c r="I76" s="1663" t="s">
        <v>211</v>
      </c>
      <c r="J76" s="1663" t="s">
        <v>212</v>
      </c>
      <c r="K76" s="1663" t="s">
        <v>213</v>
      </c>
      <c r="L76" s="1663" t="s">
        <v>214</v>
      </c>
      <c r="M76" s="1635"/>
    </row>
    <row r="77" spans="1:13" ht="13.5" thickBot="1">
      <c r="A77" s="1593"/>
      <c r="B77" s="1584"/>
      <c r="C77" s="1505"/>
      <c r="D77" s="1645"/>
      <c r="E77" s="1593"/>
      <c r="F77" s="1593"/>
      <c r="G77" s="1630" t="s">
        <v>14</v>
      </c>
      <c r="H77" s="1630" t="s">
        <v>14</v>
      </c>
      <c r="I77" s="1630" t="s">
        <v>14</v>
      </c>
      <c r="J77" s="1630" t="s">
        <v>14</v>
      </c>
      <c r="K77" s="1630" t="s">
        <v>14</v>
      </c>
      <c r="L77" s="1630" t="s">
        <v>14</v>
      </c>
      <c r="M77" s="1635"/>
    </row>
    <row r="78" spans="1:13">
      <c r="A78" s="1593"/>
      <c r="B78" s="1584"/>
      <c r="C78" s="1505"/>
      <c r="D78" s="1505" t="s">
        <v>107</v>
      </c>
      <c r="E78" s="1505"/>
      <c r="G78" s="1686">
        <v>0</v>
      </c>
      <c r="H78" s="1687"/>
      <c r="I78" s="1688"/>
      <c r="J78" s="1688"/>
      <c r="K78" s="1689"/>
      <c r="L78" s="1690"/>
      <c r="M78" s="1635"/>
    </row>
    <row r="79" spans="1:13">
      <c r="A79" s="1593"/>
      <c r="B79" s="1584"/>
      <c r="C79" s="1505"/>
      <c r="D79" s="1505" t="s">
        <v>108</v>
      </c>
      <c r="E79" s="1505"/>
      <c r="G79" s="1686">
        <v>0</v>
      </c>
      <c r="H79" s="1687"/>
      <c r="I79" s="1688"/>
      <c r="J79" s="1688"/>
      <c r="K79" s="1689"/>
      <c r="L79" s="1690"/>
      <c r="M79" s="1635"/>
    </row>
    <row r="80" spans="1:13">
      <c r="A80" s="1593"/>
      <c r="B80" s="1584"/>
      <c r="C80" s="1505"/>
      <c r="D80" s="1505" t="s">
        <v>109</v>
      </c>
      <c r="E80" s="1505"/>
      <c r="G80" s="1686">
        <v>0</v>
      </c>
      <c r="H80" s="1691"/>
      <c r="I80" s="1692"/>
      <c r="J80" s="1692"/>
      <c r="K80" s="1693"/>
      <c r="L80" s="1694"/>
      <c r="M80" s="1635"/>
    </row>
    <row r="81" spans="1:13" ht="13.5" thickBot="1">
      <c r="A81" s="1593"/>
      <c r="B81" s="1584"/>
      <c r="C81" s="1505"/>
      <c r="D81" s="1505"/>
      <c r="F81" s="1728" t="s">
        <v>246</v>
      </c>
      <c r="G81" s="1695">
        <v>0</v>
      </c>
      <c r="H81" s="1695">
        <v>0</v>
      </c>
      <c r="I81" s="1695">
        <v>0</v>
      </c>
      <c r="J81" s="1695">
        <v>0</v>
      </c>
      <c r="K81" s="1695">
        <v>0</v>
      </c>
      <c r="L81" s="1695">
        <v>0</v>
      </c>
      <c r="M81" s="1635"/>
    </row>
    <row r="82" spans="1:13" ht="13.5" thickBot="1">
      <c r="A82" s="1593"/>
      <c r="B82" s="1584"/>
      <c r="C82" s="1505"/>
      <c r="D82" s="1505"/>
      <c r="E82" s="1645"/>
      <c r="F82" s="1593"/>
      <c r="G82" s="1696"/>
      <c r="H82" s="1696"/>
      <c r="I82" s="1628"/>
      <c r="J82" s="1628"/>
      <c r="K82" s="1628"/>
      <c r="L82" s="1628"/>
      <c r="M82" s="1635"/>
    </row>
    <row r="83" spans="1:13" ht="27" customHeight="1" thickBot="1">
      <c r="A83" s="1593"/>
      <c r="B83" s="1584"/>
      <c r="C83" s="2164" t="s">
        <v>187</v>
      </c>
      <c r="D83" s="2164"/>
      <c r="E83" s="2164"/>
      <c r="F83" s="2165"/>
      <c r="G83" s="1698">
        <v>0</v>
      </c>
      <c r="H83" s="1699"/>
      <c r="I83" s="1700">
        <v>0</v>
      </c>
      <c r="J83" s="1699"/>
      <c r="K83" s="1701"/>
      <c r="L83" s="1702"/>
      <c r="M83" s="1635"/>
    </row>
    <row r="84" spans="1:13" ht="13.5" thickBot="1">
      <c r="A84" s="1593"/>
      <c r="B84" s="1677"/>
      <c r="C84" s="1678"/>
      <c r="D84" s="1678"/>
      <c r="E84" s="1703"/>
      <c r="F84" s="1680"/>
      <c r="G84" s="1704"/>
      <c r="H84" s="1705"/>
      <c r="I84" s="1704"/>
      <c r="J84" s="1704"/>
      <c r="K84" s="1704"/>
      <c r="L84" s="1704"/>
      <c r="M84" s="1706"/>
    </row>
    <row r="85" spans="1:13" ht="13.5" thickBot="1">
      <c r="A85" s="1645"/>
      <c r="B85" s="1645"/>
      <c r="C85" s="1647"/>
      <c r="D85" s="1505"/>
      <c r="E85" s="1645"/>
      <c r="F85" s="1593"/>
      <c r="G85" s="1628"/>
      <c r="H85" s="1696"/>
      <c r="I85" s="1628"/>
      <c r="J85" s="1628"/>
      <c r="K85" s="1628"/>
      <c r="L85" s="1628"/>
      <c r="M85" s="1593"/>
    </row>
    <row r="86" spans="1:13" ht="13.5" thickBot="1">
      <c r="A86" s="1593"/>
      <c r="B86" s="1707"/>
      <c r="C86" s="1624" t="s">
        <v>175</v>
      </c>
      <c r="D86" s="1708"/>
      <c r="E86" s="1709"/>
      <c r="F86" s="1710"/>
      <c r="G86" s="1711"/>
      <c r="H86" s="1711"/>
      <c r="I86" s="1712"/>
      <c r="J86" s="1628"/>
      <c r="K86" s="1628"/>
      <c r="L86" s="1628"/>
      <c r="M86" s="1593"/>
    </row>
    <row r="87" spans="1:13" ht="13.5" thickBot="1">
      <c r="A87" s="1593"/>
      <c r="B87" s="1584"/>
      <c r="C87" s="1505"/>
      <c r="D87" s="1505"/>
      <c r="E87" s="1636"/>
      <c r="F87" s="1593"/>
      <c r="G87" s="1630" t="s">
        <v>14</v>
      </c>
      <c r="H87" s="1696"/>
      <c r="I87" s="1646"/>
      <c r="J87" s="1628"/>
      <c r="K87" s="1628"/>
      <c r="L87" s="1628"/>
      <c r="M87" s="1593"/>
    </row>
    <row r="88" spans="1:13" ht="29.25" customHeight="1" thickBot="1">
      <c r="A88" s="1593"/>
      <c r="B88" s="1584"/>
      <c r="C88" s="2160" t="s">
        <v>664</v>
      </c>
      <c r="D88" s="2160"/>
      <c r="E88" s="2160"/>
      <c r="F88" s="2161"/>
      <c r="G88" s="1727">
        <v>0.20649999999999999</v>
      </c>
      <c r="H88" s="1628"/>
      <c r="I88" s="1646"/>
      <c r="J88" s="1628"/>
      <c r="K88" s="1628"/>
      <c r="L88" s="1628"/>
      <c r="M88" s="1593"/>
    </row>
    <row r="89" spans="1:13" ht="27" customHeight="1" thickBot="1">
      <c r="A89" s="1593"/>
      <c r="B89" s="1584"/>
      <c r="C89" s="2160" t="s">
        <v>920</v>
      </c>
      <c r="D89" s="2160"/>
      <c r="E89" s="2160"/>
      <c r="F89" s="2161"/>
      <c r="G89" s="1713">
        <v>0</v>
      </c>
      <c r="H89" s="1628"/>
      <c r="I89" s="1646"/>
      <c r="J89" s="1628"/>
      <c r="K89" s="1628"/>
      <c r="L89" s="1628"/>
      <c r="M89" s="1593"/>
    </row>
    <row r="90" spans="1:13" ht="13.5" thickBot="1">
      <c r="A90" s="1593"/>
      <c r="B90" s="1584"/>
      <c r="C90" s="1505"/>
      <c r="D90" s="1505"/>
      <c r="E90" s="1645"/>
      <c r="F90" s="1593"/>
      <c r="G90" s="1628"/>
      <c r="H90" s="1628"/>
      <c r="I90" s="1646"/>
      <c r="J90" s="1628"/>
      <c r="K90" s="1628"/>
      <c r="L90" s="1628"/>
      <c r="M90" s="1593"/>
    </row>
    <row r="91" spans="1:13" ht="13.5" thickBot="1">
      <c r="A91" s="1593"/>
      <c r="B91" s="1584"/>
      <c r="C91" s="1505"/>
      <c r="D91" s="1505"/>
      <c r="E91" s="1697"/>
      <c r="F91" s="1593"/>
      <c r="G91" s="1630" t="s">
        <v>14</v>
      </c>
      <c r="H91" s="1630" t="s">
        <v>177</v>
      </c>
      <c r="I91" s="1714"/>
      <c r="J91" s="1715"/>
      <c r="K91" s="1715"/>
      <c r="L91" s="1628"/>
      <c r="M91" s="1593"/>
    </row>
    <row r="92" spans="1:13" ht="13.5" thickBot="1">
      <c r="A92" s="1593"/>
      <c r="B92" s="1584"/>
      <c r="C92" s="1598" t="s">
        <v>190</v>
      </c>
      <c r="E92" s="1593"/>
      <c r="F92" s="1593"/>
      <c r="G92" s="1716">
        <v>5.6549489999999993</v>
      </c>
      <c r="H92" s="1717">
        <v>7.61</v>
      </c>
      <c r="I92" s="1718"/>
      <c r="J92" s="1719"/>
      <c r="K92" s="1719"/>
      <c r="L92" s="1628"/>
      <c r="M92" s="1593"/>
    </row>
    <row r="93" spans="1:13" ht="14.25" thickTop="1" thickBot="1">
      <c r="A93" s="1593"/>
      <c r="B93" s="1634"/>
      <c r="C93" s="1593"/>
      <c r="D93" s="1720"/>
      <c r="E93" s="1593"/>
      <c r="F93" s="1593"/>
      <c r="G93" s="1593"/>
      <c r="H93" s="1593"/>
      <c r="I93" s="1718"/>
      <c r="J93" s="1721"/>
      <c r="K93" s="1721"/>
      <c r="L93" s="1628"/>
      <c r="M93" s="1593"/>
    </row>
    <row r="94" spans="1:13" ht="27.75" customHeight="1" thickBot="1">
      <c r="A94" s="1593"/>
      <c r="B94" s="1584"/>
      <c r="C94" s="2160" t="s">
        <v>191</v>
      </c>
      <c r="D94" s="2160"/>
      <c r="E94" s="2160"/>
      <c r="F94" s="2161"/>
      <c r="G94" s="1630" t="s">
        <v>14</v>
      </c>
      <c r="H94" s="1630" t="s">
        <v>177</v>
      </c>
      <c r="I94" s="1722"/>
      <c r="J94" s="1721"/>
      <c r="K94" s="1721"/>
      <c r="L94" s="1628"/>
      <c r="M94" s="1593"/>
    </row>
    <row r="95" spans="1:13">
      <c r="A95" s="1593"/>
      <c r="B95" s="1584"/>
      <c r="C95" s="1505"/>
      <c r="D95" s="1645" t="s">
        <v>240</v>
      </c>
      <c r="F95" s="1593"/>
      <c r="G95" s="1632">
        <v>0</v>
      </c>
      <c r="H95" s="1632">
        <v>0</v>
      </c>
      <c r="I95" s="1718"/>
      <c r="J95" s="1719"/>
      <c r="K95" s="1719"/>
      <c r="L95" s="1628"/>
      <c r="M95" s="1593"/>
    </row>
    <row r="96" spans="1:13">
      <c r="A96" s="1593"/>
      <c r="B96" s="1584"/>
      <c r="C96" s="1505"/>
      <c r="D96" s="1645" t="s">
        <v>239</v>
      </c>
      <c r="F96" s="1593"/>
      <c r="G96" s="1632">
        <v>0.14399999999999999</v>
      </c>
      <c r="H96" s="1632">
        <v>2.1469999999999996E-3</v>
      </c>
      <c r="I96" s="1718"/>
      <c r="J96" s="1719"/>
      <c r="K96" s="1719"/>
      <c r="L96" s="1628"/>
      <c r="M96" s="1593"/>
    </row>
    <row r="97" spans="1:13" ht="13.5" thickBot="1">
      <c r="A97" s="1593"/>
      <c r="B97" s="1584"/>
      <c r="C97" s="1505"/>
      <c r="D97" s="1645" t="s">
        <v>192</v>
      </c>
      <c r="F97" s="1593"/>
      <c r="G97" s="1632">
        <v>0</v>
      </c>
      <c r="H97" s="1650">
        <v>0</v>
      </c>
      <c r="I97" s="1718"/>
      <c r="J97" s="1719"/>
      <c r="K97" s="1719"/>
      <c r="L97" s="1628"/>
      <c r="M97" s="1593"/>
    </row>
    <row r="98" spans="1:13" ht="26.25" customHeight="1">
      <c r="A98" s="1593"/>
      <c r="B98" s="1584"/>
      <c r="C98" s="1505"/>
      <c r="D98" s="2162" t="s">
        <v>193</v>
      </c>
      <c r="E98" s="2162"/>
      <c r="F98" s="2163"/>
      <c r="G98" s="1723">
        <v>3.5000000000000003E-2</v>
      </c>
      <c r="H98" s="1724"/>
      <c r="I98" s="1718"/>
      <c r="J98" s="1719"/>
      <c r="K98" s="1721"/>
      <c r="L98" s="1628"/>
      <c r="M98" s="1593"/>
    </row>
    <row r="99" spans="1:13" ht="13.5" thickBot="1">
      <c r="A99" s="1593"/>
      <c r="B99" s="1584"/>
      <c r="C99" s="2158" t="s">
        <v>178</v>
      </c>
      <c r="D99" s="2158"/>
      <c r="E99" s="2158"/>
      <c r="F99" s="2159"/>
      <c r="G99" s="1651">
        <v>0.17899999999999999</v>
      </c>
      <c r="H99" s="1651">
        <v>2.1469999999999996E-3</v>
      </c>
      <c r="I99" s="1725"/>
      <c r="J99" s="1726"/>
      <c r="K99" s="1726"/>
      <c r="L99" s="1628"/>
      <c r="M99" s="1593"/>
    </row>
    <row r="100" spans="1:13" ht="14.25" thickTop="1" thickBot="1">
      <c r="A100" s="1593"/>
      <c r="B100" s="1677"/>
      <c r="C100" s="1678"/>
      <c r="D100" s="1678"/>
      <c r="E100" s="1678"/>
      <c r="F100" s="1678"/>
      <c r="G100" s="1680"/>
      <c r="H100" s="1680"/>
      <c r="I100" s="1706"/>
      <c r="J100" s="1593"/>
      <c r="K100" s="1593"/>
      <c r="L100" s="1593"/>
      <c r="M100" s="1593"/>
    </row>
    <row r="101" spans="1:13">
      <c r="A101" s="1593"/>
      <c r="B101" s="1492"/>
      <c r="C101" s="1492"/>
      <c r="D101" s="1492"/>
      <c r="E101" s="1492"/>
      <c r="F101" s="1492"/>
      <c r="G101" s="1593"/>
      <c r="H101" s="1593"/>
      <c r="I101" s="1593"/>
      <c r="J101" s="1593"/>
      <c r="K101" s="1593"/>
      <c r="L101" s="1593"/>
      <c r="M101" s="1593"/>
    </row>
  </sheetData>
  <mergeCells count="32">
    <mergeCell ref="E49:F49"/>
    <mergeCell ref="E44:F44"/>
    <mergeCell ref="E45:F45"/>
    <mergeCell ref="E46:F46"/>
    <mergeCell ref="E47:F47"/>
    <mergeCell ref="E48:F48"/>
    <mergeCell ref="E39:F39"/>
    <mergeCell ref="E40:F40"/>
    <mergeCell ref="E41:F41"/>
    <mergeCell ref="E42:F42"/>
    <mergeCell ref="E43:F43"/>
    <mergeCell ref="L36:L37"/>
    <mergeCell ref="D17:F17"/>
    <mergeCell ref="D21:F21"/>
    <mergeCell ref="D22:F22"/>
    <mergeCell ref="E36:F36"/>
    <mergeCell ref="D63:F63"/>
    <mergeCell ref="D15:F15"/>
    <mergeCell ref="C25:F25"/>
    <mergeCell ref="C99:F99"/>
    <mergeCell ref="C89:F89"/>
    <mergeCell ref="C88:F88"/>
    <mergeCell ref="C94:F94"/>
    <mergeCell ref="D98:F98"/>
    <mergeCell ref="C76:F76"/>
    <mergeCell ref="C83:F83"/>
    <mergeCell ref="C60:E60"/>
    <mergeCell ref="C65:E65"/>
    <mergeCell ref="D62:F62"/>
    <mergeCell ref="E50:F50"/>
    <mergeCell ref="E37:F37"/>
    <mergeCell ref="E38:F38"/>
  </mergeCells>
  <phoneticPr fontId="0" type="noConversion"/>
  <dataValidations count="2">
    <dataValidation type="decimal" operator="lessThanOrEqual" allowBlank="1" showInputMessage="1" showErrorMessage="1" sqref="G32:G33">
      <formula1>0</formula1>
    </dataValidation>
    <dataValidation type="decimal" operator="greaterThanOrEqual" allowBlank="1" showInputMessage="1" showErrorMessage="1" sqref="J38:J41 G38:H41">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1DFFF"/>
  </sheetPr>
  <dimension ref="A1:J80"/>
  <sheetViews>
    <sheetView zoomScale="70" zoomScaleNormal="70" workbookViewId="0"/>
  </sheetViews>
  <sheetFormatPr defaultColWidth="8.85546875" defaultRowHeight="10.5"/>
  <cols>
    <col min="1" max="1" width="8.140625" style="604" customWidth="1"/>
    <col min="2" max="2" width="15.42578125" style="604" customWidth="1"/>
    <col min="3" max="3" width="48.7109375" style="604" bestFit="1" customWidth="1"/>
    <col min="4" max="4" width="16.140625" style="604" customWidth="1"/>
    <col min="5" max="6" width="11" style="604" customWidth="1"/>
    <col min="7" max="7" width="17" style="604" bestFit="1" customWidth="1"/>
    <col min="8" max="10" width="11" style="604" customWidth="1"/>
    <col min="11" max="16384" width="8.85546875" style="604"/>
  </cols>
  <sheetData>
    <row r="1" spans="1:10" ht="12.75" customHeight="1">
      <c r="A1" s="1742" t="s">
        <v>16</v>
      </c>
      <c r="B1" s="481"/>
      <c r="C1" s="481"/>
      <c r="D1" s="481"/>
      <c r="E1" s="481"/>
      <c r="F1" s="499" t="s">
        <v>216</v>
      </c>
      <c r="G1" s="481"/>
      <c r="H1" s="481"/>
      <c r="I1" s="481"/>
    </row>
    <row r="2" spans="1:10" s="605" customFormat="1" ht="12.75">
      <c r="A2" s="482"/>
      <c r="B2" s="483"/>
      <c r="C2" s="483"/>
      <c r="D2" s="483"/>
      <c r="E2" s="483"/>
      <c r="F2" s="483"/>
      <c r="G2" s="483"/>
      <c r="H2" s="483"/>
      <c r="I2" s="483"/>
    </row>
    <row r="3" spans="1:10" ht="15">
      <c r="A3" s="1742" t="s">
        <v>29</v>
      </c>
      <c r="B3" s="481"/>
      <c r="C3" s="481"/>
      <c r="D3" s="481"/>
      <c r="E3" s="481"/>
      <c r="F3" s="481"/>
      <c r="G3" s="481"/>
      <c r="H3" s="481"/>
      <c r="I3" s="481"/>
    </row>
    <row r="4" spans="1:10" ht="12.75">
      <c r="A4" s="480"/>
      <c r="B4" s="481"/>
      <c r="C4" s="481"/>
      <c r="D4" s="481"/>
      <c r="E4" s="481"/>
      <c r="F4" s="481"/>
      <c r="G4" s="481"/>
      <c r="H4" s="481"/>
      <c r="I4" s="481"/>
    </row>
    <row r="5" spans="1:10" ht="20.25">
      <c r="A5" s="2174" t="s">
        <v>30</v>
      </c>
      <c r="B5" s="2174"/>
      <c r="C5" s="2174"/>
      <c r="D5" s="459"/>
      <c r="E5" s="460"/>
      <c r="F5" s="460"/>
      <c r="G5" s="460"/>
    </row>
    <row r="6" spans="1:10" ht="15" thickBot="1">
      <c r="A6" s="461"/>
      <c r="B6" s="461"/>
      <c r="C6" s="356"/>
      <c r="D6" s="356"/>
      <c r="E6" s="462"/>
      <c r="F6" s="462"/>
      <c r="G6" s="462"/>
    </row>
    <row r="7" spans="1:10" ht="15.75" thickBot="1">
      <c r="A7" s="461"/>
      <c r="B7" s="461"/>
      <c r="C7" s="463"/>
      <c r="D7" s="464" t="s">
        <v>31</v>
      </c>
      <c r="E7" s="464" t="s">
        <v>32</v>
      </c>
      <c r="F7" s="464" t="s">
        <v>33</v>
      </c>
      <c r="G7" s="464" t="s">
        <v>29</v>
      </c>
      <c r="H7" s="464" t="s">
        <v>34</v>
      </c>
      <c r="I7" s="1741" t="s">
        <v>35</v>
      </c>
      <c r="J7" s="1741" t="s">
        <v>118</v>
      </c>
    </row>
    <row r="8" spans="1:10" ht="15">
      <c r="A8" s="461"/>
      <c r="B8" s="461"/>
      <c r="C8" s="465" t="s">
        <v>229</v>
      </c>
      <c r="D8" s="466"/>
      <c r="E8" s="2175" t="s">
        <v>230</v>
      </c>
      <c r="F8" s="2176"/>
      <c r="G8" s="2176"/>
      <c r="H8" s="2177" t="s">
        <v>162</v>
      </c>
      <c r="I8" s="2178"/>
      <c r="J8" s="2179"/>
    </row>
    <row r="9" spans="1:10" ht="14.25">
      <c r="A9" s="461"/>
      <c r="B9" s="461"/>
      <c r="C9" s="467" t="s">
        <v>163</v>
      </c>
      <c r="D9" s="468" t="s">
        <v>164</v>
      </c>
      <c r="E9" s="469"/>
      <c r="F9" s="470"/>
      <c r="G9" s="1858">
        <v>2.3427699999999998</v>
      </c>
      <c r="H9" s="469"/>
      <c r="I9" s="470"/>
      <c r="J9" s="1743"/>
    </row>
    <row r="10" spans="1:10" ht="14.25">
      <c r="A10" s="461"/>
      <c r="B10" s="461"/>
      <c r="C10" s="467" t="s">
        <v>165</v>
      </c>
      <c r="D10" s="468" t="s">
        <v>166</v>
      </c>
      <c r="E10" s="469"/>
      <c r="F10" s="470"/>
      <c r="G10" s="1858">
        <v>1212009</v>
      </c>
      <c r="H10" s="469"/>
      <c r="I10" s="470"/>
      <c r="J10" s="1743"/>
    </row>
    <row r="11" spans="1:10" ht="14.25">
      <c r="A11" s="461"/>
      <c r="B11" s="461"/>
      <c r="C11" s="467" t="s">
        <v>47</v>
      </c>
      <c r="D11" s="468" t="s">
        <v>48</v>
      </c>
      <c r="E11" s="469"/>
      <c r="F11" s="470"/>
      <c r="G11" s="1858">
        <v>120232787</v>
      </c>
      <c r="H11" s="469"/>
      <c r="I11" s="470"/>
      <c r="J11" s="1743"/>
    </row>
    <row r="12" spans="1:10" ht="15.75" thickBot="1">
      <c r="A12" s="461"/>
      <c r="B12" s="461"/>
      <c r="C12" s="467"/>
      <c r="D12" s="471"/>
      <c r="E12" s="472"/>
      <c r="F12" s="473"/>
      <c r="G12" s="1859"/>
      <c r="H12" s="472"/>
      <c r="I12" s="473"/>
      <c r="J12" s="1744"/>
    </row>
    <row r="13" spans="1:10" ht="15">
      <c r="A13" s="461"/>
      <c r="B13" s="461"/>
      <c r="C13" s="474" t="s">
        <v>234</v>
      </c>
      <c r="D13" s="466"/>
      <c r="E13" s="475"/>
      <c r="F13" s="462"/>
      <c r="G13" s="1860"/>
      <c r="J13" s="1745"/>
    </row>
    <row r="14" spans="1:10" ht="14.25">
      <c r="A14" s="461"/>
      <c r="B14" s="461"/>
      <c r="C14" s="476"/>
      <c r="D14" s="468"/>
      <c r="E14" s="475"/>
      <c r="F14" s="462"/>
      <c r="G14" s="1860"/>
      <c r="J14" s="1745"/>
    </row>
    <row r="15" spans="1:10" ht="14.25">
      <c r="A15" s="461"/>
      <c r="B15" s="461"/>
      <c r="C15" s="477" t="s">
        <v>235</v>
      </c>
      <c r="D15" s="468"/>
      <c r="E15" s="475"/>
      <c r="F15" s="462"/>
      <c r="G15" s="1860"/>
      <c r="J15" s="1745"/>
    </row>
    <row r="16" spans="1:10" ht="14.25">
      <c r="A16" s="461"/>
      <c r="B16" s="461"/>
      <c r="C16" s="477" t="s">
        <v>236</v>
      </c>
      <c r="D16" s="468"/>
      <c r="E16" s="475"/>
      <c r="F16" s="462"/>
      <c r="G16" s="1860"/>
      <c r="J16" s="1745"/>
    </row>
    <row r="17" spans="1:10" ht="14.25">
      <c r="A17" s="461"/>
      <c r="B17" s="461"/>
      <c r="C17" s="476" t="s">
        <v>237</v>
      </c>
      <c r="D17" s="468" t="s">
        <v>238</v>
      </c>
      <c r="E17" s="469"/>
      <c r="F17" s="470"/>
      <c r="G17" s="1858">
        <v>0</v>
      </c>
      <c r="H17" s="469"/>
      <c r="I17" s="470"/>
      <c r="J17" s="1743"/>
    </row>
    <row r="18" spans="1:10" ht="14.25">
      <c r="A18" s="461"/>
      <c r="B18" s="461"/>
      <c r="C18" s="476" t="s">
        <v>239</v>
      </c>
      <c r="D18" s="468" t="s">
        <v>238</v>
      </c>
      <c r="E18" s="469"/>
      <c r="F18" s="470"/>
      <c r="G18" s="1858">
        <v>58</v>
      </c>
      <c r="H18" s="469"/>
      <c r="I18" s="470"/>
      <c r="J18" s="1743"/>
    </row>
    <row r="19" spans="1:10" ht="14.25">
      <c r="A19" s="461"/>
      <c r="B19" s="461"/>
      <c r="C19" s="476" t="s">
        <v>240</v>
      </c>
      <c r="D19" s="468" t="s">
        <v>238</v>
      </c>
      <c r="E19" s="469"/>
      <c r="F19" s="470"/>
      <c r="G19" s="1858">
        <v>15443</v>
      </c>
      <c r="H19" s="469"/>
      <c r="I19" s="470"/>
      <c r="J19" s="1743"/>
    </row>
    <row r="20" spans="1:10" ht="14.25">
      <c r="A20" s="461"/>
      <c r="B20" s="461"/>
      <c r="C20" s="476" t="s">
        <v>241</v>
      </c>
      <c r="D20" s="468" t="s">
        <v>238</v>
      </c>
      <c r="E20" s="469"/>
      <c r="F20" s="470"/>
      <c r="G20" s="1858">
        <v>6</v>
      </c>
      <c r="H20" s="469"/>
      <c r="I20" s="470"/>
      <c r="J20" s="1743"/>
    </row>
    <row r="21" spans="1:10" ht="14.25">
      <c r="A21" s="461"/>
      <c r="B21" s="461"/>
      <c r="C21" s="476"/>
      <c r="D21" s="468"/>
      <c r="E21" s="475"/>
      <c r="F21" s="462"/>
      <c r="G21" s="1860"/>
      <c r="H21" s="475"/>
      <c r="I21" s="462"/>
      <c r="J21" s="1746"/>
    </row>
    <row r="22" spans="1:10" ht="14.25">
      <c r="A22" s="461"/>
      <c r="B22" s="461"/>
      <c r="C22" s="477" t="s">
        <v>242</v>
      </c>
      <c r="D22" s="468"/>
      <c r="E22" s="475"/>
      <c r="F22" s="462"/>
      <c r="G22" s="1860"/>
      <c r="H22" s="475"/>
      <c r="I22" s="462"/>
      <c r="J22" s="1746"/>
    </row>
    <row r="23" spans="1:10" ht="14.25">
      <c r="A23" s="461"/>
      <c r="B23" s="461"/>
      <c r="C23" s="476" t="s">
        <v>243</v>
      </c>
      <c r="D23" s="468" t="s">
        <v>244</v>
      </c>
      <c r="E23" s="469"/>
      <c r="F23" s="470"/>
      <c r="G23" s="1858">
        <v>0</v>
      </c>
      <c r="H23" s="469"/>
      <c r="I23" s="470"/>
      <c r="J23" s="1743"/>
    </row>
    <row r="24" spans="1:10" ht="14.25">
      <c r="A24" s="461"/>
      <c r="B24" s="461"/>
      <c r="C24" s="476" t="s">
        <v>245</v>
      </c>
      <c r="D24" s="468" t="s">
        <v>244</v>
      </c>
      <c r="E24" s="469"/>
      <c r="F24" s="470"/>
      <c r="G24" s="1858">
        <v>0</v>
      </c>
      <c r="H24" s="469"/>
      <c r="I24" s="470"/>
      <c r="J24" s="1743"/>
    </row>
    <row r="25" spans="1:10" ht="14.25">
      <c r="A25" s="461"/>
      <c r="B25" s="461"/>
      <c r="C25" s="476" t="s">
        <v>239</v>
      </c>
      <c r="D25" s="468" t="s">
        <v>244</v>
      </c>
      <c r="E25" s="469"/>
      <c r="F25" s="470"/>
      <c r="G25" s="1858">
        <v>44.5</v>
      </c>
      <c r="H25" s="469"/>
      <c r="I25" s="470"/>
      <c r="J25" s="1743"/>
    </row>
    <row r="26" spans="1:10" ht="15" thickBot="1">
      <c r="A26" s="461"/>
      <c r="B26" s="461"/>
      <c r="C26" s="476" t="s">
        <v>240</v>
      </c>
      <c r="D26" s="468" t="s">
        <v>244</v>
      </c>
      <c r="E26" s="469"/>
      <c r="F26" s="470"/>
      <c r="G26" s="1858">
        <v>3</v>
      </c>
      <c r="H26" s="469"/>
      <c r="I26" s="470"/>
      <c r="J26" s="1743"/>
    </row>
    <row r="27" spans="1:10" ht="15" thickBot="1">
      <c r="A27" s="461"/>
      <c r="B27" s="461"/>
      <c r="C27" s="477" t="s">
        <v>246</v>
      </c>
      <c r="D27" s="468"/>
      <c r="E27" s="1747"/>
      <c r="F27" s="478"/>
      <c r="G27" s="1861">
        <v>47.5</v>
      </c>
      <c r="H27" s="478"/>
      <c r="I27" s="478"/>
      <c r="J27" s="1748"/>
    </row>
    <row r="28" spans="1:10" ht="14.25">
      <c r="A28" s="461"/>
      <c r="B28" s="461"/>
      <c r="C28" s="476"/>
      <c r="D28" s="468"/>
      <c r="E28" s="1749"/>
      <c r="F28" s="54"/>
      <c r="G28" s="1862"/>
      <c r="H28" s="54"/>
      <c r="I28" s="54"/>
      <c r="J28" s="1750"/>
    </row>
    <row r="29" spans="1:10" ht="14.25">
      <c r="A29" s="461"/>
      <c r="B29" s="461"/>
      <c r="C29" s="477" t="s">
        <v>247</v>
      </c>
      <c r="D29" s="468"/>
      <c r="E29" s="1749"/>
      <c r="F29" s="54"/>
      <c r="G29" s="1862"/>
      <c r="H29" s="54"/>
      <c r="I29" s="54"/>
      <c r="J29" s="1750"/>
    </row>
    <row r="30" spans="1:10" ht="14.25">
      <c r="A30" s="461"/>
      <c r="B30" s="461"/>
      <c r="C30" s="476" t="s">
        <v>17</v>
      </c>
      <c r="D30" s="468" t="s">
        <v>244</v>
      </c>
      <c r="E30" s="469"/>
      <c r="F30" s="470"/>
      <c r="G30" s="1858">
        <v>4689.5</v>
      </c>
      <c r="H30" s="469"/>
      <c r="I30" s="470"/>
      <c r="J30" s="1743"/>
    </row>
    <row r="31" spans="1:10" ht="14.25">
      <c r="A31" s="461"/>
      <c r="B31" s="461"/>
      <c r="C31" s="476" t="s">
        <v>18</v>
      </c>
      <c r="D31" s="468" t="s">
        <v>244</v>
      </c>
      <c r="E31" s="469"/>
      <c r="F31" s="470"/>
      <c r="G31" s="1858">
        <v>4609.8</v>
      </c>
      <c r="H31" s="469"/>
      <c r="I31" s="470"/>
      <c r="J31" s="1743"/>
    </row>
    <row r="32" spans="1:10" ht="14.25">
      <c r="A32" s="461"/>
      <c r="B32" s="461"/>
      <c r="C32" s="476"/>
      <c r="D32" s="468"/>
      <c r="E32" s="1749"/>
      <c r="F32" s="54"/>
      <c r="G32" s="1862"/>
      <c r="H32" s="54"/>
      <c r="I32" s="54"/>
      <c r="J32" s="1750"/>
    </row>
    <row r="33" spans="1:10" ht="14.25">
      <c r="A33" s="461"/>
      <c r="B33" s="461"/>
      <c r="C33" s="477" t="s">
        <v>50</v>
      </c>
      <c r="D33" s="468"/>
      <c r="E33" s="1749"/>
      <c r="F33" s="54"/>
      <c r="G33" s="1862"/>
      <c r="H33" s="54"/>
      <c r="I33" s="54"/>
      <c r="J33" s="1750"/>
    </row>
    <row r="34" spans="1:10" ht="14.25">
      <c r="A34" s="461"/>
      <c r="B34" s="461"/>
      <c r="C34" s="476" t="s">
        <v>237</v>
      </c>
      <c r="D34" s="468" t="s">
        <v>51</v>
      </c>
      <c r="E34" s="469"/>
      <c r="F34" s="470"/>
      <c r="G34" s="1858">
        <v>1422.2</v>
      </c>
      <c r="H34" s="469"/>
      <c r="I34" s="470"/>
      <c r="J34" s="1743"/>
    </row>
    <row r="35" spans="1:10" ht="14.25">
      <c r="A35" s="461"/>
      <c r="B35" s="461"/>
      <c r="C35" s="476" t="s">
        <v>239</v>
      </c>
      <c r="D35" s="468" t="s">
        <v>51</v>
      </c>
      <c r="E35" s="469"/>
      <c r="F35" s="470"/>
      <c r="G35" s="1858">
        <v>7190.9</v>
      </c>
      <c r="H35" s="469"/>
      <c r="I35" s="470"/>
      <c r="J35" s="1743"/>
    </row>
    <row r="36" spans="1:10" ht="15" thickBot="1">
      <c r="A36" s="461"/>
      <c r="B36" s="461"/>
      <c r="C36" s="476" t="s">
        <v>240</v>
      </c>
      <c r="D36" s="468" t="s">
        <v>51</v>
      </c>
      <c r="E36" s="469"/>
      <c r="F36" s="470"/>
      <c r="G36" s="1858">
        <v>16988.7</v>
      </c>
      <c r="H36" s="469"/>
      <c r="I36" s="470"/>
      <c r="J36" s="1743"/>
    </row>
    <row r="37" spans="1:10" ht="15" thickBot="1">
      <c r="A37" s="461"/>
      <c r="B37" s="461"/>
      <c r="C37" s="477" t="s">
        <v>246</v>
      </c>
      <c r="D37" s="468"/>
      <c r="E37" s="1747"/>
      <c r="F37" s="478"/>
      <c r="G37" s="1861">
        <v>25601.800000000003</v>
      </c>
      <c r="H37" s="478"/>
      <c r="I37" s="478"/>
      <c r="J37" s="1748"/>
    </row>
    <row r="38" spans="1:10" ht="14.25">
      <c r="A38" s="461"/>
      <c r="B38" s="461"/>
      <c r="C38" s="476"/>
      <c r="D38" s="468"/>
      <c r="E38" s="475"/>
      <c r="F38" s="462"/>
      <c r="G38" s="1860"/>
      <c r="H38" s="475"/>
      <c r="I38" s="462"/>
      <c r="J38" s="1746"/>
    </row>
    <row r="39" spans="1:10" ht="14.25">
      <c r="A39" s="461"/>
      <c r="B39" s="461"/>
      <c r="C39" s="477" t="s">
        <v>52</v>
      </c>
      <c r="D39" s="468"/>
      <c r="E39" s="475"/>
      <c r="F39" s="462"/>
      <c r="G39" s="1860"/>
      <c r="H39" s="475"/>
      <c r="I39" s="462"/>
      <c r="J39" s="1746"/>
    </row>
    <row r="40" spans="1:10" ht="14.25">
      <c r="A40" s="461"/>
      <c r="B40" s="461"/>
      <c r="C40" s="476" t="s">
        <v>53</v>
      </c>
      <c r="D40" s="468" t="s">
        <v>54</v>
      </c>
      <c r="E40" s="469"/>
      <c r="F40" s="470"/>
      <c r="G40" s="1858">
        <v>1278.4000000000001</v>
      </c>
      <c r="H40" s="469"/>
      <c r="I40" s="470"/>
      <c r="J40" s="1743"/>
    </row>
    <row r="41" spans="1:10" ht="14.25">
      <c r="A41" s="461"/>
      <c r="B41" s="461"/>
      <c r="C41" s="476" t="s">
        <v>55</v>
      </c>
      <c r="D41" s="468" t="s">
        <v>56</v>
      </c>
      <c r="E41" s="469"/>
      <c r="F41" s="470"/>
      <c r="G41" s="1863">
        <v>4.9933989016397284E-2</v>
      </c>
      <c r="H41" s="469"/>
      <c r="I41" s="470"/>
      <c r="J41" s="1751"/>
    </row>
    <row r="42" spans="1:10" ht="14.25">
      <c r="A42" s="461"/>
      <c r="B42" s="461"/>
      <c r="C42" s="476"/>
      <c r="D42" s="468"/>
      <c r="E42" s="1749"/>
      <c r="F42" s="54"/>
      <c r="G42" s="1862"/>
      <c r="H42" s="54"/>
      <c r="I42" s="54"/>
      <c r="J42" s="1750"/>
    </row>
    <row r="43" spans="1:10" ht="15.75" thickBot="1">
      <c r="A43" s="461"/>
      <c r="B43" s="461"/>
      <c r="C43" s="467"/>
      <c r="D43" s="471"/>
      <c r="E43" s="472"/>
      <c r="F43" s="473"/>
      <c r="G43" s="1859"/>
      <c r="H43" s="473"/>
      <c r="I43" s="473"/>
      <c r="J43" s="1744"/>
    </row>
    <row r="44" spans="1:10" ht="15">
      <c r="A44" s="461"/>
      <c r="B44" s="461"/>
      <c r="C44" s="474" t="s">
        <v>57</v>
      </c>
      <c r="D44" s="468"/>
      <c r="E44" s="1749"/>
      <c r="F44" s="54"/>
      <c r="G44" s="1862"/>
      <c r="H44" s="54"/>
      <c r="I44" s="54"/>
      <c r="J44" s="1750"/>
    </row>
    <row r="45" spans="1:10" ht="14.25">
      <c r="A45" s="461"/>
      <c r="B45" s="461"/>
      <c r="C45" s="476"/>
      <c r="D45" s="468"/>
      <c r="E45" s="1749"/>
      <c r="F45" s="54"/>
      <c r="G45" s="1862"/>
      <c r="H45" s="54"/>
      <c r="I45" s="54"/>
      <c r="J45" s="1750"/>
    </row>
    <row r="46" spans="1:10" ht="14.25">
      <c r="A46" s="461"/>
      <c r="B46" s="461"/>
      <c r="C46" s="477" t="s">
        <v>169</v>
      </c>
      <c r="D46" s="468"/>
      <c r="E46" s="1749"/>
      <c r="F46" s="54"/>
      <c r="G46" s="1862"/>
      <c r="H46" s="54"/>
      <c r="I46" s="54"/>
      <c r="J46" s="1750"/>
    </row>
    <row r="47" spans="1:10" ht="14.25">
      <c r="A47" s="461"/>
      <c r="B47" s="461"/>
      <c r="C47" s="476" t="s">
        <v>243</v>
      </c>
      <c r="D47" s="468" t="s">
        <v>170</v>
      </c>
      <c r="E47" s="469"/>
      <c r="F47" s="470"/>
      <c r="G47" s="1864">
        <v>1531.6600000000008</v>
      </c>
      <c r="H47" s="469"/>
      <c r="I47" s="470"/>
      <c r="J47" s="1752"/>
    </row>
    <row r="48" spans="1:10" ht="14.25">
      <c r="A48" s="461"/>
      <c r="B48" s="461"/>
      <c r="C48" s="476" t="s">
        <v>245</v>
      </c>
      <c r="D48" s="468" t="s">
        <v>170</v>
      </c>
      <c r="E48" s="469"/>
      <c r="F48" s="470"/>
      <c r="G48" s="1864">
        <v>1379.9750000000004</v>
      </c>
      <c r="H48" s="469"/>
      <c r="I48" s="470"/>
      <c r="J48" s="1752"/>
    </row>
    <row r="49" spans="1:10" ht="14.25">
      <c r="A49" s="461"/>
      <c r="B49" s="461"/>
      <c r="C49" s="476" t="s">
        <v>239</v>
      </c>
      <c r="D49" s="468" t="s">
        <v>170</v>
      </c>
      <c r="E49" s="469"/>
      <c r="F49" s="470"/>
      <c r="G49" s="1864">
        <v>7832.0000000000045</v>
      </c>
      <c r="H49" s="469"/>
      <c r="I49" s="470"/>
      <c r="J49" s="1752"/>
    </row>
    <row r="50" spans="1:10" ht="15" thickBot="1">
      <c r="A50" s="461"/>
      <c r="B50" s="461"/>
      <c r="C50" s="476" t="s">
        <v>240</v>
      </c>
      <c r="D50" s="468" t="s">
        <v>170</v>
      </c>
      <c r="E50" s="469"/>
      <c r="F50" s="470"/>
      <c r="G50" s="1864">
        <v>2309.0000000000005</v>
      </c>
      <c r="H50" s="469"/>
      <c r="I50" s="470"/>
      <c r="J50" s="1752"/>
    </row>
    <row r="51" spans="1:10" ht="15" thickBot="1">
      <c r="A51" s="461"/>
      <c r="B51" s="461"/>
      <c r="C51" s="477" t="s">
        <v>246</v>
      </c>
      <c r="D51" s="468" t="s">
        <v>170</v>
      </c>
      <c r="E51" s="1747"/>
      <c r="F51" s="478"/>
      <c r="G51" s="1861">
        <v>13052.635000000006</v>
      </c>
      <c r="H51" s="478"/>
      <c r="I51" s="478"/>
      <c r="J51" s="1748"/>
    </row>
    <row r="52" spans="1:10" ht="14.25">
      <c r="A52" s="461"/>
      <c r="B52" s="461"/>
      <c r="C52" s="476"/>
      <c r="D52" s="468"/>
      <c r="E52" s="1749"/>
      <c r="F52" s="54"/>
      <c r="G52" s="1862"/>
      <c r="H52" s="54"/>
      <c r="I52" s="54"/>
      <c r="J52" s="1750"/>
    </row>
    <row r="53" spans="1:10" ht="14.25">
      <c r="A53" s="461"/>
      <c r="B53" s="461"/>
      <c r="C53" s="477" t="s">
        <v>171</v>
      </c>
      <c r="D53" s="468"/>
      <c r="E53" s="1749"/>
      <c r="F53" s="54"/>
      <c r="G53" s="1862"/>
      <c r="H53" s="54"/>
      <c r="I53" s="54"/>
      <c r="J53" s="1750"/>
    </row>
    <row r="54" spans="1:10" ht="14.25">
      <c r="A54" s="461"/>
      <c r="B54" s="461"/>
      <c r="C54" s="476" t="s">
        <v>243</v>
      </c>
      <c r="D54" s="468" t="s">
        <v>170</v>
      </c>
      <c r="E54" s="469"/>
      <c r="F54" s="470"/>
      <c r="G54" s="1864">
        <v>351.00000000000006</v>
      </c>
      <c r="H54" s="469"/>
      <c r="I54" s="470"/>
      <c r="J54" s="1752"/>
    </row>
    <row r="55" spans="1:10" ht="14.25">
      <c r="A55" s="461"/>
      <c r="B55" s="461"/>
      <c r="C55" s="476" t="s">
        <v>245</v>
      </c>
      <c r="D55" s="468" t="s">
        <v>170</v>
      </c>
      <c r="E55" s="469"/>
      <c r="F55" s="470"/>
      <c r="G55" s="1864">
        <v>2199.0000000000005</v>
      </c>
      <c r="H55" s="469"/>
      <c r="I55" s="470"/>
      <c r="J55" s="1752"/>
    </row>
    <row r="56" spans="1:10" ht="14.25">
      <c r="A56" s="461"/>
      <c r="B56" s="461"/>
      <c r="C56" s="476" t="s">
        <v>239</v>
      </c>
      <c r="D56" s="468" t="s">
        <v>170</v>
      </c>
      <c r="E56" s="469"/>
      <c r="F56" s="470"/>
      <c r="G56" s="1864">
        <v>12703.000000000005</v>
      </c>
      <c r="H56" s="469"/>
      <c r="I56" s="470"/>
      <c r="J56" s="1752"/>
    </row>
    <row r="57" spans="1:10" ht="15" thickBot="1">
      <c r="A57" s="461"/>
      <c r="B57" s="461"/>
      <c r="C57" s="476" t="s">
        <v>240</v>
      </c>
      <c r="D57" s="468" t="s">
        <v>170</v>
      </c>
      <c r="E57" s="469"/>
      <c r="F57" s="470"/>
      <c r="G57" s="1864">
        <v>28214</v>
      </c>
      <c r="H57" s="469"/>
      <c r="I57" s="470"/>
      <c r="J57" s="1752"/>
    </row>
    <row r="58" spans="1:10" ht="15" thickBot="1">
      <c r="A58" s="461"/>
      <c r="B58" s="461"/>
      <c r="C58" s="476" t="s">
        <v>246</v>
      </c>
      <c r="D58" s="468" t="s">
        <v>170</v>
      </c>
      <c r="E58" s="1747"/>
      <c r="F58" s="478"/>
      <c r="G58" s="1861">
        <v>43467.000000000007</v>
      </c>
      <c r="H58" s="478"/>
      <c r="I58" s="478"/>
      <c r="J58" s="1748"/>
    </row>
    <row r="59" spans="1:10" ht="14.25">
      <c r="A59" s="461"/>
      <c r="B59" s="461"/>
      <c r="C59" s="476"/>
      <c r="D59" s="468"/>
      <c r="E59" s="1749"/>
      <c r="F59" s="54"/>
      <c r="G59" s="1862"/>
      <c r="H59" s="54"/>
      <c r="I59" s="54"/>
      <c r="J59" s="1750"/>
    </row>
    <row r="60" spans="1:10" ht="14.25">
      <c r="A60" s="461"/>
      <c r="B60" s="461"/>
      <c r="C60" s="477" t="s">
        <v>172</v>
      </c>
      <c r="D60" s="468"/>
      <c r="E60" s="1749"/>
      <c r="F60" s="54"/>
      <c r="G60" s="1862"/>
      <c r="H60" s="54"/>
      <c r="I60" s="54"/>
      <c r="J60" s="1750"/>
    </row>
    <row r="61" spans="1:10" ht="14.25">
      <c r="A61" s="461"/>
      <c r="B61" s="461"/>
      <c r="C61" s="476" t="s">
        <v>243</v>
      </c>
      <c r="D61" s="468" t="s">
        <v>170</v>
      </c>
      <c r="E61" s="1753"/>
      <c r="F61" s="479"/>
      <c r="G61" s="1864">
        <v>1882.6600000000008</v>
      </c>
      <c r="H61" s="479"/>
      <c r="I61" s="479"/>
      <c r="J61" s="1752"/>
    </row>
    <row r="62" spans="1:10" ht="14.25">
      <c r="A62" s="461"/>
      <c r="B62" s="461"/>
      <c r="C62" s="476" t="s">
        <v>245</v>
      </c>
      <c r="D62" s="468" t="s">
        <v>170</v>
      </c>
      <c r="E62" s="1753"/>
      <c r="F62" s="479"/>
      <c r="G62" s="1864">
        <v>3578.9750000000008</v>
      </c>
      <c r="H62" s="479"/>
      <c r="I62" s="479"/>
      <c r="J62" s="1752"/>
    </row>
    <row r="63" spans="1:10" ht="14.25">
      <c r="A63" s="461"/>
      <c r="B63" s="461"/>
      <c r="C63" s="476" t="s">
        <v>239</v>
      </c>
      <c r="D63" s="468" t="s">
        <v>170</v>
      </c>
      <c r="E63" s="1753"/>
      <c r="F63" s="479"/>
      <c r="G63" s="1864">
        <v>20535.000000000011</v>
      </c>
      <c r="H63" s="479"/>
      <c r="I63" s="479"/>
      <c r="J63" s="1752"/>
    </row>
    <row r="64" spans="1:10" ht="15" thickBot="1">
      <c r="A64" s="461"/>
      <c r="B64" s="461"/>
      <c r="C64" s="476" t="s">
        <v>240</v>
      </c>
      <c r="D64" s="468" t="s">
        <v>170</v>
      </c>
      <c r="E64" s="1753"/>
      <c r="F64" s="479"/>
      <c r="G64" s="1864">
        <v>30523</v>
      </c>
      <c r="H64" s="479"/>
      <c r="I64" s="479"/>
      <c r="J64" s="1752"/>
    </row>
    <row r="65" spans="1:10" ht="15" thickBot="1">
      <c r="A65" s="461"/>
      <c r="B65" s="461"/>
      <c r="C65" s="477" t="s">
        <v>246</v>
      </c>
      <c r="D65" s="468" t="s">
        <v>170</v>
      </c>
      <c r="E65" s="1747"/>
      <c r="F65" s="478"/>
      <c r="G65" s="1861">
        <v>56519.635000000009</v>
      </c>
      <c r="H65" s="478"/>
      <c r="I65" s="478"/>
      <c r="J65" s="1748"/>
    </row>
    <row r="66" spans="1:10" ht="14.25">
      <c r="A66" s="461"/>
      <c r="B66" s="461"/>
      <c r="C66" s="476"/>
      <c r="D66" s="468"/>
      <c r="E66" s="1749"/>
      <c r="F66" s="54"/>
      <c r="G66" s="1862"/>
      <c r="H66" s="54"/>
      <c r="I66" s="54"/>
      <c r="J66" s="1750"/>
    </row>
    <row r="67" spans="1:10" ht="14.25">
      <c r="A67" s="461"/>
      <c r="B67" s="461"/>
      <c r="C67" s="477" t="s">
        <v>173</v>
      </c>
      <c r="D67" s="468"/>
      <c r="E67" s="1749"/>
      <c r="F67" s="54"/>
      <c r="G67" s="1862"/>
      <c r="H67" s="54"/>
      <c r="I67" s="54"/>
      <c r="J67" s="1750"/>
    </row>
    <row r="68" spans="1:10" ht="14.25">
      <c r="A68" s="461"/>
      <c r="B68" s="461"/>
      <c r="C68" s="476" t="s">
        <v>243</v>
      </c>
      <c r="D68" s="468" t="s">
        <v>174</v>
      </c>
      <c r="E68" s="469"/>
      <c r="F68" s="470"/>
      <c r="G68" s="1858">
        <v>96</v>
      </c>
      <c r="H68" s="469"/>
      <c r="I68" s="470"/>
      <c r="J68" s="1743"/>
    </row>
    <row r="69" spans="1:10" ht="14.25">
      <c r="A69" s="461"/>
      <c r="B69" s="461"/>
      <c r="C69" s="476" t="s">
        <v>87</v>
      </c>
      <c r="D69" s="468" t="s">
        <v>174</v>
      </c>
      <c r="E69" s="469"/>
      <c r="F69" s="470"/>
      <c r="G69" s="1858">
        <v>389</v>
      </c>
      <c r="H69" s="469"/>
      <c r="I69" s="470"/>
      <c r="J69" s="1743"/>
    </row>
    <row r="70" spans="1:10" ht="14.25">
      <c r="A70" s="461"/>
      <c r="B70" s="461"/>
      <c r="C70" s="476" t="s">
        <v>88</v>
      </c>
      <c r="D70" s="468" t="s">
        <v>174</v>
      </c>
      <c r="E70" s="469"/>
      <c r="F70" s="470"/>
      <c r="G70" s="1858">
        <v>0</v>
      </c>
      <c r="H70" s="469"/>
      <c r="I70" s="470"/>
      <c r="J70" s="1743"/>
    </row>
    <row r="71" spans="1:10" ht="14.25">
      <c r="A71" s="461"/>
      <c r="B71" s="461"/>
      <c r="C71" s="476" t="s">
        <v>89</v>
      </c>
      <c r="D71" s="468" t="s">
        <v>174</v>
      </c>
      <c r="E71" s="469"/>
      <c r="F71" s="470"/>
      <c r="G71" s="1858">
        <v>17764</v>
      </c>
      <c r="H71" s="469"/>
      <c r="I71" s="470"/>
      <c r="J71" s="1743"/>
    </row>
    <row r="72" spans="1:10" ht="15" thickBot="1">
      <c r="A72" s="461"/>
      <c r="B72" s="461"/>
      <c r="C72" s="476" t="s">
        <v>90</v>
      </c>
      <c r="D72" s="468" t="s">
        <v>174</v>
      </c>
      <c r="E72" s="469"/>
      <c r="F72" s="470"/>
      <c r="G72" s="1858">
        <v>22863</v>
      </c>
      <c r="H72" s="469"/>
      <c r="I72" s="470"/>
      <c r="J72" s="1743"/>
    </row>
    <row r="73" spans="1:10" ht="15" thickBot="1">
      <c r="A73" s="461"/>
      <c r="B73" s="461"/>
      <c r="C73" s="477" t="s">
        <v>246</v>
      </c>
      <c r="D73" s="468" t="s">
        <v>174</v>
      </c>
      <c r="E73" s="1747"/>
      <c r="F73" s="478"/>
      <c r="G73" s="1861">
        <v>41112</v>
      </c>
      <c r="H73" s="478"/>
      <c r="I73" s="478"/>
      <c r="J73" s="1748"/>
    </row>
    <row r="74" spans="1:10" ht="15.75" thickBot="1">
      <c r="A74" s="461"/>
      <c r="B74" s="461"/>
      <c r="C74" s="472"/>
      <c r="D74" s="471"/>
      <c r="E74" s="472"/>
      <c r="F74" s="473"/>
      <c r="G74" s="473"/>
      <c r="H74" s="472"/>
      <c r="I74" s="473"/>
      <c r="J74" s="1744"/>
    </row>
    <row r="75" spans="1:10" ht="14.25">
      <c r="A75" s="356"/>
      <c r="B75" s="356"/>
      <c r="C75" s="356"/>
      <c r="D75" s="356"/>
      <c r="E75" s="356"/>
      <c r="F75" s="356"/>
      <c r="G75" s="356"/>
    </row>
    <row r="76" spans="1:10" ht="14.25">
      <c r="A76" s="461"/>
      <c r="B76" s="461"/>
      <c r="C76" s="356"/>
      <c r="D76" s="356"/>
      <c r="E76" s="356"/>
      <c r="F76" s="356"/>
      <c r="G76" s="356"/>
    </row>
    <row r="77" spans="1:10" ht="14.25">
      <c r="A77" s="461"/>
      <c r="B77" s="461"/>
      <c r="C77" s="356"/>
      <c r="D77" s="356"/>
      <c r="E77" s="356"/>
      <c r="F77" s="356"/>
      <c r="G77" s="356"/>
    </row>
    <row r="78" spans="1:10" ht="14.25">
      <c r="A78" s="461"/>
      <c r="B78" s="461"/>
      <c r="C78" s="356"/>
      <c r="D78" s="356"/>
      <c r="E78" s="356"/>
      <c r="F78" s="356"/>
      <c r="G78" s="356"/>
    </row>
    <row r="79" spans="1:10" ht="14.25">
      <c r="A79" s="461"/>
      <c r="B79" s="461"/>
      <c r="C79" s="356"/>
      <c r="D79" s="356"/>
      <c r="E79" s="356"/>
      <c r="F79" s="356"/>
      <c r="G79" s="356"/>
    </row>
    <row r="80" spans="1:10" ht="14.25">
      <c r="A80" s="461"/>
      <c r="B80" s="461"/>
      <c r="C80" s="356"/>
      <c r="D80" s="356"/>
      <c r="E80" s="356"/>
      <c r="F80" s="356"/>
      <c r="G80" s="356"/>
    </row>
  </sheetData>
  <mergeCells count="3">
    <mergeCell ref="A5:C5"/>
    <mergeCell ref="E8:G8"/>
    <mergeCell ref="H8:J8"/>
  </mergeCells>
  <phoneticPr fontId="0" type="noConversion"/>
  <hyperlinks>
    <hyperlink ref="F1" location="Inputs!A1" display="Index"/>
  </hyperlinks>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M66"/>
  <sheetViews>
    <sheetView zoomScale="70" zoomScaleNormal="70" workbookViewId="0"/>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485" t="s">
        <v>544</v>
      </c>
      <c r="J1" s="241" t="s">
        <v>216</v>
      </c>
    </row>
    <row r="8" spans="1:12" ht="15">
      <c r="A8" s="315" t="s">
        <v>545</v>
      </c>
      <c r="B8" s="316"/>
      <c r="C8" s="28"/>
      <c r="D8" s="486"/>
      <c r="E8" s="316"/>
      <c r="F8" s="316"/>
      <c r="G8" s="487"/>
      <c r="H8" s="318" t="s">
        <v>32</v>
      </c>
      <c r="I8" s="318" t="s">
        <v>33</v>
      </c>
      <c r="J8" s="318" t="s">
        <v>29</v>
      </c>
      <c r="K8" s="318" t="s">
        <v>34</v>
      </c>
      <c r="L8" s="318" t="s">
        <v>35</v>
      </c>
    </row>
    <row r="9" spans="1:12" ht="15">
      <c r="H9" s="318">
        <v>16</v>
      </c>
      <c r="I9" s="318">
        <v>17</v>
      </c>
      <c r="J9" s="318">
        <v>18</v>
      </c>
      <c r="K9" s="318">
        <v>19</v>
      </c>
      <c r="L9" s="318">
        <v>20</v>
      </c>
    </row>
    <row r="10" spans="1:12" ht="15">
      <c r="H10" s="318"/>
      <c r="I10" s="318"/>
      <c r="J10" s="318"/>
      <c r="K10" s="318"/>
      <c r="L10" s="318"/>
    </row>
    <row r="11" spans="1:12" ht="14.25">
      <c r="B11" s="487" t="s">
        <v>529</v>
      </c>
      <c r="F11" t="s">
        <v>14</v>
      </c>
      <c r="H11" s="488">
        <v>239.5</v>
      </c>
      <c r="I11" s="488">
        <v>243.97236699999999</v>
      </c>
      <c r="J11" s="488">
        <v>253.35650699999999</v>
      </c>
      <c r="K11" s="488"/>
      <c r="L11" s="488"/>
    </row>
    <row r="12" spans="1:12" ht="14.25">
      <c r="B12" s="487" t="s">
        <v>524</v>
      </c>
      <c r="F12" t="s">
        <v>14</v>
      </c>
      <c r="H12" s="488">
        <v>-3.759366</v>
      </c>
      <c r="I12" s="488">
        <v>-2.9215949999999999</v>
      </c>
      <c r="J12" s="488">
        <v>-3.0408849999999998</v>
      </c>
      <c r="K12" s="488"/>
      <c r="L12" s="488"/>
    </row>
    <row r="13" spans="1:12" ht="14.25">
      <c r="B13" s="487" t="s">
        <v>525</v>
      </c>
      <c r="F13" t="s">
        <v>14</v>
      </c>
      <c r="H13" s="488">
        <v>18.302419</v>
      </c>
      <c r="I13" s="488">
        <v>14.436025000000001</v>
      </c>
      <c r="J13" s="488">
        <v>11.735621999999999</v>
      </c>
      <c r="K13" s="488"/>
      <c r="L13" s="488"/>
    </row>
    <row r="14" spans="1:12" ht="14.25">
      <c r="B14" s="487" t="s">
        <v>526</v>
      </c>
      <c r="F14" t="s">
        <v>14</v>
      </c>
      <c r="H14" s="488">
        <v>-8.1984169999999992</v>
      </c>
      <c r="I14" s="488">
        <v>-28.952825000000001</v>
      </c>
      <c r="J14" s="488">
        <v>-31.179071</v>
      </c>
      <c r="K14" s="488"/>
      <c r="L14" s="488"/>
    </row>
    <row r="15" spans="1:12" ht="14.25">
      <c r="B15" s="487"/>
      <c r="H15" s="489" t="s">
        <v>859</v>
      </c>
      <c r="I15" s="489" t="s">
        <v>859</v>
      </c>
      <c r="J15" s="489" t="s">
        <v>859</v>
      </c>
      <c r="K15" s="489"/>
      <c r="L15" s="489"/>
    </row>
    <row r="16" spans="1:12" ht="14.25">
      <c r="B16" s="487" t="s">
        <v>527</v>
      </c>
      <c r="F16" t="s">
        <v>14</v>
      </c>
      <c r="H16" s="490">
        <v>262.24146999999999</v>
      </c>
      <c r="I16" s="490">
        <v>284.43962199999999</v>
      </c>
      <c r="J16" s="490">
        <v>293.23031500000002</v>
      </c>
      <c r="K16" s="490"/>
      <c r="L16" s="490"/>
    </row>
    <row r="17" spans="1:12" ht="14.25">
      <c r="B17" s="487"/>
      <c r="H17" s="491" t="s">
        <v>859</v>
      </c>
      <c r="I17" s="491" t="s">
        <v>859</v>
      </c>
      <c r="J17" s="491" t="s">
        <v>859</v>
      </c>
      <c r="K17" s="491"/>
      <c r="L17" s="491"/>
    </row>
    <row r="18" spans="1:12" ht="14.25">
      <c r="B18" s="487" t="s">
        <v>528</v>
      </c>
      <c r="F18" t="s">
        <v>14</v>
      </c>
      <c r="H18" s="488">
        <v>234.62</v>
      </c>
      <c r="I18" s="488">
        <v>254.9</v>
      </c>
      <c r="J18" s="488">
        <v>282.85000000000002</v>
      </c>
      <c r="K18" s="488"/>
      <c r="L18" s="488"/>
    </row>
    <row r="19" spans="1:12" ht="14.25">
      <c r="B19" s="487" t="s">
        <v>379</v>
      </c>
      <c r="F19" t="s">
        <v>14</v>
      </c>
      <c r="H19" s="488">
        <v>0</v>
      </c>
      <c r="I19" s="488">
        <v>0</v>
      </c>
      <c r="J19" s="488">
        <v>0</v>
      </c>
      <c r="K19" s="488"/>
      <c r="L19" s="488"/>
    </row>
    <row r="20" spans="1:12" ht="14.25">
      <c r="B20" s="487"/>
      <c r="H20" s="489" t="s">
        <v>859</v>
      </c>
      <c r="I20" s="489" t="s">
        <v>859</v>
      </c>
      <c r="J20" s="489" t="s">
        <v>859</v>
      </c>
      <c r="K20" s="489"/>
      <c r="L20" s="489"/>
    </row>
    <row r="21" spans="1:12" ht="14.25">
      <c r="B21" s="487" t="s">
        <v>380</v>
      </c>
      <c r="F21" t="s">
        <v>14</v>
      </c>
      <c r="H21" s="492">
        <v>-27.621469999999999</v>
      </c>
      <c r="I21" s="492">
        <v>-29.539622000000001</v>
      </c>
      <c r="J21" s="492">
        <v>-10.380315</v>
      </c>
      <c r="K21" s="492"/>
      <c r="L21" s="492"/>
    </row>
    <row r="22" spans="1:12" ht="14.25">
      <c r="H22" s="491" t="s">
        <v>859</v>
      </c>
      <c r="I22" s="491" t="s">
        <v>859</v>
      </c>
      <c r="J22" s="491" t="s">
        <v>859</v>
      </c>
      <c r="K22" s="491"/>
      <c r="L22" s="491"/>
    </row>
    <row r="23" spans="1:12" ht="14.25">
      <c r="H23" s="491" t="s">
        <v>859</v>
      </c>
      <c r="I23" s="491" t="s">
        <v>859</v>
      </c>
      <c r="J23" s="491" t="s">
        <v>859</v>
      </c>
      <c r="K23" s="491"/>
      <c r="L23" s="491"/>
    </row>
    <row r="24" spans="1:12" ht="15">
      <c r="A24" s="315" t="s">
        <v>381</v>
      </c>
      <c r="H24" s="491" t="s">
        <v>859</v>
      </c>
      <c r="I24" s="491" t="s">
        <v>859</v>
      </c>
      <c r="J24" s="491" t="s">
        <v>859</v>
      </c>
      <c r="K24" s="491"/>
      <c r="L24" s="491"/>
    </row>
    <row r="25" spans="1:12" ht="14.25">
      <c r="H25" s="491" t="s">
        <v>859</v>
      </c>
      <c r="I25" s="491" t="s">
        <v>859</v>
      </c>
      <c r="J25" s="491" t="s">
        <v>859</v>
      </c>
      <c r="K25" s="491"/>
      <c r="L25" s="491"/>
    </row>
    <row r="26" spans="1:12" ht="14.25">
      <c r="B26" s="487" t="s">
        <v>382</v>
      </c>
      <c r="F26" t="s">
        <v>14</v>
      </c>
      <c r="H26" s="488">
        <v>1.2500000000000001E-2</v>
      </c>
      <c r="I26" s="488">
        <v>2.308E-2</v>
      </c>
      <c r="J26" s="488">
        <v>0.16491400000000001</v>
      </c>
      <c r="K26" s="488"/>
      <c r="L26" s="488"/>
    </row>
    <row r="27" spans="1:12" ht="14.25">
      <c r="B27" s="487" t="s">
        <v>383</v>
      </c>
      <c r="F27" t="s">
        <v>14</v>
      </c>
      <c r="H27" s="488">
        <v>0</v>
      </c>
      <c r="I27" s="488">
        <v>0</v>
      </c>
      <c r="J27" s="488">
        <v>0</v>
      </c>
      <c r="K27" s="488"/>
      <c r="L27" s="488"/>
    </row>
    <row r="28" spans="1:12" ht="14.25">
      <c r="B28" s="487" t="s">
        <v>384</v>
      </c>
      <c r="F28" t="s">
        <v>14</v>
      </c>
      <c r="H28" s="488">
        <v>0</v>
      </c>
      <c r="I28" s="488">
        <v>-1.3103E-2</v>
      </c>
      <c r="J28" s="488">
        <v>-6.5259999999999997E-3</v>
      </c>
      <c r="K28" s="488"/>
      <c r="L28" s="488"/>
    </row>
    <row r="29" spans="1:12" ht="14.25">
      <c r="B29" s="487"/>
      <c r="H29" s="489" t="s">
        <v>859</v>
      </c>
      <c r="I29" s="489" t="s">
        <v>859</v>
      </c>
      <c r="J29" s="489" t="s">
        <v>859</v>
      </c>
      <c r="K29" s="489"/>
      <c r="L29" s="489"/>
    </row>
    <row r="30" spans="1:12" ht="14.25">
      <c r="B30" s="317" t="s">
        <v>381</v>
      </c>
      <c r="F30" t="s">
        <v>14</v>
      </c>
      <c r="H30" s="490">
        <v>1.2500000000000001E-2</v>
      </c>
      <c r="I30" s="490">
        <v>3.6183E-2</v>
      </c>
      <c r="J30" s="490">
        <v>0.17144000000000001</v>
      </c>
      <c r="K30" s="490"/>
      <c r="L30" s="490"/>
    </row>
    <row r="31" spans="1:12" ht="14.25">
      <c r="B31" s="487"/>
      <c r="H31" s="491" t="s">
        <v>859</v>
      </c>
      <c r="I31" s="491" t="s">
        <v>859</v>
      </c>
      <c r="J31" s="491" t="s">
        <v>859</v>
      </c>
      <c r="K31" s="491"/>
      <c r="L31" s="491"/>
    </row>
    <row r="32" spans="1:12" ht="14.25">
      <c r="B32" s="487" t="s">
        <v>346</v>
      </c>
      <c r="F32" t="s">
        <v>14</v>
      </c>
      <c r="H32" s="488">
        <v>0</v>
      </c>
      <c r="I32" s="488">
        <v>0.03</v>
      </c>
      <c r="J32" s="488">
        <v>0.13</v>
      </c>
      <c r="K32" s="488"/>
      <c r="L32" s="488"/>
    </row>
    <row r="33" spans="1:12" ht="14.25">
      <c r="B33" s="487"/>
      <c r="H33" s="491" t="s">
        <v>859</v>
      </c>
      <c r="I33" s="491" t="s">
        <v>859</v>
      </c>
      <c r="J33" s="491" t="s">
        <v>859</v>
      </c>
      <c r="K33" s="491"/>
      <c r="L33" s="491"/>
    </row>
    <row r="34" spans="1:12" ht="14.25">
      <c r="B34" s="487" t="s">
        <v>380</v>
      </c>
      <c r="F34" t="s">
        <v>14</v>
      </c>
      <c r="H34" s="492">
        <v>-1.2500000000000001E-2</v>
      </c>
      <c r="I34" s="492">
        <v>-6.1830000000000001E-3</v>
      </c>
      <c r="J34" s="492">
        <v>-4.1439999999999998E-2</v>
      </c>
      <c r="K34" s="492"/>
      <c r="L34" s="492"/>
    </row>
    <row r="35" spans="1:12" ht="14.25">
      <c r="H35" s="491" t="s">
        <v>859</v>
      </c>
      <c r="I35" s="491" t="s">
        <v>859</v>
      </c>
      <c r="J35" s="491" t="s">
        <v>859</v>
      </c>
      <c r="K35" s="491"/>
      <c r="L35" s="491"/>
    </row>
    <row r="36" spans="1:12" ht="14.25">
      <c r="H36" s="491" t="s">
        <v>859</v>
      </c>
      <c r="I36" s="491" t="s">
        <v>859</v>
      </c>
      <c r="J36" s="491" t="s">
        <v>859</v>
      </c>
      <c r="K36" s="491"/>
      <c r="L36" s="491"/>
    </row>
    <row r="37" spans="1:12" ht="15">
      <c r="A37" s="315" t="s">
        <v>347</v>
      </c>
      <c r="H37" s="494" t="s">
        <v>859</v>
      </c>
      <c r="I37" s="494" t="s">
        <v>859</v>
      </c>
      <c r="J37" s="494" t="s">
        <v>859</v>
      </c>
      <c r="K37" s="494"/>
      <c r="L37" s="494"/>
    </row>
    <row r="38" spans="1:12" ht="14.25">
      <c r="B38" s="317" t="s">
        <v>328</v>
      </c>
      <c r="F38" t="s">
        <v>14</v>
      </c>
      <c r="H38" s="488">
        <v>7.95</v>
      </c>
      <c r="I38" s="488">
        <v>8.23</v>
      </c>
      <c r="J38" s="488">
        <v>7.84</v>
      </c>
      <c r="K38" s="488"/>
      <c r="L38" s="488"/>
    </row>
    <row r="39" spans="1:12" ht="14.25">
      <c r="B39" s="487" t="s">
        <v>378</v>
      </c>
      <c r="F39" t="s">
        <v>14</v>
      </c>
      <c r="H39" s="488">
        <v>6.6372999999999998</v>
      </c>
      <c r="I39" s="488">
        <v>6.8353250000000001</v>
      </c>
      <c r="J39" s="495">
        <v>0</v>
      </c>
      <c r="K39" s="495"/>
      <c r="L39" s="495"/>
    </row>
    <row r="40" spans="1:12" ht="14.25">
      <c r="C40" s="487"/>
      <c r="H40" s="491" t="s">
        <v>859</v>
      </c>
      <c r="I40" s="491" t="s">
        <v>859</v>
      </c>
      <c r="J40" s="491" t="s">
        <v>859</v>
      </c>
      <c r="K40" s="491"/>
      <c r="L40" s="491"/>
    </row>
    <row r="41" spans="1:12" ht="14.25">
      <c r="H41" s="496">
        <v>14.587300000000001</v>
      </c>
      <c r="I41" s="496">
        <v>15.065325</v>
      </c>
      <c r="J41" s="496">
        <v>7.84</v>
      </c>
      <c r="K41" s="496"/>
      <c r="L41" s="496"/>
    </row>
    <row r="42" spans="1:12" ht="14.25">
      <c r="H42" s="494" t="s">
        <v>859</v>
      </c>
      <c r="I42" s="494" t="s">
        <v>859</v>
      </c>
      <c r="J42" s="494" t="s">
        <v>859</v>
      </c>
      <c r="K42" s="494"/>
      <c r="L42" s="494"/>
    </row>
    <row r="43" spans="1:12" ht="14.25">
      <c r="H43" s="494" t="s">
        <v>859</v>
      </c>
      <c r="I43" s="494" t="s">
        <v>859</v>
      </c>
      <c r="J43" s="494" t="s">
        <v>859</v>
      </c>
      <c r="K43" s="494"/>
      <c r="L43" s="494"/>
    </row>
    <row r="44" spans="1:12" ht="15">
      <c r="A44" s="315" t="s">
        <v>370</v>
      </c>
      <c r="H44" s="494" t="s">
        <v>859</v>
      </c>
      <c r="I44" s="494" t="s">
        <v>859</v>
      </c>
      <c r="J44" s="494" t="s">
        <v>859</v>
      </c>
      <c r="K44" s="494"/>
      <c r="L44" s="494"/>
    </row>
    <row r="45" spans="1:12" ht="15">
      <c r="A45" s="315"/>
      <c r="B45" s="487" t="s">
        <v>371</v>
      </c>
      <c r="F45" t="s">
        <v>14</v>
      </c>
      <c r="H45" s="488">
        <v>62.43</v>
      </c>
      <c r="I45" s="488">
        <v>76.44</v>
      </c>
      <c r="J45" s="488">
        <v>97.97</v>
      </c>
      <c r="K45" s="488"/>
      <c r="L45" s="488"/>
    </row>
    <row r="46" spans="1:12" ht="14.25">
      <c r="B46" s="487" t="s">
        <v>372</v>
      </c>
      <c r="F46" t="s">
        <v>14</v>
      </c>
      <c r="H46" s="497">
        <v>5.77</v>
      </c>
      <c r="I46" s="497">
        <v>10.16</v>
      </c>
      <c r="J46" s="497">
        <v>8.58</v>
      </c>
      <c r="K46" s="497"/>
      <c r="L46" s="497"/>
    </row>
    <row r="47" spans="1:12" ht="14.25">
      <c r="B47" s="317" t="s">
        <v>918</v>
      </c>
      <c r="F47" t="s">
        <v>14</v>
      </c>
      <c r="H47" s="497">
        <v>0.22</v>
      </c>
      <c r="I47" s="497">
        <v>9.69</v>
      </c>
      <c r="J47" s="497">
        <v>0.62</v>
      </c>
      <c r="K47" s="497"/>
      <c r="L47" s="497"/>
    </row>
    <row r="48" spans="1:12" ht="14.25">
      <c r="H48" s="494" t="s">
        <v>859</v>
      </c>
      <c r="I48" s="494" t="s">
        <v>859</v>
      </c>
      <c r="J48" s="494" t="s">
        <v>859</v>
      </c>
      <c r="K48" s="494"/>
      <c r="L48" s="494"/>
    </row>
    <row r="49" spans="2:13" ht="14.25">
      <c r="H49" s="492">
        <v>68.42</v>
      </c>
      <c r="I49" s="492">
        <v>96.29</v>
      </c>
      <c r="J49" s="492">
        <v>107.17</v>
      </c>
      <c r="K49" s="492"/>
      <c r="L49" s="492"/>
    </row>
    <row r="50" spans="2:13" ht="14.25">
      <c r="H50" s="487"/>
      <c r="I50" s="487"/>
      <c r="J50" s="487"/>
      <c r="K50" s="487"/>
      <c r="L50" s="487"/>
    </row>
    <row r="51" spans="2:13" ht="14.25">
      <c r="H51" s="498"/>
      <c r="I51" s="498"/>
      <c r="J51" s="498"/>
      <c r="K51" s="498"/>
      <c r="L51" s="498"/>
    </row>
    <row r="52" spans="2:13" ht="14.25">
      <c r="H52" s="487"/>
      <c r="I52" s="487"/>
      <c r="J52" s="487"/>
      <c r="K52" s="487"/>
      <c r="L52" s="487"/>
    </row>
    <row r="54" spans="2:13" ht="15">
      <c r="B54" s="1785" t="s">
        <v>957</v>
      </c>
      <c r="C54" s="1794" t="s">
        <v>958</v>
      </c>
      <c r="D54" s="1794"/>
      <c r="E54" s="1794"/>
      <c r="F54" s="1786"/>
      <c r="G54" s="1786"/>
      <c r="H54" s="1786"/>
      <c r="I54" s="1786"/>
      <c r="J54" s="1786"/>
      <c r="K54" s="1786"/>
      <c r="L54" s="1786"/>
      <c r="M54" s="1786"/>
    </row>
    <row r="55" spans="2:13" ht="30">
      <c r="B55" s="1785" t="s">
        <v>959</v>
      </c>
      <c r="C55" s="1800" t="s">
        <v>960</v>
      </c>
      <c r="D55" s="1795"/>
      <c r="E55" s="1795"/>
      <c r="F55" s="1795"/>
      <c r="G55" s="1795"/>
      <c r="H55" s="1795"/>
      <c r="I55" s="1795"/>
      <c r="J55" s="1795"/>
      <c r="K55" s="1795"/>
      <c r="L55" s="1795"/>
      <c r="M55" s="1795"/>
    </row>
    <row r="56" spans="2:13" ht="15">
      <c r="B56" s="1794" t="s">
        <v>529</v>
      </c>
      <c r="C56" s="1794"/>
      <c r="D56" s="1794"/>
      <c r="E56" s="1794"/>
      <c r="F56" s="1786"/>
      <c r="G56" s="1786"/>
      <c r="H56" s="1786"/>
      <c r="I56" s="1786"/>
      <c r="J56" s="1786"/>
      <c r="K56" s="1786"/>
      <c r="L56" s="1786"/>
      <c r="M56" s="1786"/>
    </row>
    <row r="57" spans="2:13" ht="15.75">
      <c r="B57" s="1787" t="s">
        <v>961</v>
      </c>
      <c r="C57" s="1786"/>
      <c r="D57" s="1787" t="s">
        <v>986</v>
      </c>
      <c r="E57" s="1787"/>
      <c r="F57" s="1787"/>
      <c r="G57" s="1787"/>
      <c r="H57" s="1786"/>
      <c r="I57" s="1786"/>
      <c r="J57" s="1786"/>
      <c r="K57" s="1786"/>
      <c r="L57" s="1786"/>
      <c r="M57" s="1786"/>
    </row>
    <row r="58" spans="2:13">
      <c r="B58" s="1786"/>
      <c r="C58" s="1786"/>
      <c r="D58" s="1786"/>
      <c r="E58" s="1786"/>
      <c r="F58" s="1786"/>
      <c r="G58" s="1786"/>
      <c r="H58" s="1786"/>
      <c r="I58" s="1786"/>
      <c r="J58" s="1789" t="s">
        <v>962</v>
      </c>
      <c r="K58" s="1789"/>
      <c r="L58" s="1786"/>
      <c r="M58" s="1786"/>
    </row>
    <row r="59" spans="2:13" ht="14.25">
      <c r="B59" s="1786"/>
      <c r="C59" s="1786"/>
      <c r="D59" s="1786"/>
      <c r="E59" s="1786"/>
      <c r="F59" s="1786"/>
      <c r="G59" s="1786"/>
      <c r="H59" s="1786"/>
      <c r="I59" s="1786"/>
      <c r="J59" s="1788" t="s">
        <v>29</v>
      </c>
      <c r="K59" s="1786"/>
      <c r="L59" s="1786"/>
      <c r="M59" s="1786"/>
    </row>
    <row r="60" spans="2:13" ht="15">
      <c r="B60" s="1789" t="s">
        <v>963</v>
      </c>
      <c r="C60" s="1789" t="s">
        <v>964</v>
      </c>
      <c r="D60" s="1789"/>
      <c r="E60" s="1789"/>
      <c r="F60" s="1789"/>
      <c r="G60" s="1789"/>
      <c r="H60" s="1786"/>
      <c r="I60" s="1786"/>
      <c r="J60" s="1786"/>
      <c r="K60" s="1794" t="s">
        <v>965</v>
      </c>
      <c r="L60" s="1794"/>
      <c r="M60" s="1794"/>
    </row>
    <row r="61" spans="2:13" ht="15.75">
      <c r="B61" s="1787" t="s">
        <v>987</v>
      </c>
      <c r="C61" s="1787" t="s">
        <v>966</v>
      </c>
      <c r="D61" s="1787"/>
      <c r="E61" s="1787"/>
      <c r="F61" s="1787" t="s">
        <v>14</v>
      </c>
      <c r="G61" s="1786"/>
      <c r="H61" s="1786"/>
      <c r="I61" s="1786"/>
      <c r="J61" s="1790">
        <v>234.02597</v>
      </c>
      <c r="K61" s="1787" t="s">
        <v>967</v>
      </c>
      <c r="L61" s="1786"/>
      <c r="M61" s="1786"/>
    </row>
    <row r="62" spans="2:13" ht="15.75">
      <c r="B62" s="1787" t="s">
        <v>988</v>
      </c>
      <c r="C62" s="1787" t="s">
        <v>968</v>
      </c>
      <c r="D62" s="1787"/>
      <c r="E62" s="1786"/>
      <c r="F62" s="1786"/>
      <c r="G62" s="1786"/>
      <c r="H62" s="1786"/>
      <c r="I62" s="1786"/>
      <c r="J62" s="1790">
        <v>1.06396</v>
      </c>
      <c r="K62" s="1787" t="s">
        <v>969</v>
      </c>
      <c r="L62" s="1786"/>
      <c r="M62" s="1786"/>
    </row>
    <row r="63" spans="2:13" ht="15.75">
      <c r="B63" s="1787" t="s">
        <v>989</v>
      </c>
      <c r="C63" s="1787" t="s">
        <v>970</v>
      </c>
      <c r="D63" s="1787"/>
      <c r="E63" s="1786"/>
      <c r="F63" s="1787" t="s">
        <v>14</v>
      </c>
      <c r="G63" s="1786"/>
      <c r="H63" s="1786"/>
      <c r="I63" s="1786"/>
      <c r="J63" s="1790">
        <v>0</v>
      </c>
      <c r="K63" s="1787" t="s">
        <v>971</v>
      </c>
      <c r="L63" s="1786"/>
      <c r="M63" s="1786"/>
    </row>
    <row r="64" spans="2:13" ht="13.5" thickBot="1">
      <c r="B64" s="1786"/>
      <c r="C64" s="1786"/>
      <c r="D64" s="1786"/>
      <c r="E64" s="1786"/>
      <c r="F64" s="1786"/>
      <c r="G64" s="1786"/>
      <c r="H64" s="1786"/>
      <c r="I64" s="1786"/>
      <c r="J64" s="1786"/>
      <c r="K64" s="1786"/>
      <c r="L64" s="1786"/>
      <c r="M64" s="1786"/>
    </row>
    <row r="65" spans="2:13" ht="19.5" thickBot="1">
      <c r="B65" s="1791" t="s">
        <v>990</v>
      </c>
      <c r="C65" s="1792"/>
      <c r="D65" s="1792"/>
      <c r="E65" s="1792"/>
      <c r="F65" s="1792"/>
      <c r="G65" s="1792"/>
      <c r="H65" s="1792"/>
      <c r="I65" s="1792"/>
      <c r="J65" s="1793">
        <f>((J11+J63)/J62)-J61</f>
        <v>4.0999999612767226</v>
      </c>
      <c r="K65" s="1786"/>
      <c r="L65" s="1786"/>
      <c r="M65" s="1786"/>
    </row>
    <row r="66" spans="2:13">
      <c r="B66" s="1786"/>
      <c r="C66" s="1786"/>
      <c r="D66" s="1786"/>
      <c r="E66" s="1786"/>
      <c r="F66" s="1786"/>
      <c r="G66" s="1786"/>
      <c r="H66" s="1786"/>
      <c r="I66" s="1786"/>
      <c r="J66" s="1786"/>
      <c r="K66" s="1786"/>
      <c r="L66" s="1786"/>
      <c r="M66" s="1786"/>
    </row>
  </sheetData>
  <phoneticPr fontId="0" type="noConversion"/>
  <hyperlinks>
    <hyperlink ref="J1" location="Inputs!A1" display="Index"/>
  </hyperlink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O164"/>
  <sheetViews>
    <sheetView showGridLines="0" zoomScale="70" zoomScaleNormal="70" zoomScalePageLayoutView="75" workbookViewId="0"/>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28" customWidth="1"/>
    <col min="12" max="12" width="21.85546875" style="28" customWidth="1"/>
    <col min="13" max="14" width="9.140625" style="28" customWidth="1"/>
    <col min="15" max="15" width="20.42578125" style="28" customWidth="1"/>
    <col min="16" max="16" width="20.42578125" customWidth="1"/>
    <col min="17" max="17" width="21.85546875" customWidth="1"/>
  </cols>
  <sheetData>
    <row r="1" spans="1:15" s="1" customFormat="1">
      <c r="A1" s="8" t="s">
        <v>460</v>
      </c>
      <c r="F1" s="241" t="s">
        <v>216</v>
      </c>
    </row>
    <row r="2" spans="1:15">
      <c r="J2"/>
      <c r="K2"/>
      <c r="L2"/>
      <c r="M2"/>
      <c r="N2"/>
      <c r="O2"/>
    </row>
    <row r="3" spans="1:15" s="1223" customFormat="1" ht="26.25" customHeight="1">
      <c r="F3" s="2180" t="s">
        <v>373</v>
      </c>
      <c r="G3" s="2181"/>
      <c r="H3" s="2182"/>
    </row>
    <row r="4" spans="1:15" s="1223" customFormat="1" ht="27.75" customHeight="1">
      <c r="F4" s="2183" t="s">
        <v>219</v>
      </c>
      <c r="G4" s="2184"/>
      <c r="H4" s="2185"/>
    </row>
    <row r="5" spans="1:15">
      <c r="F5" s="9"/>
      <c r="G5" s="10" t="s">
        <v>14</v>
      </c>
      <c r="H5" s="21" t="s">
        <v>405</v>
      </c>
      <c r="J5"/>
      <c r="K5"/>
      <c r="L5"/>
      <c r="M5"/>
      <c r="N5"/>
      <c r="O5"/>
    </row>
    <row r="6" spans="1:15">
      <c r="F6" s="4" t="s">
        <v>240</v>
      </c>
      <c r="G6" s="1877">
        <f>SUM(I20:I39)</f>
        <v>5442185.0120996283</v>
      </c>
      <c r="H6" s="1251">
        <f>G6/$G$11</f>
        <v>0.45206745118236835</v>
      </c>
      <c r="J6"/>
      <c r="K6"/>
      <c r="L6"/>
      <c r="M6"/>
      <c r="N6"/>
      <c r="O6"/>
    </row>
    <row r="7" spans="1:15">
      <c r="F7" s="4" t="s">
        <v>374</v>
      </c>
      <c r="G7" s="1878">
        <f>SUM(I62:I63)+SUM(I69:I70)+SUM(I75:I78)</f>
        <v>688266.54029010737</v>
      </c>
      <c r="H7" s="1252">
        <f>G7/$G$11</f>
        <v>5.7172422457393603E-2</v>
      </c>
      <c r="J7"/>
      <c r="K7"/>
      <c r="L7"/>
      <c r="M7"/>
      <c r="N7"/>
      <c r="O7"/>
    </row>
    <row r="8" spans="1:15">
      <c r="F8" s="4" t="s">
        <v>239</v>
      </c>
      <c r="G8" s="1878">
        <f>SUM(I42:I56)+SUM(I59:I61)+SUM(I64:I68)+SUM(I71:I72)+SUM(I158:I163)+SUM(I153:I154)</f>
        <v>2448211.2247172631</v>
      </c>
      <c r="H8" s="1252">
        <f>G8/$G$11</f>
        <v>0.20336622254725664</v>
      </c>
      <c r="J8"/>
      <c r="K8"/>
      <c r="L8"/>
      <c r="M8"/>
      <c r="N8"/>
      <c r="O8"/>
    </row>
    <row r="9" spans="1:15">
      <c r="F9" s="4" t="s">
        <v>245</v>
      </c>
      <c r="G9" s="1878">
        <f>'Calc-Drivers'!E32*(SUM(I81:I120)+SUM(I149:I150))</f>
        <v>1357046.4610622085</v>
      </c>
      <c r="H9" s="1252">
        <f>G9/$G$11</f>
        <v>0.11272614463207356</v>
      </c>
      <c r="I9" s="18"/>
      <c r="J9"/>
      <c r="K9"/>
      <c r="L9"/>
      <c r="M9"/>
      <c r="N9"/>
      <c r="O9"/>
    </row>
    <row r="10" spans="1:15">
      <c r="F10" s="5" t="s">
        <v>497</v>
      </c>
      <c r="G10" s="1879">
        <f>'Calc-Drivers'!E32*SUM(I121:I146)</f>
        <v>2102726.6144137713</v>
      </c>
      <c r="H10" s="1253">
        <f>G10/$G$11</f>
        <v>0.17466775918090791</v>
      </c>
      <c r="I10" s="18" t="s">
        <v>619</v>
      </c>
      <c r="J10"/>
      <c r="K10"/>
      <c r="L10"/>
      <c r="M10"/>
      <c r="N10"/>
      <c r="O10"/>
    </row>
    <row r="11" spans="1:15">
      <c r="F11" s="47" t="s">
        <v>246</v>
      </c>
      <c r="G11" s="1880">
        <f>SUM(G6:G10)</f>
        <v>12038435.852582978</v>
      </c>
      <c r="H11" s="48">
        <f>SUM(H6:H10)</f>
        <v>1</v>
      </c>
      <c r="I11" t="str">
        <f>IF(G11=$I$164,"OK", "error")</f>
        <v>error</v>
      </c>
      <c r="J11"/>
      <c r="K11"/>
      <c r="L11"/>
      <c r="M11"/>
      <c r="N11"/>
      <c r="O11"/>
    </row>
    <row r="12" spans="1:15">
      <c r="J12"/>
      <c r="K12"/>
      <c r="L12"/>
      <c r="M12"/>
      <c r="N12"/>
      <c r="O12"/>
    </row>
    <row r="13" spans="1:15">
      <c r="J13"/>
      <c r="K13"/>
      <c r="L13"/>
      <c r="M13"/>
      <c r="N13"/>
      <c r="O13"/>
    </row>
    <row r="14" spans="1:15" s="1" customFormat="1" ht="12" customHeight="1">
      <c r="A14" s="8" t="s">
        <v>712</v>
      </c>
    </row>
    <row r="16" spans="1:15" s="19" customFormat="1" ht="25.5">
      <c r="A16" s="23"/>
      <c r="B16" s="1346"/>
      <c r="C16" s="1347" t="s">
        <v>641</v>
      </c>
      <c r="D16" s="1348" t="s">
        <v>31</v>
      </c>
      <c r="E16" s="1349" t="s">
        <v>876</v>
      </c>
      <c r="F16" s="1349"/>
      <c r="G16" s="1349" t="s">
        <v>713</v>
      </c>
      <c r="H16" s="1349" t="s">
        <v>703</v>
      </c>
      <c r="I16" s="1349" t="s">
        <v>459</v>
      </c>
      <c r="J16" s="29"/>
      <c r="K16" s="24"/>
      <c r="L16" s="24"/>
      <c r="M16" s="24"/>
      <c r="N16" s="30"/>
      <c r="O16" s="31"/>
    </row>
    <row r="17" spans="1:15" ht="54.75" customHeight="1">
      <c r="A17" s="3"/>
      <c r="B17" s="14"/>
      <c r="C17" s="20"/>
      <c r="D17" s="3"/>
      <c r="E17" s="1350" t="s">
        <v>585</v>
      </c>
      <c r="F17" s="1350" t="s">
        <v>217</v>
      </c>
      <c r="G17" s="1350" t="s">
        <v>446</v>
      </c>
      <c r="H17" s="1350" t="s">
        <v>913</v>
      </c>
      <c r="I17" s="1351" t="s">
        <v>883</v>
      </c>
      <c r="J17" s="24"/>
      <c r="K17" s="24"/>
      <c r="L17" s="24"/>
      <c r="M17" s="24"/>
      <c r="N17" s="24"/>
      <c r="O17" s="32"/>
    </row>
    <row r="18" spans="1:15">
      <c r="A18" s="1865" t="s">
        <v>465</v>
      </c>
      <c r="B18" s="1866"/>
      <c r="C18" s="1867"/>
      <c r="D18" s="1865"/>
      <c r="E18" s="1865"/>
      <c r="F18" s="1867"/>
      <c r="G18" s="1867"/>
      <c r="H18" s="1867"/>
      <c r="I18" s="1867"/>
      <c r="J18" s="33"/>
      <c r="K18" s="25"/>
      <c r="L18" s="25"/>
      <c r="M18" s="26"/>
      <c r="N18" s="34"/>
      <c r="O18" s="35"/>
    </row>
    <row r="19" spans="1:15">
      <c r="A19" s="1191"/>
      <c r="B19" s="1868" t="s">
        <v>225</v>
      </c>
      <c r="C19" s="1869"/>
      <c r="D19" s="1191"/>
      <c r="E19" s="1191"/>
      <c r="F19" s="1869"/>
      <c r="G19" s="1869"/>
      <c r="H19" s="1869"/>
      <c r="I19" s="1869"/>
      <c r="J19" s="33"/>
      <c r="K19" s="26"/>
      <c r="L19" s="27"/>
      <c r="M19" s="26"/>
      <c r="N19" s="33"/>
      <c r="O19" s="36"/>
    </row>
    <row r="20" spans="1:15">
      <c r="A20" s="1191"/>
      <c r="B20" s="1868"/>
      <c r="C20" s="1869" t="s">
        <v>466</v>
      </c>
      <c r="D20" s="1191" t="s">
        <v>177</v>
      </c>
      <c r="E20" s="1870">
        <v>27.528494505681106</v>
      </c>
      <c r="F20" s="1871" t="s">
        <v>218</v>
      </c>
      <c r="G20" s="1871">
        <v>27.528494505681106</v>
      </c>
      <c r="H20" s="1869">
        <v>2269.9125879231683</v>
      </c>
      <c r="I20" s="1869">
        <v>62487.27620501932</v>
      </c>
      <c r="J20" s="26"/>
      <c r="K20" s="26"/>
      <c r="L20" s="26"/>
      <c r="M20" s="26"/>
      <c r="N20" s="37"/>
      <c r="O20" s="36"/>
    </row>
    <row r="21" spans="1:15">
      <c r="A21" s="1191"/>
      <c r="B21" s="1868"/>
      <c r="C21" s="1869" t="s">
        <v>467</v>
      </c>
      <c r="D21" s="1191" t="s">
        <v>744</v>
      </c>
      <c r="E21" s="1870">
        <v>0.68174660799481313</v>
      </c>
      <c r="F21" s="1871" t="s">
        <v>218</v>
      </c>
      <c r="G21" s="1871">
        <v>0.68174660799481313</v>
      </c>
      <c r="H21" s="1869">
        <v>98345.912216088545</v>
      </c>
      <c r="I21" s="1869">
        <v>67046.992063474027</v>
      </c>
      <c r="J21" s="26"/>
      <c r="K21" s="26"/>
      <c r="L21" s="26"/>
      <c r="M21" s="26"/>
      <c r="N21" s="37"/>
      <c r="O21" s="38"/>
    </row>
    <row r="22" spans="1:15">
      <c r="A22" s="1191"/>
      <c r="B22" s="1868"/>
      <c r="C22" s="1869"/>
      <c r="D22" s="1191"/>
      <c r="E22" s="1870" t="s">
        <v>1057</v>
      </c>
      <c r="F22" s="1871"/>
      <c r="G22" s="1871">
        <v>0</v>
      </c>
      <c r="H22" s="1869" t="s">
        <v>859</v>
      </c>
      <c r="I22" s="1869" t="s">
        <v>859</v>
      </c>
      <c r="J22" s="26"/>
      <c r="K22" s="26"/>
      <c r="L22" s="26"/>
      <c r="M22" s="26"/>
      <c r="N22" s="37"/>
      <c r="O22" s="38"/>
    </row>
    <row r="23" spans="1:15">
      <c r="A23" s="1191"/>
      <c r="B23" s="1868" t="s">
        <v>745</v>
      </c>
      <c r="C23" s="1869"/>
      <c r="D23" s="1191"/>
      <c r="E23" s="1870" t="s">
        <v>1057</v>
      </c>
      <c r="F23" s="1871"/>
      <c r="G23" s="1871">
        <v>0</v>
      </c>
      <c r="H23" s="1869" t="s">
        <v>859</v>
      </c>
      <c r="I23" s="1869" t="s">
        <v>859</v>
      </c>
      <c r="J23" s="26"/>
      <c r="K23" s="26"/>
      <c r="L23" s="27"/>
      <c r="M23" s="26"/>
      <c r="N23" s="37"/>
      <c r="O23" s="36"/>
    </row>
    <row r="24" spans="1:15">
      <c r="A24" s="1191"/>
      <c r="B24" s="1868"/>
      <c r="C24" s="1869" t="s">
        <v>746</v>
      </c>
      <c r="D24" s="1191" t="s">
        <v>744</v>
      </c>
      <c r="E24" s="1870">
        <v>1.5277794536362459</v>
      </c>
      <c r="F24" s="1871" t="s">
        <v>218</v>
      </c>
      <c r="G24" s="1871">
        <v>1.5277794536362459</v>
      </c>
      <c r="H24" s="1869">
        <v>60466.380003209</v>
      </c>
      <c r="I24" s="1869">
        <v>92379.293004664272</v>
      </c>
      <c r="J24" s="26"/>
      <c r="K24" s="26"/>
      <c r="L24" s="26"/>
      <c r="M24" s="26"/>
      <c r="N24" s="37"/>
      <c r="O24" s="38"/>
    </row>
    <row r="25" spans="1:15">
      <c r="A25" s="1191"/>
      <c r="B25" s="1868"/>
      <c r="C25" s="1869"/>
      <c r="D25" s="1191"/>
      <c r="E25" s="1870" t="s">
        <v>1057</v>
      </c>
      <c r="F25" s="1871"/>
      <c r="G25" s="1871">
        <v>0</v>
      </c>
      <c r="H25" s="1869" t="s">
        <v>859</v>
      </c>
      <c r="I25" s="1869" t="s">
        <v>859</v>
      </c>
      <c r="J25" s="26"/>
      <c r="K25" s="26"/>
      <c r="L25" s="26"/>
      <c r="M25" s="26"/>
      <c r="N25" s="37"/>
      <c r="O25" s="38"/>
    </row>
    <row r="26" spans="1:15">
      <c r="A26" s="1191"/>
      <c r="B26" s="1868" t="s">
        <v>878</v>
      </c>
      <c r="C26" s="1869"/>
      <c r="D26" s="1191"/>
      <c r="E26" s="1870" t="s">
        <v>1057</v>
      </c>
      <c r="F26" s="1871"/>
      <c r="G26" s="1871">
        <v>0</v>
      </c>
      <c r="H26" s="1869" t="s">
        <v>859</v>
      </c>
      <c r="I26" s="1869" t="s">
        <v>859</v>
      </c>
      <c r="J26" s="26"/>
      <c r="K26" s="26"/>
      <c r="L26" s="27"/>
      <c r="M26" s="26"/>
      <c r="N26" s="37"/>
      <c r="O26" s="36"/>
    </row>
    <row r="27" spans="1:15">
      <c r="A27" s="1191"/>
      <c r="B27" s="1868"/>
      <c r="C27" s="1869" t="s">
        <v>773</v>
      </c>
      <c r="D27" s="1191" t="s">
        <v>177</v>
      </c>
      <c r="E27" s="1870">
        <v>88.045253901895236</v>
      </c>
      <c r="F27" s="1871" t="s">
        <v>218</v>
      </c>
      <c r="G27" s="1871">
        <v>88.045253901895236</v>
      </c>
      <c r="H27" s="1869">
        <v>4612.8269014203379</v>
      </c>
      <c r="I27" s="1869">
        <v>406137.51574104634</v>
      </c>
      <c r="J27" s="26"/>
      <c r="K27" s="26"/>
      <c r="L27" s="27"/>
      <c r="M27" s="26"/>
      <c r="N27" s="37"/>
      <c r="O27" s="36"/>
    </row>
    <row r="28" spans="1:15">
      <c r="A28" s="1191"/>
      <c r="B28" s="1868"/>
      <c r="C28" s="1869" t="s">
        <v>634</v>
      </c>
      <c r="D28" s="1191" t="s">
        <v>177</v>
      </c>
      <c r="E28" s="1870">
        <v>88.045253901895236</v>
      </c>
      <c r="F28" s="1871" t="s">
        <v>218</v>
      </c>
      <c r="G28" s="1871">
        <v>88.045253901895236</v>
      </c>
      <c r="H28" s="1869">
        <v>4483.2569974058897</v>
      </c>
      <c r="I28" s="1869">
        <v>394729.50064405001</v>
      </c>
      <c r="J28" s="26"/>
      <c r="K28" s="26"/>
      <c r="L28" s="27"/>
      <c r="M28" s="26"/>
      <c r="N28" s="37"/>
      <c r="O28" s="36"/>
    </row>
    <row r="29" spans="1:15">
      <c r="A29" s="1191"/>
      <c r="B29" s="1868"/>
      <c r="C29" s="1869" t="s">
        <v>635</v>
      </c>
      <c r="D29" s="1191" t="s">
        <v>177</v>
      </c>
      <c r="E29" s="1870">
        <v>88.045253901895236</v>
      </c>
      <c r="F29" s="1871" t="s">
        <v>218</v>
      </c>
      <c r="G29" s="1871">
        <v>88.045253901895236</v>
      </c>
      <c r="H29" s="1869">
        <v>19315.005000000001</v>
      </c>
      <c r="I29" s="1869">
        <v>1700594.5193413761</v>
      </c>
      <c r="J29" s="26"/>
      <c r="K29" s="26"/>
      <c r="L29" s="27"/>
      <c r="M29" s="26"/>
      <c r="N29" s="37"/>
      <c r="O29" s="36"/>
    </row>
    <row r="30" spans="1:15">
      <c r="A30" s="1191"/>
      <c r="B30" s="1868"/>
      <c r="C30" s="1869" t="s">
        <v>636</v>
      </c>
      <c r="D30" s="1191" t="s">
        <v>744</v>
      </c>
      <c r="E30" s="1870">
        <v>1.0602953824340386</v>
      </c>
      <c r="F30" s="1871" t="s">
        <v>218</v>
      </c>
      <c r="G30" s="1871">
        <v>1.0602953824340386</v>
      </c>
      <c r="H30" s="1869">
        <v>2352058.6290290575</v>
      </c>
      <c r="I30" s="1869">
        <v>2493876.9035736453</v>
      </c>
      <c r="J30" s="26"/>
      <c r="K30" s="26"/>
      <c r="L30" s="27"/>
      <c r="M30" s="26"/>
      <c r="N30" s="37"/>
      <c r="O30" s="38"/>
    </row>
    <row r="31" spans="1:15">
      <c r="A31" s="1191"/>
      <c r="B31" s="1868"/>
      <c r="C31" s="1869"/>
      <c r="D31" s="1191"/>
      <c r="E31" s="1870" t="s">
        <v>1057</v>
      </c>
      <c r="F31" s="1871"/>
      <c r="G31" s="1871">
        <v>0</v>
      </c>
      <c r="H31" s="1869" t="s">
        <v>859</v>
      </c>
      <c r="I31" s="1869" t="s">
        <v>859</v>
      </c>
      <c r="J31" s="26"/>
      <c r="K31" s="26"/>
      <c r="L31" s="26"/>
      <c r="M31" s="26"/>
      <c r="N31" s="37"/>
      <c r="O31" s="38"/>
    </row>
    <row r="32" spans="1:15">
      <c r="A32" s="1191"/>
      <c r="B32" s="1868" t="s">
        <v>637</v>
      </c>
      <c r="C32" s="1869"/>
      <c r="D32" s="1191"/>
      <c r="E32" s="1870" t="s">
        <v>1057</v>
      </c>
      <c r="F32" s="1871"/>
      <c r="G32" s="1871">
        <v>0</v>
      </c>
      <c r="H32" s="1869" t="s">
        <v>859</v>
      </c>
      <c r="I32" s="1869" t="s">
        <v>859</v>
      </c>
      <c r="J32" s="26"/>
      <c r="K32"/>
      <c r="L32"/>
      <c r="M32"/>
      <c r="N32"/>
      <c r="O32"/>
    </row>
    <row r="33" spans="1:15">
      <c r="A33" s="1191"/>
      <c r="B33" s="1868"/>
      <c r="C33" s="1869" t="s">
        <v>638</v>
      </c>
      <c r="D33" s="1191" t="s">
        <v>744</v>
      </c>
      <c r="E33" s="1870">
        <v>7.8700352428272735</v>
      </c>
      <c r="F33" s="1871" t="s">
        <v>218</v>
      </c>
      <c r="G33" s="1871">
        <v>7.8700352428272735</v>
      </c>
      <c r="H33" s="1869">
        <v>3191</v>
      </c>
      <c r="I33" s="1869">
        <v>25113.282459861828</v>
      </c>
      <c r="J33" s="191"/>
      <c r="K33"/>
      <c r="L33"/>
      <c r="M33"/>
      <c r="N33"/>
      <c r="O33"/>
    </row>
    <row r="34" spans="1:15">
      <c r="A34" s="1191"/>
      <c r="B34" s="1868"/>
      <c r="C34" s="1869" t="s">
        <v>639</v>
      </c>
      <c r="D34" s="1191" t="s">
        <v>744</v>
      </c>
      <c r="E34" s="1870">
        <v>7.8247094898122382</v>
      </c>
      <c r="F34" s="1871" t="s">
        <v>218</v>
      </c>
      <c r="G34" s="1871">
        <v>7.8247094898122382</v>
      </c>
      <c r="H34" s="1869">
        <v>6908</v>
      </c>
      <c r="I34" s="1869">
        <v>54053.093155622941</v>
      </c>
      <c r="J34" s="26"/>
      <c r="K34"/>
      <c r="L34"/>
      <c r="M34"/>
      <c r="N34"/>
      <c r="O34"/>
    </row>
    <row r="35" spans="1:15">
      <c r="A35" s="1191"/>
      <c r="B35" s="1868"/>
      <c r="C35" s="1869" t="s">
        <v>758</v>
      </c>
      <c r="D35" s="1191" t="s">
        <v>744</v>
      </c>
      <c r="E35" s="1870">
        <v>7.8700352428272735</v>
      </c>
      <c r="F35" s="1871" t="s">
        <v>218</v>
      </c>
      <c r="G35" s="1871">
        <v>7.8700352428272735</v>
      </c>
      <c r="H35" s="1869">
        <v>6237</v>
      </c>
      <c r="I35" s="1869">
        <v>49085.409809513701</v>
      </c>
      <c r="J35" s="26"/>
      <c r="K35"/>
      <c r="L35"/>
      <c r="M35"/>
      <c r="N35"/>
      <c r="O35"/>
    </row>
    <row r="36" spans="1:15">
      <c r="A36" s="1191"/>
      <c r="B36" s="1868"/>
      <c r="C36" s="1869" t="s">
        <v>759</v>
      </c>
      <c r="D36" s="1191" t="s">
        <v>744</v>
      </c>
      <c r="E36" s="1870">
        <v>5.1206392645214951</v>
      </c>
      <c r="F36" s="1871" t="s">
        <v>218</v>
      </c>
      <c r="G36" s="1871">
        <v>5.1206392645214951</v>
      </c>
      <c r="H36" s="1869">
        <v>18880.694598272767</v>
      </c>
      <c r="I36" s="1869">
        <v>96681.226101354419</v>
      </c>
      <c r="J36" s="26"/>
      <c r="K36"/>
      <c r="L36"/>
      <c r="M36"/>
      <c r="N36"/>
      <c r="O36"/>
    </row>
    <row r="37" spans="1:15">
      <c r="A37" s="1191"/>
      <c r="B37" s="1868"/>
      <c r="C37" s="1869" t="s">
        <v>41</v>
      </c>
      <c r="D37" s="1191" t="s">
        <v>744</v>
      </c>
      <c r="E37" s="1870" t="s">
        <v>1057</v>
      </c>
      <c r="F37" s="1871" t="s">
        <v>218</v>
      </c>
      <c r="G37" s="1871" t="s">
        <v>218</v>
      </c>
      <c r="H37" s="1869">
        <v>19878</v>
      </c>
      <c r="I37" s="1869" t="s">
        <v>859</v>
      </c>
      <c r="J37" s="26"/>
      <c r="K37"/>
      <c r="L37"/>
      <c r="M37"/>
      <c r="N37"/>
      <c r="O37"/>
    </row>
    <row r="38" spans="1:15">
      <c r="A38" s="1191"/>
      <c r="B38" s="1868"/>
      <c r="C38" s="1869" t="s">
        <v>42</v>
      </c>
      <c r="D38" s="1191" t="s">
        <v>744</v>
      </c>
      <c r="E38" s="1870" t="s">
        <v>1057</v>
      </c>
      <c r="F38" s="1871" t="s">
        <v>218</v>
      </c>
      <c r="G38" s="1871" t="s">
        <v>859</v>
      </c>
      <c r="H38" s="1869">
        <v>0</v>
      </c>
      <c r="I38" s="1869" t="s">
        <v>859</v>
      </c>
      <c r="J38" s="26"/>
      <c r="K38"/>
      <c r="L38"/>
      <c r="M38"/>
      <c r="N38"/>
      <c r="O38"/>
    </row>
    <row r="39" spans="1:15">
      <c r="A39" s="1191"/>
      <c r="B39" s="1868"/>
      <c r="C39" s="1869"/>
      <c r="D39" s="1191"/>
      <c r="E39" s="1870" t="s">
        <v>1057</v>
      </c>
      <c r="F39" s="1871"/>
      <c r="G39" s="1871">
        <v>0</v>
      </c>
      <c r="H39" s="1869" t="s">
        <v>859</v>
      </c>
      <c r="I39" s="1869" t="s">
        <v>859</v>
      </c>
      <c r="J39" s="40"/>
      <c r="K39"/>
      <c r="L39"/>
      <c r="M39"/>
      <c r="N39"/>
      <c r="O39"/>
    </row>
    <row r="40" spans="1:15">
      <c r="A40" s="1191" t="s">
        <v>43</v>
      </c>
      <c r="B40" s="1868"/>
      <c r="C40" s="1869"/>
      <c r="D40" s="1191"/>
      <c r="E40" s="1870" t="s">
        <v>1057</v>
      </c>
      <c r="F40" s="1871"/>
      <c r="G40" s="1871">
        <v>0</v>
      </c>
      <c r="H40" s="1869" t="s">
        <v>859</v>
      </c>
      <c r="I40" s="1869" t="s">
        <v>859</v>
      </c>
      <c r="J40" s="26"/>
      <c r="K40"/>
      <c r="L40"/>
      <c r="M40"/>
      <c r="N40"/>
      <c r="O40"/>
    </row>
    <row r="41" spans="1:15">
      <c r="A41" s="1191"/>
      <c r="B41" s="1868" t="s">
        <v>225</v>
      </c>
      <c r="C41" s="1869"/>
      <c r="D41" s="1191"/>
      <c r="E41" s="1870" t="s">
        <v>1057</v>
      </c>
      <c r="F41" s="1871"/>
      <c r="G41" s="1871">
        <v>0</v>
      </c>
      <c r="H41" s="1869" t="s">
        <v>859</v>
      </c>
      <c r="I41" s="1869" t="s">
        <v>859</v>
      </c>
      <c r="J41" s="26"/>
      <c r="K41"/>
      <c r="L41"/>
      <c r="M41"/>
      <c r="N41"/>
      <c r="O41"/>
    </row>
    <row r="42" spans="1:15">
      <c r="A42" s="1191"/>
      <c r="B42" s="1868"/>
      <c r="C42" s="1869" t="s">
        <v>44</v>
      </c>
      <c r="D42" s="1191" t="s">
        <v>177</v>
      </c>
      <c r="E42" s="1870">
        <v>11.909257341536181</v>
      </c>
      <c r="F42" s="1871" t="s">
        <v>218</v>
      </c>
      <c r="G42" s="1871">
        <v>11.909257341536181</v>
      </c>
      <c r="H42" s="1869">
        <v>7768.9155383933221</v>
      </c>
      <c r="I42" s="1869">
        <v>92522.014411385186</v>
      </c>
      <c r="J42" s="26"/>
      <c r="K42"/>
      <c r="L42"/>
      <c r="M42"/>
      <c r="N42"/>
      <c r="O42"/>
    </row>
    <row r="43" spans="1:15">
      <c r="A43" s="1191"/>
      <c r="B43" s="1868"/>
      <c r="C43" s="1869" t="s">
        <v>45</v>
      </c>
      <c r="D43" s="1191" t="s">
        <v>177</v>
      </c>
      <c r="E43" s="1870">
        <v>22.212595097048638</v>
      </c>
      <c r="F43" s="1871" t="s">
        <v>218</v>
      </c>
      <c r="G43" s="1871">
        <v>22.212595097048638</v>
      </c>
      <c r="H43" s="1869">
        <v>27</v>
      </c>
      <c r="I43" s="1869">
        <v>599.7400676203132</v>
      </c>
      <c r="J43" s="26"/>
      <c r="K43"/>
      <c r="L43"/>
      <c r="M43"/>
      <c r="N43"/>
      <c r="O43"/>
    </row>
    <row r="44" spans="1:15">
      <c r="A44" s="1191"/>
      <c r="B44" s="1868"/>
      <c r="C44" s="1869" t="s">
        <v>46</v>
      </c>
      <c r="D44" s="1191" t="s">
        <v>177</v>
      </c>
      <c r="E44" s="1870">
        <v>0</v>
      </c>
      <c r="F44" s="1871" t="s">
        <v>218</v>
      </c>
      <c r="G44" s="1871">
        <v>0</v>
      </c>
      <c r="H44" s="1869">
        <v>0</v>
      </c>
      <c r="I44" s="1869">
        <v>0</v>
      </c>
      <c r="J44" s="26"/>
      <c r="K44" s="26"/>
      <c r="L44" s="26"/>
      <c r="M44" s="26"/>
      <c r="N44" s="37"/>
      <c r="O44" s="36"/>
    </row>
    <row r="45" spans="1:15">
      <c r="A45" s="1191"/>
      <c r="B45" s="1868"/>
      <c r="C45" s="1869" t="s">
        <v>649</v>
      </c>
      <c r="D45" s="1191" t="s">
        <v>177</v>
      </c>
      <c r="E45" s="1870">
        <v>0</v>
      </c>
      <c r="F45" s="1871" t="s">
        <v>218</v>
      </c>
      <c r="G45" s="1871">
        <v>0</v>
      </c>
      <c r="H45" s="1869">
        <v>0</v>
      </c>
      <c r="I45" s="1869">
        <v>0</v>
      </c>
      <c r="J45" s="26"/>
      <c r="K45" s="26"/>
      <c r="L45" s="26"/>
      <c r="M45" s="26"/>
      <c r="N45" s="37"/>
      <c r="O45" s="38"/>
    </row>
    <row r="46" spans="1:15">
      <c r="A46" s="1191"/>
      <c r="B46" s="1868"/>
      <c r="C46" s="1869"/>
      <c r="D46" s="1191"/>
      <c r="E46" s="1870" t="s">
        <v>1057</v>
      </c>
      <c r="F46" s="1871"/>
      <c r="G46" s="1871">
        <v>0</v>
      </c>
      <c r="H46" s="1869" t="s">
        <v>859</v>
      </c>
      <c r="I46" s="1869" t="s">
        <v>859</v>
      </c>
      <c r="J46" s="26"/>
      <c r="K46" s="26"/>
      <c r="L46" s="26"/>
      <c r="M46" s="26"/>
      <c r="N46" s="37"/>
      <c r="O46" s="38"/>
    </row>
    <row r="47" spans="1:15">
      <c r="A47" s="1191"/>
      <c r="B47" s="1868" t="s">
        <v>745</v>
      </c>
      <c r="C47" s="1869"/>
      <c r="D47" s="1191"/>
      <c r="E47" s="1870" t="s">
        <v>1057</v>
      </c>
      <c r="F47" s="1871"/>
      <c r="G47" s="1871">
        <v>0</v>
      </c>
      <c r="H47" s="1869" t="s">
        <v>859</v>
      </c>
      <c r="I47" s="1869" t="s">
        <v>859</v>
      </c>
      <c r="J47" s="26"/>
      <c r="K47" s="26"/>
      <c r="L47" s="27"/>
      <c r="M47" s="26"/>
      <c r="N47" s="37"/>
      <c r="O47" s="36"/>
    </row>
    <row r="48" spans="1:15">
      <c r="A48" s="1191"/>
      <c r="B48" s="1868"/>
      <c r="C48" s="1869" t="s">
        <v>767</v>
      </c>
      <c r="D48" s="1191" t="s">
        <v>744</v>
      </c>
      <c r="E48" s="1870">
        <v>3.0059101505303327</v>
      </c>
      <c r="F48" s="1871" t="s">
        <v>218</v>
      </c>
      <c r="G48" s="1871">
        <v>3.0059101505303327</v>
      </c>
      <c r="H48" s="1869">
        <v>99519.426920230515</v>
      </c>
      <c r="I48" s="1869">
        <v>299146.45555448253</v>
      </c>
      <c r="J48" s="26"/>
      <c r="K48" s="26"/>
      <c r="L48" s="42"/>
      <c r="M48" s="26"/>
      <c r="N48" s="37"/>
      <c r="O48" s="36"/>
    </row>
    <row r="49" spans="1:15">
      <c r="A49" s="1191"/>
      <c r="B49" s="1868"/>
      <c r="C49" s="1869" t="s">
        <v>768</v>
      </c>
      <c r="D49" s="1191" t="s">
        <v>744</v>
      </c>
      <c r="E49" s="1870">
        <v>0</v>
      </c>
      <c r="F49" s="1871" t="s">
        <v>218</v>
      </c>
      <c r="G49" s="1871">
        <v>0</v>
      </c>
      <c r="H49" s="1869">
        <v>0</v>
      </c>
      <c r="I49" s="1869">
        <v>0</v>
      </c>
      <c r="J49" s="26"/>
      <c r="K49" s="26"/>
      <c r="L49" s="27"/>
      <c r="M49" s="26"/>
      <c r="N49" s="37"/>
      <c r="O49" s="38"/>
    </row>
    <row r="50" spans="1:15">
      <c r="A50" s="1191"/>
      <c r="B50" s="1868"/>
      <c r="C50" s="1869"/>
      <c r="D50" s="1191"/>
      <c r="E50" s="1870" t="s">
        <v>1057</v>
      </c>
      <c r="F50" s="1871" t="s">
        <v>218</v>
      </c>
      <c r="G50" s="1871" t="s">
        <v>218</v>
      </c>
      <c r="H50" s="1869" t="s">
        <v>859</v>
      </c>
      <c r="I50" s="1869" t="s">
        <v>859</v>
      </c>
      <c r="J50" s="26"/>
      <c r="K50" s="26"/>
      <c r="L50" s="26"/>
      <c r="M50" s="26"/>
      <c r="N50" s="37"/>
      <c r="O50" s="38"/>
    </row>
    <row r="51" spans="1:15">
      <c r="A51" s="1191"/>
      <c r="B51" s="1868" t="s">
        <v>769</v>
      </c>
      <c r="C51" s="1869"/>
      <c r="D51" s="1191"/>
      <c r="E51" s="1870" t="s">
        <v>1057</v>
      </c>
      <c r="F51" s="1871"/>
      <c r="G51" s="1871">
        <v>0</v>
      </c>
      <c r="H51" s="1869" t="s">
        <v>859</v>
      </c>
      <c r="I51" s="1869" t="s">
        <v>859</v>
      </c>
      <c r="J51" s="26"/>
      <c r="K51" s="26"/>
      <c r="L51" s="27"/>
      <c r="M51" s="26"/>
      <c r="N51" s="37"/>
      <c r="O51" s="36"/>
    </row>
    <row r="52" spans="1:15">
      <c r="A52" s="1191"/>
      <c r="B52" s="1868"/>
      <c r="C52" s="1869" t="s">
        <v>770</v>
      </c>
      <c r="D52" s="1191" t="s">
        <v>177</v>
      </c>
      <c r="E52" s="1870">
        <v>116.046944137041</v>
      </c>
      <c r="F52" s="1871" t="s">
        <v>218</v>
      </c>
      <c r="G52" s="1871">
        <v>116.046944137041</v>
      </c>
      <c r="H52" s="1869">
        <v>12867.951291556556</v>
      </c>
      <c r="I52" s="1869">
        <v>1493286.4246894282</v>
      </c>
      <c r="J52" s="26"/>
      <c r="K52" s="26"/>
      <c r="L52" s="27"/>
      <c r="M52" s="26"/>
      <c r="N52" s="37"/>
      <c r="O52" s="36"/>
    </row>
    <row r="53" spans="1:15">
      <c r="A53" s="1191"/>
      <c r="B53" s="1868"/>
      <c r="C53" s="1869" t="s">
        <v>771</v>
      </c>
      <c r="D53" s="1191" t="s">
        <v>177</v>
      </c>
      <c r="E53" s="1870">
        <v>0</v>
      </c>
      <c r="F53" s="1871" t="s">
        <v>218</v>
      </c>
      <c r="G53" s="1871">
        <v>0</v>
      </c>
      <c r="H53" s="1869">
        <v>0</v>
      </c>
      <c r="I53" s="1869">
        <v>0</v>
      </c>
      <c r="J53" s="26"/>
      <c r="K53" s="26"/>
      <c r="L53" s="27"/>
      <c r="M53" s="26"/>
      <c r="N53" s="37"/>
      <c r="O53" s="38"/>
    </row>
    <row r="54" spans="1:15">
      <c r="A54" s="1191"/>
      <c r="B54" s="1868"/>
      <c r="C54" s="1869"/>
      <c r="D54" s="1191"/>
      <c r="E54" s="1870" t="s">
        <v>1057</v>
      </c>
      <c r="F54" s="1871"/>
      <c r="G54" s="1871">
        <v>0</v>
      </c>
      <c r="H54" s="1869" t="s">
        <v>859</v>
      </c>
      <c r="I54" s="1869" t="s">
        <v>859</v>
      </c>
      <c r="J54" s="26"/>
      <c r="K54" s="26"/>
      <c r="L54" s="27"/>
      <c r="M54" s="26"/>
      <c r="N54" s="37"/>
      <c r="O54" s="38"/>
    </row>
    <row r="55" spans="1:15">
      <c r="A55" s="1191"/>
      <c r="B55" s="1868" t="s">
        <v>68</v>
      </c>
      <c r="C55" s="1869"/>
      <c r="D55" s="1191"/>
      <c r="E55" s="1870" t="s">
        <v>1057</v>
      </c>
      <c r="F55" s="1871"/>
      <c r="G55" s="1871">
        <v>0</v>
      </c>
      <c r="H55" s="1869" t="s">
        <v>859</v>
      </c>
      <c r="I55" s="1869" t="s">
        <v>859</v>
      </c>
      <c r="J55" s="26"/>
      <c r="K55" s="26"/>
      <c r="L55" s="27"/>
      <c r="M55" s="26"/>
      <c r="N55" s="37"/>
      <c r="O55" s="36"/>
    </row>
    <row r="56" spans="1:15">
      <c r="A56" s="1191"/>
      <c r="B56" s="1868"/>
      <c r="C56" s="1869" t="s">
        <v>69</v>
      </c>
      <c r="D56" s="1191" t="s">
        <v>177</v>
      </c>
      <c r="E56" s="1870">
        <v>348.14083241112297</v>
      </c>
      <c r="F56" s="1871" t="s">
        <v>218</v>
      </c>
      <c r="G56" s="1871">
        <v>348.14083241112297</v>
      </c>
      <c r="H56" s="1869">
        <v>22</v>
      </c>
      <c r="I56" s="1869">
        <v>7659.0983130447057</v>
      </c>
      <c r="J56" s="26"/>
      <c r="K56" s="26"/>
      <c r="L56" s="27"/>
      <c r="M56" s="26"/>
      <c r="N56" s="37"/>
      <c r="O56" s="38"/>
    </row>
    <row r="57" spans="1:15">
      <c r="A57" s="1191"/>
      <c r="B57" s="1868"/>
      <c r="C57" s="1869"/>
      <c r="D57" s="1191"/>
      <c r="E57" s="1870" t="s">
        <v>1057</v>
      </c>
      <c r="F57" s="1871" t="s">
        <v>218</v>
      </c>
      <c r="G57" s="1871" t="s">
        <v>218</v>
      </c>
      <c r="H57" s="1869" t="s">
        <v>859</v>
      </c>
      <c r="I57" s="1869" t="s">
        <v>859</v>
      </c>
      <c r="J57" s="26"/>
      <c r="K57" s="26"/>
      <c r="L57" s="27"/>
      <c r="M57" s="26"/>
      <c r="N57" s="37"/>
      <c r="O57" s="38"/>
    </row>
    <row r="58" spans="1:15">
      <c r="A58" s="1191"/>
      <c r="B58" s="1868" t="s">
        <v>637</v>
      </c>
      <c r="C58" s="1869"/>
      <c r="D58" s="1191"/>
      <c r="E58" s="1870" t="s">
        <v>1057</v>
      </c>
      <c r="F58" s="1871"/>
      <c r="G58" s="1871">
        <v>0</v>
      </c>
      <c r="H58" s="1869" t="s">
        <v>859</v>
      </c>
      <c r="I58" s="1869" t="s">
        <v>859</v>
      </c>
      <c r="J58" s="26"/>
      <c r="K58" s="26"/>
      <c r="L58" s="27"/>
      <c r="M58" s="26"/>
      <c r="N58" s="37"/>
      <c r="O58" s="36"/>
    </row>
    <row r="59" spans="1:15">
      <c r="A59" s="1191"/>
      <c r="B59" s="1868"/>
      <c r="C59" s="1869" t="s">
        <v>70</v>
      </c>
      <c r="D59" s="1191" t="s">
        <v>744</v>
      </c>
      <c r="E59" s="1870">
        <v>15.888864341752473</v>
      </c>
      <c r="F59" s="1871" t="s">
        <v>218</v>
      </c>
      <c r="G59" s="1871">
        <v>15.888864341752473</v>
      </c>
      <c r="H59" s="1869">
        <v>818</v>
      </c>
      <c r="I59" s="1869">
        <v>12997.091031553524</v>
      </c>
      <c r="J59" s="26"/>
      <c r="K59" s="26"/>
      <c r="L59" s="27"/>
      <c r="M59" s="26"/>
      <c r="N59" s="37"/>
      <c r="O59" s="36"/>
    </row>
    <row r="60" spans="1:15">
      <c r="A60" s="1191"/>
      <c r="B60" s="1868"/>
      <c r="C60" s="1869" t="s">
        <v>80</v>
      </c>
      <c r="D60" s="1191" t="s">
        <v>744</v>
      </c>
      <c r="E60" s="1870">
        <v>41.499656717784823</v>
      </c>
      <c r="F60" s="1871" t="s">
        <v>218</v>
      </c>
      <c r="G60" s="1871">
        <v>41.499656717784823</v>
      </c>
      <c r="H60" s="1869">
        <v>10480</v>
      </c>
      <c r="I60" s="1869">
        <v>434916.40240238496</v>
      </c>
      <c r="J60" s="26"/>
      <c r="K60" s="26"/>
      <c r="L60" s="27"/>
      <c r="M60" s="26"/>
      <c r="N60" s="37"/>
      <c r="O60" s="36"/>
    </row>
    <row r="61" spans="1:15">
      <c r="A61" s="1191"/>
      <c r="B61" s="1868"/>
      <c r="C61" s="1869" t="s">
        <v>81</v>
      </c>
      <c r="D61" s="1191" t="s">
        <v>744</v>
      </c>
      <c r="E61" s="1870">
        <v>5.0750740882301191</v>
      </c>
      <c r="F61" s="1871" t="s">
        <v>218</v>
      </c>
      <c r="G61" s="1871">
        <v>5.0750740882301191</v>
      </c>
      <c r="H61" s="1869">
        <v>98</v>
      </c>
      <c r="I61" s="1869">
        <v>497.35726064655165</v>
      </c>
      <c r="J61" s="26"/>
      <c r="K61" s="26"/>
      <c r="L61" s="27"/>
      <c r="M61" s="26"/>
      <c r="N61" s="37"/>
      <c r="O61" s="36"/>
    </row>
    <row r="62" spans="1:15">
      <c r="A62" s="1191"/>
      <c r="B62" s="1868"/>
      <c r="C62" s="1869" t="s">
        <v>82</v>
      </c>
      <c r="D62" s="1191" t="s">
        <v>744</v>
      </c>
      <c r="E62" s="1870">
        <v>11.282999613216058</v>
      </c>
      <c r="F62" s="1871" t="s">
        <v>218</v>
      </c>
      <c r="G62" s="1871">
        <v>11.282999613216058</v>
      </c>
      <c r="H62" s="1869">
        <v>14136</v>
      </c>
      <c r="I62" s="1869">
        <v>159496.4825324222</v>
      </c>
      <c r="J62" s="26"/>
      <c r="K62" s="26"/>
      <c r="L62" s="27"/>
      <c r="M62" s="26"/>
      <c r="N62" s="37"/>
      <c r="O62" s="36"/>
    </row>
    <row r="63" spans="1:15">
      <c r="A63" s="1191"/>
      <c r="B63" s="1868"/>
      <c r="C63" s="1869" t="s">
        <v>782</v>
      </c>
      <c r="D63" s="1191" t="s">
        <v>744</v>
      </c>
      <c r="E63" s="1870">
        <v>19.56878449824524</v>
      </c>
      <c r="F63" s="1871" t="s">
        <v>218</v>
      </c>
      <c r="G63" s="1871">
        <v>19.56878449824524</v>
      </c>
      <c r="H63" s="1869">
        <v>10373</v>
      </c>
      <c r="I63" s="1869">
        <v>202987.00160029787</v>
      </c>
      <c r="J63" s="26"/>
      <c r="K63" s="26"/>
      <c r="L63" s="27"/>
      <c r="M63" s="26"/>
      <c r="N63" s="37"/>
      <c r="O63" s="39"/>
    </row>
    <row r="64" spans="1:15">
      <c r="A64" s="1191"/>
      <c r="B64" s="1868"/>
      <c r="C64" s="1869" t="s">
        <v>783</v>
      </c>
      <c r="D64" s="1191" t="s">
        <v>744</v>
      </c>
      <c r="E64" s="1870">
        <v>5.0750740882301191</v>
      </c>
      <c r="F64" s="1871" t="s">
        <v>218</v>
      </c>
      <c r="G64" s="1871">
        <v>5.0750740882301191</v>
      </c>
      <c r="H64" s="1869">
        <v>9691</v>
      </c>
      <c r="I64" s="1869">
        <v>49182.542989038084</v>
      </c>
      <c r="J64" s="26"/>
      <c r="K64" s="26"/>
      <c r="L64" s="27"/>
      <c r="M64" s="26"/>
      <c r="N64" s="37"/>
      <c r="O64" s="39"/>
    </row>
    <row r="65" spans="1:15">
      <c r="A65" s="1191"/>
      <c r="B65" s="1868"/>
      <c r="C65" s="1869" t="s">
        <v>72</v>
      </c>
      <c r="D65" s="1191" t="s">
        <v>744</v>
      </c>
      <c r="E65" s="1870">
        <v>11.282999613216058</v>
      </c>
      <c r="F65" s="1871" t="s">
        <v>218</v>
      </c>
      <c r="G65" s="1871">
        <v>11.282999613216058</v>
      </c>
      <c r="H65" s="1869">
        <v>6</v>
      </c>
      <c r="I65" s="1869">
        <v>67.69799767929635</v>
      </c>
      <c r="J65" s="26"/>
      <c r="K65" s="26"/>
      <c r="L65" s="27"/>
      <c r="M65" s="26"/>
      <c r="N65" s="37"/>
      <c r="O65" s="36"/>
    </row>
    <row r="66" spans="1:15">
      <c r="A66" s="1191"/>
      <c r="B66" s="1868"/>
      <c r="C66" s="1869" t="s">
        <v>662</v>
      </c>
      <c r="D66" s="1191" t="s">
        <v>744</v>
      </c>
      <c r="E66" s="1870">
        <v>0</v>
      </c>
      <c r="F66" s="1871" t="s">
        <v>218</v>
      </c>
      <c r="G66" s="1871">
        <v>0</v>
      </c>
      <c r="H66" s="1869">
        <v>0</v>
      </c>
      <c r="I66" s="1869">
        <v>0</v>
      </c>
      <c r="J66" s="26"/>
      <c r="K66" s="26"/>
      <c r="L66" s="26"/>
      <c r="M66" s="26"/>
      <c r="N66" s="37"/>
      <c r="O66" s="36"/>
    </row>
    <row r="67" spans="1:15">
      <c r="A67" s="1191"/>
      <c r="B67" s="1868"/>
      <c r="C67" s="1869" t="s">
        <v>501</v>
      </c>
      <c r="D67" s="1191" t="s">
        <v>744</v>
      </c>
      <c r="E67" s="1870">
        <v>0</v>
      </c>
      <c r="F67" s="1871" t="s">
        <v>218</v>
      </c>
      <c r="G67" s="1871">
        <v>0</v>
      </c>
      <c r="H67" s="1869">
        <v>0</v>
      </c>
      <c r="I67" s="1869">
        <v>0</v>
      </c>
      <c r="J67" s="26"/>
      <c r="K67" s="26"/>
      <c r="L67" s="26"/>
      <c r="M67" s="26"/>
      <c r="N67" s="37"/>
      <c r="O67" s="36"/>
    </row>
    <row r="68" spans="1:15">
      <c r="A68" s="1191"/>
      <c r="B68" s="1868"/>
      <c r="C68" s="1869" t="s">
        <v>502</v>
      </c>
      <c r="D68" s="1191" t="s">
        <v>744</v>
      </c>
      <c r="E68" s="1870">
        <v>0</v>
      </c>
      <c r="F68" s="1871" t="s">
        <v>218</v>
      </c>
      <c r="G68" s="1871">
        <v>0</v>
      </c>
      <c r="H68" s="1869">
        <v>0</v>
      </c>
      <c r="I68" s="1869">
        <v>0</v>
      </c>
      <c r="J68" s="26"/>
      <c r="K68" s="26"/>
      <c r="L68" s="27"/>
      <c r="M68" s="26"/>
      <c r="N68" s="37"/>
      <c r="O68" s="36"/>
    </row>
    <row r="69" spans="1:15">
      <c r="A69" s="1191"/>
      <c r="B69" s="1868"/>
      <c r="C69" s="1869" t="s">
        <v>503</v>
      </c>
      <c r="D69" s="1191" t="s">
        <v>744</v>
      </c>
      <c r="E69" s="1870">
        <v>0</v>
      </c>
      <c r="F69" s="1871" t="s">
        <v>218</v>
      </c>
      <c r="G69" s="1871">
        <v>0</v>
      </c>
      <c r="H69" s="1869">
        <v>0</v>
      </c>
      <c r="I69" s="1869">
        <v>0</v>
      </c>
      <c r="J69" s="26"/>
      <c r="K69" s="26"/>
      <c r="L69" s="27"/>
      <c r="M69" s="26"/>
      <c r="N69" s="37"/>
      <c r="O69" s="36"/>
    </row>
    <row r="70" spans="1:15">
      <c r="A70" s="1191"/>
      <c r="B70" s="1868"/>
      <c r="C70" s="1869" t="s">
        <v>506</v>
      </c>
      <c r="D70" s="1191" t="s">
        <v>744</v>
      </c>
      <c r="E70" s="1870">
        <v>0</v>
      </c>
      <c r="F70" s="1871" t="s">
        <v>218</v>
      </c>
      <c r="G70" s="1871">
        <v>0</v>
      </c>
      <c r="H70" s="1869">
        <v>0</v>
      </c>
      <c r="I70" s="1869">
        <v>0</v>
      </c>
      <c r="J70" s="26"/>
      <c r="K70" s="26"/>
      <c r="L70" s="27"/>
      <c r="M70" s="26"/>
      <c r="N70" s="37"/>
      <c r="O70" s="39"/>
    </row>
    <row r="71" spans="1:15">
      <c r="A71" s="1191"/>
      <c r="B71" s="1868"/>
      <c r="C71" s="1869" t="s">
        <v>665</v>
      </c>
      <c r="D71" s="1191" t="s">
        <v>744</v>
      </c>
      <c r="E71" s="1870" t="s">
        <v>1057</v>
      </c>
      <c r="F71" s="1871" t="s">
        <v>218</v>
      </c>
      <c r="G71" s="1871" t="s">
        <v>859</v>
      </c>
      <c r="H71" s="1869">
        <v>0</v>
      </c>
      <c r="I71" s="1869" t="s">
        <v>859</v>
      </c>
      <c r="J71" s="26"/>
      <c r="K71" s="26"/>
      <c r="L71" s="27"/>
      <c r="M71" s="26"/>
      <c r="N71" s="37"/>
      <c r="O71" s="39"/>
    </row>
    <row r="72" spans="1:15">
      <c r="A72" s="1191"/>
      <c r="B72" s="1868"/>
      <c r="C72" s="1869" t="s">
        <v>511</v>
      </c>
      <c r="D72" s="1191" t="s">
        <v>744</v>
      </c>
      <c r="E72" s="1870" t="s">
        <v>1057</v>
      </c>
      <c r="F72" s="1871" t="s">
        <v>218</v>
      </c>
      <c r="G72" s="1871" t="s">
        <v>859</v>
      </c>
      <c r="H72" s="1869">
        <v>0</v>
      </c>
      <c r="I72" s="1869" t="s">
        <v>859</v>
      </c>
      <c r="J72" s="26"/>
      <c r="K72" s="26"/>
      <c r="L72" s="27"/>
      <c r="M72" s="26"/>
      <c r="N72" s="37"/>
      <c r="O72" s="38"/>
    </row>
    <row r="73" spans="1:15">
      <c r="A73" s="1191"/>
      <c r="B73" s="1868"/>
      <c r="C73" s="1869"/>
      <c r="D73" s="1191"/>
      <c r="E73" s="1870" t="s">
        <v>1057</v>
      </c>
      <c r="F73" s="1871"/>
      <c r="G73" s="1871">
        <v>0</v>
      </c>
      <c r="H73" s="1869" t="s">
        <v>859</v>
      </c>
      <c r="I73" s="1869" t="s">
        <v>859</v>
      </c>
      <c r="J73" s="26"/>
      <c r="K73" s="26"/>
      <c r="L73" s="27"/>
      <c r="M73" s="26"/>
      <c r="N73" s="37"/>
      <c r="O73" s="38"/>
    </row>
    <row r="74" spans="1:15">
      <c r="A74" s="1191"/>
      <c r="B74" s="1868" t="s">
        <v>512</v>
      </c>
      <c r="C74" s="1869"/>
      <c r="D74" s="1191"/>
      <c r="E74" s="1870" t="s">
        <v>1057</v>
      </c>
      <c r="F74" s="1871"/>
      <c r="G74" s="1871">
        <v>0</v>
      </c>
      <c r="H74" s="1869" t="s">
        <v>859</v>
      </c>
      <c r="I74" s="1869" t="s">
        <v>859</v>
      </c>
      <c r="J74" s="26"/>
      <c r="K74" s="26"/>
      <c r="L74" s="27"/>
      <c r="M74" s="26"/>
      <c r="N74" s="37"/>
      <c r="O74" s="36"/>
    </row>
    <row r="75" spans="1:15">
      <c r="A75" s="1191"/>
      <c r="B75" s="1868"/>
      <c r="C75" s="1869" t="s">
        <v>513</v>
      </c>
      <c r="D75" s="1191" t="s">
        <v>744</v>
      </c>
      <c r="E75" s="1870">
        <v>4.4507903505956872</v>
      </c>
      <c r="F75" s="1871" t="s">
        <v>218</v>
      </c>
      <c r="G75" s="1871">
        <v>4.4507903505956872</v>
      </c>
      <c r="H75" s="1869">
        <v>16930</v>
      </c>
      <c r="I75" s="1869">
        <v>75351.880635584981</v>
      </c>
      <c r="J75" s="26"/>
      <c r="K75" s="26"/>
      <c r="L75" s="27"/>
      <c r="M75" s="26"/>
      <c r="N75" s="37"/>
      <c r="O75" s="36"/>
    </row>
    <row r="76" spans="1:15">
      <c r="A76" s="1191"/>
      <c r="B76" s="1868"/>
      <c r="C76" s="1869" t="s">
        <v>514</v>
      </c>
      <c r="D76" s="1191" t="s">
        <v>744</v>
      </c>
      <c r="E76" s="1870">
        <v>15.39977711977631</v>
      </c>
      <c r="F76" s="1871" t="s">
        <v>218</v>
      </c>
      <c r="G76" s="1871">
        <v>15.39977711977631</v>
      </c>
      <c r="H76" s="1869">
        <v>16262</v>
      </c>
      <c r="I76" s="1869">
        <v>250431.17552180236</v>
      </c>
      <c r="J76" s="26"/>
      <c r="K76" s="26"/>
      <c r="L76" s="27"/>
      <c r="M76" s="26"/>
      <c r="N76" s="37"/>
      <c r="O76" s="36"/>
    </row>
    <row r="77" spans="1:15">
      <c r="A77" s="1191"/>
      <c r="B77" s="1868"/>
      <c r="C77" s="1869" t="s">
        <v>515</v>
      </c>
      <c r="D77" s="1191" t="s">
        <v>744</v>
      </c>
      <c r="E77" s="1870">
        <v>0</v>
      </c>
      <c r="F77" s="1871" t="s">
        <v>218</v>
      </c>
      <c r="G77" s="1871">
        <v>0</v>
      </c>
      <c r="H77" s="1869">
        <v>0</v>
      </c>
      <c r="I77" s="1869">
        <v>0</v>
      </c>
      <c r="J77" s="26"/>
      <c r="K77" s="26"/>
      <c r="L77" s="27"/>
      <c r="M77" s="26"/>
      <c r="N77" s="37"/>
      <c r="O77" s="36"/>
    </row>
    <row r="78" spans="1:15">
      <c r="A78" s="1191"/>
      <c r="B78" s="1868"/>
      <c r="C78" s="1869" t="s">
        <v>516</v>
      </c>
      <c r="D78" s="1191" t="s">
        <v>744</v>
      </c>
      <c r="E78" s="1870">
        <v>0</v>
      </c>
      <c r="F78" s="1871" t="s">
        <v>218</v>
      </c>
      <c r="G78" s="1871">
        <v>0</v>
      </c>
      <c r="H78" s="1869">
        <v>0</v>
      </c>
      <c r="I78" s="1869">
        <v>0</v>
      </c>
      <c r="J78" s="26"/>
      <c r="K78" s="26"/>
      <c r="L78" s="27"/>
      <c r="M78" s="26"/>
      <c r="N78" s="37"/>
      <c r="O78" s="38"/>
    </row>
    <row r="79" spans="1:15">
      <c r="A79" s="1191"/>
      <c r="B79" s="1868"/>
      <c r="C79" s="1869"/>
      <c r="D79" s="1191"/>
      <c r="E79" s="1870" t="s">
        <v>1057</v>
      </c>
      <c r="F79" s="1871"/>
      <c r="G79" s="1871">
        <v>0</v>
      </c>
      <c r="H79" s="1869" t="s">
        <v>859</v>
      </c>
      <c r="I79" s="1869" t="s">
        <v>859</v>
      </c>
      <c r="J79" s="40"/>
      <c r="K79" s="40"/>
      <c r="L79" s="40"/>
      <c r="M79" s="40"/>
      <c r="N79" s="41"/>
      <c r="O79" s="38"/>
    </row>
    <row r="80" spans="1:15">
      <c r="A80" s="1191" t="s">
        <v>530</v>
      </c>
      <c r="B80" s="1868"/>
      <c r="C80" s="1869"/>
      <c r="D80" s="1191"/>
      <c r="E80" s="1870" t="s">
        <v>1057</v>
      </c>
      <c r="F80" s="1871"/>
      <c r="G80" s="1871">
        <v>0</v>
      </c>
      <c r="H80" s="1869" t="s">
        <v>859</v>
      </c>
      <c r="I80" s="1869" t="s">
        <v>859</v>
      </c>
      <c r="J80" s="26"/>
      <c r="K80" s="25"/>
      <c r="L80" s="25"/>
      <c r="M80" s="42"/>
      <c r="N80" s="37"/>
      <c r="O80" s="38"/>
    </row>
    <row r="81" spans="1:15">
      <c r="A81" s="1191"/>
      <c r="B81" s="1868" t="s">
        <v>225</v>
      </c>
      <c r="C81" s="1869"/>
      <c r="D81" s="1191"/>
      <c r="E81" s="1870" t="s">
        <v>1057</v>
      </c>
      <c r="F81" s="1871"/>
      <c r="G81" s="1871">
        <v>0</v>
      </c>
      <c r="H81" s="1869" t="s">
        <v>859</v>
      </c>
      <c r="I81" s="1869" t="s">
        <v>859</v>
      </c>
      <c r="J81" s="26"/>
      <c r="K81" s="26"/>
      <c r="L81" s="27"/>
      <c r="M81" s="26"/>
      <c r="N81" s="37"/>
      <c r="O81" s="36"/>
    </row>
    <row r="82" spans="1:15">
      <c r="A82" s="1191"/>
      <c r="B82" s="1868"/>
      <c r="C82" s="1869" t="s">
        <v>531</v>
      </c>
      <c r="D82" s="1191" t="s">
        <v>177</v>
      </c>
      <c r="E82" s="1870">
        <v>23.370703329731139</v>
      </c>
      <c r="F82" s="1871" t="s">
        <v>218</v>
      </c>
      <c r="G82" s="1871">
        <v>23.370703329731139</v>
      </c>
      <c r="H82" s="1869">
        <v>1050.4000000000001</v>
      </c>
      <c r="I82" s="1869">
        <v>24548.58677754959</v>
      </c>
      <c r="J82" s="26"/>
      <c r="K82" s="26"/>
      <c r="L82" s="26"/>
      <c r="M82" s="26"/>
      <c r="N82" s="37"/>
      <c r="O82" s="36"/>
    </row>
    <row r="83" spans="1:15">
      <c r="A83" s="1191"/>
      <c r="B83" s="1868"/>
      <c r="C83" s="1869" t="s">
        <v>532</v>
      </c>
      <c r="D83" s="1191" t="s">
        <v>177</v>
      </c>
      <c r="E83" s="1870">
        <v>72.934213733907384</v>
      </c>
      <c r="F83" s="1871" t="s">
        <v>218</v>
      </c>
      <c r="G83" s="1871">
        <v>72.934213733907384</v>
      </c>
      <c r="H83" s="1869">
        <v>309</v>
      </c>
      <c r="I83" s="1869">
        <v>22536.67204377738</v>
      </c>
      <c r="J83" s="26"/>
      <c r="K83" s="26"/>
      <c r="L83" s="27"/>
      <c r="M83" s="26"/>
      <c r="N83" s="37"/>
      <c r="O83" s="36"/>
    </row>
    <row r="84" spans="1:15">
      <c r="A84" s="1191"/>
      <c r="B84" s="1868"/>
      <c r="C84" s="1869" t="s">
        <v>533</v>
      </c>
      <c r="D84" s="1191" t="s">
        <v>177</v>
      </c>
      <c r="E84" s="1870">
        <v>0</v>
      </c>
      <c r="F84" s="1871" t="s">
        <v>218</v>
      </c>
      <c r="G84" s="1871">
        <v>0</v>
      </c>
      <c r="H84" s="1869">
        <v>0</v>
      </c>
      <c r="I84" s="1869">
        <v>0</v>
      </c>
      <c r="J84" s="26"/>
      <c r="K84" s="26"/>
      <c r="L84" s="27"/>
      <c r="M84" s="26"/>
      <c r="N84" s="37"/>
      <c r="O84" s="36"/>
    </row>
    <row r="85" spans="1:15">
      <c r="A85" s="1191"/>
      <c r="B85" s="1868"/>
      <c r="C85" s="1869" t="s">
        <v>534</v>
      </c>
      <c r="D85" s="1191" t="s">
        <v>177</v>
      </c>
      <c r="E85" s="1870">
        <v>0</v>
      </c>
      <c r="F85" s="1871" t="s">
        <v>218</v>
      </c>
      <c r="G85" s="1871">
        <v>0</v>
      </c>
      <c r="H85" s="1869">
        <v>0</v>
      </c>
      <c r="I85" s="1869">
        <v>0</v>
      </c>
      <c r="J85" s="26"/>
      <c r="K85" s="26"/>
      <c r="L85" s="27"/>
      <c r="M85" s="26"/>
      <c r="N85" s="37"/>
      <c r="O85" s="38"/>
    </row>
    <row r="86" spans="1:15">
      <c r="A86" s="1191"/>
      <c r="B86" s="1868"/>
      <c r="C86" s="1869"/>
      <c r="D86" s="1191"/>
      <c r="E86" s="1870" t="s">
        <v>1057</v>
      </c>
      <c r="F86" s="1871"/>
      <c r="G86" s="1871">
        <v>0</v>
      </c>
      <c r="H86" s="1869" t="s">
        <v>859</v>
      </c>
      <c r="I86" s="1869" t="s">
        <v>859</v>
      </c>
      <c r="J86" s="26"/>
      <c r="K86" s="26"/>
      <c r="L86" s="27"/>
      <c r="M86" s="26"/>
      <c r="N86" s="37"/>
      <c r="O86" s="38"/>
    </row>
    <row r="87" spans="1:15">
      <c r="A87" s="1191"/>
      <c r="B87" s="1868" t="s">
        <v>745</v>
      </c>
      <c r="C87" s="1869"/>
      <c r="D87" s="1191"/>
      <c r="E87" s="1870" t="s">
        <v>1057</v>
      </c>
      <c r="F87" s="1871"/>
      <c r="G87" s="1871">
        <v>0</v>
      </c>
      <c r="H87" s="1869" t="s">
        <v>859</v>
      </c>
      <c r="I87" s="1869" t="s">
        <v>859</v>
      </c>
      <c r="J87" s="26"/>
      <c r="K87" s="26"/>
      <c r="L87" s="27"/>
      <c r="M87" s="26"/>
      <c r="N87" s="37"/>
      <c r="O87" s="36"/>
    </row>
    <row r="88" spans="1:15">
      <c r="A88" s="1191"/>
      <c r="B88" s="1868"/>
      <c r="C88" s="1869" t="s">
        <v>535</v>
      </c>
      <c r="D88" s="1191" t="s">
        <v>744</v>
      </c>
      <c r="E88" s="1870">
        <v>5.9702809142872546</v>
      </c>
      <c r="F88" s="1871" t="s">
        <v>218</v>
      </c>
      <c r="G88" s="1871">
        <v>5.9702809142872546</v>
      </c>
      <c r="H88" s="1869">
        <v>12500</v>
      </c>
      <c r="I88" s="1869">
        <v>74628.511428590689</v>
      </c>
      <c r="J88" s="26"/>
      <c r="K88" s="26"/>
      <c r="L88" s="26"/>
      <c r="M88" s="26"/>
      <c r="N88" s="37"/>
      <c r="O88" s="36"/>
    </row>
    <row r="89" spans="1:15">
      <c r="A89" s="1191"/>
      <c r="B89" s="1868"/>
      <c r="C89" s="1869" t="s">
        <v>536</v>
      </c>
      <c r="D89" s="1191" t="s">
        <v>744</v>
      </c>
      <c r="E89" s="1870">
        <v>38.89990126051768</v>
      </c>
      <c r="F89" s="1871" t="s">
        <v>218</v>
      </c>
      <c r="G89" s="1871">
        <v>38.89990126051768</v>
      </c>
      <c r="H89" s="1869">
        <v>711</v>
      </c>
      <c r="I89" s="1869">
        <v>27657.82979622807</v>
      </c>
      <c r="J89" s="26"/>
      <c r="K89" s="26"/>
      <c r="L89" s="26"/>
      <c r="M89" s="26"/>
      <c r="N89" s="37"/>
      <c r="O89" s="36"/>
    </row>
    <row r="90" spans="1:15">
      <c r="A90" s="1191"/>
      <c r="B90" s="1868"/>
      <c r="C90" s="1869" t="s">
        <v>537</v>
      </c>
      <c r="D90" s="1191" t="s">
        <v>744</v>
      </c>
      <c r="E90" s="1870">
        <v>0</v>
      </c>
      <c r="F90" s="1871" t="s">
        <v>218</v>
      </c>
      <c r="G90" s="1871">
        <v>0</v>
      </c>
      <c r="H90" s="1869">
        <v>0</v>
      </c>
      <c r="I90" s="1869">
        <v>0</v>
      </c>
      <c r="J90" s="26"/>
      <c r="K90" s="26"/>
      <c r="L90" s="27"/>
      <c r="M90" s="26"/>
      <c r="N90" s="37"/>
      <c r="O90" s="36"/>
    </row>
    <row r="91" spans="1:15">
      <c r="A91" s="1191"/>
      <c r="B91" s="1868"/>
      <c r="C91" s="1869" t="s">
        <v>538</v>
      </c>
      <c r="D91" s="1191" t="s">
        <v>744</v>
      </c>
      <c r="E91" s="1870">
        <v>0</v>
      </c>
      <c r="F91" s="1871" t="s">
        <v>218</v>
      </c>
      <c r="G91" s="1871">
        <v>0</v>
      </c>
      <c r="H91" s="1869">
        <v>0</v>
      </c>
      <c r="I91" s="1869">
        <v>0</v>
      </c>
      <c r="J91" s="26"/>
      <c r="K91" s="26"/>
      <c r="L91" s="27"/>
      <c r="M91" s="26"/>
      <c r="N91" s="37"/>
      <c r="O91" s="38"/>
    </row>
    <row r="92" spans="1:15">
      <c r="A92" s="1191"/>
      <c r="B92" s="1868"/>
      <c r="C92" s="1869"/>
      <c r="D92" s="1191"/>
      <c r="E92" s="1870" t="s">
        <v>1057</v>
      </c>
      <c r="F92" s="1871"/>
      <c r="G92" s="1871">
        <v>0</v>
      </c>
      <c r="H92" s="1869" t="s">
        <v>859</v>
      </c>
      <c r="I92" s="1869" t="s">
        <v>859</v>
      </c>
      <c r="J92" s="26"/>
      <c r="K92" s="26"/>
      <c r="L92" s="26"/>
      <c r="M92" s="26"/>
      <c r="N92" s="37"/>
      <c r="O92" s="38"/>
    </row>
    <row r="93" spans="1:15">
      <c r="A93" s="1191"/>
      <c r="B93" s="1868" t="s">
        <v>769</v>
      </c>
      <c r="C93" s="1869"/>
      <c r="D93" s="1191"/>
      <c r="E93" s="1870" t="s">
        <v>1057</v>
      </c>
      <c r="F93" s="1871"/>
      <c r="G93" s="1871">
        <v>0</v>
      </c>
      <c r="H93" s="1869" t="s">
        <v>859</v>
      </c>
      <c r="I93" s="1869" t="s">
        <v>859</v>
      </c>
      <c r="J93" s="33"/>
      <c r="K93" s="26"/>
      <c r="L93" s="27"/>
      <c r="M93" s="26"/>
      <c r="N93" s="37"/>
      <c r="O93" s="36"/>
    </row>
    <row r="94" spans="1:15">
      <c r="A94" s="1191"/>
      <c r="B94" s="1868"/>
      <c r="C94" s="1869" t="s">
        <v>417</v>
      </c>
      <c r="D94" s="1191" t="s">
        <v>177</v>
      </c>
      <c r="E94" s="1870">
        <v>317.53030926606021</v>
      </c>
      <c r="F94" s="1871" t="s">
        <v>218</v>
      </c>
      <c r="G94" s="1871">
        <v>317.53030926606021</v>
      </c>
      <c r="H94" s="1869">
        <v>1616.383</v>
      </c>
      <c r="I94" s="1869">
        <v>513250.59388240223</v>
      </c>
      <c r="J94" s="33"/>
      <c r="K94" s="26"/>
      <c r="L94" s="27"/>
      <c r="M94" s="26"/>
      <c r="N94" s="37"/>
      <c r="O94" s="36"/>
    </row>
    <row r="95" spans="1:15">
      <c r="A95" s="1191"/>
      <c r="B95" s="1868"/>
      <c r="C95" s="1869" t="s">
        <v>418</v>
      </c>
      <c r="D95" s="1191" t="s">
        <v>177</v>
      </c>
      <c r="E95" s="1870">
        <v>317.53030926606021</v>
      </c>
      <c r="F95" s="1871" t="s">
        <v>218</v>
      </c>
      <c r="G95" s="1871">
        <v>317.53030926606021</v>
      </c>
      <c r="H95" s="1869">
        <v>364.13400000000001</v>
      </c>
      <c r="I95" s="1869">
        <v>115623.58163428758</v>
      </c>
      <c r="J95" s="33"/>
      <c r="K95" s="26"/>
      <c r="L95" s="27"/>
      <c r="M95" s="26"/>
      <c r="N95" s="37"/>
      <c r="O95" s="36"/>
    </row>
    <row r="96" spans="1:15">
      <c r="A96" s="1191"/>
      <c r="B96" s="1868"/>
      <c r="C96" s="1869" t="s">
        <v>419</v>
      </c>
      <c r="D96" s="1191" t="s">
        <v>177</v>
      </c>
      <c r="E96" s="1870">
        <v>317.53030926606021</v>
      </c>
      <c r="F96" s="1871" t="s">
        <v>218</v>
      </c>
      <c r="G96" s="1871">
        <v>317.53030926606021</v>
      </c>
      <c r="H96" s="1869">
        <v>261</v>
      </c>
      <c r="I96" s="1869">
        <v>82875.410718441723</v>
      </c>
      <c r="J96" s="33"/>
      <c r="K96" s="26"/>
      <c r="L96" s="27"/>
      <c r="M96" s="26"/>
      <c r="N96" s="37"/>
      <c r="O96" s="36"/>
    </row>
    <row r="97" spans="1:15">
      <c r="A97" s="1191"/>
      <c r="B97" s="1868"/>
      <c r="C97" s="1869" t="s">
        <v>543</v>
      </c>
      <c r="D97" s="1191" t="s">
        <v>177</v>
      </c>
      <c r="E97" s="1870">
        <v>0</v>
      </c>
      <c r="F97" s="1871" t="s">
        <v>218</v>
      </c>
      <c r="G97" s="1871">
        <v>0</v>
      </c>
      <c r="H97" s="1869">
        <v>0</v>
      </c>
      <c r="I97" s="1869">
        <v>0</v>
      </c>
      <c r="J97" s="33"/>
      <c r="K97" s="26"/>
      <c r="L97" s="27"/>
      <c r="M97" s="26"/>
      <c r="N97" s="37"/>
      <c r="O97" s="36"/>
    </row>
    <row r="98" spans="1:15">
      <c r="A98" s="1191"/>
      <c r="B98" s="1868"/>
      <c r="C98" s="1869" t="s">
        <v>429</v>
      </c>
      <c r="D98" s="1191" t="s">
        <v>177</v>
      </c>
      <c r="E98" s="1870">
        <v>0</v>
      </c>
      <c r="F98" s="1871" t="s">
        <v>218</v>
      </c>
      <c r="G98" s="1871">
        <v>0</v>
      </c>
      <c r="H98" s="1869">
        <v>0</v>
      </c>
      <c r="I98" s="1869">
        <v>0</v>
      </c>
      <c r="J98" s="33"/>
      <c r="K98" s="26"/>
      <c r="L98" s="27"/>
      <c r="M98" s="26"/>
      <c r="N98" s="37"/>
      <c r="O98" s="36"/>
    </row>
    <row r="99" spans="1:15">
      <c r="A99" s="1191"/>
      <c r="B99" s="1868"/>
      <c r="C99" s="1869" t="s">
        <v>430</v>
      </c>
      <c r="D99" s="1191" t="s">
        <v>177</v>
      </c>
      <c r="E99" s="1870">
        <v>0</v>
      </c>
      <c r="F99" s="1871" t="s">
        <v>218</v>
      </c>
      <c r="G99" s="1871">
        <v>0</v>
      </c>
      <c r="H99" s="1869">
        <v>0</v>
      </c>
      <c r="I99" s="1869">
        <v>0</v>
      </c>
      <c r="J99" s="33"/>
      <c r="K99" s="26"/>
      <c r="L99" s="27"/>
      <c r="M99" s="26"/>
      <c r="N99" s="37"/>
      <c r="O99" s="38"/>
    </row>
    <row r="100" spans="1:15">
      <c r="A100" s="1191"/>
      <c r="B100" s="1868"/>
      <c r="C100" s="1869"/>
      <c r="D100" s="1191"/>
      <c r="E100" s="1870" t="s">
        <v>1057</v>
      </c>
      <c r="F100" s="1871"/>
      <c r="G100" s="1871">
        <v>0</v>
      </c>
      <c r="H100" s="1869" t="s">
        <v>859</v>
      </c>
      <c r="I100" s="1869" t="s">
        <v>859</v>
      </c>
      <c r="J100" s="33"/>
      <c r="K100" s="26"/>
      <c r="L100" s="26"/>
      <c r="M100" s="26"/>
      <c r="N100" s="37"/>
      <c r="O100" s="38"/>
    </row>
    <row r="101" spans="1:15">
      <c r="A101" s="1191"/>
      <c r="B101" s="1868" t="s">
        <v>68</v>
      </c>
      <c r="C101" s="1869"/>
      <c r="D101" s="1191"/>
      <c r="E101" s="1870" t="s">
        <v>1057</v>
      </c>
      <c r="F101" s="1871"/>
      <c r="G101" s="1871">
        <v>0</v>
      </c>
      <c r="H101" s="1869" t="s">
        <v>859</v>
      </c>
      <c r="I101" s="1869" t="s">
        <v>859</v>
      </c>
      <c r="J101" s="33"/>
      <c r="K101" s="26"/>
      <c r="L101" s="27"/>
      <c r="M101" s="26"/>
      <c r="N101" s="37"/>
      <c r="O101" s="36"/>
    </row>
    <row r="102" spans="1:15">
      <c r="A102" s="1191"/>
      <c r="B102" s="1868"/>
      <c r="C102" s="1869" t="s">
        <v>389</v>
      </c>
      <c r="D102" s="1191" t="s">
        <v>177</v>
      </c>
      <c r="E102" s="1870">
        <v>0</v>
      </c>
      <c r="F102" s="1871" t="s">
        <v>218</v>
      </c>
      <c r="G102" s="1871">
        <v>0</v>
      </c>
      <c r="H102" s="1869">
        <v>0</v>
      </c>
      <c r="I102" s="1869">
        <v>0</v>
      </c>
      <c r="J102" s="33"/>
      <c r="K102" s="26"/>
      <c r="L102" s="26"/>
      <c r="M102" s="26"/>
      <c r="N102" s="37"/>
      <c r="O102" s="38"/>
    </row>
    <row r="103" spans="1:15">
      <c r="A103" s="1191"/>
      <c r="B103" s="1868"/>
      <c r="C103" s="1869"/>
      <c r="D103" s="1191"/>
      <c r="E103" s="1870" t="s">
        <v>1057</v>
      </c>
      <c r="F103" s="1871"/>
      <c r="G103" s="1871">
        <v>0</v>
      </c>
      <c r="H103" s="1869" t="s">
        <v>859</v>
      </c>
      <c r="I103" s="1869" t="s">
        <v>859</v>
      </c>
      <c r="J103" s="33"/>
      <c r="K103" s="26"/>
      <c r="L103" s="27"/>
      <c r="M103" s="26"/>
      <c r="N103" s="37"/>
      <c r="O103" s="38"/>
    </row>
    <row r="104" spans="1:15">
      <c r="A104" s="1191"/>
      <c r="B104" s="1868" t="s">
        <v>637</v>
      </c>
      <c r="C104" s="1869"/>
      <c r="D104" s="1191"/>
      <c r="E104" s="1870" t="s">
        <v>1057</v>
      </c>
      <c r="F104" s="1871"/>
      <c r="G104" s="1871">
        <v>0</v>
      </c>
      <c r="H104" s="1869" t="s">
        <v>859</v>
      </c>
      <c r="I104" s="1869" t="s">
        <v>859</v>
      </c>
      <c r="J104" s="33"/>
      <c r="K104" s="26"/>
      <c r="L104" s="27"/>
      <c r="M104" s="26"/>
      <c r="N104" s="37"/>
      <c r="O104" s="36"/>
    </row>
    <row r="105" spans="1:15">
      <c r="A105" s="1191"/>
      <c r="B105" s="1868"/>
      <c r="C105" s="1869" t="s">
        <v>390</v>
      </c>
      <c r="D105" s="1191" t="s">
        <v>744</v>
      </c>
      <c r="E105" s="1870">
        <v>110.75115463922994</v>
      </c>
      <c r="F105" s="1871" t="s">
        <v>218</v>
      </c>
      <c r="G105" s="1871">
        <v>110.75115463922994</v>
      </c>
      <c r="H105" s="1869">
        <v>1441</v>
      </c>
      <c r="I105" s="1869">
        <v>159592.41383513034</v>
      </c>
      <c r="J105" s="33"/>
      <c r="K105" s="26"/>
      <c r="L105" s="27"/>
      <c r="M105" s="42"/>
      <c r="N105" s="37"/>
      <c r="O105" s="36"/>
    </row>
    <row r="106" spans="1:15">
      <c r="A106" s="1191"/>
      <c r="B106" s="1868"/>
      <c r="C106" s="1869" t="s">
        <v>391</v>
      </c>
      <c r="D106" s="1191" t="s">
        <v>744</v>
      </c>
      <c r="E106" s="1870">
        <v>110.75115463922994</v>
      </c>
      <c r="F106" s="1871" t="s">
        <v>218</v>
      </c>
      <c r="G106" s="1871">
        <v>110.75115463922994</v>
      </c>
      <c r="H106" s="1869">
        <v>158</v>
      </c>
      <c r="I106" s="1869">
        <v>17498.682432998332</v>
      </c>
      <c r="J106" s="33"/>
      <c r="K106" s="26"/>
      <c r="L106" s="27"/>
      <c r="M106" s="42"/>
      <c r="N106" s="37"/>
      <c r="O106" s="36"/>
    </row>
    <row r="107" spans="1:15">
      <c r="A107" s="1191"/>
      <c r="B107" s="1868"/>
      <c r="C107" s="1869" t="s">
        <v>392</v>
      </c>
      <c r="D107" s="1191" t="s">
        <v>744</v>
      </c>
      <c r="E107" s="1870">
        <v>110.75115463922994</v>
      </c>
      <c r="F107" s="1871" t="s">
        <v>218</v>
      </c>
      <c r="G107" s="1871">
        <v>110.75115463922994</v>
      </c>
      <c r="H107" s="1869">
        <v>63</v>
      </c>
      <c r="I107" s="1869">
        <v>6977.3227422714863</v>
      </c>
      <c r="J107" s="33"/>
      <c r="K107" s="26"/>
      <c r="L107" s="27"/>
      <c r="M107" s="42"/>
      <c r="N107" s="37"/>
      <c r="O107" s="36"/>
    </row>
    <row r="108" spans="1:15">
      <c r="A108" s="1191"/>
      <c r="B108" s="1868"/>
      <c r="C108" s="1869" t="s">
        <v>393</v>
      </c>
      <c r="D108" s="1191" t="s">
        <v>744</v>
      </c>
      <c r="E108" s="1870">
        <v>36.917051546409979</v>
      </c>
      <c r="F108" s="1871" t="s">
        <v>218</v>
      </c>
      <c r="G108" s="1871">
        <v>36.917051546409979</v>
      </c>
      <c r="H108" s="1869">
        <v>106</v>
      </c>
      <c r="I108" s="1869">
        <v>3913.207463919458</v>
      </c>
      <c r="J108" s="33"/>
      <c r="K108" s="26"/>
      <c r="L108" s="27"/>
      <c r="M108" s="42"/>
      <c r="N108" s="37"/>
      <c r="O108" s="36"/>
    </row>
    <row r="109" spans="1:15">
      <c r="A109" s="1191"/>
      <c r="B109" s="1868"/>
      <c r="C109" s="1869" t="s">
        <v>394</v>
      </c>
      <c r="D109" s="1191" t="s">
        <v>744</v>
      </c>
      <c r="E109" s="1870">
        <v>110.75115463922994</v>
      </c>
      <c r="F109" s="1871" t="s">
        <v>218</v>
      </c>
      <c r="G109" s="1871">
        <v>110.75115463922994</v>
      </c>
      <c r="H109" s="1869">
        <v>6</v>
      </c>
      <c r="I109" s="1869">
        <v>664.50692783537966</v>
      </c>
      <c r="J109" s="33"/>
      <c r="K109" s="26"/>
      <c r="L109" s="27"/>
      <c r="M109" s="42"/>
      <c r="N109" s="37"/>
      <c r="O109" s="39"/>
    </row>
    <row r="110" spans="1:15">
      <c r="A110" s="1191"/>
      <c r="B110" s="1868"/>
      <c r="C110" s="1869" t="s">
        <v>395</v>
      </c>
      <c r="D110" s="1191" t="s">
        <v>744</v>
      </c>
      <c r="E110" s="1870">
        <v>110.75115463922994</v>
      </c>
      <c r="F110" s="1871" t="s">
        <v>218</v>
      </c>
      <c r="G110" s="1871">
        <v>110.75115463922994</v>
      </c>
      <c r="H110" s="1869">
        <v>75</v>
      </c>
      <c r="I110" s="1869">
        <v>8306.3365979422451</v>
      </c>
      <c r="J110" s="33"/>
      <c r="K110" s="26"/>
      <c r="L110" s="27"/>
      <c r="M110" s="42"/>
      <c r="N110" s="37"/>
      <c r="O110" s="36"/>
    </row>
    <row r="111" spans="1:15">
      <c r="A111" s="1191"/>
      <c r="B111" s="1868"/>
      <c r="C111" s="1869" t="s">
        <v>396</v>
      </c>
      <c r="D111" s="1191" t="s">
        <v>744</v>
      </c>
      <c r="E111" s="1870">
        <v>0</v>
      </c>
      <c r="F111" s="1871" t="s">
        <v>218</v>
      </c>
      <c r="G111" s="1871">
        <v>0</v>
      </c>
      <c r="H111" s="1869">
        <v>0</v>
      </c>
      <c r="I111" s="1869">
        <v>0</v>
      </c>
      <c r="J111" s="33"/>
      <c r="K111" s="26"/>
      <c r="L111" s="27"/>
      <c r="M111" s="42"/>
      <c r="N111" s="37"/>
      <c r="O111" s="39"/>
    </row>
    <row r="112" spans="1:15">
      <c r="A112" s="1191"/>
      <c r="B112" s="1868"/>
      <c r="C112" s="1869" t="s">
        <v>397</v>
      </c>
      <c r="D112" s="1191" t="s">
        <v>744</v>
      </c>
      <c r="E112" s="1870" t="s">
        <v>1057</v>
      </c>
      <c r="F112" s="1871" t="s">
        <v>218</v>
      </c>
      <c r="G112" s="1871" t="s">
        <v>859</v>
      </c>
      <c r="H112" s="1869">
        <v>0</v>
      </c>
      <c r="I112" s="1869" t="s">
        <v>859</v>
      </c>
      <c r="J112" s="33"/>
      <c r="K112" s="26"/>
      <c r="L112" s="27"/>
      <c r="M112" s="42"/>
      <c r="N112" s="37"/>
      <c r="O112" s="38"/>
    </row>
    <row r="113" spans="1:15">
      <c r="A113" s="1191"/>
      <c r="B113" s="1868"/>
      <c r="C113" s="1869"/>
      <c r="D113" s="1191"/>
      <c r="E113" s="1870" t="s">
        <v>1057</v>
      </c>
      <c r="F113" s="1871"/>
      <c r="G113" s="1871">
        <v>0</v>
      </c>
      <c r="H113" s="1869" t="s">
        <v>859</v>
      </c>
      <c r="I113" s="1869" t="s">
        <v>859</v>
      </c>
      <c r="J113" s="33"/>
      <c r="K113" s="26"/>
      <c r="L113" s="27"/>
      <c r="M113" s="26"/>
      <c r="N113" s="37"/>
      <c r="O113" s="38"/>
    </row>
    <row r="114" spans="1:15">
      <c r="A114" s="1191"/>
      <c r="B114" s="1868" t="s">
        <v>512</v>
      </c>
      <c r="C114" s="1869"/>
      <c r="D114" s="1191"/>
      <c r="E114" s="1870" t="s">
        <v>1057</v>
      </c>
      <c r="F114" s="1871"/>
      <c r="G114" s="1871">
        <v>0</v>
      </c>
      <c r="H114" s="1869" t="s">
        <v>859</v>
      </c>
      <c r="I114" s="1869" t="s">
        <v>859</v>
      </c>
      <c r="J114" s="33"/>
      <c r="K114" s="26"/>
      <c r="L114" s="27"/>
      <c r="M114" s="26"/>
      <c r="N114" s="37"/>
      <c r="O114" s="36"/>
    </row>
    <row r="115" spans="1:15">
      <c r="A115" s="1191"/>
      <c r="B115" s="1868"/>
      <c r="C115" s="1869" t="s">
        <v>398</v>
      </c>
      <c r="D115" s="1191" t="s">
        <v>744</v>
      </c>
      <c r="E115" s="1870">
        <v>0</v>
      </c>
      <c r="F115" s="1871" t="s">
        <v>218</v>
      </c>
      <c r="G115" s="1871">
        <v>0</v>
      </c>
      <c r="H115" s="1869">
        <v>0</v>
      </c>
      <c r="I115" s="1869">
        <v>0</v>
      </c>
      <c r="J115" s="33"/>
      <c r="K115" s="26"/>
      <c r="L115" s="26"/>
      <c r="M115" s="42"/>
      <c r="N115" s="37"/>
      <c r="O115" s="36"/>
    </row>
    <row r="116" spans="1:15">
      <c r="A116" s="1191"/>
      <c r="B116" s="1868"/>
      <c r="C116" s="1869" t="s">
        <v>399</v>
      </c>
      <c r="D116" s="1191" t="s">
        <v>744</v>
      </c>
      <c r="E116" s="1870">
        <v>609.77107499013653</v>
      </c>
      <c r="F116" s="1871" t="s">
        <v>218</v>
      </c>
      <c r="G116" s="1871">
        <v>609.77107499013653</v>
      </c>
      <c r="H116" s="1869">
        <v>696</v>
      </c>
      <c r="I116" s="1869">
        <v>424400.668193135</v>
      </c>
      <c r="J116" s="33"/>
      <c r="K116" s="26"/>
      <c r="L116" s="26"/>
      <c r="M116" s="42"/>
      <c r="N116" s="37"/>
      <c r="O116" s="39"/>
    </row>
    <row r="117" spans="1:15">
      <c r="A117" s="1191"/>
      <c r="B117" s="1868"/>
      <c r="C117" s="1869" t="s">
        <v>400</v>
      </c>
      <c r="D117" s="1191" t="s">
        <v>744</v>
      </c>
      <c r="E117" s="1870" t="s">
        <v>1057</v>
      </c>
      <c r="F117" s="1871" t="s">
        <v>218</v>
      </c>
      <c r="G117" s="1871" t="s">
        <v>218</v>
      </c>
      <c r="H117" s="1869">
        <v>637</v>
      </c>
      <c r="I117" s="1869" t="s">
        <v>859</v>
      </c>
      <c r="J117" s="33"/>
      <c r="K117" s="26"/>
      <c r="L117" s="26"/>
      <c r="M117" s="26"/>
      <c r="N117" s="37"/>
      <c r="O117" s="36"/>
    </row>
    <row r="118" spans="1:15">
      <c r="A118" s="1191"/>
      <c r="B118" s="1868"/>
      <c r="C118" s="1869" t="s">
        <v>595</v>
      </c>
      <c r="D118" s="1191" t="s">
        <v>744</v>
      </c>
      <c r="E118" s="1870">
        <v>0</v>
      </c>
      <c r="F118" s="1871" t="s">
        <v>218</v>
      </c>
      <c r="G118" s="1871">
        <v>0</v>
      </c>
      <c r="H118" s="1869">
        <v>0</v>
      </c>
      <c r="I118" s="1869">
        <v>0</v>
      </c>
      <c r="J118" s="33"/>
      <c r="K118" s="26"/>
      <c r="L118" s="26"/>
      <c r="M118" s="42"/>
      <c r="N118" s="37"/>
      <c r="O118" s="39"/>
    </row>
    <row r="119" spans="1:15">
      <c r="A119" s="1191"/>
      <c r="B119" s="1868"/>
      <c r="C119" s="1869" t="s">
        <v>596</v>
      </c>
      <c r="D119" s="1191" t="s">
        <v>744</v>
      </c>
      <c r="E119" s="1870" t="s">
        <v>1057</v>
      </c>
      <c r="F119" s="1871" t="s">
        <v>218</v>
      </c>
      <c r="G119" s="1871" t="s">
        <v>859</v>
      </c>
      <c r="H119" s="1869">
        <v>0</v>
      </c>
      <c r="I119" s="1869" t="s">
        <v>859</v>
      </c>
      <c r="J119" s="33"/>
      <c r="K119" s="26"/>
      <c r="L119" s="27"/>
      <c r="M119" s="26"/>
      <c r="N119" s="37"/>
      <c r="O119" s="38"/>
    </row>
    <row r="120" spans="1:15">
      <c r="A120" s="1191"/>
      <c r="B120" s="1868"/>
      <c r="C120" s="1869"/>
      <c r="D120" s="1191"/>
      <c r="E120" s="1870" t="s">
        <v>1057</v>
      </c>
      <c r="F120" s="1871"/>
      <c r="G120" s="1871">
        <v>0</v>
      </c>
      <c r="H120" s="1869" t="s">
        <v>859</v>
      </c>
      <c r="I120" s="1869" t="s">
        <v>859</v>
      </c>
      <c r="J120" s="40"/>
      <c r="K120" s="40"/>
      <c r="L120" s="40"/>
      <c r="M120" s="40"/>
      <c r="N120" s="41"/>
      <c r="O120" s="38"/>
    </row>
    <row r="121" spans="1:15">
      <c r="A121" s="1191" t="s">
        <v>597</v>
      </c>
      <c r="B121" s="1868"/>
      <c r="C121" s="1869"/>
      <c r="D121" s="1191"/>
      <c r="E121" s="1870" t="s">
        <v>1057</v>
      </c>
      <c r="F121" s="1871"/>
      <c r="G121" s="1871">
        <v>0</v>
      </c>
      <c r="H121" s="1869" t="s">
        <v>859</v>
      </c>
      <c r="I121" s="1869" t="s">
        <v>859</v>
      </c>
      <c r="J121" s="26"/>
      <c r="K121" s="25"/>
      <c r="L121" s="25"/>
      <c r="M121" s="42"/>
      <c r="N121" s="37"/>
      <c r="O121" s="38"/>
    </row>
    <row r="122" spans="1:15">
      <c r="A122" s="1191"/>
      <c r="B122" s="1868" t="s">
        <v>225</v>
      </c>
      <c r="C122" s="1869"/>
      <c r="D122" s="1191"/>
      <c r="E122" s="1870" t="s">
        <v>1057</v>
      </c>
      <c r="F122" s="1871"/>
      <c r="G122" s="1871">
        <v>0</v>
      </c>
      <c r="H122" s="1869" t="s">
        <v>859</v>
      </c>
      <c r="I122" s="1869" t="s">
        <v>859</v>
      </c>
      <c r="J122" s="33"/>
      <c r="K122" s="26"/>
      <c r="L122" s="27"/>
      <c r="M122" s="26"/>
      <c r="N122" s="37"/>
      <c r="O122" s="36"/>
    </row>
    <row r="123" spans="1:15">
      <c r="A123" s="1191"/>
      <c r="B123" s="1868"/>
      <c r="C123" s="1869" t="s">
        <v>598</v>
      </c>
      <c r="D123" s="1191" t="s">
        <v>177</v>
      </c>
      <c r="E123" s="1870">
        <v>38.141052519316517</v>
      </c>
      <c r="F123" s="1871" t="s">
        <v>218</v>
      </c>
      <c r="G123" s="1871">
        <v>38.141052519316517</v>
      </c>
      <c r="H123" s="1869">
        <v>32</v>
      </c>
      <c r="I123" s="1869">
        <v>1220.5136806181285</v>
      </c>
      <c r="J123" s="33"/>
      <c r="K123" s="26"/>
      <c r="L123" s="27"/>
      <c r="M123" s="26"/>
      <c r="N123" s="37"/>
      <c r="O123" s="36"/>
    </row>
    <row r="124" spans="1:15">
      <c r="A124" s="1191"/>
      <c r="B124" s="1868"/>
      <c r="C124" s="1869" t="s">
        <v>599</v>
      </c>
      <c r="D124" s="1191" t="s">
        <v>177</v>
      </c>
      <c r="E124" s="1870">
        <v>114.42315755794955</v>
      </c>
      <c r="F124" s="1871" t="s">
        <v>218</v>
      </c>
      <c r="G124" s="1871">
        <v>114.42315755794955</v>
      </c>
      <c r="H124" s="1869">
        <v>1546.8</v>
      </c>
      <c r="I124" s="1869">
        <v>176989.74011063637</v>
      </c>
      <c r="J124" s="33"/>
      <c r="K124" s="26"/>
      <c r="L124" s="27"/>
      <c r="M124" s="26"/>
      <c r="N124" s="37"/>
      <c r="O124" s="38"/>
    </row>
    <row r="125" spans="1:15">
      <c r="A125" s="1191"/>
      <c r="B125" s="1868"/>
      <c r="C125" s="1869"/>
      <c r="D125" s="1191"/>
      <c r="E125" s="1870" t="s">
        <v>1057</v>
      </c>
      <c r="F125" s="1871"/>
      <c r="G125" s="1871">
        <v>0</v>
      </c>
      <c r="H125" s="1869" t="s">
        <v>859</v>
      </c>
      <c r="I125" s="1869" t="s">
        <v>859</v>
      </c>
      <c r="J125" s="33"/>
      <c r="K125" s="26"/>
      <c r="L125" s="27"/>
      <c r="M125" s="42"/>
      <c r="N125" s="37"/>
      <c r="O125" s="38"/>
    </row>
    <row r="126" spans="1:15">
      <c r="A126" s="1191"/>
      <c r="B126" s="1868" t="s">
        <v>745</v>
      </c>
      <c r="C126" s="1869"/>
      <c r="D126" s="1191"/>
      <c r="E126" s="1870" t="s">
        <v>1057</v>
      </c>
      <c r="F126" s="1871"/>
      <c r="G126" s="1871">
        <v>0</v>
      </c>
      <c r="H126" s="1869" t="s">
        <v>859</v>
      </c>
      <c r="I126" s="1869" t="s">
        <v>859</v>
      </c>
      <c r="J126" s="33"/>
      <c r="K126" s="26"/>
      <c r="L126" s="27"/>
      <c r="M126" s="26"/>
      <c r="N126" s="37"/>
      <c r="O126" s="36"/>
    </row>
    <row r="127" spans="1:15">
      <c r="A127" s="1191"/>
      <c r="B127" s="1868"/>
      <c r="C127" s="1869" t="s">
        <v>600</v>
      </c>
      <c r="D127" s="1191" t="s">
        <v>744</v>
      </c>
      <c r="E127" s="1870">
        <v>17.444739883096485</v>
      </c>
      <c r="F127" s="1871" t="s">
        <v>218</v>
      </c>
      <c r="G127" s="1871">
        <v>17.444739883096485</v>
      </c>
      <c r="H127" s="1869">
        <v>52</v>
      </c>
      <c r="I127" s="1869">
        <v>907.12647392101724</v>
      </c>
      <c r="J127" s="33"/>
      <c r="K127" s="26"/>
      <c r="L127" s="27"/>
      <c r="M127" s="26"/>
      <c r="N127" s="37"/>
      <c r="O127" s="36"/>
    </row>
    <row r="128" spans="1:15">
      <c r="A128" s="1191"/>
      <c r="B128" s="1868"/>
      <c r="C128" s="1869" t="s">
        <v>601</v>
      </c>
      <c r="D128" s="1191" t="s">
        <v>744</v>
      </c>
      <c r="E128" s="1870">
        <v>52.334219649289459</v>
      </c>
      <c r="F128" s="1871" t="s">
        <v>218</v>
      </c>
      <c r="G128" s="1871">
        <v>52.334219649289459</v>
      </c>
      <c r="H128" s="1869">
        <v>3125</v>
      </c>
      <c r="I128" s="1869">
        <v>163544.43640402955</v>
      </c>
      <c r="J128" s="33"/>
      <c r="K128" s="26"/>
      <c r="L128" s="27"/>
      <c r="M128" s="26"/>
      <c r="N128" s="37"/>
      <c r="O128" s="36"/>
    </row>
    <row r="129" spans="1:15">
      <c r="A129" s="1191"/>
      <c r="B129" s="1868"/>
      <c r="C129" s="1869" t="s">
        <v>442</v>
      </c>
      <c r="D129" s="1191" t="s">
        <v>744</v>
      </c>
      <c r="E129" s="1870">
        <v>7.062403343675741</v>
      </c>
      <c r="F129" s="1871" t="s">
        <v>218</v>
      </c>
      <c r="G129" s="1871">
        <v>7.062403343675741</v>
      </c>
      <c r="H129" s="1869">
        <v>6226</v>
      </c>
      <c r="I129" s="1869">
        <v>43970.52321772516</v>
      </c>
      <c r="J129" s="33"/>
      <c r="K129" s="26"/>
      <c r="L129" s="27"/>
      <c r="M129" s="42"/>
      <c r="N129" s="37"/>
      <c r="O129" s="38"/>
    </row>
    <row r="130" spans="1:15">
      <c r="A130" s="1191"/>
      <c r="B130" s="1868"/>
      <c r="C130" s="1869"/>
      <c r="D130" s="1191"/>
      <c r="E130" s="1870" t="s">
        <v>1057</v>
      </c>
      <c r="F130" s="1871"/>
      <c r="G130" s="1871">
        <v>0</v>
      </c>
      <c r="H130" s="1869" t="s">
        <v>859</v>
      </c>
      <c r="I130" s="1869" t="s">
        <v>859</v>
      </c>
      <c r="J130" s="33"/>
      <c r="K130" s="26"/>
      <c r="L130" s="26"/>
      <c r="M130" s="26"/>
      <c r="N130" s="37"/>
      <c r="O130" s="38"/>
    </row>
    <row r="131" spans="1:15">
      <c r="A131" s="1191"/>
      <c r="B131" s="1868" t="s">
        <v>769</v>
      </c>
      <c r="C131" s="1869"/>
      <c r="D131" s="1191"/>
      <c r="E131" s="1870" t="s">
        <v>1057</v>
      </c>
      <c r="F131" s="1871"/>
      <c r="G131" s="1871">
        <v>0</v>
      </c>
      <c r="H131" s="1869" t="s">
        <v>859</v>
      </c>
      <c r="I131" s="1869" t="s">
        <v>859</v>
      </c>
      <c r="J131" s="33"/>
      <c r="K131" s="26"/>
      <c r="L131" s="27"/>
      <c r="M131" s="26"/>
      <c r="N131" s="37"/>
      <c r="O131" s="36"/>
    </row>
    <row r="132" spans="1:15">
      <c r="A132" s="1191"/>
      <c r="B132" s="1868"/>
      <c r="C132" s="1869" t="s">
        <v>710</v>
      </c>
      <c r="D132" s="1191" t="s">
        <v>177</v>
      </c>
      <c r="E132" s="1870">
        <v>1004.1033964654554</v>
      </c>
      <c r="F132" s="1871" t="s">
        <v>218</v>
      </c>
      <c r="G132" s="1871">
        <v>1004.1033964654554</v>
      </c>
      <c r="H132" s="1869">
        <v>212.88</v>
      </c>
      <c r="I132" s="1869">
        <v>213753.53103956612</v>
      </c>
      <c r="J132" s="33"/>
      <c r="K132" s="26"/>
      <c r="L132" s="26"/>
      <c r="M132" s="26"/>
      <c r="N132" s="37"/>
      <c r="O132" s="36"/>
    </row>
    <row r="133" spans="1:15">
      <c r="A133" s="1191"/>
      <c r="B133" s="1868"/>
      <c r="C133" s="1869" t="s">
        <v>709</v>
      </c>
      <c r="D133" s="1191" t="s">
        <v>177</v>
      </c>
      <c r="E133" s="1870">
        <v>1004.1033964654554</v>
      </c>
      <c r="F133" s="1871" t="s">
        <v>218</v>
      </c>
      <c r="G133" s="1871">
        <v>1004.1033964654554</v>
      </c>
      <c r="H133" s="1869">
        <v>166.32</v>
      </c>
      <c r="I133" s="1869">
        <v>167002.47690013453</v>
      </c>
      <c r="J133" s="33"/>
      <c r="K133" s="26"/>
      <c r="L133" s="26"/>
      <c r="M133" s="26"/>
      <c r="N133" s="37"/>
      <c r="O133" s="36"/>
    </row>
    <row r="134" spans="1:15">
      <c r="A134" s="1191"/>
      <c r="B134" s="1868"/>
      <c r="C134" s="1869" t="s">
        <v>673</v>
      </c>
      <c r="D134" s="1191" t="s">
        <v>177</v>
      </c>
      <c r="E134" s="1870">
        <v>1004.1033964654554</v>
      </c>
      <c r="F134" s="1871" t="s">
        <v>218</v>
      </c>
      <c r="G134" s="1871">
        <v>1004.1033964654554</v>
      </c>
      <c r="H134" s="1869">
        <v>5</v>
      </c>
      <c r="I134" s="1869">
        <v>5020.5169823272772</v>
      </c>
      <c r="J134" s="33"/>
      <c r="K134" s="26"/>
      <c r="L134" s="26"/>
      <c r="M134" s="26"/>
      <c r="N134" s="37"/>
      <c r="O134" s="38"/>
    </row>
    <row r="135" spans="1:15">
      <c r="A135" s="1191"/>
      <c r="B135" s="1868"/>
      <c r="C135" s="1869"/>
      <c r="D135" s="1191"/>
      <c r="E135" s="1870" t="s">
        <v>1057</v>
      </c>
      <c r="F135" s="1871"/>
      <c r="G135" s="1871">
        <v>0</v>
      </c>
      <c r="H135" s="1869" t="s">
        <v>859</v>
      </c>
      <c r="I135" s="1869" t="s">
        <v>859</v>
      </c>
      <c r="J135" s="33"/>
      <c r="K135" s="26"/>
      <c r="L135" s="26"/>
      <c r="M135" s="26"/>
      <c r="N135" s="33"/>
      <c r="O135" s="38"/>
    </row>
    <row r="136" spans="1:15">
      <c r="A136" s="1191"/>
      <c r="B136" s="1868" t="s">
        <v>68</v>
      </c>
      <c r="C136" s="1869"/>
      <c r="D136" s="1191"/>
      <c r="E136" s="1870" t="s">
        <v>1057</v>
      </c>
      <c r="F136" s="1871"/>
      <c r="G136" s="1871">
        <v>0</v>
      </c>
      <c r="H136" s="1869" t="s">
        <v>859</v>
      </c>
      <c r="I136" s="1869" t="s">
        <v>859</v>
      </c>
      <c r="J136" s="33"/>
      <c r="K136" s="26"/>
      <c r="L136" s="27"/>
      <c r="M136" s="26"/>
      <c r="N136" s="33"/>
      <c r="O136" s="36"/>
    </row>
    <row r="137" spans="1:15">
      <c r="A137" s="1191"/>
      <c r="B137" s="1868"/>
      <c r="C137" s="1869" t="s">
        <v>674</v>
      </c>
      <c r="D137" s="1191" t="s">
        <v>177</v>
      </c>
      <c r="E137" s="1870">
        <v>0</v>
      </c>
      <c r="F137" s="1871" t="s">
        <v>218</v>
      </c>
      <c r="G137" s="1871">
        <v>0</v>
      </c>
      <c r="H137" s="1869">
        <v>0</v>
      </c>
      <c r="I137" s="1869">
        <v>0</v>
      </c>
      <c r="J137" s="33"/>
      <c r="K137" s="26"/>
      <c r="L137" s="26"/>
      <c r="M137" s="42"/>
      <c r="N137" s="37"/>
      <c r="O137" s="38"/>
    </row>
    <row r="138" spans="1:15">
      <c r="A138" s="1191"/>
      <c r="B138" s="1868"/>
      <c r="C138" s="1869"/>
      <c r="D138" s="1191"/>
      <c r="E138" s="1870" t="s">
        <v>1057</v>
      </c>
      <c r="F138" s="1871"/>
      <c r="G138" s="1871">
        <v>0</v>
      </c>
      <c r="H138" s="1869" t="s">
        <v>859</v>
      </c>
      <c r="I138" s="1869" t="s">
        <v>859</v>
      </c>
      <c r="J138" s="33"/>
      <c r="K138" s="26"/>
      <c r="L138" s="26"/>
      <c r="M138" s="26"/>
      <c r="N138" s="33"/>
      <c r="O138" s="38"/>
    </row>
    <row r="139" spans="1:15">
      <c r="A139" s="1191"/>
      <c r="B139" s="1868" t="s">
        <v>637</v>
      </c>
      <c r="C139" s="1869"/>
      <c r="D139" s="1191"/>
      <c r="E139" s="1870" t="s">
        <v>1057</v>
      </c>
      <c r="F139" s="1871"/>
      <c r="G139" s="1871">
        <v>0</v>
      </c>
      <c r="H139" s="1869" t="s">
        <v>859</v>
      </c>
      <c r="I139" s="1869" t="s">
        <v>859</v>
      </c>
      <c r="J139" s="33"/>
      <c r="K139" s="26"/>
      <c r="L139" s="27"/>
      <c r="M139" s="26"/>
      <c r="N139" s="33"/>
      <c r="O139" s="36"/>
    </row>
    <row r="140" spans="1:15">
      <c r="A140" s="1191"/>
      <c r="B140" s="1868"/>
      <c r="C140" s="1869" t="s">
        <v>675</v>
      </c>
      <c r="D140" s="1191" t="s">
        <v>744</v>
      </c>
      <c r="E140" s="1870">
        <v>1138.4430824146075</v>
      </c>
      <c r="F140" s="1871" t="s">
        <v>218</v>
      </c>
      <c r="G140" s="1871">
        <v>1138.4430824146075</v>
      </c>
      <c r="H140" s="1869">
        <v>175</v>
      </c>
      <c r="I140" s="1869">
        <v>199227.53942255632</v>
      </c>
      <c r="J140" s="33"/>
      <c r="K140" s="26"/>
      <c r="L140" s="26"/>
      <c r="M140" s="26"/>
      <c r="N140" s="37"/>
      <c r="O140" s="39"/>
    </row>
    <row r="141" spans="1:15">
      <c r="A141" s="1191"/>
      <c r="B141" s="1868"/>
      <c r="C141" s="1869" t="s">
        <v>676</v>
      </c>
      <c r="D141" s="1191" t="s">
        <v>744</v>
      </c>
      <c r="E141" s="1870">
        <v>1138.4430824146075</v>
      </c>
      <c r="F141" s="1871" t="s">
        <v>218</v>
      </c>
      <c r="G141" s="1871">
        <v>1138.4430824146075</v>
      </c>
      <c r="H141" s="1869">
        <v>1010</v>
      </c>
      <c r="I141" s="1869">
        <v>1149827.5132387537</v>
      </c>
      <c r="J141" s="33"/>
      <c r="K141" s="26"/>
      <c r="L141" s="26"/>
      <c r="M141" s="26"/>
      <c r="N141" s="37"/>
      <c r="O141" s="38"/>
    </row>
    <row r="142" spans="1:15">
      <c r="A142" s="1191"/>
      <c r="B142" s="1868"/>
      <c r="C142" s="1869"/>
      <c r="D142" s="1191"/>
      <c r="E142" s="1870" t="s">
        <v>1057</v>
      </c>
      <c r="F142" s="1871"/>
      <c r="G142" s="1871">
        <v>0</v>
      </c>
      <c r="H142" s="1869" t="s">
        <v>859</v>
      </c>
      <c r="I142" s="1869" t="s">
        <v>859</v>
      </c>
      <c r="J142" s="33"/>
      <c r="K142" s="26"/>
      <c r="L142" s="26"/>
      <c r="M142" s="26"/>
      <c r="N142" s="33"/>
      <c r="O142" s="38"/>
    </row>
    <row r="143" spans="1:15">
      <c r="A143" s="1191"/>
      <c r="B143" s="1868" t="s">
        <v>512</v>
      </c>
      <c r="C143" s="1869"/>
      <c r="D143" s="1191"/>
      <c r="E143" s="1870" t="s">
        <v>1057</v>
      </c>
      <c r="F143" s="1871"/>
      <c r="G143" s="1871">
        <v>0</v>
      </c>
      <c r="H143" s="1869" t="s">
        <v>859</v>
      </c>
      <c r="I143" s="1869" t="s">
        <v>859</v>
      </c>
      <c r="J143" s="33"/>
      <c r="K143" s="26"/>
      <c r="L143" s="27"/>
      <c r="M143" s="26"/>
      <c r="N143" s="37"/>
      <c r="O143" s="36"/>
    </row>
    <row r="144" spans="1:15">
      <c r="A144" s="1191"/>
      <c r="B144" s="1868"/>
      <c r="C144" s="1869" t="s">
        <v>677</v>
      </c>
      <c r="D144" s="1191" t="s">
        <v>744</v>
      </c>
      <c r="E144" s="1870">
        <v>1298.7549844386983</v>
      </c>
      <c r="F144" s="1871" t="s">
        <v>218</v>
      </c>
      <c r="G144" s="1871">
        <v>1298.7549844386983</v>
      </c>
      <c r="H144" s="1869">
        <v>153</v>
      </c>
      <c r="I144" s="1869">
        <v>198709.51261912085</v>
      </c>
      <c r="J144" s="33"/>
      <c r="K144" s="26"/>
      <c r="L144" s="26"/>
      <c r="M144" s="42"/>
      <c r="N144" s="37"/>
      <c r="O144" s="43"/>
    </row>
    <row r="145" spans="1:15">
      <c r="A145" s="1191"/>
      <c r="B145" s="1868"/>
      <c r="C145" s="1869" t="s">
        <v>678</v>
      </c>
      <c r="D145" s="1191" t="s">
        <v>744</v>
      </c>
      <c r="E145" s="1870" t="s">
        <v>1057</v>
      </c>
      <c r="F145" s="1871" t="s">
        <v>218</v>
      </c>
      <c r="G145" s="1871" t="s">
        <v>218</v>
      </c>
      <c r="H145" s="1869">
        <v>142</v>
      </c>
      <c r="I145" s="1869" t="s">
        <v>859</v>
      </c>
      <c r="J145" s="33"/>
      <c r="K145" s="26"/>
      <c r="L145" s="26"/>
      <c r="M145" s="42"/>
      <c r="N145" s="37"/>
      <c r="O145" s="44"/>
    </row>
    <row r="146" spans="1:15">
      <c r="A146" s="1191"/>
      <c r="B146" s="1868"/>
      <c r="C146" s="1869"/>
      <c r="D146" s="1191"/>
      <c r="E146" s="1870" t="s">
        <v>1057</v>
      </c>
      <c r="F146" s="1871"/>
      <c r="G146" s="1871">
        <v>0</v>
      </c>
      <c r="H146" s="1869" t="s">
        <v>859</v>
      </c>
      <c r="I146" s="1869" t="s">
        <v>859</v>
      </c>
      <c r="J146" s="40"/>
      <c r="K146" s="40"/>
      <c r="L146" s="40"/>
      <c r="M146" s="40"/>
      <c r="N146" s="41"/>
    </row>
    <row r="147" spans="1:15">
      <c r="A147" s="1191" t="s">
        <v>683</v>
      </c>
      <c r="B147" s="1868"/>
      <c r="C147" s="1869"/>
      <c r="D147" s="1191"/>
      <c r="E147" s="1870" t="s">
        <v>1057</v>
      </c>
      <c r="F147" s="1871"/>
      <c r="G147" s="1871">
        <v>0</v>
      </c>
      <c r="H147" s="1869" t="s">
        <v>859</v>
      </c>
      <c r="I147" s="1869" t="s">
        <v>859</v>
      </c>
    </row>
    <row r="148" spans="1:15">
      <c r="A148" s="1191"/>
      <c r="B148" s="1868" t="s">
        <v>684</v>
      </c>
      <c r="C148" s="1869"/>
      <c r="D148" s="1191"/>
      <c r="E148" s="1870" t="s">
        <v>1057</v>
      </c>
      <c r="F148" s="1871"/>
      <c r="G148" s="1871">
        <v>0</v>
      </c>
      <c r="H148" s="1869" t="s">
        <v>859</v>
      </c>
      <c r="I148" s="1869" t="s">
        <v>859</v>
      </c>
    </row>
    <row r="149" spans="1:15">
      <c r="A149" s="1191"/>
      <c r="B149" s="1868"/>
      <c r="C149" s="1869" t="s">
        <v>685</v>
      </c>
      <c r="D149" s="1191" t="s">
        <v>744</v>
      </c>
      <c r="E149" s="1870" t="s">
        <v>1057</v>
      </c>
      <c r="F149" s="1871" t="s">
        <v>218</v>
      </c>
      <c r="G149" s="1871" t="s">
        <v>859</v>
      </c>
      <c r="H149" s="1869">
        <v>0</v>
      </c>
      <c r="I149" s="1869" t="s">
        <v>859</v>
      </c>
    </row>
    <row r="150" spans="1:15">
      <c r="A150" s="1191"/>
      <c r="B150" s="1868"/>
      <c r="C150" s="1869" t="s">
        <v>854</v>
      </c>
      <c r="D150" s="1191" t="s">
        <v>744</v>
      </c>
      <c r="E150" s="1870">
        <v>33.200000000000003</v>
      </c>
      <c r="F150" s="1871" t="s">
        <v>218</v>
      </c>
      <c r="G150" s="1871">
        <v>33.200000000000003</v>
      </c>
      <c r="H150" s="1869">
        <v>449</v>
      </c>
      <c r="I150" s="1869">
        <v>14906.800000000001</v>
      </c>
    </row>
    <row r="151" spans="1:15">
      <c r="A151" s="1191"/>
      <c r="B151" s="1868"/>
      <c r="C151" s="1869"/>
      <c r="D151" s="1191"/>
      <c r="E151" s="1870" t="s">
        <v>1057</v>
      </c>
      <c r="F151" s="1871"/>
      <c r="G151" s="1871">
        <v>0</v>
      </c>
      <c r="H151" s="1869" t="s">
        <v>859</v>
      </c>
      <c r="I151" s="1869" t="s">
        <v>859</v>
      </c>
    </row>
    <row r="152" spans="1:15">
      <c r="A152" s="1191"/>
      <c r="B152" s="1868" t="s">
        <v>855</v>
      </c>
      <c r="C152" s="1869"/>
      <c r="D152" s="1191"/>
      <c r="E152" s="1870" t="s">
        <v>1057</v>
      </c>
      <c r="F152" s="1871"/>
      <c r="G152" s="1871">
        <v>0</v>
      </c>
      <c r="H152" s="1869" t="s">
        <v>859</v>
      </c>
      <c r="I152" s="1869" t="s">
        <v>859</v>
      </c>
    </row>
    <row r="153" spans="1:15">
      <c r="A153" s="1191"/>
      <c r="B153" s="1868"/>
      <c r="C153" s="1869" t="s">
        <v>687</v>
      </c>
      <c r="D153" s="1191" t="s">
        <v>744</v>
      </c>
      <c r="E153" s="1870">
        <v>33.200000000000003</v>
      </c>
      <c r="F153" s="1871" t="s">
        <v>218</v>
      </c>
      <c r="G153" s="1871">
        <v>33.200000000000003</v>
      </c>
      <c r="H153" s="1869">
        <v>650</v>
      </c>
      <c r="I153" s="1869">
        <v>21580.000000000004</v>
      </c>
    </row>
    <row r="154" spans="1:15">
      <c r="A154" s="1191"/>
      <c r="B154" s="1868"/>
      <c r="C154" s="1869" t="s">
        <v>688</v>
      </c>
      <c r="D154" s="1191" t="s">
        <v>744</v>
      </c>
      <c r="E154" s="1870">
        <v>33.200000000000003</v>
      </c>
      <c r="F154" s="1871" t="s">
        <v>218</v>
      </c>
      <c r="G154" s="1871">
        <v>33.200000000000003</v>
      </c>
      <c r="H154" s="1869">
        <v>1077</v>
      </c>
      <c r="I154" s="1869">
        <v>35756.400000000001</v>
      </c>
    </row>
    <row r="155" spans="1:15">
      <c r="A155" s="1191"/>
      <c r="B155" s="1868"/>
      <c r="C155" s="1869"/>
      <c r="D155" s="1191"/>
      <c r="E155" s="1870" t="s">
        <v>1057</v>
      </c>
      <c r="F155" s="1871"/>
      <c r="G155" s="1871">
        <v>0</v>
      </c>
      <c r="H155" s="1869" t="s">
        <v>859</v>
      </c>
      <c r="I155" s="1869" t="s">
        <v>859</v>
      </c>
    </row>
    <row r="156" spans="1:15">
      <c r="A156" s="1191"/>
      <c r="B156" s="1868"/>
      <c r="C156" s="1869"/>
      <c r="D156" s="1191"/>
      <c r="E156" s="1870" t="s">
        <v>1057</v>
      </c>
      <c r="F156" s="1871"/>
      <c r="G156" s="1871">
        <v>0</v>
      </c>
      <c r="H156" s="1869" t="s">
        <v>859</v>
      </c>
      <c r="I156" s="1869" t="s">
        <v>859</v>
      </c>
    </row>
    <row r="157" spans="1:15">
      <c r="A157" s="1191" t="s">
        <v>689</v>
      </c>
      <c r="B157" s="1868"/>
      <c r="C157" s="1869"/>
      <c r="D157" s="1191"/>
      <c r="E157" s="1870" t="s">
        <v>1057</v>
      </c>
      <c r="F157" s="1871"/>
      <c r="G157" s="1871">
        <v>0</v>
      </c>
      <c r="H157" s="1869" t="s">
        <v>859</v>
      </c>
      <c r="I157" s="1869" t="s">
        <v>859</v>
      </c>
    </row>
    <row r="158" spans="1:15">
      <c r="A158" s="1191"/>
      <c r="B158" s="1868"/>
      <c r="C158" s="1869" t="s">
        <v>80</v>
      </c>
      <c r="D158" s="1191"/>
      <c r="E158" s="1870">
        <v>57.613318217652797</v>
      </c>
      <c r="F158" s="1871"/>
      <c r="G158" s="1871">
        <v>57.613318217652797</v>
      </c>
      <c r="H158" s="1869" t="s">
        <v>859</v>
      </c>
      <c r="I158" s="1869" t="s">
        <v>859</v>
      </c>
    </row>
    <row r="159" spans="1:15">
      <c r="A159" s="1191"/>
      <c r="B159" s="1868"/>
      <c r="C159" s="1869" t="s">
        <v>690</v>
      </c>
      <c r="D159" s="1191" t="s">
        <v>744</v>
      </c>
      <c r="E159" s="1870">
        <v>21.00243281372158</v>
      </c>
      <c r="F159" s="1871" t="s">
        <v>218</v>
      </c>
      <c r="G159" s="1871">
        <v>21.00243281372158</v>
      </c>
      <c r="H159" s="1869" t="s">
        <v>859</v>
      </c>
      <c r="I159" s="1869" t="s">
        <v>859</v>
      </c>
    </row>
    <row r="160" spans="1:15">
      <c r="A160" s="1191"/>
      <c r="B160" s="1868"/>
      <c r="C160" s="1869" t="s">
        <v>691</v>
      </c>
      <c r="D160" s="1191" t="s">
        <v>744</v>
      </c>
      <c r="E160" s="1870">
        <v>40.915604800682907</v>
      </c>
      <c r="F160" s="1871" t="s">
        <v>218</v>
      </c>
      <c r="G160" s="1871">
        <v>40.915604800682907</v>
      </c>
      <c r="H160" s="1869" t="s">
        <v>859</v>
      </c>
      <c r="I160" s="1869" t="s">
        <v>859</v>
      </c>
    </row>
    <row r="161" spans="1:9">
      <c r="A161" s="1191"/>
      <c r="B161" s="1868"/>
      <c r="C161" s="1869" t="s">
        <v>503</v>
      </c>
      <c r="D161" s="1191"/>
      <c r="E161" s="1870" t="s">
        <v>1057</v>
      </c>
      <c r="F161" s="1871" t="s">
        <v>218</v>
      </c>
      <c r="G161" s="1871" t="s">
        <v>218</v>
      </c>
      <c r="H161" s="1869" t="s">
        <v>859</v>
      </c>
      <c r="I161" s="1869" t="s">
        <v>859</v>
      </c>
    </row>
    <row r="162" spans="1:9">
      <c r="A162" s="1191"/>
      <c r="B162" s="1868"/>
      <c r="C162" s="1869" t="s">
        <v>690</v>
      </c>
      <c r="D162" s="1191" t="s">
        <v>744</v>
      </c>
      <c r="E162" s="1870">
        <v>0</v>
      </c>
      <c r="F162" s="1871" t="s">
        <v>218</v>
      </c>
      <c r="G162" s="1871">
        <v>0</v>
      </c>
      <c r="H162" s="1869" t="s">
        <v>859</v>
      </c>
      <c r="I162" s="1869" t="s">
        <v>859</v>
      </c>
    </row>
    <row r="163" spans="1:9">
      <c r="A163" s="1192"/>
      <c r="B163" s="1872"/>
      <c r="C163" s="1873" t="s">
        <v>691</v>
      </c>
      <c r="D163" s="1192" t="s">
        <v>744</v>
      </c>
      <c r="E163" s="1874">
        <v>0</v>
      </c>
      <c r="F163" s="1875" t="s">
        <v>218</v>
      </c>
      <c r="G163" s="1875">
        <v>0</v>
      </c>
      <c r="H163" s="1192" t="s">
        <v>859</v>
      </c>
      <c r="I163" s="1192" t="s">
        <v>859</v>
      </c>
    </row>
    <row r="164" spans="1:9" ht="17.25" customHeight="1">
      <c r="H164" s="1352" t="s">
        <v>461</v>
      </c>
      <c r="I164" s="1876">
        <f>SUM(I18:I163)</f>
        <v>12396217.331670897</v>
      </c>
    </row>
  </sheetData>
  <mergeCells count="2">
    <mergeCell ref="F3:H3"/>
    <mergeCell ref="F4:H4"/>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1:F37"/>
  <sheetViews>
    <sheetView showGridLines="0" zoomScale="90" zoomScaleNormal="90" workbookViewId="0"/>
  </sheetViews>
  <sheetFormatPr defaultColWidth="8.85546875" defaultRowHeight="12.75"/>
  <cols>
    <col min="1" max="1" width="59.140625" customWidth="1"/>
    <col min="2" max="2" width="16" customWidth="1"/>
    <col min="3" max="6" width="19" customWidth="1"/>
  </cols>
  <sheetData>
    <row r="1" spans="1:6" ht="15.75">
      <c r="A1" s="122" t="s">
        <v>539</v>
      </c>
      <c r="D1" s="241" t="s">
        <v>216</v>
      </c>
    </row>
    <row r="2" spans="1:6" ht="38.25">
      <c r="B2" s="123" t="s">
        <v>540</v>
      </c>
    </row>
    <row r="3" spans="1:6">
      <c r="A3" s="123" t="s">
        <v>541</v>
      </c>
      <c r="B3" s="1244">
        <f>'RRP 5.1'!G36</f>
        <v>16988.7</v>
      </c>
    </row>
    <row r="4" spans="1:6">
      <c r="A4" s="123" t="s">
        <v>542</v>
      </c>
      <c r="B4" s="1244">
        <f>'RRP 5.1'!G35</f>
        <v>7190.9</v>
      </c>
    </row>
    <row r="5" spans="1:6">
      <c r="A5" s="123" t="s">
        <v>695</v>
      </c>
      <c r="B5" s="1244">
        <f>'RRP 5.1'!G34</f>
        <v>1422.2</v>
      </c>
    </row>
    <row r="6" spans="1:6">
      <c r="A6" s="123" t="s">
        <v>705</v>
      </c>
      <c r="B6" s="1244">
        <f>'RRP 5.1'!G40</f>
        <v>1278.4000000000001</v>
      </c>
    </row>
    <row r="8" spans="1:6" ht="15.75">
      <c r="A8" s="122" t="s">
        <v>696</v>
      </c>
    </row>
    <row r="9" spans="1:6">
      <c r="B9" s="123" t="s">
        <v>697</v>
      </c>
      <c r="C9" s="123" t="s">
        <v>240</v>
      </c>
      <c r="D9" s="123" t="s">
        <v>239</v>
      </c>
      <c r="E9" s="123" t="s">
        <v>245</v>
      </c>
      <c r="F9" s="123" t="s">
        <v>243</v>
      </c>
    </row>
    <row r="10" spans="1:6">
      <c r="A10" s="123" t="s">
        <v>541</v>
      </c>
      <c r="B10" s="1244">
        <v>1</v>
      </c>
      <c r="C10" s="1244">
        <v>1</v>
      </c>
      <c r="D10" s="1244">
        <v>1</v>
      </c>
      <c r="E10" s="1244">
        <v>1</v>
      </c>
      <c r="F10" s="1244">
        <v>1</v>
      </c>
    </row>
    <row r="11" spans="1:6">
      <c r="A11" s="123" t="s">
        <v>542</v>
      </c>
      <c r="B11" s="1244">
        <v>0</v>
      </c>
      <c r="C11" s="1244">
        <v>0</v>
      </c>
      <c r="D11" s="1244">
        <f>(1+$B$6/($B$3+$B$4/2+$B$5/4)/2)/(1+$B$6/($B$3+$B$4/2+$B$5/4))</f>
        <v>0.97123066328804009</v>
      </c>
      <c r="E11" s="1244">
        <f>(1+$B$6/($B$3+$B$4/2+$B$5/4)/2)/(1+$B$6/($B$3+$B$4/2+$B$5/4))</f>
        <v>0.97123066328804009</v>
      </c>
      <c r="F11" s="1244">
        <f>(1+$B$6/($B$3+$B$4/2+$B$5/4)/2)/(1+$B$6/($B$3+$B$4/2+$B$5/4))</f>
        <v>0.97123066328804009</v>
      </c>
    </row>
    <row r="12" spans="1:6">
      <c r="A12" s="123" t="s">
        <v>695</v>
      </c>
      <c r="B12" s="1244">
        <v>0</v>
      </c>
      <c r="C12" s="1244">
        <v>0</v>
      </c>
      <c r="D12" s="1244">
        <v>0</v>
      </c>
      <c r="E12" s="1244">
        <f>(1+$B$6/($B$3+$B$4/2+$B$5/4)/4)/(1+$B$6/($B$3+$B$4/2+$B$5/4))</f>
        <v>0.95684599493205991</v>
      </c>
      <c r="F12" s="1244">
        <f>(1+$B$6/($B$3+$B$4/2+$B$5/4)/4)/(1+$B$6/($B$3+$B$4/2+$B$5/4))</f>
        <v>0.95684599493205991</v>
      </c>
    </row>
    <row r="14" spans="1:6" ht="15.75">
      <c r="A14" s="122"/>
    </row>
    <row r="15" spans="1:6" ht="14.25">
      <c r="A15" s="124"/>
    </row>
    <row r="16" spans="1:6" ht="14.25">
      <c r="A16" s="124"/>
    </row>
    <row r="17" spans="1:6" ht="14.25">
      <c r="A17" s="125"/>
    </row>
    <row r="18" spans="1:6" ht="14.25">
      <c r="A18" s="125"/>
    </row>
    <row r="19" spans="1:6">
      <c r="B19" s="123" t="s">
        <v>697</v>
      </c>
      <c r="C19" s="123" t="s">
        <v>240</v>
      </c>
      <c r="D19" s="123" t="s">
        <v>239</v>
      </c>
      <c r="E19" s="123" t="s">
        <v>245</v>
      </c>
      <c r="F19" s="123" t="s">
        <v>243</v>
      </c>
    </row>
    <row r="20" spans="1:6">
      <c r="A20" s="123" t="s">
        <v>704</v>
      </c>
      <c r="B20" s="1245">
        <f>SUMPRODUCT(B$10:B$12,$B$3:$B$5)</f>
        <v>16988.7</v>
      </c>
      <c r="C20" s="1245">
        <f>SUMPRODUCT(C$10:C$12,$B$3:$B$5)</f>
        <v>16988.7</v>
      </c>
      <c r="D20" s="1245">
        <f>SUMPRODUCT(D$10:D$12,$B$3:$B$5)</f>
        <v>23972.722576637967</v>
      </c>
      <c r="E20" s="1245">
        <f>SUMPRODUCT(E$10:E$12,$B$3:$B$5)</f>
        <v>25333.548950630342</v>
      </c>
      <c r="F20" s="1245">
        <f>SUMPRODUCT(F$10:F$12,$B$3:$B$5)</f>
        <v>25333.548950630342</v>
      </c>
    </row>
    <row r="21" spans="1:6">
      <c r="A21" s="123" t="s">
        <v>462</v>
      </c>
      <c r="B21" s="1246">
        <f>B20*1000000</f>
        <v>16988700000</v>
      </c>
      <c r="C21" s="1246">
        <f>C20*1000000</f>
        <v>16988700000</v>
      </c>
      <c r="D21" s="1246">
        <f>D20*1000000</f>
        <v>23972722576.637966</v>
      </c>
      <c r="E21" s="1246">
        <f>E20*1000000</f>
        <v>25333548950.630341</v>
      </c>
      <c r="F21" s="1246">
        <f>F20*1000000</f>
        <v>25333548950.630341</v>
      </c>
    </row>
    <row r="25" spans="1:6">
      <c r="A25" s="53"/>
      <c r="B25" s="53"/>
      <c r="C25" s="53"/>
      <c r="D25" s="53"/>
      <c r="E25" s="53"/>
    </row>
    <row r="26" spans="1:6">
      <c r="A26" s="53"/>
      <c r="B26" s="53"/>
      <c r="C26" s="53"/>
      <c r="D26" s="53"/>
      <c r="E26" s="53"/>
    </row>
    <row r="27" spans="1:6">
      <c r="A27" s="53"/>
      <c r="B27" s="53"/>
      <c r="C27" s="126"/>
      <c r="D27" s="126"/>
      <c r="E27" s="126"/>
    </row>
    <row r="28" spans="1:6">
      <c r="A28" s="53"/>
      <c r="B28" s="53"/>
      <c r="C28" s="126"/>
      <c r="D28" s="126"/>
      <c r="E28" s="126"/>
    </row>
    <row r="29" spans="1:6">
      <c r="A29" s="53"/>
      <c r="B29" s="53"/>
      <c r="C29" s="126"/>
      <c r="D29" s="126"/>
      <c r="E29" s="126"/>
    </row>
    <row r="30" spans="1:6">
      <c r="A30" s="53"/>
      <c r="B30" s="53"/>
      <c r="C30" s="126"/>
      <c r="D30" s="126"/>
      <c r="E30" s="126"/>
    </row>
    <row r="31" spans="1:6">
      <c r="A31" s="53"/>
      <c r="B31" s="53"/>
      <c r="C31" s="127"/>
      <c r="D31" s="127"/>
      <c r="E31" s="126"/>
    </row>
    <row r="32" spans="1:6">
      <c r="A32" s="53"/>
      <c r="B32" s="53"/>
      <c r="C32" s="127"/>
      <c r="D32" s="127"/>
      <c r="E32" s="126"/>
    </row>
    <row r="33" spans="1:5">
      <c r="A33" s="53"/>
      <c r="B33" s="53"/>
      <c r="C33" s="127"/>
      <c r="D33" s="127"/>
      <c r="E33" s="126"/>
    </row>
    <row r="34" spans="1:5">
      <c r="A34" s="53"/>
      <c r="B34" s="53"/>
      <c r="C34" s="127"/>
      <c r="D34" s="127"/>
      <c r="E34" s="126"/>
    </row>
    <row r="35" spans="1:5">
      <c r="A35" s="53"/>
      <c r="B35" s="53"/>
      <c r="C35" s="127"/>
      <c r="D35" s="68"/>
      <c r="E35" s="68"/>
    </row>
    <row r="36" spans="1:5">
      <c r="A36" s="53"/>
      <c r="B36" s="53"/>
      <c r="C36" s="68"/>
      <c r="D36" s="68"/>
      <c r="E36" s="68"/>
    </row>
    <row r="37" spans="1:5">
      <c r="A37" s="53"/>
      <c r="B37" s="53"/>
      <c r="C37" s="126"/>
      <c r="D37" s="126"/>
      <c r="E37" s="126"/>
    </row>
  </sheetData>
  <phoneticPr fontId="0" type="noConversion"/>
  <hyperlinks>
    <hyperlink ref="D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36"/>
  <sheetViews>
    <sheetView showGridLines="0" zoomScale="90" zoomScaleNormal="90" workbookViewId="0">
      <pane ySplit="1" topLeftCell="A2" activePane="bottomLeft" state="frozenSplit"/>
      <selection pane="bottomLeft" activeCell="D2" sqref="D2"/>
    </sheetView>
  </sheetViews>
  <sheetFormatPr defaultColWidth="18.28515625" defaultRowHeight="15"/>
  <cols>
    <col min="1" max="1" width="49" style="1767" customWidth="1"/>
    <col min="2" max="16384" width="18.28515625" style="1767"/>
  </cols>
  <sheetData>
    <row r="1" spans="1:7" ht="19.5">
      <c r="A1" s="1764" t="str">
        <f>"Method M ("&amp;Inputs!B19&amp;") for "&amp;Inputs!B6&amp;" in "&amp;Inputs!C6&amp;"  Status: "&amp;Inputs!D6&amp;""</f>
        <v>Method M (LR1) for Electricity North West in 2014/15  Status: 2007/08</v>
      </c>
      <c r="B1" s="1765"/>
      <c r="C1" s="1766"/>
    </row>
    <row r="2" spans="1:7">
      <c r="C2" s="1766"/>
    </row>
    <row r="3" spans="1:7" ht="17.25">
      <c r="A3" s="1768" t="s">
        <v>921</v>
      </c>
      <c r="B3" s="1769"/>
      <c r="C3" s="1766"/>
    </row>
    <row r="4" spans="1:7" ht="17.25">
      <c r="A4" s="1768"/>
      <c r="B4" s="1769"/>
      <c r="C4" s="1766"/>
    </row>
    <row r="5" spans="1:7">
      <c r="B5" s="1771" t="s">
        <v>926</v>
      </c>
      <c r="C5" s="1771" t="s">
        <v>927</v>
      </c>
      <c r="D5" s="1771" t="s">
        <v>928</v>
      </c>
    </row>
    <row r="6" spans="1:7" ht="25.5">
      <c r="A6" s="1771" t="s">
        <v>921</v>
      </c>
      <c r="B6" s="1772" t="s">
        <v>1018</v>
      </c>
      <c r="C6" s="1772" t="s">
        <v>139</v>
      </c>
      <c r="D6" s="1772" t="s">
        <v>29</v>
      </c>
    </row>
    <row r="7" spans="1:7">
      <c r="C7" s="1766"/>
    </row>
    <row r="8" spans="1:7" ht="17.25">
      <c r="A8" s="1768" t="s">
        <v>922</v>
      </c>
      <c r="B8" s="1769"/>
    </row>
    <row r="9" spans="1:7">
      <c r="A9" s="1767" t="s">
        <v>925</v>
      </c>
    </row>
    <row r="11" spans="1:7">
      <c r="B11" s="1770" t="s">
        <v>930</v>
      </c>
    </row>
    <row r="12" spans="1:7" ht="17.25" customHeight="1">
      <c r="A12" s="1771" t="s">
        <v>161</v>
      </c>
      <c r="B12" s="1811">
        <v>0.16</v>
      </c>
    </row>
    <row r="13" spans="1:7" ht="17.25" customHeight="1">
      <c r="A13" s="1771" t="s">
        <v>329</v>
      </c>
      <c r="B13" s="1811">
        <v>0.4</v>
      </c>
    </row>
    <row r="16" spans="1:7" ht="17.25">
      <c r="A16" s="1768" t="s">
        <v>929</v>
      </c>
      <c r="B16" s="1769"/>
      <c r="D16" s="1773"/>
      <c r="E16" s="1774"/>
      <c r="F16" s="1775"/>
      <c r="G16" s="1775"/>
    </row>
    <row r="17" spans="1:13">
      <c r="A17" s="1262" t="s">
        <v>896</v>
      </c>
      <c r="B17" s="1262"/>
    </row>
    <row r="18" spans="1:13">
      <c r="A18" s="1262"/>
      <c r="B18" s="1262"/>
    </row>
    <row r="19" spans="1:13" s="1777" customFormat="1" ht="32.25" customHeight="1">
      <c r="A19" s="1767"/>
      <c r="B19" s="1776" t="str">
        <f>IF(B20,INDEX(C19:D19,B20),"No option selected")</f>
        <v>LR1</v>
      </c>
      <c r="C19" s="1770" t="s">
        <v>891</v>
      </c>
      <c r="D19" s="1770" t="s">
        <v>924</v>
      </c>
    </row>
    <row r="20" spans="1:13" s="1777" customFormat="1" ht="32.25" customHeight="1">
      <c r="A20" s="1771" t="s">
        <v>956</v>
      </c>
      <c r="B20" s="1778">
        <v>1</v>
      </c>
      <c r="C20" s="1779"/>
      <c r="D20" s="1779"/>
    </row>
    <row r="22" spans="1:13" ht="17.25">
      <c r="A22" s="1768" t="s">
        <v>954</v>
      </c>
    </row>
    <row r="23" spans="1:13" ht="17.25">
      <c r="A23" s="1768"/>
    </row>
    <row r="24" spans="1:13">
      <c r="A24" s="1769"/>
      <c r="B24" s="1771" t="s">
        <v>923</v>
      </c>
    </row>
    <row r="25" spans="1:13">
      <c r="A25" s="1771" t="s">
        <v>923</v>
      </c>
      <c r="B25" s="1780">
        <v>5.5449999999999999E-2</v>
      </c>
    </row>
    <row r="27" spans="1:13" customFormat="1" ht="17.25">
      <c r="A27" s="1768" t="s">
        <v>983</v>
      </c>
    </row>
    <row r="28" spans="1:13" customFormat="1" ht="12.75"/>
    <row r="29" spans="1:13" customFormat="1">
      <c r="B29" s="1796" t="s">
        <v>972</v>
      </c>
      <c r="C29" s="1796" t="s">
        <v>973</v>
      </c>
      <c r="D29" s="1796" t="s">
        <v>974</v>
      </c>
      <c r="E29" s="1796" t="s">
        <v>975</v>
      </c>
      <c r="F29" s="1796" t="s">
        <v>976</v>
      </c>
      <c r="G29" s="1796" t="s">
        <v>977</v>
      </c>
      <c r="H29" s="1796" t="s">
        <v>978</v>
      </c>
      <c r="I29" s="1796" t="s">
        <v>408</v>
      </c>
      <c r="J29" s="1796" t="s">
        <v>979</v>
      </c>
      <c r="K29" s="1796" t="s">
        <v>980</v>
      </c>
      <c r="L29" s="1796" t="s">
        <v>981</v>
      </c>
    </row>
    <row r="30" spans="1:13" customFormat="1" ht="30">
      <c r="A30" s="1797" t="s">
        <v>982</v>
      </c>
      <c r="B30" s="1798"/>
      <c r="C30" s="1798">
        <v>623256878.44472587</v>
      </c>
      <c r="D30" s="1798">
        <v>327050524.97700661</v>
      </c>
      <c r="E30" s="1798">
        <v>740279160.13467801</v>
      </c>
      <c r="F30" s="1798">
        <v>680332837.11026216</v>
      </c>
      <c r="G30" s="1798">
        <v>0</v>
      </c>
      <c r="H30" s="1798">
        <v>1227548875.3394353</v>
      </c>
      <c r="I30" s="1798">
        <v>807769588.74827552</v>
      </c>
      <c r="J30" s="1798">
        <v>437533210.2327624</v>
      </c>
      <c r="K30" s="1798">
        <v>1448382728.7468357</v>
      </c>
      <c r="L30" s="1798">
        <v>38392255.472297996</v>
      </c>
      <c r="M30" s="1799"/>
    </row>
    <row r="31" spans="1:13" customFormat="1" ht="12.75"/>
    <row r="32" spans="1:13" customFormat="1" ht="17.25">
      <c r="A32" s="1768" t="s">
        <v>985</v>
      </c>
    </row>
    <row r="33" spans="1:3" customFormat="1" ht="12.75"/>
    <row r="34" spans="1:3" customFormat="1" ht="30">
      <c r="B34" s="1796" t="s">
        <v>984</v>
      </c>
    </row>
    <row r="35" spans="1:3" customFormat="1">
      <c r="A35" s="1797" t="s">
        <v>984</v>
      </c>
      <c r="B35" s="1798">
        <v>245181123.57760999</v>
      </c>
      <c r="C35" s="1799"/>
    </row>
    <row r="36" spans="1:3" customFormat="1" ht="12.75"/>
  </sheetData>
  <phoneticPr fontId="2"/>
  <dataValidations count="1">
    <dataValidation type="decimal" operator="greaterThanOrEqual" allowBlank="1" showInputMessage="1" showErrorMessage="1" sqref="B30:L30 B35">
      <formula1>0</formula1>
    </dataValidation>
  </dataValidations>
  <pageMargins left="0.75" right="0.75" top="1" bottom="1" header="0.5" footer="0.5"/>
  <pageSetup paperSize="9"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2</xdr:col>
                    <xdr:colOff>238125</xdr:colOff>
                    <xdr:row>19</xdr:row>
                    <xdr:rowOff>38100</xdr:rowOff>
                  </from>
                  <to>
                    <xdr:col>2</xdr:col>
                    <xdr:colOff>819150</xdr:colOff>
                    <xdr:row>19</xdr:row>
                    <xdr:rowOff>285750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3</xdr:col>
                    <xdr:colOff>19050</xdr:colOff>
                    <xdr:row>19</xdr:row>
                    <xdr:rowOff>38100</xdr:rowOff>
                  </from>
                  <to>
                    <xdr:col>3</xdr:col>
                    <xdr:colOff>1009650</xdr:colOff>
                    <xdr:row>19</xdr:row>
                    <xdr:rowOff>285750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J111"/>
  <sheetViews>
    <sheetView showGridLines="0" zoomScale="90" zoomScaleNormal="90" zoomScalePageLayoutView="75" workbookViewId="0"/>
  </sheetViews>
  <sheetFormatPr defaultColWidth="8.85546875" defaultRowHeight="12.75"/>
  <cols>
    <col min="1" max="1" width="8.85546875" customWidth="1"/>
    <col min="2" max="10" width="11.42578125" customWidth="1"/>
  </cols>
  <sheetData>
    <row r="1" spans="1:9" s="1" customFormat="1">
      <c r="A1" s="8" t="s">
        <v>404</v>
      </c>
      <c r="F1" s="241" t="s">
        <v>216</v>
      </c>
    </row>
    <row r="3" spans="1:9" ht="26.25" customHeight="1">
      <c r="F3" s="2188" t="s">
        <v>388</v>
      </c>
      <c r="G3" s="2197"/>
      <c r="H3" s="2189"/>
    </row>
    <row r="4" spans="1:9" ht="12.75" customHeight="1">
      <c r="F4" s="2198" t="s">
        <v>375</v>
      </c>
      <c r="G4" s="2199"/>
      <c r="H4" s="2200"/>
    </row>
    <row r="5" spans="1:9">
      <c r="F5" s="9"/>
      <c r="G5" s="988" t="s">
        <v>14</v>
      </c>
      <c r="H5" s="989" t="s">
        <v>405</v>
      </c>
    </row>
    <row r="6" spans="1:9">
      <c r="F6" s="233" t="s">
        <v>240</v>
      </c>
      <c r="G6" s="11">
        <f>+C39+F39+I39+C49+F49</f>
        <v>189.44111604711631</v>
      </c>
      <c r="H6" s="187">
        <f>G6/SUM($G$6:$G$10)</f>
        <v>0.23966167899194962</v>
      </c>
    </row>
    <row r="7" spans="1:9">
      <c r="F7" s="233" t="s">
        <v>374</v>
      </c>
      <c r="G7" s="1809">
        <f>+C40+F40+I40+C50+F50</f>
        <v>65.660489885737618</v>
      </c>
      <c r="H7" s="188">
        <f>G7/SUM($G$6:$G$10)</f>
        <v>8.3066989773941113E-2</v>
      </c>
    </row>
    <row r="8" spans="1:9">
      <c r="F8" s="233" t="s">
        <v>239</v>
      </c>
      <c r="G8" s="1809">
        <f>+C41+F41+I41+C51+F51</f>
        <v>193.59094122355754</v>
      </c>
      <c r="H8" s="188">
        <f>G8/SUM($G$6:$G$10)</f>
        <v>0.24491161675657727</v>
      </c>
    </row>
    <row r="9" spans="1:9">
      <c r="F9" s="233" t="s">
        <v>245</v>
      </c>
      <c r="G9" s="1809">
        <f>'Calc-Drivers'!E32*(C42+F42+I42+C52+F52)</f>
        <v>131.37245616743459</v>
      </c>
      <c r="H9" s="188">
        <f>G9/SUM($G$6:$G$10)</f>
        <v>0.1661991022611638</v>
      </c>
    </row>
    <row r="10" spans="1:9">
      <c r="B10" s="990"/>
      <c r="C10" s="45"/>
      <c r="D10" s="46"/>
      <c r="F10" s="236" t="s">
        <v>497</v>
      </c>
      <c r="G10" s="1810">
        <f>'Calc-Drivers'!E32*(C43+F43+I43+C53+F53)</f>
        <v>210.38725772986939</v>
      </c>
      <c r="H10" s="189">
        <f>G10/SUM($G$6:$G$10)</f>
        <v>0.26616061221636816</v>
      </c>
    </row>
    <row r="11" spans="1:9">
      <c r="B11" s="6"/>
      <c r="C11" s="45"/>
      <c r="D11" s="195"/>
    </row>
    <row r="12" spans="1:9" ht="12" customHeight="1">
      <c r="B12" s="6"/>
      <c r="C12" s="7"/>
    </row>
    <row r="13" spans="1:9" s="1" customFormat="1">
      <c r="A13" s="8" t="s">
        <v>914</v>
      </c>
    </row>
    <row r="15" spans="1:9" ht="5.25" customHeight="1"/>
    <row r="16" spans="1:9" s="2" customFormat="1" ht="26.25" customHeight="1">
      <c r="B16" s="2188" t="s">
        <v>631</v>
      </c>
      <c r="C16" s="2189"/>
      <c r="E16" s="2188" t="s">
        <v>916</v>
      </c>
      <c r="F16" s="2189"/>
      <c r="H16" s="2188" t="s">
        <v>915</v>
      </c>
      <c r="I16" s="2189"/>
    </row>
    <row r="17" spans="2:9" s="1223" customFormat="1" ht="27" customHeight="1">
      <c r="B17" s="2190" t="s">
        <v>893</v>
      </c>
      <c r="C17" s="2187"/>
      <c r="E17" s="2191" t="s">
        <v>498</v>
      </c>
      <c r="F17" s="2185"/>
      <c r="H17" s="2191" t="s">
        <v>401</v>
      </c>
      <c r="I17" s="2185"/>
    </row>
    <row r="18" spans="2:9" ht="12.75" customHeight="1">
      <c r="B18" s="14"/>
      <c r="C18" s="11"/>
      <c r="E18" s="3"/>
      <c r="F18" s="11"/>
      <c r="H18" s="3"/>
      <c r="I18" s="11"/>
    </row>
    <row r="19" spans="2:9" ht="12" customHeight="1">
      <c r="B19" s="233" t="s">
        <v>240</v>
      </c>
      <c r="C19" s="12">
        <f>IF(Inputs!$B$20=1,'Calc-Net capex'!C87,'Calc-Net capex'!C66)</f>
        <v>53.683413478638073</v>
      </c>
      <c r="E19" s="4" t="s">
        <v>240</v>
      </c>
      <c r="F19" s="12">
        <f>SUM('FBPQ LR4'!D11:M11)</f>
        <v>4.5642234081942981</v>
      </c>
      <c r="H19" s="4" t="s">
        <v>240</v>
      </c>
      <c r="I19" s="12">
        <f>SUM('FBPQ LR6'!C28:L28)</f>
        <v>0</v>
      </c>
    </row>
    <row r="20" spans="2:9" ht="12" customHeight="1">
      <c r="B20" s="233" t="s">
        <v>239</v>
      </c>
      <c r="C20" s="12">
        <f>IF(Inputs!$B$20=1,'Calc-Net capex'!C88,'Calc-Net capex'!C67)</f>
        <v>15.346009876149125</v>
      </c>
      <c r="E20" s="4" t="s">
        <v>239</v>
      </c>
      <c r="F20" s="12">
        <f>SUM('FBPQ LR4'!D12:M12)</f>
        <v>37.3517583916164</v>
      </c>
      <c r="H20" s="4" t="s">
        <v>239</v>
      </c>
      <c r="I20" s="12">
        <f>SUM('FBPQ LR6'!C29:L29)</f>
        <v>4.3556923458407386</v>
      </c>
    </row>
    <row r="21" spans="2:9">
      <c r="B21" s="233" t="s">
        <v>245</v>
      </c>
      <c r="C21" s="12">
        <f>IF(Inputs!$B$20=1,'Calc-Net capex'!C89,'Calc-Net capex'!C68)</f>
        <v>2.2688379914661976</v>
      </c>
      <c r="E21" s="4" t="s">
        <v>245</v>
      </c>
      <c r="F21" s="12">
        <f>SUM('FBPQ LR4'!D13:M13)</f>
        <v>37.878736230499165</v>
      </c>
      <c r="H21" s="4" t="s">
        <v>245</v>
      </c>
      <c r="I21" s="12">
        <f>SUM('FBPQ LR6'!C30:L30)</f>
        <v>2.948693432967417</v>
      </c>
    </row>
    <row r="22" spans="2:9">
      <c r="B22" s="236" t="s">
        <v>497</v>
      </c>
      <c r="C22" s="12">
        <f>IF(Inputs!$B$20=1,'Calc-Net capex'!C90,'Calc-Net capex'!C69)</f>
        <v>2.8453715054258241E-2</v>
      </c>
      <c r="E22" s="5" t="s">
        <v>497</v>
      </c>
      <c r="F22" s="13">
        <f>SUM('FBPQ LR4'!D14:M14)</f>
        <v>81.740188527973061</v>
      </c>
      <c r="H22" s="5" t="s">
        <v>497</v>
      </c>
      <c r="I22" s="13">
        <f>SUM('FBPQ LR6'!C31:L31)</f>
        <v>0</v>
      </c>
    </row>
    <row r="25" spans="2:9" ht="24.75" customHeight="1">
      <c r="B25" s="2188" t="s">
        <v>402</v>
      </c>
      <c r="C25" s="2189"/>
      <c r="E25" s="2192" t="s">
        <v>835</v>
      </c>
      <c r="F25" s="2193"/>
    </row>
    <row r="26" spans="2:9" s="1223" customFormat="1" ht="27.75" customHeight="1">
      <c r="B26" s="2191" t="s">
        <v>403</v>
      </c>
      <c r="C26" s="2185"/>
      <c r="E26" s="2186" t="s">
        <v>836</v>
      </c>
      <c r="F26" s="2201"/>
    </row>
    <row r="27" spans="2:9">
      <c r="B27" s="3"/>
      <c r="C27" s="11"/>
      <c r="E27" s="3"/>
      <c r="F27" s="11"/>
    </row>
    <row r="28" spans="2:9">
      <c r="B28" s="4" t="s">
        <v>240</v>
      </c>
      <c r="C28" s="12">
        <f>SUM('FBPQ NL1'!D10:M16)</f>
        <v>131.19347916028394</v>
      </c>
      <c r="E28" s="235" t="s">
        <v>240</v>
      </c>
      <c r="F28" s="12">
        <f>SUM('NL9 - Legal &amp; Safety'!D33:M33,'NL9 - Legal &amp; Safety'!D42:M42)</f>
        <v>0</v>
      </c>
    </row>
    <row r="29" spans="2:9">
      <c r="B29" s="4" t="s">
        <v>239</v>
      </c>
      <c r="C29" s="12">
        <f>SUM('FBPQ NL1'!D17:M22)</f>
        <v>202.19797049568885</v>
      </c>
      <c r="E29" s="235" t="s">
        <v>239</v>
      </c>
      <c r="F29" s="12">
        <f>SUM('NL9 - Legal &amp; Safety'!D34:M34,'NL9 - Legal &amp; Safety'!D43:M43)</f>
        <v>0</v>
      </c>
    </row>
    <row r="30" spans="2:9">
      <c r="B30" s="4" t="s">
        <v>245</v>
      </c>
      <c r="C30" s="12">
        <f>SUM('FBPQ NL1'!D23:M28)</f>
        <v>101.86165514676397</v>
      </c>
      <c r="E30" s="235" t="s">
        <v>245</v>
      </c>
      <c r="F30" s="12">
        <f>SUM('NL9 - Legal &amp; Safety'!D35:M35,'NL9 - Legal &amp; Safety'!D44:M44)</f>
        <v>0</v>
      </c>
    </row>
    <row r="31" spans="2:9">
      <c r="B31" s="5" t="s">
        <v>497</v>
      </c>
      <c r="C31" s="13">
        <f>SUM('FBPQ NL1'!D29:M34)</f>
        <v>150.37514766677072</v>
      </c>
      <c r="E31" s="237" t="s">
        <v>497</v>
      </c>
      <c r="F31" s="13">
        <f>SUM('NL9 - Legal &amp; Safety'!D36:M36,'NL9 - Legal &amp; Safety'!D45:M45)</f>
        <v>0</v>
      </c>
    </row>
    <row r="33" spans="1:10" s="1" customFormat="1">
      <c r="A33" s="8" t="s">
        <v>917</v>
      </c>
    </row>
    <row r="35" spans="1:10" ht="5.25" customHeight="1"/>
    <row r="36" spans="1:10" s="2" customFormat="1" ht="26.25" customHeight="1">
      <c r="B36" s="2188" t="s">
        <v>631</v>
      </c>
      <c r="C36" s="2189"/>
      <c r="E36" s="2188" t="s">
        <v>916</v>
      </c>
      <c r="F36" s="2189"/>
      <c r="H36" s="2188" t="s">
        <v>915</v>
      </c>
      <c r="I36" s="2189"/>
    </row>
    <row r="37" spans="1:10" s="1223" customFormat="1" ht="27" customHeight="1">
      <c r="B37" s="2190" t="s">
        <v>893</v>
      </c>
      <c r="C37" s="2187"/>
      <c r="E37" s="2191" t="s">
        <v>498</v>
      </c>
      <c r="F37" s="2185"/>
      <c r="H37" s="2191" t="s">
        <v>401</v>
      </c>
      <c r="I37" s="2185"/>
    </row>
    <row r="38" spans="1:10" ht="12.75" customHeight="1">
      <c r="B38" s="14"/>
      <c r="C38" s="11"/>
      <c r="E38" s="3"/>
      <c r="F38" s="11"/>
      <c r="H38" s="3"/>
      <c r="I38" s="11"/>
    </row>
    <row r="39" spans="1:10">
      <c r="B39" s="233" t="s">
        <v>240</v>
      </c>
      <c r="C39" s="12">
        <f>IF(Inputs!$B$20=1,'Calc-Net capex'!C96,'Calc-Net capex'!C75)</f>
        <v>53.683413478638073</v>
      </c>
      <c r="E39" s="4" t="s">
        <v>240</v>
      </c>
      <c r="F39" s="12">
        <f>SUM('FBPQ LR4'!D11:M11)</f>
        <v>4.5642234081942981</v>
      </c>
      <c r="H39" s="4" t="s">
        <v>240</v>
      </c>
      <c r="I39" s="12">
        <f>SUM('FBPQ LR6'!C28:L28)</f>
        <v>0</v>
      </c>
    </row>
    <row r="40" spans="1:10" ht="38.25">
      <c r="B40" s="233" t="s">
        <v>374</v>
      </c>
      <c r="C40" s="12">
        <f>IF(Inputs!$B$20=1,'Calc-Net capex'!C97,'Calc-Net capex'!C76)</f>
        <v>4.7682838359718813</v>
      </c>
      <c r="D40" s="1353" t="s">
        <v>36</v>
      </c>
      <c r="E40" s="233" t="s">
        <v>374</v>
      </c>
      <c r="F40" s="12">
        <f>SUM('FBPQ LR4'!D12:M12)*(C55)</f>
        <v>11.605869357655093</v>
      </c>
      <c r="G40" s="234" t="s">
        <v>36</v>
      </c>
      <c r="H40" s="233" t="s">
        <v>374</v>
      </c>
      <c r="I40" s="12">
        <f>SUM('FBPQ LR6'!C29:L29)*(C55)</f>
        <v>1.353392678276484</v>
      </c>
      <c r="J40" s="234" t="s">
        <v>36</v>
      </c>
    </row>
    <row r="41" spans="1:10">
      <c r="B41" s="233" t="s">
        <v>239</v>
      </c>
      <c r="C41" s="12">
        <f>IF(Inputs!$B$20=1,'Calc-Net capex'!C98,'Calc-Net capex'!C77)</f>
        <v>10.577726040177245</v>
      </c>
      <c r="E41" s="235" t="s">
        <v>239</v>
      </c>
      <c r="F41" s="12">
        <f>SUM('FBPQ LR4'!D12:M12)*(1-C55)</f>
        <v>25.745889033961308</v>
      </c>
      <c r="H41" s="235" t="s">
        <v>239</v>
      </c>
      <c r="I41" s="12">
        <f>SUM('FBPQ LR6'!C29:L29)*(1-C55)</f>
        <v>3.0022996675642548</v>
      </c>
    </row>
    <row r="42" spans="1:10">
      <c r="B42" s="233" t="s">
        <v>245</v>
      </c>
      <c r="C42" s="12">
        <f>IF(Inputs!$B$20=1,'Calc-Net capex'!C99,'Calc-Net capex'!C78)</f>
        <v>2.2688379914661976</v>
      </c>
      <c r="E42" s="235" t="s">
        <v>245</v>
      </c>
      <c r="F42" s="12">
        <f>SUM('FBPQ LR4'!D13:M13)</f>
        <v>37.878736230499165</v>
      </c>
      <c r="H42" s="235" t="s">
        <v>245</v>
      </c>
      <c r="I42" s="12">
        <f>SUM('FBPQ LR6'!C30:L30)</f>
        <v>2.948693432967417</v>
      </c>
    </row>
    <row r="43" spans="1:10">
      <c r="B43" s="236" t="s">
        <v>497</v>
      </c>
      <c r="C43" s="12">
        <f>IF(Inputs!$B$20=1,'Calc-Net capex'!C100,'Calc-Net capex'!C79)</f>
        <v>2.8453715054258241E-2</v>
      </c>
      <c r="E43" s="237" t="s">
        <v>497</v>
      </c>
      <c r="F43" s="13">
        <f>SUM('FBPQ LR4'!D14:M14)</f>
        <v>81.740188527973061</v>
      </c>
      <c r="H43" s="237" t="s">
        <v>497</v>
      </c>
      <c r="I43" s="13">
        <f>SUM('FBPQ LR6'!C31:L31)</f>
        <v>0</v>
      </c>
    </row>
    <row r="46" spans="1:10" ht="27.75" customHeight="1">
      <c r="B46" s="2188" t="s">
        <v>402</v>
      </c>
      <c r="C46" s="2189"/>
      <c r="E46" s="2192" t="s">
        <v>835</v>
      </c>
      <c r="F46" s="2189"/>
      <c r="H46" s="2195" t="s">
        <v>835</v>
      </c>
      <c r="I46" s="2196"/>
    </row>
    <row r="47" spans="1:10" s="1223" customFormat="1" ht="27.75" customHeight="1">
      <c r="B47" s="2190" t="s">
        <v>403</v>
      </c>
      <c r="C47" s="2187"/>
      <c r="E47" s="2186" t="s">
        <v>836</v>
      </c>
      <c r="F47" s="2187"/>
      <c r="H47" s="2194" t="s">
        <v>344</v>
      </c>
      <c r="I47" s="2194"/>
    </row>
    <row r="48" spans="1:10">
      <c r="B48" s="3"/>
      <c r="C48" s="11"/>
      <c r="E48" s="3"/>
      <c r="F48" s="11"/>
      <c r="H48" s="3"/>
      <c r="I48" s="3"/>
    </row>
    <row r="49" spans="2:10">
      <c r="B49" s="235" t="s">
        <v>240</v>
      </c>
      <c r="C49" s="1191">
        <f>SUM('FBPQ NL1'!D10:M16)</f>
        <v>131.19347916028394</v>
      </c>
      <c r="E49" s="235" t="s">
        <v>240</v>
      </c>
      <c r="F49" s="12">
        <f>SUM('NL9 - Legal &amp; Safety'!D33:M33,'NL9 - Legal &amp; Safety'!D42:M42)</f>
        <v>0</v>
      </c>
      <c r="H49" s="235" t="s">
        <v>240</v>
      </c>
      <c r="I49" s="12">
        <f>F49+C49</f>
        <v>131.19347916028394</v>
      </c>
      <c r="J49" s="1059">
        <f>I49/SUM($I$49:$I$53)</f>
        <v>0.22402177252729952</v>
      </c>
    </row>
    <row r="50" spans="2:10">
      <c r="B50" s="235" t="s">
        <v>374</v>
      </c>
      <c r="C50" s="1191">
        <f>SUM('FBPQ NL1'!D21:M22)</f>
        <v>47.93294401383416</v>
      </c>
      <c r="D50" s="238" t="s">
        <v>37</v>
      </c>
      <c r="E50" s="233" t="s">
        <v>374</v>
      </c>
      <c r="F50" s="12">
        <f>SUM('NL9 - Legal &amp; Safety'!D34:M34,'NL9 - Legal &amp; Safety'!D43:M43)*C55</f>
        <v>0</v>
      </c>
      <c r="H50" s="235" t="s">
        <v>374</v>
      </c>
      <c r="I50" s="12">
        <f>F50+C50</f>
        <v>47.93294401383416</v>
      </c>
      <c r="J50" s="1059">
        <f>I50/SUM($I$49:$I$53)</f>
        <v>8.1848756120812202E-2</v>
      </c>
    </row>
    <row r="51" spans="2:10">
      <c r="B51" s="233" t="s">
        <v>239</v>
      </c>
      <c r="C51" s="1191">
        <f>SUM('FBPQ NL1'!D17:M20)</f>
        <v>154.26502648185473</v>
      </c>
      <c r="E51" s="235" t="s">
        <v>239</v>
      </c>
      <c r="F51" s="12">
        <f>SUM('NL9 - Legal &amp; Safety'!D34:M34,'NL9 - Legal &amp; Safety'!D43:M43)*(1-C55)</f>
        <v>0</v>
      </c>
      <c r="H51" s="235" t="s">
        <v>239</v>
      </c>
      <c r="I51" s="12">
        <f>F51+C51</f>
        <v>154.26502648185473</v>
      </c>
      <c r="J51" s="1059">
        <f>I51/SUM($I$49:$I$53)</f>
        <v>0.2634180059301135</v>
      </c>
    </row>
    <row r="52" spans="2:10">
      <c r="B52" s="235" t="s">
        <v>245</v>
      </c>
      <c r="C52" s="1191">
        <f>SUM('FBPQ NL1'!D23:M28)</f>
        <v>101.86165514676397</v>
      </c>
      <c r="E52" s="235" t="s">
        <v>245</v>
      </c>
      <c r="F52" s="12">
        <f>SUM('NL9 - Legal &amp; Safety'!D35:M35,'NL9 - Legal &amp; Safety'!D44:M44)</f>
        <v>0</v>
      </c>
      <c r="H52" s="235" t="s">
        <v>245</v>
      </c>
      <c r="I52" s="12">
        <f>F52+C52</f>
        <v>101.86165514676397</v>
      </c>
      <c r="J52" s="1059">
        <f>I52/SUM($I$49:$I$53)</f>
        <v>0.17393569165631689</v>
      </c>
    </row>
    <row r="53" spans="2:10">
      <c r="B53" s="237" t="s">
        <v>497</v>
      </c>
      <c r="C53" s="1192">
        <f>SUM('FBPQ NL1'!D29:M34)</f>
        <v>150.37514766677072</v>
      </c>
      <c r="E53" s="237" t="s">
        <v>497</v>
      </c>
      <c r="F53" s="13">
        <f>SUM('NL9 - Legal &amp; Safety'!D36:M36,'NL9 - Legal &amp; Safety'!D45:M45)</f>
        <v>0</v>
      </c>
      <c r="H53" s="237" t="s">
        <v>497</v>
      </c>
      <c r="I53" s="13">
        <f>F53+C53</f>
        <v>150.37514766677072</v>
      </c>
      <c r="J53" s="1059">
        <f>I53/SUM($I$49:$I$53)</f>
        <v>0.2567757737654579</v>
      </c>
    </row>
    <row r="55" spans="2:10">
      <c r="B55" s="238" t="s">
        <v>38</v>
      </c>
      <c r="C55" s="239">
        <f>C50/C51</f>
        <v>0.31071815243536244</v>
      </c>
    </row>
    <row r="58" spans="2:10">
      <c r="B58" s="1223"/>
      <c r="C58" s="1223"/>
    </row>
    <row r="59" spans="2:10" ht="18">
      <c r="B59" s="1754" t="s">
        <v>886</v>
      </c>
      <c r="C59" s="1223"/>
    </row>
    <row r="60" spans="2:10">
      <c r="B60" s="1223"/>
      <c r="C60" s="1223"/>
    </row>
    <row r="61" spans="2:10">
      <c r="B61" s="1261" t="s">
        <v>888</v>
      </c>
      <c r="C61" s="1223"/>
    </row>
    <row r="62" spans="2:10">
      <c r="B62" s="1260" t="s">
        <v>890</v>
      </c>
      <c r="C62" s="1223"/>
    </row>
    <row r="63" spans="2:10">
      <c r="B63" s="2180" t="s">
        <v>631</v>
      </c>
      <c r="C63" s="2182"/>
    </row>
    <row r="64" spans="2:10">
      <c r="B64" s="2186" t="s">
        <v>324</v>
      </c>
      <c r="C64" s="2187"/>
    </row>
    <row r="65" spans="2:3">
      <c r="B65" s="1755"/>
      <c r="C65" s="1756"/>
    </row>
    <row r="66" spans="2:3">
      <c r="B66" s="1757" t="s">
        <v>240</v>
      </c>
      <c r="C66" s="1758">
        <f>SUM('FBPQ LR1 - V5 opt3'!D227:M227,'FBPQ LR1 - V5 opt3'!I229:M229)-SUM('FBPQ LR1 - V5 opt3'!D250:M250,'FBPQ LR1 - V5 opt3'!I252:M252)</f>
        <v>0</v>
      </c>
    </row>
    <row r="67" spans="2:3">
      <c r="B67" s="1757" t="s">
        <v>239</v>
      </c>
      <c r="C67" s="1758">
        <f>(SUM('FBPQ LR1 - V5 opt3'!D231:H231,'FBPQ LR1 - V5 opt3'!I230:M230,'FBPQ LR1 - V5 opt3'!I233:M233)-SUM('FBPQ LR1 - V5 opt3'!D254:H254,'FBPQ LR1 - V5 opt3'!I253:M253,'FBPQ LR1 - V5 opt3'!I256:M256))</f>
        <v>0</v>
      </c>
    </row>
    <row r="68" spans="2:3">
      <c r="B68" s="1757" t="s">
        <v>245</v>
      </c>
      <c r="C68" s="1758">
        <f>SUM('FBPQ LR1 - V5 opt3'!D235:H235,'FBPQ LR1 - V5 opt3'!I234:M234,'FBPQ LR1 - V5 opt3'!I237:M237)-SUM('FBPQ LR1 - V5 opt3'!D258:H258,'FBPQ LR1 - V5 opt3'!I257:M257,'FBPQ LR1 - V5 opt3'!I260:M260)</f>
        <v>0</v>
      </c>
    </row>
    <row r="69" spans="2:3">
      <c r="B69" s="1759" t="s">
        <v>497</v>
      </c>
      <c r="C69" s="1760">
        <f>SUM('FBPQ LR1 - V5 opt3'!D239:H239,'FBPQ LR1 - V5 opt3'!I238:M238)-SUM('FBPQ LR1 - V5 opt3'!D262:H262,'FBPQ LR1 - V5 opt3'!I261:M261)</f>
        <v>0</v>
      </c>
    </row>
    <row r="70" spans="2:3">
      <c r="B70" s="1223"/>
      <c r="C70" s="1223"/>
    </row>
    <row r="71" spans="2:3">
      <c r="B71" s="1260" t="s">
        <v>889</v>
      </c>
      <c r="C71" s="1223"/>
    </row>
    <row r="72" spans="2:3">
      <c r="B72" s="2180" t="s">
        <v>631</v>
      </c>
      <c r="C72" s="2182"/>
    </row>
    <row r="73" spans="2:3">
      <c r="B73" s="2186" t="s">
        <v>324</v>
      </c>
      <c r="C73" s="2187"/>
    </row>
    <row r="74" spans="2:3">
      <c r="B74" s="1755"/>
      <c r="C74" s="1756"/>
    </row>
    <row r="75" spans="2:3">
      <c r="B75" s="1757" t="s">
        <v>240</v>
      </c>
      <c r="C75" s="1758">
        <f>SUM('FBPQ LR1 - V5 opt3'!D227:M227,'FBPQ LR1 - V5 opt3'!I229:M229)-SUM('FBPQ LR1 - V5 opt3'!D250:M250,'FBPQ LR1 - V5 opt3'!I252:M252)</f>
        <v>0</v>
      </c>
    </row>
    <row r="76" spans="2:3">
      <c r="B76" s="1757" t="s">
        <v>374</v>
      </c>
      <c r="C76" s="1758">
        <f>(SUM('FBPQ LR1 - V5 opt3'!D231:H231,'FBPQ LR1 - V5 opt3'!I230:M230,'FBPQ LR1 - V5 opt3'!I233:M233)-SUM('FBPQ LR1 - V5 opt3'!D254:H254,'FBPQ LR1 - V5 opt3'!I253:M253,'FBPQ LR1 - V5 opt3'!I256:M256))*(C110)</f>
        <v>0</v>
      </c>
    </row>
    <row r="77" spans="2:3">
      <c r="B77" s="1757" t="s">
        <v>239</v>
      </c>
      <c r="C77" s="1758">
        <f>(SUM('FBPQ LR1 - V5 opt3'!D231:H231,'FBPQ LR1 - V5 opt3'!I230:M230,'FBPQ LR1 - V5 opt3'!I233:M233)-SUM('FBPQ LR1 - V5 opt3'!D254:H254,'FBPQ LR1 - V5 opt3'!I253:M253,'FBPQ LR1 - V5 opt3'!I256:M256))*(1-C110)</f>
        <v>0</v>
      </c>
    </row>
    <row r="78" spans="2:3">
      <c r="B78" s="1757" t="s">
        <v>245</v>
      </c>
      <c r="C78" s="1758">
        <f>SUM('FBPQ LR1 - V5 opt3'!D235:H235,'FBPQ LR1 - V5 opt3'!I234:M234,'FBPQ LR1 - V5 opt3'!I237:M237)-SUM('FBPQ LR1 - V5 opt3'!D258:H258,'FBPQ LR1 - V5 opt3'!I257:M257,'FBPQ LR1 - V5 opt3'!I260:M260)</f>
        <v>0</v>
      </c>
    </row>
    <row r="79" spans="2:3">
      <c r="B79" s="1759" t="s">
        <v>497</v>
      </c>
      <c r="C79" s="1760">
        <f>SUM('FBPQ LR1 - V5 opt3'!D239:H239,'FBPQ LR1 - V5 opt3'!I238:M238)-SUM('FBPQ LR1 - V5 opt3'!D262:H262,'FBPQ LR1 - V5 opt3'!I261:M261)</f>
        <v>0</v>
      </c>
    </row>
    <row r="80" spans="2:3">
      <c r="B80" s="1223"/>
      <c r="C80" s="1223"/>
    </row>
    <row r="81" spans="2:3">
      <c r="B81" s="1223"/>
      <c r="C81" s="1223"/>
    </row>
    <row r="82" spans="2:3">
      <c r="B82" s="1261" t="s">
        <v>887</v>
      </c>
      <c r="C82" s="1223"/>
    </row>
    <row r="83" spans="2:3">
      <c r="B83" s="1260" t="s">
        <v>890</v>
      </c>
      <c r="C83" s="1223"/>
    </row>
    <row r="84" spans="2:3">
      <c r="B84" s="2180" t="s">
        <v>631</v>
      </c>
      <c r="C84" s="2182"/>
    </row>
    <row r="85" spans="2:3">
      <c r="B85" s="2186" t="s">
        <v>324</v>
      </c>
      <c r="C85" s="2187"/>
    </row>
    <row r="86" spans="2:3">
      <c r="B86" s="1755"/>
      <c r="C86" s="1756"/>
    </row>
    <row r="87" spans="2:3">
      <c r="B87" s="1757" t="s">
        <v>240</v>
      </c>
      <c r="C87" s="1761">
        <f>SUM('FBPQ LR1'!D82:M82)-SUM('FBPQ LR1'!D110:M110)</f>
        <v>53.683413478638073</v>
      </c>
    </row>
    <row r="88" spans="2:3">
      <c r="B88" s="1757" t="s">
        <v>239</v>
      </c>
      <c r="C88" s="1761">
        <f>(SUM('FBPQ LR1'!D86:M86)-SUM('FBPQ LR1'!D114:M114))</f>
        <v>15.346009876149125</v>
      </c>
    </row>
    <row r="89" spans="2:3">
      <c r="B89" s="1757" t="s">
        <v>245</v>
      </c>
      <c r="C89" s="1761">
        <f>(SUM('FBPQ LR1'!D90:M90)-SUM('FBPQ LR1'!D118:M118))</f>
        <v>2.2688379914661976</v>
      </c>
    </row>
    <row r="90" spans="2:3">
      <c r="B90" s="1759" t="s">
        <v>497</v>
      </c>
      <c r="C90" s="1762">
        <f>(SUM('FBPQ LR1'!D94:M94)-SUM('FBPQ LR1'!D122:M122))</f>
        <v>2.8453715054258241E-2</v>
      </c>
    </row>
    <row r="91" spans="2:3">
      <c r="B91" s="1223"/>
      <c r="C91" s="1223"/>
    </row>
    <row r="92" spans="2:3">
      <c r="B92" s="1260" t="s">
        <v>889</v>
      </c>
      <c r="C92" s="1223"/>
    </row>
    <row r="93" spans="2:3">
      <c r="B93" s="2180" t="s">
        <v>631</v>
      </c>
      <c r="C93" s="2182"/>
    </row>
    <row r="94" spans="2:3">
      <c r="B94" s="2186" t="s">
        <v>324</v>
      </c>
      <c r="C94" s="2187"/>
    </row>
    <row r="95" spans="2:3">
      <c r="B95" s="1755"/>
      <c r="C95" s="1756"/>
    </row>
    <row r="96" spans="2:3">
      <c r="B96" s="1757" t="s">
        <v>240</v>
      </c>
      <c r="C96" s="1761">
        <f>SUM('FBPQ LR1'!D82:M82)-SUM('FBPQ LR1'!D110:M110)</f>
        <v>53.683413478638073</v>
      </c>
    </row>
    <row r="97" spans="2:3">
      <c r="B97" s="1757" t="s">
        <v>374</v>
      </c>
      <c r="C97" s="1761">
        <f>(SUM('FBPQ LR1'!D86:M86)-SUM('FBPQ LR1'!D114:M114))*C110</f>
        <v>4.7682838359718813</v>
      </c>
    </row>
    <row r="98" spans="2:3">
      <c r="B98" s="1757" t="s">
        <v>239</v>
      </c>
      <c r="C98" s="1761">
        <f>(SUM('FBPQ LR1'!D86:M86)-SUM('FBPQ LR1'!D114:M114))*(1-C110)</f>
        <v>10.577726040177245</v>
      </c>
    </row>
    <row r="99" spans="2:3">
      <c r="B99" s="1757" t="s">
        <v>245</v>
      </c>
      <c r="C99" s="1761">
        <f>(SUM('FBPQ LR1'!D90:M90)-SUM('FBPQ LR1'!D118:M118))</f>
        <v>2.2688379914661976</v>
      </c>
    </row>
    <row r="100" spans="2:3">
      <c r="B100" s="1759" t="s">
        <v>497</v>
      </c>
      <c r="C100" s="1762">
        <f>(SUM('FBPQ LR1'!D94:M94)-SUM('FBPQ LR1'!D122:M122))</f>
        <v>2.8453715054258241E-2</v>
      </c>
    </row>
    <row r="101" spans="2:3">
      <c r="B101" s="1223"/>
      <c r="C101" s="1223"/>
    </row>
    <row r="102" spans="2:3">
      <c r="B102" s="1223"/>
      <c r="C102" s="1223"/>
    </row>
    <row r="103" spans="2:3">
      <c r="B103" s="1223"/>
      <c r="C103" s="1223"/>
    </row>
    <row r="104" spans="2:3">
      <c r="B104" s="1223"/>
      <c r="C104" s="1223"/>
    </row>
    <row r="105" spans="2:3">
      <c r="B105" s="1223"/>
      <c r="C105" s="1223"/>
    </row>
    <row r="106" spans="2:3">
      <c r="B106" s="1223"/>
      <c r="C106" s="1223"/>
    </row>
    <row r="107" spans="2:3">
      <c r="B107" s="1223"/>
      <c r="C107" s="1223"/>
    </row>
    <row r="108" spans="2:3">
      <c r="B108" s="1223"/>
      <c r="C108" s="1223"/>
    </row>
    <row r="109" spans="2:3">
      <c r="B109" s="1223"/>
      <c r="C109" s="1223"/>
    </row>
    <row r="110" spans="2:3">
      <c r="B110" s="19"/>
      <c r="C110" s="1763">
        <f>'Calc-Net capex'!C50/'Calc-Net capex'!C51</f>
        <v>0.31071815243536244</v>
      </c>
    </row>
    <row r="111" spans="2:3">
      <c r="B111" s="1223"/>
      <c r="C111" s="1223"/>
    </row>
  </sheetData>
  <mergeCells count="32">
    <mergeCell ref="F3:H3"/>
    <mergeCell ref="F4:H4"/>
    <mergeCell ref="H17:I17"/>
    <mergeCell ref="H16:I16"/>
    <mergeCell ref="E26:F26"/>
    <mergeCell ref="E16:F16"/>
    <mergeCell ref="H47:I47"/>
    <mergeCell ref="E46:F46"/>
    <mergeCell ref="E47:F47"/>
    <mergeCell ref="H37:I37"/>
    <mergeCell ref="H36:I36"/>
    <mergeCell ref="H46:I46"/>
    <mergeCell ref="B16:C16"/>
    <mergeCell ref="B47:C47"/>
    <mergeCell ref="B26:C26"/>
    <mergeCell ref="E37:F37"/>
    <mergeCell ref="B36:C36"/>
    <mergeCell ref="E36:F36"/>
    <mergeCell ref="B37:C37"/>
    <mergeCell ref="B25:C25"/>
    <mergeCell ref="E17:F17"/>
    <mergeCell ref="B46:C46"/>
    <mergeCell ref="E25:F25"/>
    <mergeCell ref="B17:C17"/>
    <mergeCell ref="B85:C85"/>
    <mergeCell ref="B94:C94"/>
    <mergeCell ref="B72:C72"/>
    <mergeCell ref="B73:C73"/>
    <mergeCell ref="B63:C63"/>
    <mergeCell ref="B64:C64"/>
    <mergeCell ref="B84:C84"/>
    <mergeCell ref="B93:C93"/>
  </mergeCells>
  <phoneticPr fontId="2"/>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BD62"/>
  <sheetViews>
    <sheetView showGridLines="0" zoomScale="70" zoomScaleNormal="70" zoomScalePageLayoutView="80" workbookViewId="0"/>
  </sheetViews>
  <sheetFormatPr defaultColWidth="8.85546875" defaultRowHeight="12.75"/>
  <cols>
    <col min="1" max="1" width="12.42578125" style="82" customWidth="1"/>
    <col min="2" max="2" width="10.140625" style="82" customWidth="1"/>
    <col min="3" max="3" width="58" style="82" bestFit="1" customWidth="1"/>
    <col min="4" max="4" width="14.85546875" style="82" bestFit="1" customWidth="1"/>
    <col min="5" max="6" width="7.7109375" style="82" bestFit="1" customWidth="1"/>
    <col min="7" max="7" width="7.7109375" style="82" customWidth="1"/>
    <col min="8" max="8" width="6.42578125" style="82" bestFit="1" customWidth="1"/>
    <col min="9" max="9" width="11.85546875" style="82" customWidth="1"/>
    <col min="10" max="10" width="7.7109375" style="82" customWidth="1"/>
    <col min="11" max="11" width="20.42578125" style="82" bestFit="1" customWidth="1"/>
    <col min="12" max="16" width="8.42578125" style="82" customWidth="1"/>
    <col min="17" max="17" width="5.140625" style="82" customWidth="1"/>
    <col min="18" max="18" width="8" style="82" customWidth="1"/>
    <col min="19" max="23" width="8.140625" style="82" customWidth="1"/>
    <col min="24" max="24" width="4.85546875" style="82" customWidth="1"/>
    <col min="25" max="25" width="24.28515625" style="82" customWidth="1"/>
    <col min="26" max="31" width="10.42578125" style="82" customWidth="1"/>
    <col min="32" max="32" width="23" style="82" customWidth="1"/>
    <col min="33" max="36" width="12.42578125" style="82" customWidth="1"/>
    <col min="37" max="37" width="6.85546875" style="82" customWidth="1"/>
    <col min="38" max="38" width="16.42578125" style="82" customWidth="1"/>
    <col min="39" max="40" width="8.140625" style="82" customWidth="1"/>
    <col min="41" max="41" width="4.140625" style="82" customWidth="1"/>
    <col min="42" max="42" width="23.7109375" style="82" customWidth="1"/>
    <col min="43" max="43" width="12.140625" style="82" customWidth="1"/>
    <col min="44" max="44" width="10.85546875" style="82" customWidth="1"/>
    <col min="45" max="45" width="13.42578125" style="82" customWidth="1"/>
    <col min="46" max="47" width="9.42578125" style="82" customWidth="1"/>
    <col min="48" max="48" width="5.42578125" style="82" customWidth="1"/>
    <col min="49" max="49" width="23.42578125" style="82" customWidth="1"/>
    <col min="50" max="53" width="8.42578125" style="82" customWidth="1"/>
    <col min="54" max="54" width="4.28515625" style="82" customWidth="1"/>
    <col min="55" max="55" width="22.7109375" style="82" bestFit="1" customWidth="1"/>
    <col min="56" max="56" width="24.140625" style="82" customWidth="1"/>
    <col min="57" max="16384" width="8.85546875" style="82"/>
  </cols>
  <sheetData>
    <row r="1" spans="1:56">
      <c r="A1" s="241" t="s">
        <v>216</v>
      </c>
    </row>
    <row r="2" spans="1:56" s="218" customFormat="1" ht="58.5" customHeight="1">
      <c r="D2" s="2202" t="s">
        <v>330</v>
      </c>
      <c r="E2" s="2202"/>
      <c r="F2" s="2202"/>
      <c r="G2" s="2202"/>
      <c r="H2" s="2202"/>
      <c r="I2" s="2202"/>
      <c r="K2" s="2206" t="s">
        <v>903</v>
      </c>
      <c r="L2" s="2207"/>
      <c r="M2" s="2207"/>
      <c r="N2" s="2207"/>
      <c r="O2" s="2207"/>
      <c r="P2" s="2207"/>
      <c r="Q2" s="1224"/>
      <c r="S2" s="2209" t="s">
        <v>904</v>
      </c>
      <c r="T2" s="2210"/>
      <c r="U2" s="2210"/>
      <c r="V2" s="2210"/>
      <c r="W2" s="2210"/>
      <c r="Z2" s="2206" t="s">
        <v>905</v>
      </c>
      <c r="AA2" s="2206"/>
      <c r="AB2" s="2206"/>
      <c r="AC2" s="2206"/>
      <c r="AD2" s="2206"/>
      <c r="AG2" s="2206" t="s">
        <v>907</v>
      </c>
      <c r="AH2" s="2207"/>
      <c r="AI2" s="2207"/>
      <c r="AJ2" s="2207"/>
      <c r="AL2" s="2210" t="s">
        <v>331</v>
      </c>
      <c r="AM2" s="2210"/>
      <c r="AN2" s="2210"/>
      <c r="AO2" s="2210"/>
      <c r="AP2" s="2210"/>
      <c r="AQ2" s="2210"/>
      <c r="AR2" s="2210"/>
      <c r="AS2" s="2210"/>
      <c r="AT2" s="2210"/>
      <c r="AU2" s="2210"/>
      <c r="AV2" s="2210"/>
      <c r="AW2" s="2210"/>
      <c r="AX2" s="2210"/>
      <c r="AY2" s="2210"/>
      <c r="AZ2" s="2210"/>
      <c r="BA2" s="2210"/>
    </row>
    <row r="3" spans="1:56" s="1223" customFormat="1" ht="28.5" customHeight="1">
      <c r="A3" s="1218"/>
      <c r="B3" s="1218"/>
      <c r="C3" s="1219"/>
      <c r="D3" s="1220"/>
      <c r="E3" s="2211" t="s">
        <v>711</v>
      </c>
      <c r="F3" s="2212"/>
      <c r="G3" s="2212"/>
      <c r="H3" s="2212"/>
      <c r="I3" s="2213"/>
      <c r="J3" s="1225"/>
      <c r="K3" s="2203" t="s">
        <v>420</v>
      </c>
      <c r="L3" s="2204"/>
      <c r="M3" s="2204"/>
      <c r="N3" s="2204"/>
      <c r="O3" s="2204"/>
      <c r="P3" s="2205"/>
      <c r="Q3" s="1226"/>
      <c r="R3" s="1227"/>
      <c r="S3" s="2208" t="s">
        <v>686</v>
      </c>
      <c r="T3" s="2208"/>
      <c r="U3" s="2208"/>
      <c r="V3" s="2208"/>
      <c r="W3" s="2208"/>
      <c r="X3" s="1226"/>
      <c r="Y3" s="1219"/>
      <c r="Z3" s="2190" t="s">
        <v>906</v>
      </c>
      <c r="AA3" s="2184"/>
      <c r="AB3" s="2184"/>
      <c r="AC3" s="2184"/>
      <c r="AD3" s="2185"/>
      <c r="AE3" s="1221"/>
      <c r="AF3" s="1221"/>
      <c r="AG3" s="2219" t="s">
        <v>908</v>
      </c>
      <c r="AH3" s="2220"/>
      <c r="AI3" s="2220"/>
      <c r="AJ3" s="2220"/>
      <c r="AK3" s="1222"/>
      <c r="AL3" s="2190" t="s">
        <v>909</v>
      </c>
      <c r="AM3" s="2217"/>
      <c r="AN3" s="2218"/>
      <c r="AO3" s="1239"/>
      <c r="AP3" s="1227"/>
      <c r="AQ3" s="2221" t="s">
        <v>910</v>
      </c>
      <c r="AR3" s="2222"/>
      <c r="AS3" s="2222"/>
      <c r="AT3" s="2222"/>
      <c r="AU3" s="2222"/>
      <c r="AV3" s="1212"/>
      <c r="AW3" s="1227"/>
      <c r="AX3" s="2214" t="s">
        <v>407</v>
      </c>
      <c r="AY3" s="2215"/>
      <c r="AZ3" s="2215"/>
      <c r="BA3" s="2216"/>
      <c r="BC3" s="1218"/>
      <c r="BD3" s="1218"/>
    </row>
    <row r="4" spans="1:56" s="85" customFormat="1" ht="67.5" customHeight="1">
      <c r="A4" s="83"/>
      <c r="B4" s="83"/>
      <c r="C4" s="83"/>
      <c r="D4" s="1209" t="s">
        <v>326</v>
      </c>
      <c r="E4" s="2235" t="s">
        <v>902</v>
      </c>
      <c r="F4" s="2236"/>
      <c r="G4" s="2236"/>
      <c r="H4" s="2236"/>
      <c r="I4" s="1209" t="s">
        <v>327</v>
      </c>
      <c r="J4" s="83"/>
      <c r="K4" s="95" t="s">
        <v>427</v>
      </c>
      <c r="L4" s="2229" t="s">
        <v>421</v>
      </c>
      <c r="M4" s="2230"/>
      <c r="N4" s="2230"/>
      <c r="O4" s="2230"/>
      <c r="P4" s="2231"/>
      <c r="Q4" s="56"/>
      <c r="R4" s="84"/>
      <c r="S4" s="107"/>
      <c r="T4" s="108"/>
      <c r="U4" s="108"/>
      <c r="V4" s="108"/>
      <c r="W4" s="109"/>
      <c r="X4" s="83"/>
      <c r="Y4" s="84"/>
      <c r="Z4" s="107"/>
      <c r="AA4" s="108"/>
      <c r="AB4" s="108"/>
      <c r="AC4" s="108"/>
      <c r="AD4" s="109"/>
      <c r="AE4" s="83"/>
      <c r="AF4" s="84"/>
      <c r="AG4" s="107"/>
      <c r="AH4" s="108"/>
      <c r="AI4" s="108"/>
      <c r="AJ4" s="109"/>
      <c r="AK4" s="84"/>
      <c r="AL4" s="1240" t="s">
        <v>355</v>
      </c>
      <c r="AM4" s="1235" t="s">
        <v>518</v>
      </c>
      <c r="AN4" s="1241" t="s">
        <v>517</v>
      </c>
      <c r="AO4" s="83"/>
      <c r="AP4" s="83"/>
      <c r="AQ4" s="1209" t="s">
        <v>245</v>
      </c>
      <c r="AR4" s="1209" t="s">
        <v>239</v>
      </c>
      <c r="AS4" s="1209" t="s">
        <v>408</v>
      </c>
      <c r="AT4" s="1209" t="s">
        <v>625</v>
      </c>
      <c r="AU4" s="1209" t="s">
        <v>885</v>
      </c>
      <c r="AV4" s="1195"/>
      <c r="AW4" s="84"/>
      <c r="AX4" s="1209" t="s">
        <v>245</v>
      </c>
      <c r="AY4" s="1209" t="s">
        <v>239</v>
      </c>
      <c r="AZ4" s="1209" t="s">
        <v>408</v>
      </c>
      <c r="BA4" s="1209" t="s">
        <v>240</v>
      </c>
      <c r="BC4" s="207"/>
      <c r="BD4" s="86"/>
    </row>
    <row r="5" spans="1:56" s="19" customFormat="1" ht="25.5">
      <c r="A5" s="1217"/>
      <c r="B5" s="1210"/>
      <c r="C5" s="1210"/>
      <c r="D5" s="1211"/>
      <c r="E5" s="1211" t="s">
        <v>245</v>
      </c>
      <c r="F5" s="1211" t="s">
        <v>239</v>
      </c>
      <c r="G5" s="1211" t="s">
        <v>408</v>
      </c>
      <c r="H5" s="1211" t="s">
        <v>240</v>
      </c>
      <c r="I5" s="1211"/>
      <c r="J5" s="1210"/>
      <c r="K5" s="104"/>
      <c r="L5" s="105" t="s">
        <v>245</v>
      </c>
      <c r="M5" s="104" t="s">
        <v>239</v>
      </c>
      <c r="N5" s="104" t="s">
        <v>408</v>
      </c>
      <c r="O5" s="104" t="s">
        <v>625</v>
      </c>
      <c r="P5" s="104" t="s">
        <v>885</v>
      </c>
      <c r="Q5" s="56"/>
      <c r="R5" s="1212"/>
      <c r="S5" s="1211" t="s">
        <v>245</v>
      </c>
      <c r="T5" s="1211" t="s">
        <v>239</v>
      </c>
      <c r="U5" s="1211" t="s">
        <v>408</v>
      </c>
      <c r="V5" s="1211" t="s">
        <v>625</v>
      </c>
      <c r="W5" s="1211" t="s">
        <v>885</v>
      </c>
      <c r="X5" s="1212"/>
      <c r="Y5" s="1212"/>
      <c r="Z5" s="1211" t="s">
        <v>245</v>
      </c>
      <c r="AA5" s="1211" t="s">
        <v>239</v>
      </c>
      <c r="AB5" s="1211" t="s">
        <v>408</v>
      </c>
      <c r="AC5" s="1211" t="s">
        <v>625</v>
      </c>
      <c r="AD5" s="1211" t="s">
        <v>885</v>
      </c>
      <c r="AE5" s="1212"/>
      <c r="AF5" s="1212"/>
      <c r="AG5" s="1211" t="s">
        <v>245</v>
      </c>
      <c r="AH5" s="1211" t="s">
        <v>239</v>
      </c>
      <c r="AI5" s="1211" t="s">
        <v>408</v>
      </c>
      <c r="AJ5" s="1211" t="s">
        <v>625</v>
      </c>
      <c r="AK5" s="1212"/>
      <c r="AL5" s="1213"/>
      <c r="AM5" s="1211"/>
      <c r="AN5" s="1214"/>
      <c r="AO5" s="1210"/>
      <c r="AP5" s="1210"/>
      <c r="AQ5" s="1211"/>
      <c r="AR5" s="1211"/>
      <c r="AS5" s="1211"/>
      <c r="AT5" s="1211"/>
      <c r="AU5" s="1211"/>
      <c r="AV5" s="1212"/>
      <c r="AW5" s="1212"/>
      <c r="AX5" s="1211"/>
      <c r="AY5" s="1211"/>
      <c r="AZ5" s="1211"/>
      <c r="BA5" s="1211"/>
      <c r="BC5" s="1215"/>
      <c r="BD5" s="1216"/>
    </row>
    <row r="6" spans="1:56" s="53" customFormat="1" ht="12.75" customHeight="1">
      <c r="A6" s="2243" t="s">
        <v>409</v>
      </c>
      <c r="B6" s="2237" t="s">
        <v>660</v>
      </c>
      <c r="C6" s="90" t="s">
        <v>640</v>
      </c>
      <c r="D6" s="95">
        <f>'RRP 1.3'!D$12</f>
        <v>9.6634520789690299</v>
      </c>
      <c r="E6" s="95">
        <f>'RRP 2.4'!L13+'RRP 2.4'!L14+'RRP 2.4'!L18+'RRP 2.4'!L19</f>
        <v>26.23345644177089</v>
      </c>
      <c r="F6" s="95">
        <f>'RRP 2.4'!L12+'RRP 2.4'!L17-'Calc DNO Opex Allocation'!G6</f>
        <v>18.26909589588481</v>
      </c>
      <c r="G6" s="95">
        <v>0</v>
      </c>
      <c r="H6" s="95">
        <f>'RRP 2.4'!L11+'RRP 2.4'!L16+'RRP 2.4'!L24</f>
        <v>-35.750740036164565</v>
      </c>
      <c r="I6" s="95">
        <f t="shared" ref="I6:I39" si="0">D6-E6-F6-G6-H6</f>
        <v>0.9116397774778946</v>
      </c>
      <c r="J6" s="56"/>
      <c r="K6" s="95" t="s">
        <v>484</v>
      </c>
      <c r="L6" s="179">
        <f>IF(ISERROR(VLOOKUP($K6,'Calc-Drivers'!$B$17:$G$27,L$42,FALSE))," ",VLOOKUP($K6,'Calc-Drivers'!$B$17:$G$27,L$42,FALSE))</f>
        <v>0.28739390381298147</v>
      </c>
      <c r="M6" s="179">
        <f>IF(ISERROR(VLOOKUP($K6,'Calc-Drivers'!$B$17:$G$27,M$42,FALSE))," ",VLOOKUP($K6,'Calc-Drivers'!$B$17:$G$27,M$42,FALSE))</f>
        <v>0.20336622254725664</v>
      </c>
      <c r="N6" s="179">
        <f>IF(ISERROR(VLOOKUP($K6,'Calc-Drivers'!$B$17:$G$27,N$42,FALSE))," ",VLOOKUP($K6,'Calc-Drivers'!$B$17:$G$27,N$42,FALSE))</f>
        <v>5.7172422457393603E-2</v>
      </c>
      <c r="O6" s="179">
        <f>IF(ISERROR(VLOOKUP($K6,'Calc-Drivers'!$B$17:$G$27,O$42,FALSE))," ",VLOOKUP($K6,'Calc-Drivers'!$B$17:$G$27,O$42,FALSE))</f>
        <v>0.23933849477997618</v>
      </c>
      <c r="P6" s="179">
        <f>IF(ISERROR(VLOOKUP($K6,'Calc-Drivers'!$B$17:$G$27,P$42,FALSE))," ",VLOOKUP($K6,'Calc-Drivers'!$B$17:$G$27,P$42,FALSE))</f>
        <v>0.21272895640239217</v>
      </c>
      <c r="Q6" s="118"/>
      <c r="R6" s="58"/>
      <c r="S6" s="114">
        <f t="shared" ref="S6:S38" si="1">IF(ISERROR($I6*L6)," ",$I6*L6)</f>
        <v>0.26199971452056986</v>
      </c>
      <c r="T6" s="114">
        <f t="shared" ref="T6:T38" si="2">IF(ISERROR($I6*M6)," ",$I6*M6)</f>
        <v>0.18539673786950103</v>
      </c>
      <c r="U6" s="114">
        <f t="shared" ref="U6:U38" si="3">IF(ISERROR($I6*N6)," ",$I6*N6)</f>
        <v>5.2120654486930484E-2</v>
      </c>
      <c r="V6" s="110">
        <f t="shared" ref="V6:W38" si="4">IF(ISERROR($I6*O6)," ",$I6*O6)</f>
        <v>0.21819049212311173</v>
      </c>
      <c r="W6" s="110">
        <f t="shared" si="4"/>
        <v>0.19393217847778155</v>
      </c>
      <c r="X6" s="60"/>
      <c r="Y6" s="54"/>
      <c r="Z6" s="59">
        <f t="shared" ref="Z6:Z38" si="5">IF($K6="Do not allocate"," ",S6+E6)</f>
        <v>26.495456156291461</v>
      </c>
      <c r="AA6" s="59">
        <f t="shared" ref="AA6:AA38" si="6">IF($K6="Do not allocate"," ",T6+F6)</f>
        <v>18.45449263375431</v>
      </c>
      <c r="AB6" s="59">
        <f t="shared" ref="AB6:AB38" si="7">IF($K6="Do not allocate"," ",U6+G6)</f>
        <v>5.2120654486930484E-2</v>
      </c>
      <c r="AC6" s="1237">
        <f t="shared" ref="AC6:AC38" si="8">IF($K6="Do not allocate"," ",($H6*O6/($O6+$P6)+V6))</f>
        <v>-18.709357344259544</v>
      </c>
      <c r="AD6" s="111">
        <f t="shared" ref="AD6:AD38" si="9">IF($K6="Do not allocate"," ",($H6*P6/($O6+$P6)+W6))</f>
        <v>-16.629260021304127</v>
      </c>
      <c r="AE6" s="60"/>
      <c r="AF6" s="60"/>
      <c r="AG6" s="61">
        <f>IF(ISERROR(Z6*100000000/'Calc-Units'!$E$21)," ",Z6*100000000/'Calc-Units'!$E$21)</f>
        <v>0.10458643677569783</v>
      </c>
      <c r="AH6" s="61">
        <f>IF(ISERROR(AA6*100000000/'Calc-Units'!$D$21)," ",AA6*100000000/'Calc-Units'!$D$21)</f>
        <v>7.6981213021414127E-2</v>
      </c>
      <c r="AI6" s="61">
        <f>IF(ISERROR(AB6*100000000/'Calc-Units'!$C$21)," ",AB6*100000000/'Calc-Units'!$C$21)</f>
        <v>3.067960143326475E-4</v>
      </c>
      <c r="AJ6" s="181">
        <f>IF(ISERROR(AC6*100000000/'Calc-Units'!$C$21)," ",AC6*100000000/'Calc-Units'!$C$21)</f>
        <v>-0.11012824609451896</v>
      </c>
      <c r="AK6" s="62"/>
      <c r="AL6" s="55">
        <v>1</v>
      </c>
      <c r="AM6" s="94">
        <f t="shared" ref="AM6:AM38" si="10">AL6*D6</f>
        <v>9.6634520789690299</v>
      </c>
      <c r="AN6" s="57">
        <f t="shared" ref="AN6:AN38" si="11">D6*(1-AL6)</f>
        <v>0</v>
      </c>
      <c r="AO6" s="56"/>
      <c r="AP6" s="56"/>
      <c r="AQ6" s="59">
        <f>IF(ISERROR(Z6*(1-$AL6))," ",Z6*(1-$AL6))</f>
        <v>0</v>
      </c>
      <c r="AR6" s="59">
        <f>IF(ISERROR(AA6*(1-$AL6))," ",AA6*(1-$AL6))</f>
        <v>0</v>
      </c>
      <c r="AS6" s="59">
        <f>IF(ISERROR(AB6*(1-$AL6))," ",AB6*(1-$AL6))</f>
        <v>0</v>
      </c>
      <c r="AT6" s="111">
        <f>IF(ISERROR(AC6*(1-$AL6))," ",AC6*(1-$AL6))</f>
        <v>0</v>
      </c>
      <c r="AU6" s="111">
        <f>IF(ISERROR(AD6*(1-$AL6))," ",AD6*(1-$AL6))</f>
        <v>0</v>
      </c>
      <c r="AV6" s="60"/>
      <c r="AW6" s="62"/>
      <c r="AX6" s="209">
        <f>IF(ISERROR(AQ6*100000000/'Calc-Units'!$E$21)," ",AQ6*100000000/'Calc-Units'!$E$21)</f>
        <v>0</v>
      </c>
      <c r="AY6" s="209">
        <f>IF(ISERROR(AR6*100000000/'Calc-Units'!$D$21)," ",AR6*100000000/'Calc-Units'!$D$21)</f>
        <v>0</v>
      </c>
      <c r="AZ6" s="209">
        <f>IF(ISERROR(AS6*100000000/'Calc-Units'!$C$21)," ",AS6*100000000/'Calc-Units'!$C$21)</f>
        <v>0</v>
      </c>
      <c r="BA6" s="210">
        <f>IF(ISERROR(AT6*100000000/'Calc-Units'!$C$21)," ",AT6*100000000/'Calc-Units'!$C$21)</f>
        <v>0</v>
      </c>
      <c r="BC6" s="65"/>
      <c r="BD6" s="54"/>
    </row>
    <row r="7" spans="1:56" s="53" customFormat="1" ht="12.75" customHeight="1">
      <c r="A7" s="2244"/>
      <c r="B7" s="2238"/>
      <c r="C7" s="91" t="s">
        <v>470</v>
      </c>
      <c r="D7" s="94">
        <f>'RRP 1.3'!E$12</f>
        <v>63.506587812839619</v>
      </c>
      <c r="E7" s="120">
        <f>SUM('RRP 2.4'!G44:G55)+'RRP 2.4'!G71+'RRP 2.4'!H71</f>
        <v>28.810162406098534</v>
      </c>
      <c r="F7" s="94">
        <f>SUM('RRP 2.4'!G38:G40)+'RRP 2.4'!F71</f>
        <v>11.157007746363259</v>
      </c>
      <c r="G7" s="94">
        <f>'RRP 2.4'!G41+'RRP 2.4'!G42+'RRP 2.4'!G43</f>
        <v>9.6851216069542616</v>
      </c>
      <c r="H7" s="94">
        <f>SUM('RRP 2.4'!G31:G37)+'RRP 2.4'!E71</f>
        <v>15.938388590066296</v>
      </c>
      <c r="I7" s="94">
        <f t="shared" si="0"/>
        <v>-2.0840925366427321</v>
      </c>
      <c r="J7" s="56"/>
      <c r="K7" s="94" t="s">
        <v>484</v>
      </c>
      <c r="L7" s="106">
        <f>IF(ISERROR(VLOOKUP($K7,'Calc-Drivers'!$B$17:$G$27,L$42,FALSE))," ",VLOOKUP($K7,'Calc-Drivers'!$B$17:$G$27,L$42,FALSE))</f>
        <v>0.28739390381298147</v>
      </c>
      <c r="M7" s="106">
        <f>IF(ISERROR(VLOOKUP($K7,'Calc-Drivers'!$B$17:$G$27,M$42,FALSE))," ",VLOOKUP($K7,'Calc-Drivers'!$B$17:$G$27,M$42,FALSE))</f>
        <v>0.20336622254725664</v>
      </c>
      <c r="N7" s="106">
        <f>IF(ISERROR(VLOOKUP($K7,'Calc-Drivers'!$B$17:$G$27,N$42,FALSE))," ",VLOOKUP($K7,'Calc-Drivers'!$B$17:$G$27,N$42,FALSE))</f>
        <v>5.7172422457393603E-2</v>
      </c>
      <c r="O7" s="106">
        <f>IF(ISERROR(VLOOKUP($K7,'Calc-Drivers'!$B$17:$G$27,O$42,FALSE))," ",VLOOKUP($K7,'Calc-Drivers'!$B$17:$G$27,O$42,FALSE))</f>
        <v>0.23933849477997618</v>
      </c>
      <c r="P7" s="106">
        <f>IF(ISERROR(VLOOKUP($K7,'Calc-Drivers'!$B$17:$G$27,P$42,FALSE))," ",VLOOKUP($K7,'Calc-Drivers'!$B$17:$G$27,P$42,FALSE))</f>
        <v>0.21272895640239217</v>
      </c>
      <c r="Q7" s="118"/>
      <c r="R7" s="58"/>
      <c r="S7" s="59">
        <f t="shared" si="1"/>
        <v>-0.59895549001325388</v>
      </c>
      <c r="T7" s="59">
        <f t="shared" si="2"/>
        <v>-0.42383402661596248</v>
      </c>
      <c r="U7" s="59">
        <f t="shared" si="3"/>
        <v>-0.11915261894523933</v>
      </c>
      <c r="V7" s="111">
        <f t="shared" si="4"/>
        <v>-0.49880357070225384</v>
      </c>
      <c r="W7" s="111">
        <f t="shared" si="4"/>
        <v>-0.44334683036602268</v>
      </c>
      <c r="X7" s="60"/>
      <c r="Y7" s="54"/>
      <c r="Z7" s="59">
        <f t="shared" si="5"/>
        <v>28.211206916085281</v>
      </c>
      <c r="AA7" s="59">
        <f t="shared" si="6"/>
        <v>10.733173719747297</v>
      </c>
      <c r="AB7" s="59">
        <f t="shared" si="7"/>
        <v>9.565968988009022</v>
      </c>
      <c r="AC7" s="111">
        <f t="shared" si="8"/>
        <v>7.9394724529036562</v>
      </c>
      <c r="AD7" s="111">
        <f t="shared" si="9"/>
        <v>7.0567657360943628</v>
      </c>
      <c r="AE7" s="60"/>
      <c r="AF7" s="60"/>
      <c r="AG7" s="61">
        <f>IF(ISERROR(Z7*100000000/'Calc-Units'!$E$21)," ",Z7*100000000/'Calc-Units'!$E$21)</f>
        <v>0.11135907949992668</v>
      </c>
      <c r="AH7" s="61">
        <f>IF(ISERROR(AA7*100000000/'Calc-Units'!$D$21)," ",AA7*100000000/'Calc-Units'!$D$21)</f>
        <v>4.4772443703190605E-2</v>
      </c>
      <c r="AI7" s="61">
        <f>IF(ISERROR(AB7*100000000/'Calc-Units'!$C$21)," ",AB7*100000000/'Calc-Units'!$C$21)</f>
        <v>5.6307833960273723E-2</v>
      </c>
      <c r="AJ7" s="181">
        <f>IF(ISERROR(AC7*100000000/'Calc-Units'!$C$21)," ",AC7*100000000/'Calc-Units'!$C$21)</f>
        <v>4.6733843395337225E-2</v>
      </c>
      <c r="AK7" s="62"/>
      <c r="AL7" s="55">
        <v>1</v>
      </c>
      <c r="AM7" s="94">
        <f t="shared" si="10"/>
        <v>63.506587812839619</v>
      </c>
      <c r="AN7" s="57">
        <f t="shared" si="11"/>
        <v>0</v>
      </c>
      <c r="AO7" s="56"/>
      <c r="AP7" s="56"/>
      <c r="AQ7" s="59">
        <f t="shared" ref="AQ7:AQ38" si="12">IF(ISERROR(Z7*(1-$AL7))," ",Z7*(1-$AL7))</f>
        <v>0</v>
      </c>
      <c r="AR7" s="59">
        <f t="shared" ref="AR7:AR38" si="13">IF(ISERROR(AA7*(1-$AL7))," ",AA7*(1-$AL7))</f>
        <v>0</v>
      </c>
      <c r="AS7" s="59">
        <f t="shared" ref="AS7:AS38" si="14">IF(ISERROR(AB7*(1-$AL7))," ",AB7*(1-$AL7))</f>
        <v>0</v>
      </c>
      <c r="AT7" s="111">
        <f t="shared" ref="AT7:AT38" si="15">IF(ISERROR(AC7*(1-$AL7))," ",AC7*(1-$AL7))</f>
        <v>0</v>
      </c>
      <c r="AU7" s="111">
        <f t="shared" ref="AU7:AU38" si="16">IF(ISERROR(AD7*(1-$AL7))," ",AD7*(1-$AL7))</f>
        <v>0</v>
      </c>
      <c r="AV7" s="60"/>
      <c r="AW7" s="62"/>
      <c r="AX7" s="61">
        <f>IF(ISERROR(AQ7*100000000/'Calc-Units'!$E$21)," ",AQ7*100000000/'Calc-Units'!$E$21)</f>
        <v>0</v>
      </c>
      <c r="AY7" s="61">
        <f>IF(ISERROR(AR7*100000000/'Calc-Units'!$D$21)," ",AR7*100000000/'Calc-Units'!$D$21)</f>
        <v>0</v>
      </c>
      <c r="AZ7" s="61">
        <f>IF(ISERROR(AS7*100000000/'Calc-Units'!$C$21)," ",AS7*100000000/'Calc-Units'!$C$21)</f>
        <v>0</v>
      </c>
      <c r="BA7" s="181">
        <f>IF(ISERROR(AT7*100000000/'Calc-Units'!$C$21)," ",AT7*100000000/'Calc-Units'!$C$21)</f>
        <v>0</v>
      </c>
      <c r="BC7" s="65"/>
      <c r="BD7" s="54"/>
    </row>
    <row r="8" spans="1:56" s="53" customFormat="1">
      <c r="A8" s="2244"/>
      <c r="B8" s="2238"/>
      <c r="C8" s="91" t="s">
        <v>471</v>
      </c>
      <c r="D8" s="94">
        <f>'RRP 1.3'!F$12</f>
        <v>4.0804256415580955</v>
      </c>
      <c r="E8" s="94">
        <v>0</v>
      </c>
      <c r="F8" s="94">
        <v>0</v>
      </c>
      <c r="G8" s="94">
        <v>0</v>
      </c>
      <c r="H8" s="94">
        <v>0</v>
      </c>
      <c r="I8" s="94">
        <f t="shared" si="0"/>
        <v>4.0804256415580955</v>
      </c>
      <c r="J8" s="56"/>
      <c r="K8" s="94" t="s">
        <v>484</v>
      </c>
      <c r="L8" s="106">
        <f>IF(ISERROR(VLOOKUP($K8,'Calc-Drivers'!$B$17:$G$27,L$42,FALSE))," ",VLOOKUP($K8,'Calc-Drivers'!$B$17:$G$27,L$42,FALSE))</f>
        <v>0.28739390381298147</v>
      </c>
      <c r="M8" s="106">
        <f>IF(ISERROR(VLOOKUP($K8,'Calc-Drivers'!$B$17:$G$27,M$42,FALSE))," ",VLOOKUP($K8,'Calc-Drivers'!$B$17:$G$27,M$42,FALSE))</f>
        <v>0.20336622254725664</v>
      </c>
      <c r="N8" s="106">
        <f>IF(ISERROR(VLOOKUP($K8,'Calc-Drivers'!$B$17:$G$27,N$42,FALSE))," ",VLOOKUP($K8,'Calc-Drivers'!$B$17:$G$27,N$42,FALSE))</f>
        <v>5.7172422457393603E-2</v>
      </c>
      <c r="O8" s="106">
        <f>IF(ISERROR(VLOOKUP($K8,'Calc-Drivers'!$B$17:$G$27,O$42,FALSE))," ",VLOOKUP($K8,'Calc-Drivers'!$B$17:$G$27,O$42,FALSE))</f>
        <v>0.23933849477997618</v>
      </c>
      <c r="P8" s="106">
        <f>IF(ISERROR(VLOOKUP($K8,'Calc-Drivers'!$B$17:$G$27,P$42,FALSE))," ",VLOOKUP($K8,'Calc-Drivers'!$B$17:$G$27,P$42,FALSE))</f>
        <v>0.21272895640239217</v>
      </c>
      <c r="Q8" s="118"/>
      <c r="R8" s="58"/>
      <c r="S8" s="59">
        <f t="shared" si="1"/>
        <v>1.1726894543459705</v>
      </c>
      <c r="T8" s="59">
        <f t="shared" si="2"/>
        <v>0.82982074910863612</v>
      </c>
      <c r="U8" s="59">
        <f t="shared" si="3"/>
        <v>0.23328781858514075</v>
      </c>
      <c r="V8" s="111">
        <f t="shared" si="4"/>
        <v>0.97660293111213314</v>
      </c>
      <c r="W8" s="111">
        <f t="shared" si="4"/>
        <v>0.86802468840621516</v>
      </c>
      <c r="X8" s="60"/>
      <c r="Y8" s="54"/>
      <c r="Z8" s="59">
        <f t="shared" si="5"/>
        <v>1.1726894543459705</v>
      </c>
      <c r="AA8" s="59">
        <f t="shared" si="6"/>
        <v>0.82982074910863612</v>
      </c>
      <c r="AB8" s="59">
        <f t="shared" si="7"/>
        <v>0.23328781858514075</v>
      </c>
      <c r="AC8" s="111">
        <f t="shared" si="8"/>
        <v>0.97660293111213314</v>
      </c>
      <c r="AD8" s="111">
        <f t="shared" si="9"/>
        <v>0.86802468840621516</v>
      </c>
      <c r="AE8" s="60"/>
      <c r="AF8" s="60"/>
      <c r="AG8" s="61">
        <f>IF(ISERROR(Z8*100000000/'Calc-Units'!$E$21)," ",Z8*100000000/'Calc-Units'!$E$21)</f>
        <v>4.6289979214175284E-3</v>
      </c>
      <c r="AH8" s="61">
        <f>IF(ISERROR(AA8*100000000/'Calc-Units'!$D$21)," ",AA8*100000000/'Calc-Units'!$D$21)</f>
        <v>3.4615206781615942E-3</v>
      </c>
      <c r="AI8" s="61">
        <f>IF(ISERROR(AB8*100000000/'Calc-Units'!$C$21)," ",AB8*100000000/'Calc-Units'!$C$21)</f>
        <v>1.3731940559615554E-3</v>
      </c>
      <c r="AJ8" s="181">
        <f>IF(ISERROR(AC8*100000000/'Calc-Units'!$C$21)," ",AC8*100000000/'Calc-Units'!$C$21)</f>
        <v>5.7485442153439236E-3</v>
      </c>
      <c r="AK8" s="62"/>
      <c r="AL8" s="55">
        <v>0.23499999999999999</v>
      </c>
      <c r="AM8" s="94">
        <f t="shared" si="10"/>
        <v>0.95890002576615241</v>
      </c>
      <c r="AN8" s="57">
        <f t="shared" si="11"/>
        <v>3.1215256157919433</v>
      </c>
      <c r="AO8" s="56"/>
      <c r="AP8" s="56"/>
      <c r="AQ8" s="59">
        <f t="shared" si="12"/>
        <v>0.89710743257466741</v>
      </c>
      <c r="AR8" s="59">
        <f t="shared" si="13"/>
        <v>0.63481287306810663</v>
      </c>
      <c r="AS8" s="59">
        <f t="shared" si="14"/>
        <v>0.17846518121763269</v>
      </c>
      <c r="AT8" s="111">
        <f t="shared" si="15"/>
        <v>0.7471012423007819</v>
      </c>
      <c r="AU8" s="111">
        <f t="shared" si="16"/>
        <v>0.66403888663075461</v>
      </c>
      <c r="AV8" s="60"/>
      <c r="AW8" s="62"/>
      <c r="AX8" s="61">
        <f>IF(ISERROR(AQ8*100000000/'Calc-Units'!$E$21)," ",AQ8*100000000/'Calc-Units'!$E$21)</f>
        <v>3.5411834098844088E-3</v>
      </c>
      <c r="AY8" s="61">
        <f>IF(ISERROR(AR8*100000000/'Calc-Units'!$D$21)," ",AR8*100000000/'Calc-Units'!$D$21)</f>
        <v>2.6480633187936195E-3</v>
      </c>
      <c r="AZ8" s="61">
        <f>IF(ISERROR(AS8*100000000/'Calc-Units'!$C$21)," ",AS8*100000000/'Calc-Units'!$C$21)</f>
        <v>1.05049345281059E-3</v>
      </c>
      <c r="BA8" s="181">
        <f>IF(ISERROR(AT8*100000000/'Calc-Units'!$C$21)," ",AT8*100000000/'Calc-Units'!$C$21)</f>
        <v>4.3976363247381018E-3</v>
      </c>
      <c r="BC8" s="65"/>
      <c r="BD8" s="54"/>
    </row>
    <row r="9" spans="1:56" s="53" customFormat="1">
      <c r="A9" s="2244"/>
      <c r="B9" s="2238"/>
      <c r="C9" s="91" t="s">
        <v>212</v>
      </c>
      <c r="D9" s="94">
        <f>'RRP 1.3'!G$12</f>
        <v>16.03439464988551</v>
      </c>
      <c r="E9" s="94">
        <f>SUM('RRP 2.3'!I20:I27)</f>
        <v>2.2577096000157435</v>
      </c>
      <c r="F9" s="94">
        <f>SUM('RRP 2.3'!I17:I18)</f>
        <v>5.0591044011164197</v>
      </c>
      <c r="G9" s="94">
        <f>SUM('RRP 2.3'!I19)</f>
        <v>0.22149422987536554</v>
      </c>
      <c r="H9" s="94">
        <f>SUM('RRP 2.3'!I11:I16)</f>
        <v>9.8778921317486237</v>
      </c>
      <c r="I9" s="94">
        <f t="shared" si="0"/>
        <v>-1.3818057128706425</v>
      </c>
      <c r="J9" s="56"/>
      <c r="K9" s="94" t="s">
        <v>484</v>
      </c>
      <c r="L9" s="106">
        <f>IF(ISERROR(VLOOKUP($K9,'Calc-Drivers'!$B$17:$G$27,L$42,FALSE))," ",VLOOKUP($K9,'Calc-Drivers'!$B$17:$G$27,L$42,FALSE))</f>
        <v>0.28739390381298147</v>
      </c>
      <c r="M9" s="106">
        <f>IF(ISERROR(VLOOKUP($K9,'Calc-Drivers'!$B$17:$G$27,M$42,FALSE))," ",VLOOKUP($K9,'Calc-Drivers'!$B$17:$G$27,M$42,FALSE))</f>
        <v>0.20336622254725664</v>
      </c>
      <c r="N9" s="106">
        <f>IF(ISERROR(VLOOKUP($K9,'Calc-Drivers'!$B$17:$G$27,N$42,FALSE))," ",VLOOKUP($K9,'Calc-Drivers'!$B$17:$G$27,N$42,FALSE))</f>
        <v>5.7172422457393603E-2</v>
      </c>
      <c r="O9" s="106">
        <f>IF(ISERROR(VLOOKUP($K9,'Calc-Drivers'!$B$17:$G$27,O$42,FALSE))," ",VLOOKUP($K9,'Calc-Drivers'!$B$17:$G$27,O$42,FALSE))</f>
        <v>0.23933849477997618</v>
      </c>
      <c r="P9" s="106">
        <f>IF(ISERROR(VLOOKUP($K9,'Calc-Drivers'!$B$17:$G$27,P$42,FALSE))," ",VLOOKUP($K9,'Calc-Drivers'!$B$17:$G$27,P$42,FALSE))</f>
        <v>0.21272895640239217</v>
      </c>
      <c r="Q9" s="118"/>
      <c r="R9" s="58"/>
      <c r="S9" s="59">
        <f t="shared" si="1"/>
        <v>-0.39712253813297371</v>
      </c>
      <c r="T9" s="59">
        <f t="shared" si="2"/>
        <v>-0.28101260812072171</v>
      </c>
      <c r="U9" s="59">
        <f t="shared" si="3"/>
        <v>-7.9001179970280291E-2</v>
      </c>
      <c r="V9" s="111">
        <f t="shared" si="4"/>
        <v>-0.33071929939683153</v>
      </c>
      <c r="W9" s="111">
        <f t="shared" si="4"/>
        <v>-0.29395008724983535</v>
      </c>
      <c r="X9" s="60"/>
      <c r="Y9" s="54"/>
      <c r="Z9" s="59">
        <f t="shared" si="5"/>
        <v>1.8605870618827698</v>
      </c>
      <c r="AA9" s="59">
        <f t="shared" si="6"/>
        <v>4.7780917929956983</v>
      </c>
      <c r="AB9" s="59">
        <f t="shared" si="7"/>
        <v>0.14249304990508527</v>
      </c>
      <c r="AC9" s="111">
        <f t="shared" si="8"/>
        <v>4.898942398715473</v>
      </c>
      <c r="AD9" s="111">
        <f t="shared" si="9"/>
        <v>4.3542803463864841</v>
      </c>
      <c r="AE9" s="60"/>
      <c r="AF9" s="60"/>
      <c r="AG9" s="61">
        <f>IF(ISERROR(Z9*100000000/'Calc-Units'!$E$21)," ",Z9*100000000/'Calc-Units'!$E$21)</f>
        <v>7.3443601033106546E-3</v>
      </c>
      <c r="AH9" s="61">
        <f>IF(ISERROR(AA9*100000000/'Calc-Units'!$D$21)," ",AA9*100000000/'Calc-Units'!$D$21)</f>
        <v>1.993136898706729E-2</v>
      </c>
      <c r="AI9" s="61">
        <f>IF(ISERROR(AB9*100000000/'Calc-Units'!$C$21)," ",AB9*100000000/'Calc-Units'!$C$21)</f>
        <v>8.3875193455111498E-4</v>
      </c>
      <c r="AJ9" s="181">
        <f>IF(ISERROR(AC9*100000000/'Calc-Units'!$C$21)," ",AC9*100000000/'Calc-Units'!$C$21)</f>
        <v>2.8836476002963574E-2</v>
      </c>
      <c r="AK9" s="62"/>
      <c r="AL9" s="55">
        <v>0.23499999999999999</v>
      </c>
      <c r="AM9" s="94">
        <f t="shared" si="10"/>
        <v>3.7680827427230947</v>
      </c>
      <c r="AN9" s="57">
        <f t="shared" si="11"/>
        <v>12.266311907162414</v>
      </c>
      <c r="AO9" s="56"/>
      <c r="AP9" s="56"/>
      <c r="AQ9" s="59">
        <f t="shared" si="12"/>
        <v>1.4233491023403189</v>
      </c>
      <c r="AR9" s="59">
        <f t="shared" si="13"/>
        <v>3.6552402216417095</v>
      </c>
      <c r="AS9" s="59">
        <f t="shared" si="14"/>
        <v>0.10900718317739023</v>
      </c>
      <c r="AT9" s="111">
        <f t="shared" si="15"/>
        <v>3.7476909350173369</v>
      </c>
      <c r="AU9" s="111">
        <f t="shared" si="16"/>
        <v>3.3310244649856604</v>
      </c>
      <c r="AV9" s="60"/>
      <c r="AW9" s="62"/>
      <c r="AX9" s="61">
        <f>IF(ISERROR(AQ9*100000000/'Calc-Units'!$E$21)," ",AQ9*100000000/'Calc-Units'!$E$21)</f>
        <v>5.618435479032651E-3</v>
      </c>
      <c r="AY9" s="61">
        <f>IF(ISERROR(AR9*100000000/'Calc-Units'!$D$21)," ",AR9*100000000/'Calc-Units'!$D$21)</f>
        <v>1.5247497275106478E-2</v>
      </c>
      <c r="AZ9" s="61">
        <f>IF(ISERROR(AS9*100000000/'Calc-Units'!$C$21)," ",AS9*100000000/'Calc-Units'!$C$21)</f>
        <v>6.4164522993160299E-4</v>
      </c>
      <c r="BA9" s="181">
        <f>IF(ISERROR(AT9*100000000/'Calc-Units'!$C$21)," ",AT9*100000000/'Calc-Units'!$C$21)</f>
        <v>2.2059904142267134E-2</v>
      </c>
      <c r="BC9" s="65"/>
      <c r="BD9" s="54"/>
    </row>
    <row r="10" spans="1:56" s="53" customFormat="1">
      <c r="A10" s="2244"/>
      <c r="B10" s="2238"/>
      <c r="C10" s="91" t="s">
        <v>358</v>
      </c>
      <c r="D10" s="94">
        <f>'RRP 1.3'!H$12</f>
        <v>4.7429879453085206</v>
      </c>
      <c r="E10" s="94">
        <f>SUM('RRP 2.3'!G20:G27)</f>
        <v>2.019581686503984</v>
      </c>
      <c r="F10" s="94">
        <f>SUM('RRP 2.3'!G17:G18)</f>
        <v>0.21262101097095401</v>
      </c>
      <c r="G10" s="120">
        <f>SUM('RRP 2.3'!G19)</f>
        <v>2.9180128049356981</v>
      </c>
      <c r="H10" s="94">
        <f>SUM('RRP 2.3'!G11:G16)</f>
        <v>0.95653180648450564</v>
      </c>
      <c r="I10" s="94">
        <f t="shared" si="0"/>
        <v>-1.363759363586621</v>
      </c>
      <c r="J10" s="56"/>
      <c r="K10" s="96" t="s">
        <v>484</v>
      </c>
      <c r="L10" s="106">
        <f>IF(ISERROR(VLOOKUP($K10,'Calc-Drivers'!$B$17:$G$27,L$42,FALSE))," ",VLOOKUP($K10,'Calc-Drivers'!$B$17:$G$27,L$42,FALSE))</f>
        <v>0.28739390381298147</v>
      </c>
      <c r="M10" s="106">
        <f>IF(ISERROR(VLOOKUP($K10,'Calc-Drivers'!$B$17:$G$27,M$42,FALSE))," ",VLOOKUP($K10,'Calc-Drivers'!$B$17:$G$27,M$42,FALSE))</f>
        <v>0.20336622254725664</v>
      </c>
      <c r="N10" s="106">
        <f>IF(ISERROR(VLOOKUP($K10,'Calc-Drivers'!$B$17:$G$27,N$42,FALSE))," ",VLOOKUP($K10,'Calc-Drivers'!$B$17:$G$27,N$42,FALSE))</f>
        <v>5.7172422457393603E-2</v>
      </c>
      <c r="O10" s="106">
        <f>IF(ISERROR(VLOOKUP($K10,'Calc-Drivers'!$B$17:$G$27,O$42,FALSE))," ",VLOOKUP($K10,'Calc-Drivers'!$B$17:$G$27,O$42,FALSE))</f>
        <v>0.23933849477997618</v>
      </c>
      <c r="P10" s="106">
        <f>IF(ISERROR(VLOOKUP($K10,'Calc-Drivers'!$B$17:$G$27,P$42,FALSE))," ",VLOOKUP($K10,'Calc-Drivers'!$B$17:$G$27,P$42,FALSE))</f>
        <v>0.21272895640239217</v>
      </c>
      <c r="Q10" s="118"/>
      <c r="R10" s="58"/>
      <c r="S10" s="59">
        <f t="shared" si="1"/>
        <v>-0.39193612736266614</v>
      </c>
      <c r="T10" s="59">
        <f t="shared" si="2"/>
        <v>-0.27734259023606184</v>
      </c>
      <c r="U10" s="59">
        <f t="shared" si="3"/>
        <v>-7.7969426465200539E-2</v>
      </c>
      <c r="V10" s="111">
        <f t="shared" si="4"/>
        <v>-0.32640011332292013</v>
      </c>
      <c r="W10" s="111">
        <f t="shared" si="4"/>
        <v>-0.29011110619977237</v>
      </c>
      <c r="X10" s="60"/>
      <c r="Y10" s="54"/>
      <c r="Z10" s="59">
        <f t="shared" si="5"/>
        <v>1.6276455591413179</v>
      </c>
      <c r="AA10" s="59">
        <f t="shared" si="6"/>
        <v>-6.4721579265107826E-2</v>
      </c>
      <c r="AB10" s="59">
        <f t="shared" si="7"/>
        <v>2.8400433784704977</v>
      </c>
      <c r="AC10" s="111">
        <f t="shared" si="8"/>
        <v>0.1800174183405539</v>
      </c>
      <c r="AD10" s="111">
        <f t="shared" si="9"/>
        <v>0.16000316862125924</v>
      </c>
      <c r="AE10" s="60"/>
      <c r="AF10" s="60"/>
      <c r="AG10" s="61">
        <f>IF(ISERROR(Z10*100000000/'Calc-Units'!$E$21)," ",Z10*100000000/'Calc-Units'!$E$21)</f>
        <v>6.4248619974771413E-3</v>
      </c>
      <c r="AH10" s="61">
        <f>IF(ISERROR(AA10*100000000/'Calc-Units'!$D$21)," ",AA10*100000000/'Calc-Units'!$D$21)</f>
        <v>-2.6998009532793187E-4</v>
      </c>
      <c r="AI10" s="61">
        <f>IF(ISERROR(AB10*100000000/'Calc-Units'!$C$21)," ",AB10*100000000/'Calc-Units'!$C$21)</f>
        <v>1.6717249574543652E-2</v>
      </c>
      <c r="AJ10" s="181">
        <f>IF(ISERROR(AC10*100000000/'Calc-Units'!$C$21)," ",AC10*100000000/'Calc-Units'!$C$21)</f>
        <v>1.0596303327538535E-3</v>
      </c>
      <c r="AK10" s="62"/>
      <c r="AL10" s="55">
        <v>0.23499999999999999</v>
      </c>
      <c r="AM10" s="94">
        <f t="shared" si="10"/>
        <v>1.1146021671475024</v>
      </c>
      <c r="AN10" s="57">
        <f t="shared" si="11"/>
        <v>3.6283857781610185</v>
      </c>
      <c r="AO10" s="56"/>
      <c r="AP10" s="56"/>
      <c r="AQ10" s="115">
        <f t="shared" si="12"/>
        <v>1.2451488527431083</v>
      </c>
      <c r="AR10" s="115">
        <f t="shared" si="13"/>
        <v>-4.9512008137807491E-2</v>
      </c>
      <c r="AS10" s="115">
        <f t="shared" si="14"/>
        <v>2.1726331845299307</v>
      </c>
      <c r="AT10" s="112">
        <f t="shared" si="15"/>
        <v>0.13771332503052375</v>
      </c>
      <c r="AU10" s="112">
        <f t="shared" si="16"/>
        <v>0.12240242399526333</v>
      </c>
      <c r="AV10" s="60"/>
      <c r="AW10" s="62"/>
      <c r="AX10" s="182">
        <f>IF(ISERROR(AQ10*100000000/'Calc-Units'!$E$21)," ",AQ10*100000000/'Calc-Units'!$E$21)</f>
        <v>4.9150194280700131E-3</v>
      </c>
      <c r="AY10" s="182">
        <f>IF(ISERROR(AR10*100000000/'Calc-Units'!$D$21)," ",AR10*100000000/'Calc-Units'!$D$21)</f>
        <v>-2.0653477292586789E-4</v>
      </c>
      <c r="AZ10" s="182">
        <f>IF(ISERROR(AS10*100000000/'Calc-Units'!$C$21)," ",AS10*100000000/'Calc-Units'!$C$21)</f>
        <v>1.2788695924525894E-2</v>
      </c>
      <c r="BA10" s="183">
        <f>IF(ISERROR(AT10*100000000/'Calc-Units'!$C$21)," ",AT10*100000000/'Calc-Units'!$C$21)</f>
        <v>8.1061720455669799E-4</v>
      </c>
      <c r="BC10" s="65"/>
      <c r="BD10" s="54"/>
    </row>
    <row r="11" spans="1:56" s="53" customFormat="1" ht="16.5" customHeight="1">
      <c r="A11" s="2245"/>
      <c r="B11" s="2239"/>
      <c r="C11" s="178" t="s">
        <v>214</v>
      </c>
      <c r="D11" s="104">
        <f>'RRP 1.3'!I$12</f>
        <v>1.6368881011594891</v>
      </c>
      <c r="E11" s="104">
        <f>'RRP 2.3'!G46+'RRP 2.3'!G47</f>
        <v>0.43214456645690369</v>
      </c>
      <c r="F11" s="104">
        <f>'RRP 2.3'!G45</f>
        <v>0.63796925816372496</v>
      </c>
      <c r="G11" s="105">
        <v>0</v>
      </c>
      <c r="H11" s="104">
        <f>'RRP 2.3'!G44</f>
        <v>0.65887043882025875</v>
      </c>
      <c r="I11" s="104">
        <f t="shared" si="0"/>
        <v>-9.2096162281398275E-2</v>
      </c>
      <c r="J11" s="56"/>
      <c r="K11" s="113" t="s">
        <v>484</v>
      </c>
      <c r="L11" s="180">
        <f>IF(ISERROR(VLOOKUP($K11,'Calc-Drivers'!$B$17:$G$27,L$42,FALSE))," ",VLOOKUP($K11,'Calc-Drivers'!$B$17:$G$27,L$42,FALSE))</f>
        <v>0.28739390381298147</v>
      </c>
      <c r="M11" s="180">
        <f>IF(ISERROR(VLOOKUP($K11,'Calc-Drivers'!$B$17:$G$27,M$42,FALSE))," ",VLOOKUP($K11,'Calc-Drivers'!$B$17:$G$27,M$42,FALSE))</f>
        <v>0.20336622254725664</v>
      </c>
      <c r="N11" s="180">
        <f>IF(ISERROR(VLOOKUP($K11,'Calc-Drivers'!$B$17:$G$27,N$42,FALSE))," ",VLOOKUP($K11,'Calc-Drivers'!$B$17:$G$27,N$42,FALSE))</f>
        <v>5.7172422457393603E-2</v>
      </c>
      <c r="O11" s="180">
        <f>IF(ISERROR(VLOOKUP($K11,'Calc-Drivers'!$B$17:$G$27,O$42,FALSE))," ",VLOOKUP($K11,'Calc-Drivers'!$B$17:$G$27,O$42,FALSE))</f>
        <v>0.23933849477997618</v>
      </c>
      <c r="P11" s="180">
        <f>IF(ISERROR(VLOOKUP($K11,'Calc-Drivers'!$B$17:$G$27,P$42,FALSE))," ",VLOOKUP($K11,'Calc-Drivers'!$B$17:$G$27,P$42,FALSE))</f>
        <v>0.21272895640239217</v>
      </c>
      <c r="Q11" s="118"/>
      <c r="R11" s="58"/>
      <c r="S11" s="115">
        <f t="shared" si="1"/>
        <v>-2.6467875604244906E-2</v>
      </c>
      <c r="T11" s="115">
        <f t="shared" si="2"/>
        <v>-1.8729248634267105E-2</v>
      </c>
      <c r="U11" s="115">
        <f t="shared" si="3"/>
        <v>-5.2653606966567802E-3</v>
      </c>
      <c r="V11" s="112">
        <f t="shared" si="4"/>
        <v>-2.204215685544228E-2</v>
      </c>
      <c r="W11" s="112">
        <f t="shared" si="4"/>
        <v>-1.9591520490787207E-2</v>
      </c>
      <c r="X11" s="60"/>
      <c r="Y11" s="54"/>
      <c r="Z11" s="115">
        <f t="shared" si="5"/>
        <v>0.40567669085265878</v>
      </c>
      <c r="AA11" s="115">
        <f t="shared" si="6"/>
        <v>0.6192400095294579</v>
      </c>
      <c r="AB11" s="115">
        <f t="shared" si="7"/>
        <v>-5.2653606966567802E-3</v>
      </c>
      <c r="AC11" s="112">
        <f t="shared" si="8"/>
        <v>0.32678423767887299</v>
      </c>
      <c r="AD11" s="112">
        <f t="shared" si="9"/>
        <v>0.29045252379515629</v>
      </c>
      <c r="AE11" s="60"/>
      <c r="AF11" s="60"/>
      <c r="AG11" s="182">
        <f>IF(ISERROR(Z11*100000000/'Calc-Units'!$E$21)," ",Z11*100000000/'Calc-Units'!$E$21)</f>
        <v>1.6013417292746299E-3</v>
      </c>
      <c r="AH11" s="182">
        <f>IF(ISERROR(AA11*100000000/'Calc-Units'!$D$21)," ",AA11*100000000/'Calc-Units'!$D$21)</f>
        <v>2.5831025556226276E-3</v>
      </c>
      <c r="AI11" s="182">
        <f>IF(ISERROR(AB11*100000000/'Calc-Units'!$C$21)," ",AB11*100000000/'Calc-Units'!$C$21)</f>
        <v>-3.0993311416746306E-5</v>
      </c>
      <c r="AJ11" s="183">
        <f>IF(ISERROR(AC11*100000000/'Calc-Units'!$C$21)," ",AC11*100000000/'Calc-Units'!$C$21)</f>
        <v>1.9235388092018399E-3</v>
      </c>
      <c r="AK11" s="62"/>
      <c r="AL11" s="184">
        <v>0.23499999999999999</v>
      </c>
      <c r="AM11" s="104">
        <f t="shared" si="10"/>
        <v>0.38466870377247991</v>
      </c>
      <c r="AN11" s="185">
        <f t="shared" si="11"/>
        <v>1.2522193973870093</v>
      </c>
      <c r="AO11" s="56"/>
      <c r="AP11" s="56"/>
      <c r="AQ11" s="114">
        <f t="shared" si="12"/>
        <v>0.31034266850228398</v>
      </c>
      <c r="AR11" s="114">
        <f t="shared" si="13"/>
        <v>0.47371860729003529</v>
      </c>
      <c r="AS11" s="114">
        <f t="shared" si="14"/>
        <v>-4.0280009329424372E-3</v>
      </c>
      <c r="AT11" s="110">
        <f t="shared" si="15"/>
        <v>0.24998994182433784</v>
      </c>
      <c r="AU11" s="110">
        <f t="shared" si="16"/>
        <v>0.22219618070329455</v>
      </c>
      <c r="AV11" s="60"/>
      <c r="AW11" s="62"/>
      <c r="AX11" s="209">
        <f>IF(ISERROR(AQ11*100000000/'Calc-Units'!$E$21)," ",AQ11*100000000/'Calc-Units'!$E$21)</f>
        <v>1.2250264228950921E-3</v>
      </c>
      <c r="AY11" s="209">
        <f>IF(ISERROR(AR11*100000000/'Calc-Units'!$D$21)," ",AR11*100000000/'Calc-Units'!$D$21)</f>
        <v>1.9760734550513101E-3</v>
      </c>
      <c r="AZ11" s="209">
        <f>IF(ISERROR(AS11*100000000/'Calc-Units'!$C$21)," ",AS11*100000000/'Calc-Units'!$C$21)</f>
        <v>-2.3709883233810931E-5</v>
      </c>
      <c r="BA11" s="210">
        <f>IF(ISERROR(AT11*100000000/'Calc-Units'!$C$21)," ",AT11*100000000/'Calc-Units'!$C$21)</f>
        <v>1.4715071890394075E-3</v>
      </c>
      <c r="BC11" s="65"/>
      <c r="BD11" s="54"/>
    </row>
    <row r="12" spans="1:56" s="68" customFormat="1" ht="12.75" customHeight="1">
      <c r="A12" s="69"/>
      <c r="B12" s="2240" t="s">
        <v>71</v>
      </c>
      <c r="C12" s="92" t="s">
        <v>59</v>
      </c>
      <c r="D12" s="96">
        <f>'RRP 1.3'!J$12</f>
        <v>0.79877823527135439</v>
      </c>
      <c r="E12" s="96">
        <v>0</v>
      </c>
      <c r="F12" s="96">
        <v>0</v>
      </c>
      <c r="G12" s="96">
        <v>0</v>
      </c>
      <c r="H12" s="96">
        <v>0</v>
      </c>
      <c r="I12" s="96">
        <f t="shared" si="0"/>
        <v>0.79877823527135439</v>
      </c>
      <c r="J12" s="64"/>
      <c r="K12" s="96" t="s">
        <v>484</v>
      </c>
      <c r="L12" s="106">
        <f>IF(ISERROR(VLOOKUP($K12,'Calc-Drivers'!$B$17:$G$27,L$42,FALSE))," ",VLOOKUP($K12,'Calc-Drivers'!$B$17:$G$27,L$42,FALSE))</f>
        <v>0.28739390381298147</v>
      </c>
      <c r="M12" s="106">
        <f>IF(ISERROR(VLOOKUP($K12,'Calc-Drivers'!$B$17:$G$27,M$42,FALSE))," ",VLOOKUP($K12,'Calc-Drivers'!$B$17:$G$27,M$42,FALSE))</f>
        <v>0.20336622254725664</v>
      </c>
      <c r="N12" s="106">
        <f>IF(ISERROR(VLOOKUP($K12,'Calc-Drivers'!$B$17:$G$27,N$42,FALSE))," ",VLOOKUP($K12,'Calc-Drivers'!$B$17:$G$27,N$42,FALSE))</f>
        <v>5.7172422457393603E-2</v>
      </c>
      <c r="O12" s="106">
        <f>IF(ISERROR(VLOOKUP($K12,'Calc-Drivers'!$B$17:$G$27,O$42,FALSE))," ",VLOOKUP($K12,'Calc-Drivers'!$B$17:$G$27,O$42,FALSE))</f>
        <v>0.23933849477997618</v>
      </c>
      <c r="P12" s="106">
        <f>IF(ISERROR(VLOOKUP($K12,'Calc-Drivers'!$B$17:$G$27,P$42,FALSE))," ",VLOOKUP($K12,'Calc-Drivers'!$B$17:$G$27,P$42,FALSE))</f>
        <v>0.21272895640239217</v>
      </c>
      <c r="Q12" s="118"/>
      <c r="R12" s="58"/>
      <c r="S12" s="59">
        <f t="shared" si="1"/>
        <v>0.22956399531547869</v>
      </c>
      <c r="T12" s="59">
        <f t="shared" si="2"/>
        <v>0.16244451236009919</v>
      </c>
      <c r="U12" s="59">
        <f t="shared" si="3"/>
        <v>4.5668086716705213E-2</v>
      </c>
      <c r="V12" s="111">
        <f t="shared" si="4"/>
        <v>0.19117838049285163</v>
      </c>
      <c r="W12" s="111">
        <f t="shared" si="4"/>
        <v>0.16992326038621972</v>
      </c>
      <c r="X12" s="60"/>
      <c r="Y12" s="65"/>
      <c r="Z12" s="114">
        <f t="shared" si="5"/>
        <v>0.22956399531547869</v>
      </c>
      <c r="AA12" s="114">
        <f t="shared" si="6"/>
        <v>0.16244451236009919</v>
      </c>
      <c r="AB12" s="114">
        <f t="shared" si="7"/>
        <v>4.5668086716705213E-2</v>
      </c>
      <c r="AC12" s="110">
        <f t="shared" si="8"/>
        <v>0.19117838049285163</v>
      </c>
      <c r="AD12" s="110">
        <f t="shared" si="9"/>
        <v>0.16992326038621972</v>
      </c>
      <c r="AE12" s="60"/>
      <c r="AF12" s="66"/>
      <c r="AG12" s="209">
        <f>IF(ISERROR(Z12*100000000/'Calc-Units'!$E$21)," ",Z12*100000000/'Calc-Units'!$E$21)</f>
        <v>9.0616595315109517E-4</v>
      </c>
      <c r="AH12" s="209">
        <f>IF(ISERROR(AA12*100000000/'Calc-Units'!$D$21)," ",AA12*100000000/'Calc-Units'!$D$21)</f>
        <v>6.7762229275704182E-4</v>
      </c>
      <c r="AI12" s="209">
        <f>IF(ISERROR(AB12*100000000/'Calc-Units'!$C$21)," ",AB12*100000000/'Calc-Units'!$C$21)</f>
        <v>2.6881448678654172E-4</v>
      </c>
      <c r="AJ12" s="210">
        <f>IF(ISERROR(AC12*100000000/'Calc-Units'!$C$21)," ",AC12*100000000/'Calc-Units'!$C$21)</f>
        <v>1.1253267200718809E-3</v>
      </c>
      <c r="AK12" s="67"/>
      <c r="AL12" s="211">
        <v>0.52569999999999995</v>
      </c>
      <c r="AM12" s="95">
        <f t="shared" si="10"/>
        <v>0.41991771828215096</v>
      </c>
      <c r="AN12" s="206">
        <f t="shared" si="11"/>
        <v>0.37886051698920342</v>
      </c>
      <c r="AO12" s="56"/>
      <c r="AP12" s="56"/>
      <c r="AQ12" s="59">
        <f t="shared" si="12"/>
        <v>0.10888220297813156</v>
      </c>
      <c r="AR12" s="59">
        <f t="shared" si="13"/>
        <v>7.7047432212395059E-2</v>
      </c>
      <c r="AS12" s="59">
        <f t="shared" si="14"/>
        <v>2.1660373529733285E-2</v>
      </c>
      <c r="AT12" s="111">
        <f t="shared" si="15"/>
        <v>9.0675905867759532E-2</v>
      </c>
      <c r="AU12" s="111">
        <f t="shared" si="16"/>
        <v>8.0594602401184018E-2</v>
      </c>
      <c r="AV12" s="60"/>
      <c r="AW12" s="67"/>
      <c r="AX12" s="61">
        <f>IF(ISERROR(AQ12*100000000/'Calc-Units'!$E$21)," ",AQ12*100000000/'Calc-Units'!$E$21)</f>
        <v>4.2979451157956452E-4</v>
      </c>
      <c r="AY12" s="61">
        <f>IF(ISERROR(AR12*100000000/'Calc-Units'!$D$21)," ",AR12*100000000/'Calc-Units'!$D$21)</f>
        <v>3.2139625345466502E-4</v>
      </c>
      <c r="AZ12" s="61">
        <f>IF(ISERROR(AS12*100000000/'Calc-Units'!$C$21)," ",AS12*100000000/'Calc-Units'!$C$21)</f>
        <v>1.2749871108285675E-4</v>
      </c>
      <c r="BA12" s="181">
        <f>IF(ISERROR(AT12*100000000/'Calc-Units'!$C$21)," ",AT12*100000000/'Calc-Units'!$C$21)</f>
        <v>5.3374246333009307E-4</v>
      </c>
      <c r="BC12" s="65"/>
      <c r="BD12" s="65"/>
    </row>
    <row r="13" spans="1:56" s="68" customFormat="1">
      <c r="A13" s="69"/>
      <c r="B13" s="2241"/>
      <c r="C13" s="92" t="s">
        <v>60</v>
      </c>
      <c r="D13" s="96">
        <f>'RRP 1.3'!K$12</f>
        <v>8.50892620520073</v>
      </c>
      <c r="E13" s="96">
        <v>0</v>
      </c>
      <c r="F13" s="96">
        <v>0</v>
      </c>
      <c r="G13" s="96">
        <v>0</v>
      </c>
      <c r="H13" s="96">
        <v>0</v>
      </c>
      <c r="I13" s="96">
        <f t="shared" si="0"/>
        <v>8.50892620520073</v>
      </c>
      <c r="J13" s="64"/>
      <c r="K13" s="96" t="s">
        <v>484</v>
      </c>
      <c r="L13" s="106">
        <f>IF(ISERROR(VLOOKUP($K13,'Calc-Drivers'!$B$17:$G$27,L$42,FALSE))," ",VLOOKUP($K13,'Calc-Drivers'!$B$17:$G$27,L$42,FALSE))</f>
        <v>0.28739390381298147</v>
      </c>
      <c r="M13" s="106">
        <f>IF(ISERROR(VLOOKUP($K13,'Calc-Drivers'!$B$17:$G$27,M$42,FALSE))," ",VLOOKUP($K13,'Calc-Drivers'!$B$17:$G$27,M$42,FALSE))</f>
        <v>0.20336622254725664</v>
      </c>
      <c r="N13" s="106">
        <f>IF(ISERROR(VLOOKUP($K13,'Calc-Drivers'!$B$17:$G$27,N$42,FALSE))," ",VLOOKUP($K13,'Calc-Drivers'!$B$17:$G$27,N$42,FALSE))</f>
        <v>5.7172422457393603E-2</v>
      </c>
      <c r="O13" s="106">
        <f>IF(ISERROR(VLOOKUP($K13,'Calc-Drivers'!$B$17:$G$27,O$42,FALSE))," ",VLOOKUP($K13,'Calc-Drivers'!$B$17:$G$27,O$42,FALSE))</f>
        <v>0.23933849477997618</v>
      </c>
      <c r="P13" s="106">
        <f>IF(ISERROR(VLOOKUP($K13,'Calc-Drivers'!$B$17:$G$27,P$42,FALSE))," ",VLOOKUP($K13,'Calc-Drivers'!$B$17:$G$27,P$42,FALSE))</f>
        <v>0.21272895640239217</v>
      </c>
      <c r="Q13" s="118"/>
      <c r="R13" s="58"/>
      <c r="S13" s="59">
        <f t="shared" si="1"/>
        <v>2.4454135193692159</v>
      </c>
      <c r="T13" s="59">
        <f t="shared" si="2"/>
        <v>1.7304281802850356</v>
      </c>
      <c r="U13" s="59">
        <f t="shared" si="3"/>
        <v>0.48647592366252312</v>
      </c>
      <c r="V13" s="111">
        <f t="shared" si="4"/>
        <v>2.0365135901466376</v>
      </c>
      <c r="W13" s="111">
        <f t="shared" si="4"/>
        <v>1.8100949917373184</v>
      </c>
      <c r="X13" s="60"/>
      <c r="Y13" s="65"/>
      <c r="Z13" s="59">
        <f t="shared" si="5"/>
        <v>2.4454135193692159</v>
      </c>
      <c r="AA13" s="59">
        <f t="shared" si="6"/>
        <v>1.7304281802850356</v>
      </c>
      <c r="AB13" s="59">
        <f t="shared" si="7"/>
        <v>0.48647592366252312</v>
      </c>
      <c r="AC13" s="111">
        <f t="shared" si="8"/>
        <v>2.0365135901466376</v>
      </c>
      <c r="AD13" s="111">
        <f t="shared" si="9"/>
        <v>1.8100949917373184</v>
      </c>
      <c r="AE13" s="60"/>
      <c r="AF13" s="66"/>
      <c r="AG13" s="61">
        <f>IF(ISERROR(Z13*100000000/'Calc-Units'!$E$21)," ",Z13*100000000/'Calc-Units'!$E$21)</f>
        <v>9.6528659452128195E-3</v>
      </c>
      <c r="AH13" s="61">
        <f>IF(ISERROR(AA13*100000000/'Calc-Units'!$D$21)," ",AA13*100000000/'Calc-Units'!$D$21)</f>
        <v>7.2183214682982333E-3</v>
      </c>
      <c r="AI13" s="61">
        <f>IF(ISERROR(AB13*100000000/'Calc-Units'!$C$21)," ",AB13*100000000/'Calc-Units'!$C$21)</f>
        <v>2.8635264832654831E-3</v>
      </c>
      <c r="AJ13" s="181">
        <f>IF(ISERROR(AC13*100000000/'Calc-Units'!$C$21)," ",AC13*100000000/'Calc-Units'!$C$21)</f>
        <v>1.1987459841816251E-2</v>
      </c>
      <c r="AK13" s="67"/>
      <c r="AL13" s="63">
        <v>0.52569999999999995</v>
      </c>
      <c r="AM13" s="94">
        <f t="shared" si="10"/>
        <v>4.4731425060740229</v>
      </c>
      <c r="AN13" s="57">
        <f t="shared" si="11"/>
        <v>4.0357836991267071</v>
      </c>
      <c r="AO13" s="56"/>
      <c r="AP13" s="56"/>
      <c r="AQ13" s="59">
        <f t="shared" si="12"/>
        <v>1.1598596322368193</v>
      </c>
      <c r="AR13" s="59">
        <f t="shared" si="13"/>
        <v>0.82074208590919251</v>
      </c>
      <c r="AS13" s="59">
        <f t="shared" si="14"/>
        <v>0.23073553059313476</v>
      </c>
      <c r="AT13" s="111">
        <f t="shared" si="15"/>
        <v>0.96591839580655037</v>
      </c>
      <c r="AU13" s="111">
        <f t="shared" si="16"/>
        <v>0.85852805458101022</v>
      </c>
      <c r="AV13" s="60"/>
      <c r="AW13" s="67"/>
      <c r="AX13" s="61">
        <f>IF(ISERROR(AQ13*100000000/'Calc-Units'!$E$21)," ",AQ13*100000000/'Calc-Units'!$E$21)</f>
        <v>4.5783543178144412E-3</v>
      </c>
      <c r="AY13" s="61">
        <f>IF(ISERROR(AR13*100000000/'Calc-Units'!$D$21)," ",AR13*100000000/'Calc-Units'!$D$21)</f>
        <v>3.4236498724138525E-3</v>
      </c>
      <c r="AZ13" s="61">
        <f>IF(ISERROR(AS13*100000000/'Calc-Units'!$C$21)," ",AS13*100000000/'Calc-Units'!$C$21)</f>
        <v>1.3581706110128188E-3</v>
      </c>
      <c r="BA13" s="181">
        <f>IF(ISERROR(AT13*100000000/'Calc-Units'!$C$21)," ",AT13*100000000/'Calc-Units'!$C$21)</f>
        <v>5.6856522029734491E-3</v>
      </c>
      <c r="BC13" s="65"/>
      <c r="BD13" s="65"/>
    </row>
    <row r="14" spans="1:56" s="68" customFormat="1">
      <c r="A14" s="69"/>
      <c r="B14" s="2241"/>
      <c r="C14" s="92" t="s">
        <v>61</v>
      </c>
      <c r="D14" s="96">
        <f>'RRP 1.3'!L$12</f>
        <v>3.864575487820221</v>
      </c>
      <c r="E14" s="96">
        <v>0</v>
      </c>
      <c r="F14" s="96">
        <v>0</v>
      </c>
      <c r="G14" s="96">
        <v>0</v>
      </c>
      <c r="H14" s="96">
        <v>0</v>
      </c>
      <c r="I14" s="96">
        <f t="shared" si="0"/>
        <v>3.864575487820221</v>
      </c>
      <c r="J14" s="64"/>
      <c r="K14" s="96" t="s">
        <v>484</v>
      </c>
      <c r="L14" s="106">
        <f>IF(ISERROR(VLOOKUP($K14,'Calc-Drivers'!$B$17:$G$27,L$42,FALSE))," ",VLOOKUP($K14,'Calc-Drivers'!$B$17:$G$27,L$42,FALSE))</f>
        <v>0.28739390381298147</v>
      </c>
      <c r="M14" s="106">
        <f>IF(ISERROR(VLOOKUP($K14,'Calc-Drivers'!$B$17:$G$27,M$42,FALSE))," ",VLOOKUP($K14,'Calc-Drivers'!$B$17:$G$27,M$42,FALSE))</f>
        <v>0.20336622254725664</v>
      </c>
      <c r="N14" s="106">
        <f>IF(ISERROR(VLOOKUP($K14,'Calc-Drivers'!$B$17:$G$27,N$42,FALSE))," ",VLOOKUP($K14,'Calc-Drivers'!$B$17:$G$27,N$42,FALSE))</f>
        <v>5.7172422457393603E-2</v>
      </c>
      <c r="O14" s="106">
        <f>IF(ISERROR(VLOOKUP($K14,'Calc-Drivers'!$B$17:$G$27,O$42,FALSE))," ",VLOOKUP($K14,'Calc-Drivers'!$B$17:$G$27,O$42,FALSE))</f>
        <v>0.23933849477997618</v>
      </c>
      <c r="P14" s="106">
        <f>IF(ISERROR(VLOOKUP($K14,'Calc-Drivers'!$B$17:$G$27,P$42,FALSE))," ",VLOOKUP($K14,'Calc-Drivers'!$B$17:$G$27,P$42,FALSE))</f>
        <v>0.21272895640239217</v>
      </c>
      <c r="Q14" s="118"/>
      <c r="R14" s="58"/>
      <c r="S14" s="59">
        <f t="shared" si="1"/>
        <v>1.1106554360246106</v>
      </c>
      <c r="T14" s="59">
        <f t="shared" si="2"/>
        <v>0.78592411870671997</v>
      </c>
      <c r="U14" s="59">
        <f t="shared" si="3"/>
        <v>0.22094714240814564</v>
      </c>
      <c r="V14" s="111">
        <f t="shared" si="4"/>
        <v>0.92494168021848389</v>
      </c>
      <c r="W14" s="111">
        <f t="shared" si="4"/>
        <v>0.82210711046226126</v>
      </c>
      <c r="X14" s="60"/>
      <c r="Y14" s="65"/>
      <c r="Z14" s="59">
        <f t="shared" si="5"/>
        <v>1.1106554360246106</v>
      </c>
      <c r="AA14" s="59">
        <f t="shared" si="6"/>
        <v>0.78592411870671997</v>
      </c>
      <c r="AB14" s="59">
        <f t="shared" si="7"/>
        <v>0.22094714240814564</v>
      </c>
      <c r="AC14" s="111">
        <f t="shared" si="8"/>
        <v>0.92494168021848389</v>
      </c>
      <c r="AD14" s="111">
        <f t="shared" si="9"/>
        <v>0.82210711046226126</v>
      </c>
      <c r="AE14" s="60"/>
      <c r="AF14" s="66"/>
      <c r="AG14" s="61">
        <f>IF(ISERROR(Z14*100000000/'Calc-Units'!$E$21)," ",Z14*100000000/'Calc-Units'!$E$21)</f>
        <v>4.384128880596398E-3</v>
      </c>
      <c r="AH14" s="61">
        <f>IF(ISERROR(AA14*100000000/'Calc-Units'!$D$21)," ",AA14*100000000/'Calc-Units'!$D$21)</f>
        <v>3.278409935267942E-3</v>
      </c>
      <c r="AI14" s="61">
        <f>IF(ISERROR(AB14*100000000/'Calc-Units'!$C$21)," ",AB14*100000000/'Calc-Units'!$C$21)</f>
        <v>1.3005535585898017E-3</v>
      </c>
      <c r="AJ14" s="181">
        <f>IF(ISERROR(AC14*100000000/'Calc-Units'!$C$21)," ",AC14*100000000/'Calc-Units'!$C$21)</f>
        <v>5.4444523725681419E-3</v>
      </c>
      <c r="AK14" s="67"/>
      <c r="AL14" s="63">
        <v>0.52569999999999995</v>
      </c>
      <c r="AM14" s="94">
        <f t="shared" si="10"/>
        <v>2.0316073339470901</v>
      </c>
      <c r="AN14" s="57">
        <f t="shared" si="11"/>
        <v>1.8329681538731311</v>
      </c>
      <c r="AO14" s="56"/>
      <c r="AP14" s="56"/>
      <c r="AQ14" s="59">
        <f t="shared" si="12"/>
        <v>0.52678387330647292</v>
      </c>
      <c r="AR14" s="59">
        <f t="shared" si="13"/>
        <v>0.3727638095025973</v>
      </c>
      <c r="AS14" s="59">
        <f t="shared" si="14"/>
        <v>0.10479522964418349</v>
      </c>
      <c r="AT14" s="111">
        <f t="shared" si="15"/>
        <v>0.43869983892762698</v>
      </c>
      <c r="AU14" s="111">
        <f t="shared" si="16"/>
        <v>0.38992540249225055</v>
      </c>
      <c r="AV14" s="60"/>
      <c r="AW14" s="67"/>
      <c r="AX14" s="61">
        <f>IF(ISERROR(AQ14*100000000/'Calc-Units'!$E$21)," ",AQ14*100000000/'Calc-Units'!$E$21)</f>
        <v>2.0793923280668721E-3</v>
      </c>
      <c r="AY14" s="61">
        <f>IF(ISERROR(AR14*100000000/'Calc-Units'!$D$21)," ",AR14*100000000/'Calc-Units'!$D$21)</f>
        <v>1.5549498322975847E-3</v>
      </c>
      <c r="AZ14" s="61">
        <f>IF(ISERROR(AS14*100000000/'Calc-Units'!$C$21)," ",AS14*100000000/'Calc-Units'!$C$21)</f>
        <v>6.1685255283914294E-4</v>
      </c>
      <c r="BA14" s="181">
        <f>IF(ISERROR(AT14*100000000/'Calc-Units'!$C$21)," ",AT14*100000000/'Calc-Units'!$C$21)</f>
        <v>2.5823037603090702E-3</v>
      </c>
      <c r="BC14" s="65"/>
      <c r="BD14" s="65"/>
    </row>
    <row r="15" spans="1:56" s="68" customFormat="1">
      <c r="A15" s="69"/>
      <c r="B15" s="2241"/>
      <c r="C15" s="92" t="s">
        <v>62</v>
      </c>
      <c r="D15" s="96">
        <f>'RRP 1.3'!M$12</f>
        <v>15.017576021327987</v>
      </c>
      <c r="E15" s="96">
        <v>0</v>
      </c>
      <c r="F15" s="96">
        <v>0</v>
      </c>
      <c r="G15" s="96">
        <v>0</v>
      </c>
      <c r="H15" s="96">
        <v>0</v>
      </c>
      <c r="I15" s="96">
        <f t="shared" si="0"/>
        <v>15.017576021327987</v>
      </c>
      <c r="J15" s="64"/>
      <c r="K15" s="96" t="s">
        <v>484</v>
      </c>
      <c r="L15" s="106">
        <f>IF(ISERROR(VLOOKUP($K15,'Calc-Drivers'!$B$17:$G$27,L$42,FALSE))," ",VLOOKUP($K15,'Calc-Drivers'!$B$17:$G$27,L$42,FALSE))</f>
        <v>0.28739390381298147</v>
      </c>
      <c r="M15" s="106">
        <f>IF(ISERROR(VLOOKUP($K15,'Calc-Drivers'!$B$17:$G$27,M$42,FALSE))," ",VLOOKUP($K15,'Calc-Drivers'!$B$17:$G$27,M$42,FALSE))</f>
        <v>0.20336622254725664</v>
      </c>
      <c r="N15" s="106">
        <f>IF(ISERROR(VLOOKUP($K15,'Calc-Drivers'!$B$17:$G$27,N$42,FALSE))," ",VLOOKUP($K15,'Calc-Drivers'!$B$17:$G$27,N$42,FALSE))</f>
        <v>5.7172422457393603E-2</v>
      </c>
      <c r="O15" s="106">
        <f>IF(ISERROR(VLOOKUP($K15,'Calc-Drivers'!$B$17:$G$27,O$42,FALSE))," ",VLOOKUP($K15,'Calc-Drivers'!$B$17:$G$27,O$42,FALSE))</f>
        <v>0.23933849477997618</v>
      </c>
      <c r="P15" s="106">
        <f>IF(ISERROR(VLOOKUP($K15,'Calc-Drivers'!$B$17:$G$27,P$42,FALSE))," ",VLOOKUP($K15,'Calc-Drivers'!$B$17:$G$27,P$42,FALSE))</f>
        <v>0.21272895640239217</v>
      </c>
      <c r="Q15" s="118"/>
      <c r="R15" s="58"/>
      <c r="S15" s="59">
        <f t="shared" si="1"/>
        <v>4.3159597985776719</v>
      </c>
      <c r="T15" s="59">
        <f t="shared" si="2"/>
        <v>3.0540677072737323</v>
      </c>
      <c r="U15" s="59">
        <f t="shared" si="3"/>
        <v>0.8585912005773878</v>
      </c>
      <c r="V15" s="111">
        <f t="shared" si="4"/>
        <v>3.5942840401885037</v>
      </c>
      <c r="W15" s="111">
        <f t="shared" si="4"/>
        <v>3.1946732747106914</v>
      </c>
      <c r="X15" s="60"/>
      <c r="Y15" s="65"/>
      <c r="Z15" s="59">
        <f t="shared" si="5"/>
        <v>4.3159597985776719</v>
      </c>
      <c r="AA15" s="59">
        <f t="shared" si="6"/>
        <v>3.0540677072737323</v>
      </c>
      <c r="AB15" s="59">
        <f t="shared" si="7"/>
        <v>0.8585912005773878</v>
      </c>
      <c r="AC15" s="111">
        <f t="shared" si="8"/>
        <v>3.5942840401885037</v>
      </c>
      <c r="AD15" s="111">
        <f t="shared" si="9"/>
        <v>3.1946732747106914</v>
      </c>
      <c r="AE15" s="60"/>
      <c r="AF15" s="66"/>
      <c r="AG15" s="61">
        <f>IF(ISERROR(Z15*100000000/'Calc-Units'!$E$21)," ",Z15*100000000/'Calc-Units'!$E$21)</f>
        <v>1.7036538413897528E-2</v>
      </c>
      <c r="AH15" s="61">
        <f>IF(ISERROR(AA15*100000000/'Calc-Units'!$D$21)," ",AA15*100000000/'Calc-Units'!$D$21)</f>
        <v>1.2739761608262217E-2</v>
      </c>
      <c r="AI15" s="61">
        <f>IF(ISERROR(AB15*100000000/'Calc-Units'!$C$21)," ",AB15*100000000/'Calc-Units'!$C$21)</f>
        <v>5.0538958282704844E-3</v>
      </c>
      <c r="AJ15" s="181">
        <f>IF(ISERROR(AC15*100000000/'Calc-Units'!$C$21)," ",AC15*100000000/'Calc-Units'!$C$21)</f>
        <v>2.1156910418033775E-2</v>
      </c>
      <c r="AK15" s="67"/>
      <c r="AL15" s="63">
        <v>0.52569999999999995</v>
      </c>
      <c r="AM15" s="94">
        <f t="shared" si="10"/>
        <v>7.8947397144121219</v>
      </c>
      <c r="AN15" s="57">
        <f t="shared" si="11"/>
        <v>7.1228363069158647</v>
      </c>
      <c r="AO15" s="56"/>
      <c r="AP15" s="56"/>
      <c r="AQ15" s="59">
        <f t="shared" si="12"/>
        <v>2.0470597324653901</v>
      </c>
      <c r="AR15" s="59">
        <f t="shared" si="13"/>
        <v>1.4485443135599314</v>
      </c>
      <c r="AS15" s="59">
        <f t="shared" si="14"/>
        <v>0.40722980643385509</v>
      </c>
      <c r="AT15" s="111">
        <f t="shared" si="15"/>
        <v>1.7047689202614076</v>
      </c>
      <c r="AU15" s="111">
        <f t="shared" si="16"/>
        <v>1.5152335341952812</v>
      </c>
      <c r="AV15" s="60"/>
      <c r="AW15" s="67"/>
      <c r="AX15" s="61">
        <f>IF(ISERROR(AQ15*100000000/'Calc-Units'!$E$21)," ",AQ15*100000000/'Calc-Units'!$E$21)</f>
        <v>8.0804301697115985E-3</v>
      </c>
      <c r="AY15" s="61">
        <f>IF(ISERROR(AR15*100000000/'Calc-Units'!$D$21)," ",AR15*100000000/'Calc-Units'!$D$21)</f>
        <v>6.0424689307987701E-3</v>
      </c>
      <c r="AZ15" s="61">
        <f>IF(ISERROR(AS15*100000000/'Calc-Units'!$C$21)," ",AS15*100000000/'Calc-Units'!$C$21)</f>
        <v>2.3970627913486912E-3</v>
      </c>
      <c r="BA15" s="181">
        <f>IF(ISERROR(AT15*100000000/'Calc-Units'!$C$21)," ",AT15*100000000/'Calc-Units'!$C$21)</f>
        <v>1.003472261127342E-2</v>
      </c>
      <c r="BC15" s="65"/>
      <c r="BD15" s="65"/>
    </row>
    <row r="16" spans="1:56" s="68" customFormat="1">
      <c r="A16" s="69"/>
      <c r="B16" s="2241"/>
      <c r="C16" s="92" t="s">
        <v>63</v>
      </c>
      <c r="D16" s="96">
        <f>'RRP 1.3'!N$12</f>
        <v>2.6231913412623666</v>
      </c>
      <c r="E16" s="96">
        <v>0</v>
      </c>
      <c r="F16" s="96">
        <v>0</v>
      </c>
      <c r="G16" s="96">
        <v>0</v>
      </c>
      <c r="H16" s="96">
        <v>0</v>
      </c>
      <c r="I16" s="96">
        <f t="shared" si="0"/>
        <v>2.6231913412623666</v>
      </c>
      <c r="J16" s="64"/>
      <c r="K16" s="96" t="s">
        <v>484</v>
      </c>
      <c r="L16" s="106">
        <f>IF(ISERROR(VLOOKUP($K16,'Calc-Drivers'!$B$17:$G$27,L$42,FALSE))," ",VLOOKUP($K16,'Calc-Drivers'!$B$17:$G$27,L$42,FALSE))</f>
        <v>0.28739390381298147</v>
      </c>
      <c r="M16" s="106">
        <f>IF(ISERROR(VLOOKUP($K16,'Calc-Drivers'!$B$17:$G$27,M$42,FALSE))," ",VLOOKUP($K16,'Calc-Drivers'!$B$17:$G$27,M$42,FALSE))</f>
        <v>0.20336622254725664</v>
      </c>
      <c r="N16" s="106">
        <f>IF(ISERROR(VLOOKUP($K16,'Calc-Drivers'!$B$17:$G$27,N$42,FALSE))," ",VLOOKUP($K16,'Calc-Drivers'!$B$17:$G$27,N$42,FALSE))</f>
        <v>5.7172422457393603E-2</v>
      </c>
      <c r="O16" s="106">
        <f>IF(ISERROR(VLOOKUP($K16,'Calc-Drivers'!$B$17:$G$27,O$42,FALSE))," ",VLOOKUP($K16,'Calc-Drivers'!$B$17:$G$27,O$42,FALSE))</f>
        <v>0.23933849477997618</v>
      </c>
      <c r="P16" s="106">
        <f>IF(ISERROR(VLOOKUP($K16,'Calc-Drivers'!$B$17:$G$27,P$42,FALSE))," ",VLOOKUP($K16,'Calc-Drivers'!$B$17:$G$27,P$42,FALSE))</f>
        <v>0.21272895640239217</v>
      </c>
      <c r="Q16" s="118"/>
      <c r="R16" s="58"/>
      <c r="S16" s="59">
        <f t="shared" si="1"/>
        <v>0.75388920001380244</v>
      </c>
      <c r="T16" s="59">
        <f t="shared" si="2"/>
        <v>0.53346851409119911</v>
      </c>
      <c r="U16" s="59">
        <f t="shared" si="3"/>
        <v>0.14997420354922897</v>
      </c>
      <c r="V16" s="111">
        <f t="shared" si="4"/>
        <v>0.62783066713760161</v>
      </c>
      <c r="W16" s="111">
        <f t="shared" si="4"/>
        <v>0.55802875647053463</v>
      </c>
      <c r="X16" s="60"/>
      <c r="Y16" s="65"/>
      <c r="Z16" s="59">
        <f t="shared" si="5"/>
        <v>0.75388920001380244</v>
      </c>
      <c r="AA16" s="59">
        <f t="shared" si="6"/>
        <v>0.53346851409119911</v>
      </c>
      <c r="AB16" s="59">
        <f t="shared" si="7"/>
        <v>0.14997420354922897</v>
      </c>
      <c r="AC16" s="111">
        <f t="shared" si="8"/>
        <v>0.62783066713760161</v>
      </c>
      <c r="AD16" s="111">
        <f t="shared" si="9"/>
        <v>0.55802875647053463</v>
      </c>
      <c r="AE16" s="60"/>
      <c r="AF16" s="66"/>
      <c r="AG16" s="61">
        <f>IF(ISERROR(Z16*100000000/'Calc-Units'!$E$21)," ",Z16*100000000/'Calc-Units'!$E$21)</f>
        <v>2.9758530929992122E-3</v>
      </c>
      <c r="AH16" s="61">
        <f>IF(ISERROR(AA16*100000000/'Calc-Units'!$D$21)," ",AA16*100000000/'Calc-Units'!$D$21)</f>
        <v>2.2253146774871449E-3</v>
      </c>
      <c r="AI16" s="61">
        <f>IF(ISERROR(AB16*100000000/'Calc-Units'!$C$21)," ",AB16*100000000/'Calc-Units'!$C$21)</f>
        <v>8.827879917193721E-4</v>
      </c>
      <c r="AJ16" s="181">
        <f>IF(ISERROR(AC16*100000000/'Calc-Units'!$C$21)," ",AC16*100000000/'Calc-Units'!$C$21)</f>
        <v>3.6955780438621059E-3</v>
      </c>
      <c r="AK16" s="67"/>
      <c r="AL16" s="63">
        <v>0.52569999999999995</v>
      </c>
      <c r="AM16" s="94">
        <f t="shared" si="10"/>
        <v>1.3790116881016259</v>
      </c>
      <c r="AN16" s="57">
        <f t="shared" si="11"/>
        <v>1.2441796531607408</v>
      </c>
      <c r="AO16" s="56"/>
      <c r="AP16" s="56"/>
      <c r="AQ16" s="59">
        <f t="shared" si="12"/>
        <v>0.35756964756654652</v>
      </c>
      <c r="AR16" s="59">
        <f t="shared" si="13"/>
        <v>0.25302411623345578</v>
      </c>
      <c r="AS16" s="59">
        <f t="shared" si="14"/>
        <v>7.1132764743399302E-2</v>
      </c>
      <c r="AT16" s="111">
        <f t="shared" si="15"/>
        <v>0.29778008542336448</v>
      </c>
      <c r="AU16" s="111">
        <f t="shared" si="16"/>
        <v>0.26467303919397461</v>
      </c>
      <c r="AV16" s="60"/>
      <c r="AW16" s="67"/>
      <c r="AX16" s="61">
        <f>IF(ISERROR(AQ16*100000000/'Calc-Units'!$E$21)," ",AQ16*100000000/'Calc-Units'!$E$21)</f>
        <v>1.4114471220095263E-3</v>
      </c>
      <c r="AY16" s="61">
        <f>IF(ISERROR(AR16*100000000/'Calc-Units'!$D$21)," ",AR16*100000000/'Calc-Units'!$D$21)</f>
        <v>1.0554667515321528E-3</v>
      </c>
      <c r="AZ16" s="61">
        <f>IF(ISERROR(AS16*100000000/'Calc-Units'!$C$21)," ",AS16*100000000/'Calc-Units'!$C$21)</f>
        <v>4.1870634447249819E-4</v>
      </c>
      <c r="BA16" s="181">
        <f>IF(ISERROR(AT16*100000000/'Calc-Units'!$C$21)," ",AT16*100000000/'Calc-Units'!$C$21)</f>
        <v>1.7528126662037971E-3</v>
      </c>
      <c r="BC16" s="65"/>
      <c r="BD16" s="65"/>
    </row>
    <row r="17" spans="1:56" s="68" customFormat="1">
      <c r="A17" s="69"/>
      <c r="B17" s="2241"/>
      <c r="C17" s="92" t="s">
        <v>64</v>
      </c>
      <c r="D17" s="96">
        <f>'RRP 1.3'!O$12</f>
        <v>1.1971922726956574</v>
      </c>
      <c r="E17" s="96">
        <v>0</v>
      </c>
      <c r="F17" s="96">
        <v>0</v>
      </c>
      <c r="G17" s="96">
        <v>0</v>
      </c>
      <c r="H17" s="96">
        <v>0</v>
      </c>
      <c r="I17" s="96">
        <f t="shared" si="0"/>
        <v>1.1971922726956574</v>
      </c>
      <c r="J17" s="64"/>
      <c r="K17" s="96" t="s">
        <v>484</v>
      </c>
      <c r="L17" s="106">
        <f>IF(ISERROR(VLOOKUP($K17,'Calc-Drivers'!$B$17:$G$27,L$42,FALSE))," ",VLOOKUP($K17,'Calc-Drivers'!$B$17:$G$27,L$42,FALSE))</f>
        <v>0.28739390381298147</v>
      </c>
      <c r="M17" s="106">
        <f>IF(ISERROR(VLOOKUP($K17,'Calc-Drivers'!$B$17:$G$27,M$42,FALSE))," ",VLOOKUP($K17,'Calc-Drivers'!$B$17:$G$27,M$42,FALSE))</f>
        <v>0.20336622254725664</v>
      </c>
      <c r="N17" s="106">
        <f>IF(ISERROR(VLOOKUP($K17,'Calc-Drivers'!$B$17:$G$27,N$42,FALSE))," ",VLOOKUP($K17,'Calc-Drivers'!$B$17:$G$27,N$42,FALSE))</f>
        <v>5.7172422457393603E-2</v>
      </c>
      <c r="O17" s="106">
        <f>IF(ISERROR(VLOOKUP($K17,'Calc-Drivers'!$B$17:$G$27,O$42,FALSE))," ",VLOOKUP($K17,'Calc-Drivers'!$B$17:$G$27,O$42,FALSE))</f>
        <v>0.23933849477997618</v>
      </c>
      <c r="P17" s="106">
        <f>IF(ISERROR(VLOOKUP($K17,'Calc-Drivers'!$B$17:$G$27,P$42,FALSE))," ",VLOOKUP($K17,'Calc-Drivers'!$B$17:$G$27,P$42,FALSE))</f>
        <v>0.21272895640239217</v>
      </c>
      <c r="Q17" s="118"/>
      <c r="R17" s="58"/>
      <c r="S17" s="59">
        <f t="shared" si="1"/>
        <v>0.34406576086474044</v>
      </c>
      <c r="T17" s="59">
        <f t="shared" si="2"/>
        <v>0.24346847016088102</v>
      </c>
      <c r="U17" s="59">
        <f t="shared" si="3"/>
        <v>6.8446382377283288E-2</v>
      </c>
      <c r="V17" s="111">
        <f t="shared" si="4"/>
        <v>0.28653419650919743</v>
      </c>
      <c r="W17" s="111">
        <f t="shared" si="4"/>
        <v>0.2546774627835553</v>
      </c>
      <c r="X17" s="60"/>
      <c r="Y17" s="65"/>
      <c r="Z17" s="59">
        <f t="shared" si="5"/>
        <v>0.34406576086474044</v>
      </c>
      <c r="AA17" s="59">
        <f t="shared" si="6"/>
        <v>0.24346847016088102</v>
      </c>
      <c r="AB17" s="59">
        <f t="shared" si="7"/>
        <v>6.8446382377283288E-2</v>
      </c>
      <c r="AC17" s="111">
        <f t="shared" si="8"/>
        <v>0.28653419650919743</v>
      </c>
      <c r="AD17" s="111">
        <f t="shared" si="9"/>
        <v>0.2546774627835553</v>
      </c>
      <c r="AE17" s="60"/>
      <c r="AF17" s="66"/>
      <c r="AG17" s="61">
        <f>IF(ISERROR(Z17*100000000/'Calc-Units'!$E$21)," ",Z17*100000000/'Calc-Units'!$E$21)</f>
        <v>1.3581427597659172E-3</v>
      </c>
      <c r="AH17" s="61">
        <f>IF(ISERROR(AA17*100000000/'Calc-Units'!$D$21)," ",AA17*100000000/'Calc-Units'!$D$21)</f>
        <v>1.0156062557456335E-3</v>
      </c>
      <c r="AI17" s="61">
        <f>IF(ISERROR(AB17*100000000/'Calc-Units'!$C$21)," ",AB17*100000000/'Calc-Units'!$C$21)</f>
        <v>4.0289358442543153E-4</v>
      </c>
      <c r="AJ17" s="181">
        <f>IF(ISERROR(AC17*100000000/'Calc-Units'!$C$21)," ",AC17*100000000/'Calc-Units'!$C$21)</f>
        <v>1.6866163774108521E-3</v>
      </c>
      <c r="AK17" s="67"/>
      <c r="AL17" s="63">
        <v>0.52569999999999995</v>
      </c>
      <c r="AM17" s="94">
        <f t="shared" si="10"/>
        <v>0.62936397775610708</v>
      </c>
      <c r="AN17" s="57">
        <f t="shared" si="11"/>
        <v>0.56782829493955034</v>
      </c>
      <c r="AO17" s="56"/>
      <c r="AP17" s="56"/>
      <c r="AQ17" s="59">
        <f t="shared" si="12"/>
        <v>0.16319039037814642</v>
      </c>
      <c r="AR17" s="59">
        <f t="shared" si="13"/>
        <v>0.11547709539730588</v>
      </c>
      <c r="AS17" s="59">
        <f t="shared" si="14"/>
        <v>3.2464119161545464E-2</v>
      </c>
      <c r="AT17" s="111">
        <f t="shared" si="15"/>
        <v>0.13590316940431235</v>
      </c>
      <c r="AU17" s="111">
        <f t="shared" si="16"/>
        <v>0.12079352059824029</v>
      </c>
      <c r="AV17" s="60"/>
      <c r="AW17" s="67"/>
      <c r="AX17" s="61">
        <f>IF(ISERROR(AQ17*100000000/'Calc-Units'!$E$21)," ",AQ17*100000000/'Calc-Units'!$E$21)</f>
        <v>6.4416711095697458E-4</v>
      </c>
      <c r="AY17" s="61">
        <f>IF(ISERROR(AR17*100000000/'Calc-Units'!$D$21)," ",AR17*100000000/'Calc-Units'!$D$21)</f>
        <v>4.8170204710015405E-4</v>
      </c>
      <c r="AZ17" s="61">
        <f>IF(ISERROR(AS17*100000000/'Calc-Units'!$C$21)," ",AS17*100000000/'Calc-Units'!$C$21)</f>
        <v>1.9109242709298218E-4</v>
      </c>
      <c r="BA17" s="181">
        <f>IF(ISERROR(AT17*100000000/'Calc-Units'!$C$21)," ",AT17*100000000/'Calc-Units'!$C$21)</f>
        <v>7.9996214780596721E-4</v>
      </c>
      <c r="BC17" s="65"/>
      <c r="BD17" s="65"/>
    </row>
    <row r="18" spans="1:56" s="68" customFormat="1">
      <c r="A18" s="69"/>
      <c r="B18" s="2241"/>
      <c r="C18" s="92" t="s">
        <v>220</v>
      </c>
      <c r="D18" s="96">
        <f>'RRP 1.3'!P$12</f>
        <v>1.3730280456278914</v>
      </c>
      <c r="E18" s="96">
        <v>0</v>
      </c>
      <c r="F18" s="96">
        <v>0</v>
      </c>
      <c r="G18" s="96">
        <v>0</v>
      </c>
      <c r="H18" s="96">
        <v>0</v>
      </c>
      <c r="I18" s="96">
        <f t="shared" si="0"/>
        <v>1.3730280456278914</v>
      </c>
      <c r="J18" s="64"/>
      <c r="K18" s="96" t="s">
        <v>484</v>
      </c>
      <c r="L18" s="106">
        <f>IF(ISERROR(VLOOKUP($K18,'Calc-Drivers'!$B$17:$G$27,L$42,FALSE))," ",VLOOKUP($K18,'Calc-Drivers'!$B$17:$G$27,L$42,FALSE))</f>
        <v>0.28739390381298147</v>
      </c>
      <c r="M18" s="106">
        <f>IF(ISERROR(VLOOKUP($K18,'Calc-Drivers'!$B$17:$G$27,M$42,FALSE))," ",VLOOKUP($K18,'Calc-Drivers'!$B$17:$G$27,M$42,FALSE))</f>
        <v>0.20336622254725664</v>
      </c>
      <c r="N18" s="106">
        <f>IF(ISERROR(VLOOKUP($K18,'Calc-Drivers'!$B$17:$G$27,N$42,FALSE))," ",VLOOKUP($K18,'Calc-Drivers'!$B$17:$G$27,N$42,FALSE))</f>
        <v>5.7172422457393603E-2</v>
      </c>
      <c r="O18" s="106">
        <f>IF(ISERROR(VLOOKUP($K18,'Calc-Drivers'!$B$17:$G$27,O$42,FALSE))," ",VLOOKUP($K18,'Calc-Drivers'!$B$17:$G$27,O$42,FALSE))</f>
        <v>0.23933849477997618</v>
      </c>
      <c r="P18" s="106">
        <f>IF(ISERROR(VLOOKUP($K18,'Calc-Drivers'!$B$17:$G$27,P$42,FALSE))," ",VLOOKUP($K18,'Calc-Drivers'!$B$17:$G$27,P$42,FALSE))</f>
        <v>0.21272895640239217</v>
      </c>
      <c r="Q18" s="118"/>
      <c r="R18" s="58"/>
      <c r="S18" s="59">
        <f t="shared" si="1"/>
        <v>0.39459989007770813</v>
      </c>
      <c r="T18" s="59">
        <f t="shared" si="2"/>
        <v>0.27922752709078663</v>
      </c>
      <c r="U18" s="59">
        <f t="shared" si="3"/>
        <v>7.8499339470487303E-2</v>
      </c>
      <c r="V18" s="111">
        <f t="shared" si="4"/>
        <v>0.32861846573127196</v>
      </c>
      <c r="W18" s="111">
        <f t="shared" si="4"/>
        <v>0.29208282325763746</v>
      </c>
      <c r="X18" s="60"/>
      <c r="Y18" s="65"/>
      <c r="Z18" s="59">
        <f t="shared" si="5"/>
        <v>0.39459989007770813</v>
      </c>
      <c r="AA18" s="59">
        <f t="shared" si="6"/>
        <v>0.27922752709078663</v>
      </c>
      <c r="AB18" s="59">
        <f t="shared" si="7"/>
        <v>7.8499339470487303E-2</v>
      </c>
      <c r="AC18" s="111">
        <f t="shared" si="8"/>
        <v>0.32861846573127196</v>
      </c>
      <c r="AD18" s="111">
        <f t="shared" si="9"/>
        <v>0.29208282325763746</v>
      </c>
      <c r="AE18" s="60"/>
      <c r="AF18" s="66"/>
      <c r="AG18" s="61">
        <f>IF(ISERROR(Z18*100000000/'Calc-Units'!$E$21)," ",Z18*100000000/'Calc-Units'!$E$21)</f>
        <v>1.5576178878320553E-3</v>
      </c>
      <c r="AH18" s="61">
        <f>IF(ISERROR(AA18*100000000/'Calc-Units'!$D$21)," ",AA18*100000000/'Calc-Units'!$D$21)</f>
        <v>1.1647718618447661E-3</v>
      </c>
      <c r="AI18" s="61">
        <f>IF(ISERROR(AB18*100000000/'Calc-Units'!$C$21)," ",AB18*100000000/'Calc-Units'!$C$21)</f>
        <v>4.6206795970549425E-4</v>
      </c>
      <c r="AJ18" s="181">
        <f>IF(ISERROR(AC18*100000000/'Calc-Units'!$C$21)," ",AC18*100000000/'Calc-Units'!$C$21)</f>
        <v>1.9343355626461822E-3</v>
      </c>
      <c r="AK18" s="67"/>
      <c r="AL18" s="63">
        <v>0.52569999999999995</v>
      </c>
      <c r="AM18" s="94">
        <f t="shared" si="10"/>
        <v>0.72180084358658247</v>
      </c>
      <c r="AN18" s="57">
        <f t="shared" si="11"/>
        <v>0.65122720204130891</v>
      </c>
      <c r="AO18" s="56"/>
      <c r="AP18" s="56"/>
      <c r="AQ18" s="59">
        <f t="shared" si="12"/>
        <v>0.18715872786385698</v>
      </c>
      <c r="AR18" s="59">
        <f t="shared" si="13"/>
        <v>0.1324376160991601</v>
      </c>
      <c r="AS18" s="59">
        <f t="shared" si="14"/>
        <v>3.7232236710852129E-2</v>
      </c>
      <c r="AT18" s="111">
        <f t="shared" si="15"/>
        <v>0.15586373829634231</v>
      </c>
      <c r="AU18" s="111">
        <f t="shared" si="16"/>
        <v>0.13853488307109746</v>
      </c>
      <c r="AV18" s="60"/>
      <c r="AW18" s="67"/>
      <c r="AX18" s="61">
        <f>IF(ISERROR(AQ18*100000000/'Calc-Units'!$E$21)," ",AQ18*100000000/'Calc-Units'!$E$21)</f>
        <v>7.3877816419874395E-4</v>
      </c>
      <c r="AY18" s="61">
        <f>IF(ISERROR(AR18*100000000/'Calc-Units'!$D$21)," ",AR18*100000000/'Calc-Units'!$D$21)</f>
        <v>5.524512940729726E-4</v>
      </c>
      <c r="AZ18" s="61">
        <f>IF(ISERROR(AS18*100000000/'Calc-Units'!$C$21)," ",AS18*100000000/'Calc-Units'!$C$21)</f>
        <v>2.1915883328831593E-4</v>
      </c>
      <c r="BA18" s="181">
        <f>IF(ISERROR(AT18*100000000/'Calc-Units'!$C$21)," ",AT18*100000000/'Calc-Units'!$C$21)</f>
        <v>9.1745535736308429E-4</v>
      </c>
      <c r="BC18" s="65"/>
      <c r="BD18" s="65"/>
    </row>
    <row r="19" spans="1:56" s="68" customFormat="1">
      <c r="A19" s="69"/>
      <c r="B19" s="2241"/>
      <c r="C19" s="92" t="s">
        <v>221</v>
      </c>
      <c r="D19" s="96">
        <f>'RRP 1.3'!Q$12</f>
        <v>1.137985595231386</v>
      </c>
      <c r="E19" s="96">
        <v>0</v>
      </c>
      <c r="F19" s="96">
        <v>0</v>
      </c>
      <c r="G19" s="96">
        <v>0</v>
      </c>
      <c r="H19" s="96">
        <v>0</v>
      </c>
      <c r="I19" s="96">
        <f t="shared" si="0"/>
        <v>1.137985595231386</v>
      </c>
      <c r="J19" s="64"/>
      <c r="K19" s="96" t="s">
        <v>484</v>
      </c>
      <c r="L19" s="106">
        <f>IF(ISERROR(VLOOKUP($K19,'Calc-Drivers'!$B$17:$G$27,L$42,FALSE))," ",VLOOKUP($K19,'Calc-Drivers'!$B$17:$G$27,L$42,FALSE))</f>
        <v>0.28739390381298147</v>
      </c>
      <c r="M19" s="106">
        <f>IF(ISERROR(VLOOKUP($K19,'Calc-Drivers'!$B$17:$G$27,M$42,FALSE))," ",VLOOKUP($K19,'Calc-Drivers'!$B$17:$G$27,M$42,FALSE))</f>
        <v>0.20336622254725664</v>
      </c>
      <c r="N19" s="106">
        <f>IF(ISERROR(VLOOKUP($K19,'Calc-Drivers'!$B$17:$G$27,N$42,FALSE))," ",VLOOKUP($K19,'Calc-Drivers'!$B$17:$G$27,N$42,FALSE))</f>
        <v>5.7172422457393603E-2</v>
      </c>
      <c r="O19" s="106">
        <f>IF(ISERROR(VLOOKUP($K19,'Calc-Drivers'!$B$17:$G$27,O$42,FALSE))," ",VLOOKUP($K19,'Calc-Drivers'!$B$17:$G$27,O$42,FALSE))</f>
        <v>0.23933849477997618</v>
      </c>
      <c r="P19" s="106">
        <f>IF(ISERROR(VLOOKUP($K19,'Calc-Drivers'!$B$17:$G$27,P$42,FALSE))," ",VLOOKUP($K19,'Calc-Drivers'!$B$17:$G$27,P$42,FALSE))</f>
        <v>0.21272895640239217</v>
      </c>
      <c r="Q19" s="118"/>
      <c r="R19" s="58"/>
      <c r="S19" s="59">
        <f t="shared" si="1"/>
        <v>0.32705012269648742</v>
      </c>
      <c r="T19" s="59">
        <f t="shared" si="2"/>
        <v>0.23142783181539836</v>
      </c>
      <c r="U19" s="59">
        <f t="shared" si="3"/>
        <v>6.5061393200997325E-2</v>
      </c>
      <c r="V19" s="111">
        <f t="shared" si="4"/>
        <v>0.27236375944397517</v>
      </c>
      <c r="W19" s="111">
        <f t="shared" si="4"/>
        <v>0.24208248807452781</v>
      </c>
      <c r="X19" s="60"/>
      <c r="Y19" s="65"/>
      <c r="Z19" s="59">
        <f t="shared" si="5"/>
        <v>0.32705012269648742</v>
      </c>
      <c r="AA19" s="59">
        <f t="shared" si="6"/>
        <v>0.23142783181539836</v>
      </c>
      <c r="AB19" s="59">
        <f t="shared" si="7"/>
        <v>6.5061393200997325E-2</v>
      </c>
      <c r="AC19" s="111">
        <f t="shared" si="8"/>
        <v>0.27236375944397517</v>
      </c>
      <c r="AD19" s="111">
        <f t="shared" si="9"/>
        <v>0.24208248807452781</v>
      </c>
      <c r="AE19" s="60"/>
      <c r="AF19" s="66"/>
      <c r="AG19" s="61">
        <f>IF(ISERROR(Z19*100000000/'Calc-Units'!$E$21)," ",Z19*100000000/'Calc-Units'!$E$21)</f>
        <v>1.2909763386639514E-3</v>
      </c>
      <c r="AH19" s="61">
        <f>IF(ISERROR(AA19*100000000/'Calc-Units'!$D$21)," ",AA19*100000000/'Calc-Units'!$D$21)</f>
        <v>9.6537984401042019E-4</v>
      </c>
      <c r="AI19" s="61">
        <f>IF(ISERROR(AB19*100000000/'Calc-Units'!$C$21)," ",AB19*100000000/'Calc-Units'!$C$21)</f>
        <v>3.8296863916013191E-4</v>
      </c>
      <c r="AJ19" s="181">
        <f>IF(ISERROR(AC19*100000000/'Calc-Units'!$C$21)," ",AC19*100000000/'Calc-Units'!$C$21)</f>
        <v>1.6032054215094455E-3</v>
      </c>
      <c r="AK19" s="67"/>
      <c r="AL19" s="63">
        <v>0.52569999999999995</v>
      </c>
      <c r="AM19" s="94">
        <f t="shared" si="10"/>
        <v>0.5982390274131395</v>
      </c>
      <c r="AN19" s="57">
        <f t="shared" si="11"/>
        <v>0.53974656781824648</v>
      </c>
      <c r="AO19" s="56"/>
      <c r="AP19" s="56"/>
      <c r="AQ19" s="59">
        <f t="shared" si="12"/>
        <v>0.155119873194944</v>
      </c>
      <c r="AR19" s="59">
        <f t="shared" si="13"/>
        <v>0.10976622063004346</v>
      </c>
      <c r="AS19" s="59">
        <f t="shared" si="14"/>
        <v>3.0858618795233037E-2</v>
      </c>
      <c r="AT19" s="111">
        <f t="shared" si="15"/>
        <v>0.12918213110427745</v>
      </c>
      <c r="AU19" s="111">
        <f t="shared" si="16"/>
        <v>0.11481972409374855</v>
      </c>
      <c r="AV19" s="60"/>
      <c r="AW19" s="67"/>
      <c r="AX19" s="61">
        <f>IF(ISERROR(AQ19*100000000/'Calc-Units'!$E$21)," ",AQ19*100000000/'Calc-Units'!$E$21)</f>
        <v>6.1231007742831216E-4</v>
      </c>
      <c r="AY19" s="61">
        <f>IF(ISERROR(AR19*100000000/'Calc-Units'!$D$21)," ",AR19*100000000/'Calc-Units'!$D$21)</f>
        <v>4.5787966001414236E-4</v>
      </c>
      <c r="AZ19" s="61">
        <f>IF(ISERROR(AS19*100000000/'Calc-Units'!$C$21)," ",AS19*100000000/'Calc-Units'!$C$21)</f>
        <v>1.8164202555365059E-4</v>
      </c>
      <c r="BA19" s="181">
        <f>IF(ISERROR(AT19*100000000/'Calc-Units'!$C$21)," ",AT19*100000000/'Calc-Units'!$C$21)</f>
        <v>7.604003314219301E-4</v>
      </c>
      <c r="BC19" s="65"/>
      <c r="BD19" s="65"/>
    </row>
    <row r="20" spans="1:56" s="68" customFormat="1">
      <c r="A20" s="69"/>
      <c r="B20" s="2241"/>
      <c r="C20" s="92" t="s">
        <v>785</v>
      </c>
      <c r="D20" s="96">
        <f>'RRP 1.3'!R$12</f>
        <v>2.0073828743963098</v>
      </c>
      <c r="E20" s="96">
        <v>0</v>
      </c>
      <c r="F20" s="96">
        <v>0</v>
      </c>
      <c r="G20" s="96">
        <v>0</v>
      </c>
      <c r="H20" s="96">
        <v>0</v>
      </c>
      <c r="I20" s="96">
        <f t="shared" si="0"/>
        <v>2.0073828743963098</v>
      </c>
      <c r="J20" s="64"/>
      <c r="K20" s="96" t="s">
        <v>484</v>
      </c>
      <c r="L20" s="106">
        <f>IF(ISERROR(VLOOKUP($K20,'Calc-Drivers'!$B$17:$G$27,L$42,FALSE))," ",VLOOKUP($K20,'Calc-Drivers'!$B$17:$G$27,L$42,FALSE))</f>
        <v>0.28739390381298147</v>
      </c>
      <c r="M20" s="106">
        <f>IF(ISERROR(VLOOKUP($K20,'Calc-Drivers'!$B$17:$G$27,M$42,FALSE))," ",VLOOKUP($K20,'Calc-Drivers'!$B$17:$G$27,M$42,FALSE))</f>
        <v>0.20336622254725664</v>
      </c>
      <c r="N20" s="106">
        <f>IF(ISERROR(VLOOKUP($K20,'Calc-Drivers'!$B$17:$G$27,N$42,FALSE))," ",VLOOKUP($K20,'Calc-Drivers'!$B$17:$G$27,N$42,FALSE))</f>
        <v>5.7172422457393603E-2</v>
      </c>
      <c r="O20" s="106">
        <f>IF(ISERROR(VLOOKUP($K20,'Calc-Drivers'!$B$17:$G$27,O$42,FALSE))," ",VLOOKUP($K20,'Calc-Drivers'!$B$17:$G$27,O$42,FALSE))</f>
        <v>0.23933849477997618</v>
      </c>
      <c r="P20" s="106">
        <f>IF(ISERROR(VLOOKUP($K20,'Calc-Drivers'!$B$17:$G$27,P$42,FALSE))," ",VLOOKUP($K20,'Calc-Drivers'!$B$17:$G$27,P$42,FALSE))</f>
        <v>0.21272895640239217</v>
      </c>
      <c r="Q20" s="118"/>
      <c r="R20" s="58"/>
      <c r="S20" s="59">
        <f t="shared" si="1"/>
        <v>0.57690960072007935</v>
      </c>
      <c r="T20" s="59">
        <f t="shared" si="2"/>
        <v>0.40823387237203168</v>
      </c>
      <c r="U20" s="59">
        <f t="shared" si="3"/>
        <v>0.1147669417287229</v>
      </c>
      <c r="V20" s="111">
        <f t="shared" si="4"/>
        <v>0.48044399560511475</v>
      </c>
      <c r="W20" s="111">
        <f t="shared" si="4"/>
        <v>0.42702846397036126</v>
      </c>
      <c r="X20" s="60"/>
      <c r="Y20" s="65"/>
      <c r="Z20" s="59">
        <f t="shared" si="5"/>
        <v>0.57690960072007935</v>
      </c>
      <c r="AA20" s="59">
        <f t="shared" si="6"/>
        <v>0.40823387237203168</v>
      </c>
      <c r="AB20" s="59">
        <f t="shared" si="7"/>
        <v>0.1147669417287229</v>
      </c>
      <c r="AC20" s="111">
        <f t="shared" si="8"/>
        <v>0.48044399560511475</v>
      </c>
      <c r="AD20" s="111">
        <f t="shared" si="9"/>
        <v>0.42702846397036126</v>
      </c>
      <c r="AE20" s="60"/>
      <c r="AF20" s="66"/>
      <c r="AG20" s="61">
        <f>IF(ISERROR(Z20*100000000/'Calc-Units'!$E$21)," ",Z20*100000000/'Calc-Units'!$E$21)</f>
        <v>2.2772553574880194E-3</v>
      </c>
      <c r="AH20" s="61">
        <f>IF(ISERROR(AA20*100000000/'Calc-Units'!$D$21)," ",AA20*100000000/'Calc-Units'!$D$21)</f>
        <v>1.7029099263421422E-3</v>
      </c>
      <c r="AI20" s="61">
        <f>IF(ISERROR(AB20*100000000/'Calc-Units'!$C$21)," ",AB20*100000000/'Calc-Units'!$C$21)</f>
        <v>6.755486984214384E-4</v>
      </c>
      <c r="AJ20" s="181">
        <f>IF(ISERROR(AC20*100000000/'Calc-Units'!$C$21)," ",AC20*100000000/'Calc-Units'!$C$21)</f>
        <v>2.8280209527810529E-3</v>
      </c>
      <c r="AK20" s="67"/>
      <c r="AL20" s="63">
        <v>0.52569999999999995</v>
      </c>
      <c r="AM20" s="94">
        <f t="shared" si="10"/>
        <v>1.05528117707014</v>
      </c>
      <c r="AN20" s="57">
        <f t="shared" si="11"/>
        <v>0.95210169732616989</v>
      </c>
      <c r="AO20" s="56"/>
      <c r="AP20" s="56"/>
      <c r="AQ20" s="59">
        <f t="shared" si="12"/>
        <v>0.27362822362153366</v>
      </c>
      <c r="AR20" s="59">
        <f t="shared" si="13"/>
        <v>0.19362532566605464</v>
      </c>
      <c r="AS20" s="59">
        <f t="shared" si="14"/>
        <v>5.443396046193328E-2</v>
      </c>
      <c r="AT20" s="111">
        <f t="shared" si="15"/>
        <v>0.22787458711550596</v>
      </c>
      <c r="AU20" s="111">
        <f t="shared" si="16"/>
        <v>0.20253960046114236</v>
      </c>
      <c r="AV20" s="60"/>
      <c r="AW20" s="67"/>
      <c r="AX20" s="61">
        <f>IF(ISERROR(AQ20*100000000/'Calc-Units'!$E$21)," ",AQ20*100000000/'Calc-Units'!$E$21)</f>
        <v>1.0801022160565677E-3</v>
      </c>
      <c r="AY20" s="61">
        <f>IF(ISERROR(AR20*100000000/'Calc-Units'!$D$21)," ",AR20*100000000/'Calc-Units'!$D$21)</f>
        <v>8.0769017806407804E-4</v>
      </c>
      <c r="AZ20" s="61">
        <f>IF(ISERROR(AS20*100000000/'Calc-Units'!$C$21)," ",AS20*100000000/'Calc-Units'!$C$21)</f>
        <v>3.2041274766128825E-4</v>
      </c>
      <c r="BA20" s="181">
        <f>IF(ISERROR(AT20*100000000/'Calc-Units'!$C$21)," ",AT20*100000000/'Calc-Units'!$C$21)</f>
        <v>1.3413303379040536E-3</v>
      </c>
      <c r="BC20" s="65"/>
      <c r="BD20" s="65"/>
    </row>
    <row r="21" spans="1:56" s="68" customFormat="1">
      <c r="A21" s="69"/>
      <c r="B21" s="2241"/>
      <c r="C21" s="92" t="s">
        <v>663</v>
      </c>
      <c r="D21" s="96">
        <f>'RRP 1.3'!S$12</f>
        <v>12.846120169989643</v>
      </c>
      <c r="E21" s="96">
        <v>0</v>
      </c>
      <c r="F21" s="96">
        <v>0</v>
      </c>
      <c r="G21" s="96">
        <v>0</v>
      </c>
      <c r="H21" s="96">
        <v>0</v>
      </c>
      <c r="I21" s="96">
        <f t="shared" si="0"/>
        <v>12.846120169989643</v>
      </c>
      <c r="J21" s="64"/>
      <c r="K21" s="96" t="s">
        <v>473</v>
      </c>
      <c r="L21" s="106" t="str">
        <f>IF(ISERROR(VLOOKUP($K21,'Calc-Drivers'!$B$17:$G$27,L$42,FALSE))," ",VLOOKUP($K21,'Calc-Drivers'!$B$17:$G$27,L$42,FALSE))</f>
        <v xml:space="preserve"> </v>
      </c>
      <c r="M21" s="106" t="str">
        <f>IF(ISERROR(VLOOKUP($K21,'Calc-Drivers'!$B$17:$G$27,M$42,FALSE))," ",VLOOKUP($K21,'Calc-Drivers'!$B$17:$G$27,M$42,FALSE))</f>
        <v xml:space="preserve"> </v>
      </c>
      <c r="N21" s="106" t="str">
        <f>IF(ISERROR(VLOOKUP($K21,'Calc-Drivers'!$B$17:$G$27,N$42,FALSE))," ",VLOOKUP($K21,'Calc-Drivers'!$B$17:$G$27,N$42,FALSE))</f>
        <v xml:space="preserve"> </v>
      </c>
      <c r="O21" s="106" t="str">
        <f>IF(ISERROR(VLOOKUP($K21,'Calc-Drivers'!$B$17:$G$27,O$42,FALSE))," ",VLOOKUP($K21,'Calc-Drivers'!$B$17:$G$27,O$42,FALSE))</f>
        <v xml:space="preserve"> </v>
      </c>
      <c r="P21" s="106" t="str">
        <f>IF(ISERROR(VLOOKUP($K21,'Calc-Drivers'!$B$17:$G$27,P$42,FALSE))," ",VLOOKUP($K21,'Calc-Drivers'!$B$17:$G$27,P$42,FALSE))</f>
        <v xml:space="preserve"> </v>
      </c>
      <c r="Q21" s="118"/>
      <c r="R21" s="58"/>
      <c r="S21" s="59" t="str">
        <f t="shared" si="1"/>
        <v xml:space="preserve"> </v>
      </c>
      <c r="T21" s="59" t="str">
        <f t="shared" si="2"/>
        <v xml:space="preserve"> </v>
      </c>
      <c r="U21" s="59" t="str">
        <f t="shared" si="3"/>
        <v xml:space="preserve"> </v>
      </c>
      <c r="V21" s="111" t="str">
        <f t="shared" si="4"/>
        <v xml:space="preserve"> </v>
      </c>
      <c r="W21" s="111" t="str">
        <f t="shared" si="4"/>
        <v xml:space="preserve"> </v>
      </c>
      <c r="X21" s="60"/>
      <c r="Y21" s="65"/>
      <c r="Z21" s="59" t="str">
        <f t="shared" si="5"/>
        <v xml:space="preserve"> </v>
      </c>
      <c r="AA21" s="59" t="str">
        <f t="shared" si="6"/>
        <v xml:space="preserve"> </v>
      </c>
      <c r="AB21" s="59" t="str">
        <f t="shared" si="7"/>
        <v xml:space="preserve"> </v>
      </c>
      <c r="AC21" s="111" t="str">
        <f t="shared" si="8"/>
        <v xml:space="preserve"> </v>
      </c>
      <c r="AD21" s="111" t="str">
        <f t="shared" si="9"/>
        <v xml:space="preserve"> </v>
      </c>
      <c r="AE21" s="60"/>
      <c r="AF21" s="66"/>
      <c r="AG21" s="61" t="str">
        <f>IF(ISERROR(Z21*100000000/'Calc-Units'!$E$21)," ",Z21*100000000/'Calc-Units'!$E$21)</f>
        <v xml:space="preserve"> </v>
      </c>
      <c r="AH21" s="61" t="str">
        <f>IF(ISERROR(AA21*100000000/'Calc-Units'!$D$21)," ",AA21*100000000/'Calc-Units'!$D$21)</f>
        <v xml:space="preserve"> </v>
      </c>
      <c r="AI21" s="61" t="str">
        <f>IF(ISERROR(AB21*100000000/'Calc-Units'!$C$21)," ",AB21*100000000/'Calc-Units'!$C$21)</f>
        <v xml:space="preserve"> </v>
      </c>
      <c r="AJ21" s="181" t="str">
        <f>IF(ISERROR(AC21*100000000/'Calc-Units'!$C$21)," ",AC21*100000000/'Calc-Units'!$C$21)</f>
        <v xml:space="preserve"> </v>
      </c>
      <c r="AK21" s="67"/>
      <c r="AL21" s="63">
        <v>0.52569999999999995</v>
      </c>
      <c r="AM21" s="94">
        <f t="shared" si="10"/>
        <v>6.7532053733635546</v>
      </c>
      <c r="AN21" s="57">
        <f t="shared" si="11"/>
        <v>6.0929147966260881</v>
      </c>
      <c r="AO21" s="56"/>
      <c r="AP21" s="56"/>
      <c r="AQ21" s="59" t="str">
        <f t="shared" si="12"/>
        <v xml:space="preserve"> </v>
      </c>
      <c r="AR21" s="59" t="str">
        <f t="shared" si="13"/>
        <v xml:space="preserve"> </v>
      </c>
      <c r="AS21" s="59" t="str">
        <f t="shared" si="14"/>
        <v xml:space="preserve"> </v>
      </c>
      <c r="AT21" s="111" t="str">
        <f t="shared" si="15"/>
        <v xml:space="preserve"> </v>
      </c>
      <c r="AU21" s="111" t="str">
        <f t="shared" si="16"/>
        <v xml:space="preserve"> </v>
      </c>
      <c r="AV21" s="60"/>
      <c r="AW21" s="67"/>
      <c r="AX21" s="61" t="str">
        <f>IF(ISERROR(AQ21*100000000/'Calc-Units'!$E$21)," ",AQ21*100000000/'Calc-Units'!$E$21)</f>
        <v xml:space="preserve"> </v>
      </c>
      <c r="AY21" s="61" t="str">
        <f>IF(ISERROR(AR21*100000000/'Calc-Units'!$D$21)," ",AR21*100000000/'Calc-Units'!$D$21)</f>
        <v xml:space="preserve"> </v>
      </c>
      <c r="AZ21" s="61" t="str">
        <f>IF(ISERROR(AS21*100000000/'Calc-Units'!$C$21)," ",AS21*100000000/'Calc-Units'!$C$21)</f>
        <v xml:space="preserve"> </v>
      </c>
      <c r="BA21" s="181" t="str">
        <f>IF(ISERROR(AT21*100000000/'Calc-Units'!$C$21)," ",AT21*100000000/'Calc-Units'!$C$21)</f>
        <v xml:space="preserve"> </v>
      </c>
      <c r="BC21" s="65"/>
      <c r="BD21" s="65"/>
    </row>
    <row r="22" spans="1:56" s="68" customFormat="1">
      <c r="A22" s="69"/>
      <c r="B22" s="2241"/>
      <c r="C22" s="92" t="s">
        <v>784</v>
      </c>
      <c r="D22" s="96">
        <f>'RRP 1.3'!T$12</f>
        <v>6.9050026314811834</v>
      </c>
      <c r="E22" s="96">
        <v>0</v>
      </c>
      <c r="F22" s="96">
        <v>0</v>
      </c>
      <c r="G22" s="96">
        <v>0</v>
      </c>
      <c r="H22" s="96">
        <v>0</v>
      </c>
      <c r="I22" s="96">
        <f t="shared" si="0"/>
        <v>6.9050026314811834</v>
      </c>
      <c r="J22" s="64"/>
      <c r="K22" s="96" t="s">
        <v>473</v>
      </c>
      <c r="L22" s="106" t="str">
        <f>IF(ISERROR(VLOOKUP($K22,'Calc-Drivers'!$B$17:$G$27,L$42,FALSE))," ",VLOOKUP($K22,'Calc-Drivers'!$B$17:$G$27,L$42,FALSE))</f>
        <v xml:space="preserve"> </v>
      </c>
      <c r="M22" s="106" t="str">
        <f>IF(ISERROR(VLOOKUP($K22,'Calc-Drivers'!$B$17:$G$27,M$42,FALSE))," ",VLOOKUP($K22,'Calc-Drivers'!$B$17:$G$27,M$42,FALSE))</f>
        <v xml:space="preserve"> </v>
      </c>
      <c r="N22" s="106" t="str">
        <f>IF(ISERROR(VLOOKUP($K22,'Calc-Drivers'!$B$17:$G$27,N$42,FALSE))," ",VLOOKUP($K22,'Calc-Drivers'!$B$17:$G$27,N$42,FALSE))</f>
        <v xml:space="preserve"> </v>
      </c>
      <c r="O22" s="106" t="str">
        <f>IF(ISERROR(VLOOKUP($K22,'Calc-Drivers'!$B$17:$G$27,O$42,FALSE))," ",VLOOKUP($K22,'Calc-Drivers'!$B$17:$G$27,O$42,FALSE))</f>
        <v xml:space="preserve"> </v>
      </c>
      <c r="P22" s="106" t="str">
        <f>IF(ISERROR(VLOOKUP($K22,'Calc-Drivers'!$B$17:$G$27,P$42,FALSE))," ",VLOOKUP($K22,'Calc-Drivers'!$B$17:$G$27,P$42,FALSE))</f>
        <v xml:space="preserve"> </v>
      </c>
      <c r="Q22" s="118"/>
      <c r="R22" s="58"/>
      <c r="S22" s="59" t="str">
        <f t="shared" si="1"/>
        <v xml:space="preserve"> </v>
      </c>
      <c r="T22" s="59" t="str">
        <f t="shared" si="2"/>
        <v xml:space="preserve"> </v>
      </c>
      <c r="U22" s="59" t="str">
        <f t="shared" si="3"/>
        <v xml:space="preserve"> </v>
      </c>
      <c r="V22" s="111" t="str">
        <f t="shared" si="4"/>
        <v xml:space="preserve"> </v>
      </c>
      <c r="W22" s="111" t="str">
        <f t="shared" si="4"/>
        <v xml:space="preserve"> </v>
      </c>
      <c r="X22" s="60"/>
      <c r="Y22" s="65"/>
      <c r="Z22" s="59" t="str">
        <f t="shared" si="5"/>
        <v xml:space="preserve"> </v>
      </c>
      <c r="AA22" s="59" t="str">
        <f t="shared" si="6"/>
        <v xml:space="preserve"> </v>
      </c>
      <c r="AB22" s="59" t="str">
        <f t="shared" si="7"/>
        <v xml:space="preserve"> </v>
      </c>
      <c r="AC22" s="111" t="str">
        <f t="shared" si="8"/>
        <v xml:space="preserve"> </v>
      </c>
      <c r="AD22" s="111" t="str">
        <f t="shared" si="9"/>
        <v xml:space="preserve"> </v>
      </c>
      <c r="AE22" s="60"/>
      <c r="AF22" s="66"/>
      <c r="AG22" s="61" t="str">
        <f>IF(ISERROR(Z22*100000000/'Calc-Units'!$E$21)," ",Z22*100000000/'Calc-Units'!$E$21)</f>
        <v xml:space="preserve"> </v>
      </c>
      <c r="AH22" s="61" t="str">
        <f>IF(ISERROR(AA22*100000000/'Calc-Units'!$D$21)," ",AA22*100000000/'Calc-Units'!$D$21)</f>
        <v xml:space="preserve"> </v>
      </c>
      <c r="AI22" s="61" t="str">
        <f>IF(ISERROR(AB22*100000000/'Calc-Units'!$C$21)," ",AB22*100000000/'Calc-Units'!$C$21)</f>
        <v xml:space="preserve"> </v>
      </c>
      <c r="AJ22" s="181" t="str">
        <f>IF(ISERROR(AC22*100000000/'Calc-Units'!$C$21)," ",AC22*100000000/'Calc-Units'!$C$21)</f>
        <v xml:space="preserve"> </v>
      </c>
      <c r="AK22" s="67"/>
      <c r="AL22" s="63">
        <v>0.52569999999999995</v>
      </c>
      <c r="AM22" s="94">
        <f t="shared" si="10"/>
        <v>3.6299598833696578</v>
      </c>
      <c r="AN22" s="57">
        <f t="shared" si="11"/>
        <v>3.2750427481115256</v>
      </c>
      <c r="AO22" s="56"/>
      <c r="AP22" s="56"/>
      <c r="AQ22" s="59" t="str">
        <f t="shared" si="12"/>
        <v xml:space="preserve"> </v>
      </c>
      <c r="AR22" s="59" t="str">
        <f t="shared" si="13"/>
        <v xml:space="preserve"> </v>
      </c>
      <c r="AS22" s="59" t="str">
        <f t="shared" si="14"/>
        <v xml:space="preserve"> </v>
      </c>
      <c r="AT22" s="111" t="str">
        <f t="shared" si="15"/>
        <v xml:space="preserve"> </v>
      </c>
      <c r="AU22" s="111" t="str">
        <f t="shared" si="16"/>
        <v xml:space="preserve"> </v>
      </c>
      <c r="AV22" s="60"/>
      <c r="AW22" s="67"/>
      <c r="AX22" s="61" t="str">
        <f>IF(ISERROR(AQ22*100000000/'Calc-Units'!$E$21)," ",AQ22*100000000/'Calc-Units'!$E$21)</f>
        <v xml:space="preserve"> </v>
      </c>
      <c r="AY22" s="61" t="str">
        <f>IF(ISERROR(AR22*100000000/'Calc-Units'!$D$21)," ",AR22*100000000/'Calc-Units'!$D$21)</f>
        <v xml:space="preserve"> </v>
      </c>
      <c r="AZ22" s="61" t="str">
        <f>IF(ISERROR(AS22*100000000/'Calc-Units'!$C$21)," ",AS22*100000000/'Calc-Units'!$C$21)</f>
        <v xml:space="preserve"> </v>
      </c>
      <c r="BA22" s="181" t="str">
        <f>IF(ISERROR(AT22*100000000/'Calc-Units'!$C$21)," ",AT22*100000000/'Calc-Units'!$C$21)</f>
        <v xml:space="preserve"> </v>
      </c>
      <c r="BC22" s="65"/>
      <c r="BD22" s="65"/>
    </row>
    <row r="23" spans="1:56" s="68" customFormat="1">
      <c r="A23" s="69"/>
      <c r="B23" s="2241"/>
      <c r="C23" s="92" t="s">
        <v>73</v>
      </c>
      <c r="D23" s="96">
        <f>'RRP 1.3'!U$12</f>
        <v>2.752174273403194</v>
      </c>
      <c r="E23" s="96">
        <v>0</v>
      </c>
      <c r="F23" s="96">
        <v>0</v>
      </c>
      <c r="G23" s="96">
        <v>0</v>
      </c>
      <c r="H23" s="96">
        <v>0</v>
      </c>
      <c r="I23" s="96">
        <f t="shared" si="0"/>
        <v>2.752174273403194</v>
      </c>
      <c r="J23" s="64"/>
      <c r="K23" s="96" t="s">
        <v>484</v>
      </c>
      <c r="L23" s="106">
        <f>IF(ISERROR(VLOOKUP($K23,'Calc-Drivers'!$B$17:$G$27,L$42,FALSE))," ",VLOOKUP($K23,'Calc-Drivers'!$B$17:$G$27,L$42,FALSE))</f>
        <v>0.28739390381298147</v>
      </c>
      <c r="M23" s="106">
        <f>IF(ISERROR(VLOOKUP($K23,'Calc-Drivers'!$B$17:$G$27,M$42,FALSE))," ",VLOOKUP($K23,'Calc-Drivers'!$B$17:$G$27,M$42,FALSE))</f>
        <v>0.20336622254725664</v>
      </c>
      <c r="N23" s="106">
        <f>IF(ISERROR(VLOOKUP($K23,'Calc-Drivers'!$B$17:$G$27,N$42,FALSE))," ",VLOOKUP($K23,'Calc-Drivers'!$B$17:$G$27,N$42,FALSE))</f>
        <v>5.7172422457393603E-2</v>
      </c>
      <c r="O23" s="106">
        <f>IF(ISERROR(VLOOKUP($K23,'Calc-Drivers'!$B$17:$G$27,O$42,FALSE))," ",VLOOKUP($K23,'Calc-Drivers'!$B$17:$G$27,O$42,FALSE))</f>
        <v>0.23933849477997618</v>
      </c>
      <c r="P23" s="106">
        <f>IF(ISERROR(VLOOKUP($K23,'Calc-Drivers'!$B$17:$G$27,P$42,FALSE))," ",VLOOKUP($K23,'Calc-Drivers'!$B$17:$G$27,P$42,FALSE))</f>
        <v>0.21272895640239217</v>
      </c>
      <c r="Q23" s="118"/>
      <c r="R23" s="58"/>
      <c r="S23" s="59">
        <f t="shared" si="1"/>
        <v>0.79095810840699965</v>
      </c>
      <c r="T23" s="59">
        <f t="shared" si="2"/>
        <v>0.55969928577374828</v>
      </c>
      <c r="U23" s="59">
        <f t="shared" si="3"/>
        <v>0.15734847023537768</v>
      </c>
      <c r="V23" s="111">
        <f t="shared" si="4"/>
        <v>0.65870124796849505</v>
      </c>
      <c r="W23" s="111">
        <f t="shared" si="4"/>
        <v>0.58546716101857343</v>
      </c>
      <c r="X23" s="60"/>
      <c r="Y23" s="65"/>
      <c r="Z23" s="59">
        <f t="shared" si="5"/>
        <v>0.79095810840699965</v>
      </c>
      <c r="AA23" s="59">
        <f t="shared" si="6"/>
        <v>0.55969928577374828</v>
      </c>
      <c r="AB23" s="59">
        <f t="shared" si="7"/>
        <v>0.15734847023537768</v>
      </c>
      <c r="AC23" s="111">
        <f t="shared" si="8"/>
        <v>0.65870124796849505</v>
      </c>
      <c r="AD23" s="111">
        <f t="shared" si="9"/>
        <v>0.58546716101857343</v>
      </c>
      <c r="AE23" s="60"/>
      <c r="AF23" s="66"/>
      <c r="AG23" s="61">
        <f>IF(ISERROR(Z23*100000000/'Calc-Units'!$E$21)," ",Z23*100000000/'Calc-Units'!$E$21)</f>
        <v>3.1221764860044189E-3</v>
      </c>
      <c r="AH23" s="61">
        <f>IF(ISERROR(AA23*100000000/'Calc-Units'!$D$21)," ",AA23*100000000/'Calc-Units'!$D$21)</f>
        <v>2.3347339209572699E-3</v>
      </c>
      <c r="AI23" s="61">
        <f>IF(ISERROR(AB23*100000000/'Calc-Units'!$C$21)," ",AB23*100000000/'Calc-Units'!$C$21)</f>
        <v>9.2619488386620329E-4</v>
      </c>
      <c r="AJ23" s="181">
        <f>IF(ISERROR(AC23*100000000/'Calc-Units'!$C$21)," ",AC23*100000000/'Calc-Units'!$C$21)</f>
        <v>3.8772904811344897E-3</v>
      </c>
      <c r="AK23" s="67"/>
      <c r="AL23" s="63">
        <v>0.52569999999999995</v>
      </c>
      <c r="AM23" s="94">
        <f t="shared" si="10"/>
        <v>1.446818015528059</v>
      </c>
      <c r="AN23" s="57">
        <f t="shared" si="11"/>
        <v>1.305356257875135</v>
      </c>
      <c r="AO23" s="56"/>
      <c r="AP23" s="56"/>
      <c r="AQ23" s="59">
        <f t="shared" si="12"/>
        <v>0.37515143081743996</v>
      </c>
      <c r="AR23" s="59">
        <f t="shared" si="13"/>
        <v>0.26546537124248881</v>
      </c>
      <c r="AS23" s="59">
        <f t="shared" si="14"/>
        <v>7.4630379432639643E-2</v>
      </c>
      <c r="AT23" s="111">
        <f t="shared" si="15"/>
        <v>0.31242200191145725</v>
      </c>
      <c r="AU23" s="111">
        <f t="shared" si="16"/>
        <v>0.27768707447110941</v>
      </c>
      <c r="AV23" s="60"/>
      <c r="AW23" s="67"/>
      <c r="AX23" s="61">
        <f>IF(ISERROR(AQ23*100000000/'Calc-Units'!$E$21)," ",AQ23*100000000/'Calc-Units'!$E$21)</f>
        <v>1.4808483073118957E-3</v>
      </c>
      <c r="AY23" s="61">
        <f>IF(ISERROR(AR23*100000000/'Calc-Units'!$D$21)," ",AR23*100000000/'Calc-Units'!$D$21)</f>
        <v>1.1073642987100333E-3</v>
      </c>
      <c r="AZ23" s="61">
        <f>IF(ISERROR(AS23*100000000/'Calc-Units'!$C$21)," ",AS23*100000000/'Calc-Units'!$C$21)</f>
        <v>4.3929423341774028E-4</v>
      </c>
      <c r="BA23" s="181">
        <f>IF(ISERROR(AT23*100000000/'Calc-Units'!$C$21)," ",AT23*100000000/'Calc-Units'!$C$21)</f>
        <v>1.8389988752020889E-3</v>
      </c>
      <c r="BC23" s="65"/>
      <c r="BD23" s="65"/>
    </row>
    <row r="24" spans="1:56" s="68" customFormat="1">
      <c r="A24" s="69"/>
      <c r="B24" s="2241"/>
      <c r="C24" s="92" t="s">
        <v>505</v>
      </c>
      <c r="D24" s="96">
        <f>'RRP 1.3'!V$12</f>
        <v>0.81469405929801364</v>
      </c>
      <c r="E24" s="96">
        <v>0</v>
      </c>
      <c r="F24" s="96">
        <v>0</v>
      </c>
      <c r="G24" s="96">
        <v>0</v>
      </c>
      <c r="H24" s="96">
        <v>0</v>
      </c>
      <c r="I24" s="96">
        <f t="shared" si="0"/>
        <v>0.81469405929801364</v>
      </c>
      <c r="J24" s="64"/>
      <c r="K24" s="96" t="s">
        <v>484</v>
      </c>
      <c r="L24" s="106">
        <f>IF(ISERROR(VLOOKUP($K24,'Calc-Drivers'!$B$17:$G$27,L$42,FALSE))," ",VLOOKUP($K24,'Calc-Drivers'!$B$17:$G$27,L$42,FALSE))</f>
        <v>0.28739390381298147</v>
      </c>
      <c r="M24" s="106">
        <f>IF(ISERROR(VLOOKUP($K24,'Calc-Drivers'!$B$17:$G$27,M$42,FALSE))," ",VLOOKUP($K24,'Calc-Drivers'!$B$17:$G$27,M$42,FALSE))</f>
        <v>0.20336622254725664</v>
      </c>
      <c r="N24" s="106">
        <f>IF(ISERROR(VLOOKUP($K24,'Calc-Drivers'!$B$17:$G$27,N$42,FALSE))," ",VLOOKUP($K24,'Calc-Drivers'!$B$17:$G$27,N$42,FALSE))</f>
        <v>5.7172422457393603E-2</v>
      </c>
      <c r="O24" s="106">
        <f>IF(ISERROR(VLOOKUP($K24,'Calc-Drivers'!$B$17:$G$27,O$42,FALSE))," ",VLOOKUP($K24,'Calc-Drivers'!$B$17:$G$27,O$42,FALSE))</f>
        <v>0.23933849477997618</v>
      </c>
      <c r="P24" s="106">
        <f>IF(ISERROR(VLOOKUP($K24,'Calc-Drivers'!$B$17:$G$27,P$42,FALSE))," ",VLOOKUP($K24,'Calc-Drivers'!$B$17:$G$27,P$42,FALSE))</f>
        <v>0.21272895640239217</v>
      </c>
      <c r="Q24" s="118"/>
      <c r="R24" s="58"/>
      <c r="S24" s="59">
        <f t="shared" si="1"/>
        <v>0.23413810611490074</v>
      </c>
      <c r="T24" s="59">
        <f t="shared" si="2"/>
        <v>0.16568125337112774</v>
      </c>
      <c r="U24" s="59">
        <f t="shared" si="3"/>
        <v>4.6578032931714912E-2</v>
      </c>
      <c r="V24" s="111">
        <f t="shared" si="4"/>
        <v>0.19498764985857525</v>
      </c>
      <c r="W24" s="111">
        <f t="shared" si="4"/>
        <v>0.17330901702169504</v>
      </c>
      <c r="X24" s="60"/>
      <c r="Y24" s="65"/>
      <c r="Z24" s="59">
        <f t="shared" si="5"/>
        <v>0.23413810611490074</v>
      </c>
      <c r="AA24" s="59">
        <f t="shared" si="6"/>
        <v>0.16568125337112774</v>
      </c>
      <c r="AB24" s="59">
        <f t="shared" si="7"/>
        <v>4.6578032931714912E-2</v>
      </c>
      <c r="AC24" s="111">
        <f t="shared" si="8"/>
        <v>0.19498764985857525</v>
      </c>
      <c r="AD24" s="111">
        <f t="shared" si="9"/>
        <v>0.17330901702169504</v>
      </c>
      <c r="AE24" s="60"/>
      <c r="AF24" s="66"/>
      <c r="AG24" s="61">
        <f>IF(ISERROR(Z24*100000000/'Calc-Units'!$E$21)," ",Z24*100000000/'Calc-Units'!$E$21)</f>
        <v>9.242215000005951E-4</v>
      </c>
      <c r="AH24" s="61">
        <f>IF(ISERROR(AA24*100000000/'Calc-Units'!$D$21)," ",AA24*100000000/'Calc-Units'!$D$21)</f>
        <v>6.9112405919462966E-4</v>
      </c>
      <c r="AI24" s="61">
        <f>IF(ISERROR(AB24*100000000/'Calc-Units'!$C$21)," ",AB24*100000000/'Calc-Units'!$C$21)</f>
        <v>2.7417067186844734E-4</v>
      </c>
      <c r="AJ24" s="181">
        <f>IF(ISERROR(AC24*100000000/'Calc-Units'!$C$21)," ",AC24*100000000/'Calc-Units'!$C$21)</f>
        <v>1.147749091211071E-3</v>
      </c>
      <c r="AK24" s="67"/>
      <c r="AL24" s="63">
        <v>0.52569999999999995</v>
      </c>
      <c r="AM24" s="94">
        <f t="shared" si="10"/>
        <v>0.42828466697296574</v>
      </c>
      <c r="AN24" s="57">
        <f t="shared" si="11"/>
        <v>0.3864093923250479</v>
      </c>
      <c r="AO24" s="56"/>
      <c r="AP24" s="56"/>
      <c r="AQ24" s="59">
        <f t="shared" si="12"/>
        <v>0.11105170373029744</v>
      </c>
      <c r="AR24" s="59">
        <f t="shared" si="13"/>
        <v>7.8582618473925892E-2</v>
      </c>
      <c r="AS24" s="59">
        <f t="shared" si="14"/>
        <v>2.2091961019512385E-2</v>
      </c>
      <c r="AT24" s="111">
        <f t="shared" si="15"/>
        <v>9.2482642327922249E-2</v>
      </c>
      <c r="AU24" s="111">
        <f t="shared" si="16"/>
        <v>8.2200466773389963E-2</v>
      </c>
      <c r="AV24" s="60"/>
      <c r="AW24" s="67"/>
      <c r="AX24" s="61">
        <f>IF(ISERROR(AQ24*100000000/'Calc-Units'!$E$21)," ",AQ24*100000000/'Calc-Units'!$E$21)</f>
        <v>4.383582574502823E-4</v>
      </c>
      <c r="AY24" s="61">
        <f>IF(ISERROR(AR24*100000000/'Calc-Units'!$D$21)," ",AR24*100000000/'Calc-Units'!$D$21)</f>
        <v>3.2780014127601286E-4</v>
      </c>
      <c r="AZ24" s="61">
        <f>IF(ISERROR(AS24*100000000/'Calc-Units'!$C$21)," ",AS24*100000000/'Calc-Units'!$C$21)</f>
        <v>1.3003914966720461E-4</v>
      </c>
      <c r="BA24" s="181">
        <f>IF(ISERROR(AT24*100000000/'Calc-Units'!$C$21)," ",AT24*100000000/'Calc-Units'!$C$21)</f>
        <v>5.443773939614111E-4</v>
      </c>
      <c r="BC24" s="65"/>
      <c r="BD24" s="65"/>
    </row>
    <row r="25" spans="1:56" s="68" customFormat="1">
      <c r="A25" s="69"/>
      <c r="B25" s="2241"/>
      <c r="C25" s="92" t="s">
        <v>189</v>
      </c>
      <c r="D25" s="96">
        <f>'RRP 1.3'!W$12</f>
        <v>8.6435311720759582</v>
      </c>
      <c r="E25" s="96">
        <v>0</v>
      </c>
      <c r="F25" s="96">
        <v>0</v>
      </c>
      <c r="G25" s="96">
        <v>0</v>
      </c>
      <c r="H25" s="96">
        <v>0</v>
      </c>
      <c r="I25" s="96">
        <f t="shared" si="0"/>
        <v>8.6435311720759582</v>
      </c>
      <c r="J25" s="64"/>
      <c r="K25" s="96" t="s">
        <v>484</v>
      </c>
      <c r="L25" s="106">
        <f>IF(ISERROR(VLOOKUP($K25,'Calc-Drivers'!$B$17:$G$27,L$42,FALSE))," ",VLOOKUP($K25,'Calc-Drivers'!$B$17:$G$27,L$42,FALSE))</f>
        <v>0.28739390381298147</v>
      </c>
      <c r="M25" s="106">
        <f>IF(ISERROR(VLOOKUP($K25,'Calc-Drivers'!$B$17:$G$27,M$42,FALSE))," ",VLOOKUP($K25,'Calc-Drivers'!$B$17:$G$27,M$42,FALSE))</f>
        <v>0.20336622254725664</v>
      </c>
      <c r="N25" s="106">
        <f>IF(ISERROR(VLOOKUP($K25,'Calc-Drivers'!$B$17:$G$27,N$42,FALSE))," ",VLOOKUP($K25,'Calc-Drivers'!$B$17:$G$27,N$42,FALSE))</f>
        <v>5.7172422457393603E-2</v>
      </c>
      <c r="O25" s="106">
        <f>IF(ISERROR(VLOOKUP($K25,'Calc-Drivers'!$B$17:$G$27,O$42,FALSE))," ",VLOOKUP($K25,'Calc-Drivers'!$B$17:$G$27,O$42,FALSE))</f>
        <v>0.23933849477997618</v>
      </c>
      <c r="P25" s="106">
        <f>IF(ISERROR(VLOOKUP($K25,'Calc-Drivers'!$B$17:$G$27,P$42,FALSE))," ",VLOOKUP($K25,'Calc-Drivers'!$B$17:$G$27,P$42,FALSE))</f>
        <v>0.21272895640239217</v>
      </c>
      <c r="Q25" s="118"/>
      <c r="R25" s="58"/>
      <c r="S25" s="59">
        <f t="shared" si="1"/>
        <v>2.4840981662721049</v>
      </c>
      <c r="T25" s="59">
        <f t="shared" si="2"/>
        <v>1.7578022839345493</v>
      </c>
      <c r="U25" s="59">
        <f t="shared" si="3"/>
        <v>0.49417161569357715</v>
      </c>
      <c r="V25" s="111">
        <f t="shared" si="4"/>
        <v>2.0687297403084632</v>
      </c>
      <c r="W25" s="111">
        <f t="shared" si="4"/>
        <v>1.8387293658672643</v>
      </c>
      <c r="X25" s="60"/>
      <c r="Y25" s="65"/>
      <c r="Z25" s="59">
        <f t="shared" si="5"/>
        <v>2.4840981662721049</v>
      </c>
      <c r="AA25" s="59">
        <f t="shared" si="6"/>
        <v>1.7578022839345493</v>
      </c>
      <c r="AB25" s="59">
        <f t="shared" si="7"/>
        <v>0.49417161569357715</v>
      </c>
      <c r="AC25" s="111">
        <f t="shared" si="8"/>
        <v>2.0687297403084632</v>
      </c>
      <c r="AD25" s="111">
        <f t="shared" si="9"/>
        <v>1.8387293658672643</v>
      </c>
      <c r="AE25" s="60"/>
      <c r="AF25" s="66"/>
      <c r="AG25" s="61">
        <f>IF(ISERROR(Z25*100000000/'Calc-Units'!$E$21)," ",Z25*100000000/'Calc-Units'!$E$21)</f>
        <v>9.8055671991045552E-3</v>
      </c>
      <c r="AH25" s="61">
        <f>IF(ISERROR(AA25*100000000/'Calc-Units'!$D$21)," ",AA25*100000000/'Calc-Units'!$D$21)</f>
        <v>7.3325100155606556E-3</v>
      </c>
      <c r="AI25" s="61">
        <f>IF(ISERROR(AB25*100000000/'Calc-Units'!$C$21)," ",AB25*100000000/'Calc-Units'!$C$21)</f>
        <v>2.9088253703554549E-3</v>
      </c>
      <c r="AJ25" s="181">
        <f>IF(ISERROR(AC25*100000000/'Calc-Units'!$C$21)," ",AC25*100000000/'Calc-Units'!$C$21)</f>
        <v>1.2177092657522136E-2</v>
      </c>
      <c r="AK25" s="67"/>
      <c r="AL25" s="63">
        <v>0.52569999999999995</v>
      </c>
      <c r="AM25" s="94">
        <f t="shared" si="10"/>
        <v>4.5439043371603312</v>
      </c>
      <c r="AN25" s="57">
        <f t="shared" si="11"/>
        <v>4.0996268349156271</v>
      </c>
      <c r="AO25" s="56"/>
      <c r="AP25" s="56"/>
      <c r="AQ25" s="59">
        <f t="shared" si="12"/>
        <v>1.1782077602628596</v>
      </c>
      <c r="AR25" s="59">
        <f t="shared" si="13"/>
        <v>0.83372562327015687</v>
      </c>
      <c r="AS25" s="59">
        <f t="shared" si="14"/>
        <v>0.23438559732346367</v>
      </c>
      <c r="AT25" s="111">
        <f t="shared" si="15"/>
        <v>0.9811985158283042</v>
      </c>
      <c r="AU25" s="111">
        <f t="shared" si="16"/>
        <v>0.87210933823084358</v>
      </c>
      <c r="AV25" s="60"/>
      <c r="AW25" s="67"/>
      <c r="AX25" s="61">
        <f>IF(ISERROR(AQ25*100000000/'Calc-Units'!$E$21)," ",AQ25*100000000/'Calc-Units'!$E$21)</f>
        <v>4.6507805225352913E-3</v>
      </c>
      <c r="AY25" s="61">
        <f>IF(ISERROR(AR25*100000000/'Calc-Units'!$D$21)," ",AR25*100000000/'Calc-Units'!$D$21)</f>
        <v>3.4778095003804195E-3</v>
      </c>
      <c r="AZ25" s="61">
        <f>IF(ISERROR(AS25*100000000/'Calc-Units'!$C$21)," ",AS25*100000000/'Calc-Units'!$C$21)</f>
        <v>1.3796558731595924E-3</v>
      </c>
      <c r="BA25" s="181">
        <f>IF(ISERROR(AT25*100000000/'Calc-Units'!$C$21)," ",AT25*100000000/'Calc-Units'!$C$21)</f>
        <v>5.7755950474627496E-3</v>
      </c>
      <c r="BC25" s="65"/>
      <c r="BD25" s="65"/>
    </row>
    <row r="26" spans="1:56" s="68" customFormat="1">
      <c r="A26" s="72"/>
      <c r="B26" s="2242"/>
      <c r="C26" s="92" t="s">
        <v>474</v>
      </c>
      <c r="D26" s="96">
        <f>'RRP 1.3'!X$12</f>
        <v>2.3115403502563221</v>
      </c>
      <c r="E26" s="96">
        <v>0</v>
      </c>
      <c r="F26" s="96">
        <v>0</v>
      </c>
      <c r="G26" s="96">
        <v>0</v>
      </c>
      <c r="H26" s="96">
        <v>0</v>
      </c>
      <c r="I26" s="96">
        <f t="shared" si="0"/>
        <v>2.3115403502563221</v>
      </c>
      <c r="J26" s="64"/>
      <c r="K26" s="113" t="s">
        <v>484</v>
      </c>
      <c r="L26" s="106">
        <f>IF(ISERROR(VLOOKUP($K26,'Calc-Drivers'!$B$17:$G$27,L$42,FALSE))," ",VLOOKUP($K26,'Calc-Drivers'!$B$17:$G$27,L$42,FALSE))</f>
        <v>0.28739390381298147</v>
      </c>
      <c r="M26" s="106">
        <f>IF(ISERROR(VLOOKUP($K26,'Calc-Drivers'!$B$17:$G$27,M$42,FALSE))," ",VLOOKUP($K26,'Calc-Drivers'!$B$17:$G$27,M$42,FALSE))</f>
        <v>0.20336622254725664</v>
      </c>
      <c r="N26" s="106">
        <f>IF(ISERROR(VLOOKUP($K26,'Calc-Drivers'!$B$17:$G$27,N$42,FALSE))," ",VLOOKUP($K26,'Calc-Drivers'!$B$17:$G$27,N$42,FALSE))</f>
        <v>5.7172422457393603E-2</v>
      </c>
      <c r="O26" s="106">
        <f>IF(ISERROR(VLOOKUP($K26,'Calc-Drivers'!$B$17:$G$27,O$42,FALSE))," ",VLOOKUP($K26,'Calc-Drivers'!$B$17:$G$27,O$42,FALSE))</f>
        <v>0.23933849477997618</v>
      </c>
      <c r="P26" s="106">
        <f>IF(ISERROR(VLOOKUP($K26,'Calc-Drivers'!$B$17:$G$27,P$42,FALSE))," ",VLOOKUP($K26,'Calc-Drivers'!$B$17:$G$27,P$42,FALSE))</f>
        <v>0.21272895640239217</v>
      </c>
      <c r="Q26" s="118"/>
      <c r="R26" s="58"/>
      <c r="S26" s="59">
        <f t="shared" si="1"/>
        <v>0.66432260508139096</v>
      </c>
      <c r="T26" s="59">
        <f t="shared" si="2"/>
        <v>0.47008922929719077</v>
      </c>
      <c r="U26" s="59">
        <f t="shared" si="3"/>
        <v>0.13215636143216603</v>
      </c>
      <c r="V26" s="111">
        <f t="shared" si="4"/>
        <v>0.55324058805352705</v>
      </c>
      <c r="W26" s="111">
        <f t="shared" si="4"/>
        <v>0.49173156639204746</v>
      </c>
      <c r="X26" s="60"/>
      <c r="Y26" s="65"/>
      <c r="Z26" s="115">
        <f t="shared" si="5"/>
        <v>0.66432260508139096</v>
      </c>
      <c r="AA26" s="115">
        <f t="shared" si="6"/>
        <v>0.47008922929719077</v>
      </c>
      <c r="AB26" s="115">
        <f t="shared" si="7"/>
        <v>0.13215636143216603</v>
      </c>
      <c r="AC26" s="112">
        <f t="shared" si="8"/>
        <v>0.55324058805352705</v>
      </c>
      <c r="AD26" s="112">
        <f t="shared" si="9"/>
        <v>0.49173156639204746</v>
      </c>
      <c r="AE26" s="60"/>
      <c r="AF26" s="66"/>
      <c r="AG26" s="182">
        <f>IF(ISERROR(Z26*100000000/'Calc-Units'!$E$21)," ",Z26*100000000/'Calc-Units'!$E$21)</f>
        <v>2.6223037537141496E-3</v>
      </c>
      <c r="AH26" s="182">
        <f>IF(ISERROR(AA26*100000000/'Calc-Units'!$D$21)," ",AA26*100000000/'Calc-Units'!$D$21)</f>
        <v>1.9609338396770369E-3</v>
      </c>
      <c r="AI26" s="182">
        <f>IF(ISERROR(AB26*100000000/'Calc-Units'!$C$21)," ",AB26*100000000/'Calc-Units'!$C$21)</f>
        <v>7.7790744101765305E-4</v>
      </c>
      <c r="AJ26" s="183">
        <f>IF(ISERROR(AC26*100000000/'Calc-Units'!$C$21)," ",AC26*100000000/'Calc-Units'!$C$21)</f>
        <v>3.2565210289988464E-3</v>
      </c>
      <c r="AK26" s="67"/>
      <c r="AL26" s="212">
        <v>0.52569999999999995</v>
      </c>
      <c r="AM26" s="104">
        <f t="shared" si="10"/>
        <v>1.2151767621297485</v>
      </c>
      <c r="AN26" s="185">
        <f t="shared" si="11"/>
        <v>1.0963635881265736</v>
      </c>
      <c r="AO26" s="56"/>
      <c r="AP26" s="56"/>
      <c r="AQ26" s="115">
        <f t="shared" si="12"/>
        <v>0.31508821159010375</v>
      </c>
      <c r="AR26" s="115">
        <f t="shared" si="13"/>
        <v>0.22296332145565761</v>
      </c>
      <c r="AS26" s="115">
        <f t="shared" si="14"/>
        <v>6.2681762227276352E-2</v>
      </c>
      <c r="AT26" s="112">
        <f t="shared" si="15"/>
        <v>0.2624020109137879</v>
      </c>
      <c r="AU26" s="112">
        <f t="shared" si="16"/>
        <v>0.23322828193974815</v>
      </c>
      <c r="AV26" s="60"/>
      <c r="AW26" s="67"/>
      <c r="AX26" s="182">
        <f>IF(ISERROR(AQ26*100000000/'Calc-Units'!$E$21)," ",AQ26*100000000/'Calc-Units'!$E$21)</f>
        <v>1.2437586703866212E-3</v>
      </c>
      <c r="AY26" s="182">
        <f>IF(ISERROR(AR26*100000000/'Calc-Units'!$D$21)," ",AR26*100000000/'Calc-Units'!$D$21)</f>
        <v>9.3007092015881879E-4</v>
      </c>
      <c r="AZ26" s="182">
        <f>IF(ISERROR(AS26*100000000/'Calc-Units'!$C$21)," ",AS26*100000000/'Calc-Units'!$C$21)</f>
        <v>3.6896149927467288E-4</v>
      </c>
      <c r="BA26" s="183">
        <f>IF(ISERROR(AT26*100000000/'Calc-Units'!$C$21)," ",AT26*100000000/'Calc-Units'!$C$21)</f>
        <v>1.544567924054153E-3</v>
      </c>
      <c r="BC26" s="65"/>
      <c r="BD26" s="65"/>
    </row>
    <row r="27" spans="1:56" s="53" customFormat="1" ht="12.75" customHeight="1">
      <c r="A27" s="71" t="s">
        <v>325</v>
      </c>
      <c r="B27" s="88"/>
      <c r="C27" s="71" t="s">
        <v>475</v>
      </c>
      <c r="D27" s="97">
        <f>'RRP 1.3'!Y$12</f>
        <v>15.445247999999999</v>
      </c>
      <c r="E27" s="97">
        <v>0</v>
      </c>
      <c r="F27" s="97">
        <v>0</v>
      </c>
      <c r="G27" s="97">
        <v>0</v>
      </c>
      <c r="H27" s="97">
        <v>0</v>
      </c>
      <c r="I27" s="97">
        <f t="shared" si="0"/>
        <v>15.445247999999999</v>
      </c>
      <c r="J27" s="56"/>
      <c r="K27" s="98" t="s">
        <v>473</v>
      </c>
      <c r="L27" s="106" t="str">
        <f>IF(ISERROR(VLOOKUP($K27,'Calc-Drivers'!$B$17:$G$27,L$42,FALSE))," ",VLOOKUP($K27,'Calc-Drivers'!$B$17:$G$27,L$42,FALSE))</f>
        <v xml:space="preserve"> </v>
      </c>
      <c r="M27" s="106" t="str">
        <f>IF(ISERROR(VLOOKUP($K27,'Calc-Drivers'!$B$17:$G$27,M$42,FALSE))," ",VLOOKUP($K27,'Calc-Drivers'!$B$17:$G$27,M$42,FALSE))</f>
        <v xml:space="preserve"> </v>
      </c>
      <c r="N27" s="106" t="str">
        <f>IF(ISERROR(VLOOKUP($K27,'Calc-Drivers'!$B$17:$G$27,N$42,FALSE))," ",VLOOKUP($K27,'Calc-Drivers'!$B$17:$G$27,N$42,FALSE))</f>
        <v xml:space="preserve"> </v>
      </c>
      <c r="O27" s="106" t="str">
        <f>IF(ISERROR(VLOOKUP($K27,'Calc-Drivers'!$B$17:$G$27,O$42,FALSE))," ",VLOOKUP($K27,'Calc-Drivers'!$B$17:$G$27,O$42,FALSE))</f>
        <v xml:space="preserve"> </v>
      </c>
      <c r="P27" s="106" t="str">
        <f>IF(ISERROR(VLOOKUP($K27,'Calc-Drivers'!$B$17:$G$27,P$42,FALSE))," ",VLOOKUP($K27,'Calc-Drivers'!$B$17:$G$27,P$42,FALSE))</f>
        <v xml:space="preserve"> </v>
      </c>
      <c r="Q27" s="118"/>
      <c r="R27" s="58"/>
      <c r="S27" s="114" t="str">
        <f t="shared" si="1"/>
        <v xml:space="preserve"> </v>
      </c>
      <c r="T27" s="114" t="str">
        <f t="shared" si="2"/>
        <v xml:space="preserve"> </v>
      </c>
      <c r="U27" s="114" t="str">
        <f t="shared" si="3"/>
        <v xml:space="preserve"> </v>
      </c>
      <c r="V27" s="110" t="str">
        <f t="shared" si="4"/>
        <v xml:space="preserve"> </v>
      </c>
      <c r="W27" s="110" t="str">
        <f t="shared" si="4"/>
        <v xml:space="preserve"> </v>
      </c>
      <c r="X27" s="60"/>
      <c r="Y27" s="54"/>
      <c r="Z27" s="114" t="str">
        <f t="shared" si="5"/>
        <v xml:space="preserve"> </v>
      </c>
      <c r="AA27" s="114" t="str">
        <f t="shared" si="6"/>
        <v xml:space="preserve"> </v>
      </c>
      <c r="AB27" s="114" t="str">
        <f t="shared" si="7"/>
        <v xml:space="preserve"> </v>
      </c>
      <c r="AC27" s="110" t="str">
        <f t="shared" si="8"/>
        <v xml:space="preserve"> </v>
      </c>
      <c r="AD27" s="110" t="str">
        <f t="shared" si="9"/>
        <v xml:space="preserve"> </v>
      </c>
      <c r="AE27" s="60"/>
      <c r="AF27" s="60"/>
      <c r="AG27" s="209" t="str">
        <f>IF(ISERROR(Z27*100000000/'Calc-Units'!$E$21)," ",Z27*100000000/'Calc-Units'!$E$21)</f>
        <v xml:space="preserve"> </v>
      </c>
      <c r="AH27" s="209" t="str">
        <f>IF(ISERROR(AA27*100000000/'Calc-Units'!$D$21)," ",AA27*100000000/'Calc-Units'!$D$21)</f>
        <v xml:space="preserve"> </v>
      </c>
      <c r="AI27" s="209" t="str">
        <f>IF(ISERROR(AB27*100000000/'Calc-Units'!$C$21)," ",AB27*100000000/'Calc-Units'!$C$21)</f>
        <v xml:space="preserve"> </v>
      </c>
      <c r="AJ27" s="210" t="str">
        <f>IF(ISERROR(AC27*100000000/'Calc-Units'!$C$21)," ",AC27*100000000/'Calc-Units'!$C$21)</f>
        <v xml:space="preserve"> </v>
      </c>
      <c r="AK27" s="62"/>
      <c r="AL27" s="70">
        <v>0</v>
      </c>
      <c r="AM27" s="94">
        <f t="shared" si="10"/>
        <v>0</v>
      </c>
      <c r="AN27" s="57">
        <f t="shared" si="11"/>
        <v>15.445247999999999</v>
      </c>
      <c r="AO27" s="56"/>
      <c r="AP27" s="56"/>
      <c r="AQ27" s="114" t="str">
        <f t="shared" si="12"/>
        <v xml:space="preserve"> </v>
      </c>
      <c r="AR27" s="114" t="str">
        <f t="shared" si="13"/>
        <v xml:space="preserve"> </v>
      </c>
      <c r="AS27" s="114" t="str">
        <f t="shared" si="14"/>
        <v xml:space="preserve"> </v>
      </c>
      <c r="AT27" s="110" t="str">
        <f t="shared" si="15"/>
        <v xml:space="preserve"> </v>
      </c>
      <c r="AU27" s="110" t="str">
        <f t="shared" si="16"/>
        <v xml:space="preserve"> </v>
      </c>
      <c r="AV27" s="60"/>
      <c r="AW27" s="62"/>
      <c r="AX27" s="209" t="str">
        <f>IF(ISERROR(AQ27*100000000/'Calc-Units'!$E$21)," ",AQ27*100000000/'Calc-Units'!$E$21)</f>
        <v xml:space="preserve"> </v>
      </c>
      <c r="AY27" s="209" t="str">
        <f>IF(ISERROR(AR27*100000000/'Calc-Units'!$D$21)," ",AR27*100000000/'Calc-Units'!$D$21)</f>
        <v xml:space="preserve"> </v>
      </c>
      <c r="AZ27" s="209" t="str">
        <f>IF(ISERROR(AS27*100000000/'Calc-Units'!$C$21)," ",AS27*100000000/'Calc-Units'!$C$21)</f>
        <v xml:space="preserve"> </v>
      </c>
      <c r="BA27" s="210" t="str">
        <f>IF(ISERROR(AT27*100000000/'Calc-Units'!$C$21)," ",AT27*100000000/'Calc-Units'!$C$21)</f>
        <v xml:space="preserve"> </v>
      </c>
      <c r="BC27" s="65"/>
      <c r="BD27" s="54"/>
    </row>
    <row r="28" spans="1:56" s="53" customFormat="1">
      <c r="A28" s="69"/>
      <c r="B28" s="89"/>
      <c r="C28" s="69" t="s">
        <v>476</v>
      </c>
      <c r="D28" s="98">
        <f>'RRP 1.3'!Z$12</f>
        <v>0</v>
      </c>
      <c r="E28" s="98">
        <v>0</v>
      </c>
      <c r="F28" s="98">
        <v>0</v>
      </c>
      <c r="G28" s="98">
        <v>0</v>
      </c>
      <c r="H28" s="98">
        <v>0</v>
      </c>
      <c r="I28" s="98">
        <f t="shared" si="0"/>
        <v>0</v>
      </c>
      <c r="J28" s="56"/>
      <c r="K28" s="97" t="s">
        <v>473</v>
      </c>
      <c r="L28" s="179" t="str">
        <f>IF(ISERROR(VLOOKUP($K28,'Calc-Drivers'!$B$17:$G$27,L$42,FALSE))," ",VLOOKUP($K28,'Calc-Drivers'!$B$17:$G$27,L$42,FALSE))</f>
        <v xml:space="preserve"> </v>
      </c>
      <c r="M28" s="179" t="str">
        <f>IF(ISERROR(VLOOKUP($K28,'Calc-Drivers'!$B$17:$G$27,M$42,FALSE))," ",VLOOKUP($K28,'Calc-Drivers'!$B$17:$G$27,M$42,FALSE))</f>
        <v xml:space="preserve"> </v>
      </c>
      <c r="N28" s="179" t="str">
        <f>IF(ISERROR(VLOOKUP($K28,'Calc-Drivers'!$B$17:$G$27,N$42,FALSE))," ",VLOOKUP($K28,'Calc-Drivers'!$B$17:$G$27,N$42,FALSE))</f>
        <v xml:space="preserve"> </v>
      </c>
      <c r="O28" s="179" t="str">
        <f>IF(ISERROR(VLOOKUP($K28,'Calc-Drivers'!$B$17:$G$27,O$42,FALSE))," ",VLOOKUP($K28,'Calc-Drivers'!$B$17:$G$27,O$42,FALSE))</f>
        <v xml:space="preserve"> </v>
      </c>
      <c r="P28" s="179" t="str">
        <f>IF(ISERROR(VLOOKUP($K28,'Calc-Drivers'!$B$17:$G$27,P$42,FALSE))," ",VLOOKUP($K28,'Calc-Drivers'!$B$17:$G$27,P$42,FALSE))</f>
        <v xml:space="preserve"> </v>
      </c>
      <c r="Q28" s="118"/>
      <c r="R28" s="58"/>
      <c r="S28" s="59" t="str">
        <f t="shared" si="1"/>
        <v xml:space="preserve"> </v>
      </c>
      <c r="T28" s="59" t="str">
        <f t="shared" si="2"/>
        <v xml:space="preserve"> </v>
      </c>
      <c r="U28" s="59" t="str">
        <f t="shared" si="3"/>
        <v xml:space="preserve"> </v>
      </c>
      <c r="V28" s="111" t="str">
        <f t="shared" si="4"/>
        <v xml:space="preserve"> </v>
      </c>
      <c r="W28" s="111" t="str">
        <f t="shared" si="4"/>
        <v xml:space="preserve"> </v>
      </c>
      <c r="X28" s="60"/>
      <c r="Y28" s="54"/>
      <c r="Z28" s="59" t="str">
        <f t="shared" si="5"/>
        <v xml:space="preserve"> </v>
      </c>
      <c r="AA28" s="59" t="str">
        <f t="shared" si="6"/>
        <v xml:space="preserve"> </v>
      </c>
      <c r="AB28" s="59" t="str">
        <f t="shared" si="7"/>
        <v xml:space="preserve"> </v>
      </c>
      <c r="AC28" s="111" t="str">
        <f t="shared" si="8"/>
        <v xml:space="preserve"> </v>
      </c>
      <c r="AD28" s="111" t="str">
        <f t="shared" si="9"/>
        <v xml:space="preserve"> </v>
      </c>
      <c r="AE28" s="60"/>
      <c r="AF28" s="60"/>
      <c r="AG28" s="61" t="str">
        <f>IF(ISERROR(Z28*100000000/'Calc-Units'!$E$21)," ",Z28*100000000/'Calc-Units'!$E$21)</f>
        <v xml:space="preserve"> </v>
      </c>
      <c r="AH28" s="61" t="str">
        <f>IF(ISERROR(AA28*100000000/'Calc-Units'!$D$21)," ",AA28*100000000/'Calc-Units'!$D$21)</f>
        <v xml:space="preserve"> </v>
      </c>
      <c r="AI28" s="61" t="str">
        <f>IF(ISERROR(AB28*100000000/'Calc-Units'!$C$21)," ",AB28*100000000/'Calc-Units'!$C$21)</f>
        <v xml:space="preserve"> </v>
      </c>
      <c r="AJ28" s="181" t="str">
        <f>IF(ISERROR(AC28*100000000/'Calc-Units'!$C$21)," ",AC28*100000000/'Calc-Units'!$C$21)</f>
        <v xml:space="preserve"> </v>
      </c>
      <c r="AK28" s="62"/>
      <c r="AL28" s="70">
        <v>0.57699999999999996</v>
      </c>
      <c r="AM28" s="94">
        <f t="shared" si="10"/>
        <v>0</v>
      </c>
      <c r="AN28" s="57">
        <f t="shared" si="11"/>
        <v>0</v>
      </c>
      <c r="AO28" s="56"/>
      <c r="AP28" s="56"/>
      <c r="AQ28" s="59" t="str">
        <f t="shared" si="12"/>
        <v xml:space="preserve"> </v>
      </c>
      <c r="AR28" s="59" t="str">
        <f t="shared" si="13"/>
        <v xml:space="preserve"> </v>
      </c>
      <c r="AS28" s="59" t="str">
        <f t="shared" si="14"/>
        <v xml:space="preserve"> </v>
      </c>
      <c r="AT28" s="111" t="str">
        <f t="shared" si="15"/>
        <v xml:space="preserve"> </v>
      </c>
      <c r="AU28" s="111" t="str">
        <f t="shared" si="16"/>
        <v xml:space="preserve"> </v>
      </c>
      <c r="AV28" s="60"/>
      <c r="AW28" s="62"/>
      <c r="AX28" s="61" t="str">
        <f>IF(ISERROR(AQ28*100000000/'Calc-Units'!$E$21)," ",AQ28*100000000/'Calc-Units'!$E$21)</f>
        <v xml:space="preserve"> </v>
      </c>
      <c r="AY28" s="61" t="str">
        <f>IF(ISERROR(AR28*100000000/'Calc-Units'!$D$21)," ",AR28*100000000/'Calc-Units'!$D$21)</f>
        <v xml:space="preserve"> </v>
      </c>
      <c r="AZ28" s="61" t="str">
        <f>IF(ISERROR(AS28*100000000/'Calc-Units'!$C$21)," ",AS28*100000000/'Calc-Units'!$C$21)</f>
        <v xml:space="preserve"> </v>
      </c>
      <c r="BA28" s="181" t="str">
        <f>IF(ISERROR(AT28*100000000/'Calc-Units'!$C$21)," ",AT28*100000000/'Calc-Units'!$C$21)</f>
        <v xml:space="preserve"> </v>
      </c>
      <c r="BC28" s="65"/>
      <c r="BD28" s="54"/>
    </row>
    <row r="29" spans="1:56" s="53" customFormat="1">
      <c r="A29" s="69"/>
      <c r="B29" s="89"/>
      <c r="C29" s="69" t="s">
        <v>774</v>
      </c>
      <c r="D29" s="98">
        <f>'RRP 1.3'!AA$12</f>
        <v>0.61796958946554414</v>
      </c>
      <c r="E29" s="98">
        <v>0</v>
      </c>
      <c r="F29" s="98">
        <v>0</v>
      </c>
      <c r="G29" s="98">
        <v>0</v>
      </c>
      <c r="H29" s="98">
        <v>0</v>
      </c>
      <c r="I29" s="98">
        <f t="shared" si="0"/>
        <v>0.61796958946554414</v>
      </c>
      <c r="J29" s="56"/>
      <c r="K29" s="98" t="s">
        <v>473</v>
      </c>
      <c r="L29" s="106" t="str">
        <f>IF(ISERROR(VLOOKUP($K29,'Calc-Drivers'!$B$17:$G$27,L$42,FALSE))," ",VLOOKUP($K29,'Calc-Drivers'!$B$17:$G$27,L$42,FALSE))</f>
        <v xml:space="preserve"> </v>
      </c>
      <c r="M29" s="106" t="str">
        <f>IF(ISERROR(VLOOKUP($K29,'Calc-Drivers'!$B$17:$G$27,M$42,FALSE))," ",VLOOKUP($K29,'Calc-Drivers'!$B$17:$G$27,M$42,FALSE))</f>
        <v xml:space="preserve"> </v>
      </c>
      <c r="N29" s="106" t="str">
        <f>IF(ISERROR(VLOOKUP($K29,'Calc-Drivers'!$B$17:$G$27,N$42,FALSE))," ",VLOOKUP($K29,'Calc-Drivers'!$B$17:$G$27,N$42,FALSE))</f>
        <v xml:space="preserve"> </v>
      </c>
      <c r="O29" s="106" t="str">
        <f>IF(ISERROR(VLOOKUP($K29,'Calc-Drivers'!$B$17:$G$27,O$42,FALSE))," ",VLOOKUP($K29,'Calc-Drivers'!$B$17:$G$27,O$42,FALSE))</f>
        <v xml:space="preserve"> </v>
      </c>
      <c r="P29" s="106" t="str">
        <f>IF(ISERROR(VLOOKUP($K29,'Calc-Drivers'!$B$17:$G$27,P$42,FALSE))," ",VLOOKUP($K29,'Calc-Drivers'!$B$17:$G$27,P$42,FALSE))</f>
        <v xml:space="preserve"> </v>
      </c>
      <c r="Q29" s="118"/>
      <c r="R29" s="58"/>
      <c r="S29" s="59" t="str">
        <f t="shared" si="1"/>
        <v xml:space="preserve"> </v>
      </c>
      <c r="T29" s="59" t="str">
        <f t="shared" si="2"/>
        <v xml:space="preserve"> </v>
      </c>
      <c r="U29" s="59" t="str">
        <f t="shared" si="3"/>
        <v xml:space="preserve"> </v>
      </c>
      <c r="V29" s="111" t="str">
        <f t="shared" si="4"/>
        <v xml:space="preserve"> </v>
      </c>
      <c r="W29" s="111" t="str">
        <f t="shared" si="4"/>
        <v xml:space="preserve"> </v>
      </c>
      <c r="X29" s="60"/>
      <c r="Y29" s="54"/>
      <c r="Z29" s="59" t="str">
        <f t="shared" si="5"/>
        <v xml:space="preserve"> </v>
      </c>
      <c r="AA29" s="59" t="str">
        <f t="shared" si="6"/>
        <v xml:space="preserve"> </v>
      </c>
      <c r="AB29" s="59" t="str">
        <f t="shared" si="7"/>
        <v xml:space="preserve"> </v>
      </c>
      <c r="AC29" s="111" t="str">
        <f t="shared" si="8"/>
        <v xml:space="preserve"> </v>
      </c>
      <c r="AD29" s="111" t="str">
        <f t="shared" si="9"/>
        <v xml:space="preserve"> </v>
      </c>
      <c r="AE29" s="60"/>
      <c r="AF29" s="60"/>
      <c r="AG29" s="61" t="str">
        <f>IF(ISERROR(Z29*100000000/'Calc-Units'!$E$21)," ",Z29*100000000/'Calc-Units'!$E$21)</f>
        <v xml:space="preserve"> </v>
      </c>
      <c r="AH29" s="61" t="str">
        <f>IF(ISERROR(AA29*100000000/'Calc-Units'!$D$21)," ",AA29*100000000/'Calc-Units'!$D$21)</f>
        <v xml:space="preserve"> </v>
      </c>
      <c r="AI29" s="61" t="str">
        <f>IF(ISERROR(AB29*100000000/'Calc-Units'!$C$21)," ",AB29*100000000/'Calc-Units'!$C$21)</f>
        <v xml:space="preserve"> </v>
      </c>
      <c r="AJ29" s="181" t="str">
        <f>IF(ISERROR(AC29*100000000/'Calc-Units'!$C$21)," ",AC29*100000000/'Calc-Units'!$C$21)</f>
        <v xml:space="preserve"> </v>
      </c>
      <c r="AK29" s="62"/>
      <c r="AL29" s="70">
        <v>0</v>
      </c>
      <c r="AM29" s="94">
        <f t="shared" si="10"/>
        <v>0</v>
      </c>
      <c r="AN29" s="57">
        <f t="shared" si="11"/>
        <v>0.61796958946554414</v>
      </c>
      <c r="AO29" s="56"/>
      <c r="AP29" s="56"/>
      <c r="AQ29" s="59" t="str">
        <f t="shared" si="12"/>
        <v xml:space="preserve"> </v>
      </c>
      <c r="AR29" s="59" t="str">
        <f t="shared" si="13"/>
        <v xml:space="preserve"> </v>
      </c>
      <c r="AS29" s="59" t="str">
        <f t="shared" si="14"/>
        <v xml:space="preserve"> </v>
      </c>
      <c r="AT29" s="111" t="str">
        <f t="shared" si="15"/>
        <v xml:space="preserve"> </v>
      </c>
      <c r="AU29" s="111" t="str">
        <f t="shared" si="16"/>
        <v xml:space="preserve"> </v>
      </c>
      <c r="AV29" s="60"/>
      <c r="AW29" s="62"/>
      <c r="AX29" s="61" t="str">
        <f>IF(ISERROR(AQ29*100000000/'Calc-Units'!$E$21)," ",AQ29*100000000/'Calc-Units'!$E$21)</f>
        <v xml:space="preserve"> </v>
      </c>
      <c r="AY29" s="61" t="str">
        <f>IF(ISERROR(AR29*100000000/'Calc-Units'!$D$21)," ",AR29*100000000/'Calc-Units'!$D$21)</f>
        <v xml:space="preserve"> </v>
      </c>
      <c r="AZ29" s="61" t="str">
        <f>IF(ISERROR(AS29*100000000/'Calc-Units'!$C$21)," ",AS29*100000000/'Calc-Units'!$C$21)</f>
        <v xml:space="preserve"> </v>
      </c>
      <c r="BA29" s="181" t="str">
        <f>IF(ISERROR(AT29*100000000/'Calc-Units'!$C$21)," ",AT29*100000000/'Calc-Units'!$C$21)</f>
        <v xml:space="preserve"> </v>
      </c>
      <c r="BC29" s="54"/>
      <c r="BD29" s="54"/>
    </row>
    <row r="30" spans="1:56" s="53" customFormat="1">
      <c r="A30" s="69"/>
      <c r="B30" s="89"/>
      <c r="C30" s="69" t="s">
        <v>775</v>
      </c>
      <c r="D30" s="98">
        <f>'RRP 1.3'!AB$12</f>
        <v>15.206595222076547</v>
      </c>
      <c r="E30" s="98">
        <v>0</v>
      </c>
      <c r="F30" s="98">
        <v>0</v>
      </c>
      <c r="G30" s="98">
        <v>0</v>
      </c>
      <c r="H30" s="98">
        <v>0</v>
      </c>
      <c r="I30" s="98">
        <f t="shared" si="0"/>
        <v>15.206595222076547</v>
      </c>
      <c r="J30" s="56"/>
      <c r="K30" s="98" t="s">
        <v>473</v>
      </c>
      <c r="L30" s="106" t="str">
        <f>IF(ISERROR(VLOOKUP($K30,'Calc-Drivers'!$B$17:$G$27,L$42,FALSE))," ",VLOOKUP($K30,'Calc-Drivers'!$B$17:$G$27,L$42,FALSE))</f>
        <v xml:space="preserve"> </v>
      </c>
      <c r="M30" s="106" t="str">
        <f>IF(ISERROR(VLOOKUP($K30,'Calc-Drivers'!$B$17:$G$27,M$42,FALSE))," ",VLOOKUP($K30,'Calc-Drivers'!$B$17:$G$27,M$42,FALSE))</f>
        <v xml:space="preserve"> </v>
      </c>
      <c r="N30" s="106" t="str">
        <f>IF(ISERROR(VLOOKUP($K30,'Calc-Drivers'!$B$17:$G$27,N$42,FALSE))," ",VLOOKUP($K30,'Calc-Drivers'!$B$17:$G$27,N$42,FALSE))</f>
        <v xml:space="preserve"> </v>
      </c>
      <c r="O30" s="106" t="str">
        <f>IF(ISERROR(VLOOKUP($K30,'Calc-Drivers'!$B$17:$G$27,O$42,FALSE))," ",VLOOKUP($K30,'Calc-Drivers'!$B$17:$G$27,O$42,FALSE))</f>
        <v xml:space="preserve"> </v>
      </c>
      <c r="P30" s="106" t="str">
        <f>IF(ISERROR(VLOOKUP($K30,'Calc-Drivers'!$B$17:$G$27,P$42,FALSE))," ",VLOOKUP($K30,'Calc-Drivers'!$B$17:$G$27,P$42,FALSE))</f>
        <v xml:space="preserve"> </v>
      </c>
      <c r="Q30" s="118"/>
      <c r="R30" s="58"/>
      <c r="S30" s="59" t="str">
        <f t="shared" si="1"/>
        <v xml:space="preserve"> </v>
      </c>
      <c r="T30" s="59" t="str">
        <f t="shared" si="2"/>
        <v xml:space="preserve"> </v>
      </c>
      <c r="U30" s="59" t="str">
        <f t="shared" si="3"/>
        <v xml:space="preserve"> </v>
      </c>
      <c r="V30" s="111" t="str">
        <f t="shared" si="4"/>
        <v xml:space="preserve"> </v>
      </c>
      <c r="W30" s="111" t="str">
        <f t="shared" si="4"/>
        <v xml:space="preserve"> </v>
      </c>
      <c r="X30" s="60"/>
      <c r="Y30" s="54"/>
      <c r="Z30" s="59" t="str">
        <f t="shared" si="5"/>
        <v xml:space="preserve"> </v>
      </c>
      <c r="AA30" s="59" t="str">
        <f t="shared" si="6"/>
        <v xml:space="preserve"> </v>
      </c>
      <c r="AB30" s="59" t="str">
        <f t="shared" si="7"/>
        <v xml:space="preserve"> </v>
      </c>
      <c r="AC30" s="111" t="str">
        <f t="shared" si="8"/>
        <v xml:space="preserve"> </v>
      </c>
      <c r="AD30" s="111" t="str">
        <f t="shared" si="9"/>
        <v xml:space="preserve"> </v>
      </c>
      <c r="AE30" s="60"/>
      <c r="AF30" s="60"/>
      <c r="AG30" s="61" t="str">
        <f>IF(ISERROR(Z30*100000000/'Calc-Units'!$E$21)," ",Z30*100000000/'Calc-Units'!$E$21)</f>
        <v xml:space="preserve"> </v>
      </c>
      <c r="AH30" s="61" t="str">
        <f>IF(ISERROR(AA30*100000000/'Calc-Units'!$D$21)," ",AA30*100000000/'Calc-Units'!$D$21)</f>
        <v xml:space="preserve"> </v>
      </c>
      <c r="AI30" s="61" t="str">
        <f>IF(ISERROR(AB30*100000000/'Calc-Units'!$C$21)," ",AB30*100000000/'Calc-Units'!$C$21)</f>
        <v xml:space="preserve"> </v>
      </c>
      <c r="AJ30" s="181" t="str">
        <f>IF(ISERROR(AC30*100000000/'Calc-Units'!$C$21)," ",AC30*100000000/'Calc-Units'!$C$21)</f>
        <v xml:space="preserve"> </v>
      </c>
      <c r="AK30" s="62"/>
      <c r="AL30" s="70">
        <v>0</v>
      </c>
      <c r="AM30" s="94">
        <f t="shared" si="10"/>
        <v>0</v>
      </c>
      <c r="AN30" s="57">
        <f t="shared" si="11"/>
        <v>15.206595222076547</v>
      </c>
      <c r="AO30" s="56"/>
      <c r="AP30" s="56"/>
      <c r="AQ30" s="59" t="str">
        <f t="shared" si="12"/>
        <v xml:space="preserve"> </v>
      </c>
      <c r="AR30" s="59" t="str">
        <f t="shared" si="13"/>
        <v xml:space="preserve"> </v>
      </c>
      <c r="AS30" s="59" t="str">
        <f t="shared" si="14"/>
        <v xml:space="preserve"> </v>
      </c>
      <c r="AT30" s="111" t="str">
        <f t="shared" si="15"/>
        <v xml:space="preserve"> </v>
      </c>
      <c r="AU30" s="111" t="str">
        <f t="shared" si="16"/>
        <v xml:space="preserve"> </v>
      </c>
      <c r="AV30" s="60"/>
      <c r="AW30" s="62"/>
      <c r="AX30" s="61" t="str">
        <f>IF(ISERROR(AQ30*100000000/'Calc-Units'!$E$21)," ",AQ30*100000000/'Calc-Units'!$E$21)</f>
        <v xml:space="preserve"> </v>
      </c>
      <c r="AY30" s="61" t="str">
        <f>IF(ISERROR(AR30*100000000/'Calc-Units'!$D$21)," ",AR30*100000000/'Calc-Units'!$D$21)</f>
        <v xml:space="preserve"> </v>
      </c>
      <c r="AZ30" s="61" t="str">
        <f>IF(ISERROR(AS30*100000000/'Calc-Units'!$C$21)," ",AS30*100000000/'Calc-Units'!$C$21)</f>
        <v xml:space="preserve"> </v>
      </c>
      <c r="BA30" s="181" t="str">
        <f>IF(ISERROR(AT30*100000000/'Calc-Units'!$C$21)," ",AT30*100000000/'Calc-Units'!$C$21)</f>
        <v xml:space="preserve"> </v>
      </c>
      <c r="BC30" s="54"/>
      <c r="BD30" s="54"/>
    </row>
    <row r="31" spans="1:56" s="53" customFormat="1">
      <c r="A31" s="69"/>
      <c r="B31" s="89"/>
      <c r="C31" s="69" t="s">
        <v>760</v>
      </c>
      <c r="D31" s="98">
        <f>'RRP 1.3'!AC$12</f>
        <v>-0.43430239645676894</v>
      </c>
      <c r="E31" s="98">
        <v>0</v>
      </c>
      <c r="F31" s="98">
        <v>0</v>
      </c>
      <c r="G31" s="98">
        <v>0</v>
      </c>
      <c r="H31" s="98">
        <v>0</v>
      </c>
      <c r="I31" s="98">
        <f t="shared" si="0"/>
        <v>-0.43430239645676894</v>
      </c>
      <c r="J31" s="56"/>
      <c r="K31" s="98" t="s">
        <v>473</v>
      </c>
      <c r="L31" s="106" t="str">
        <f>IF(ISERROR(VLOOKUP($K31,'Calc-Drivers'!$B$17:$G$27,L$42,FALSE))," ",VLOOKUP($K31,'Calc-Drivers'!$B$17:$G$27,L$42,FALSE))</f>
        <v xml:space="preserve"> </v>
      </c>
      <c r="M31" s="106" t="str">
        <f>IF(ISERROR(VLOOKUP($K31,'Calc-Drivers'!$B$17:$G$27,M$42,FALSE))," ",VLOOKUP($K31,'Calc-Drivers'!$B$17:$G$27,M$42,FALSE))</f>
        <v xml:space="preserve"> </v>
      </c>
      <c r="N31" s="106" t="str">
        <f>IF(ISERROR(VLOOKUP($K31,'Calc-Drivers'!$B$17:$G$27,N$42,FALSE))," ",VLOOKUP($K31,'Calc-Drivers'!$B$17:$G$27,N$42,FALSE))</f>
        <v xml:space="preserve"> </v>
      </c>
      <c r="O31" s="106" t="str">
        <f>IF(ISERROR(VLOOKUP($K31,'Calc-Drivers'!$B$17:$G$27,O$42,FALSE))," ",VLOOKUP($K31,'Calc-Drivers'!$B$17:$G$27,O$42,FALSE))</f>
        <v xml:space="preserve"> </v>
      </c>
      <c r="P31" s="106" t="str">
        <f>IF(ISERROR(VLOOKUP($K31,'Calc-Drivers'!$B$17:$G$27,P$42,FALSE))," ",VLOOKUP($K31,'Calc-Drivers'!$B$17:$G$27,P$42,FALSE))</f>
        <v xml:space="preserve"> </v>
      </c>
      <c r="Q31" s="118"/>
      <c r="R31" s="58"/>
      <c r="S31" s="59" t="str">
        <f t="shared" si="1"/>
        <v xml:space="preserve"> </v>
      </c>
      <c r="T31" s="59" t="str">
        <f t="shared" si="2"/>
        <v xml:space="preserve"> </v>
      </c>
      <c r="U31" s="59" t="str">
        <f t="shared" si="3"/>
        <v xml:space="preserve"> </v>
      </c>
      <c r="V31" s="111" t="str">
        <f t="shared" si="4"/>
        <v xml:space="preserve"> </v>
      </c>
      <c r="W31" s="111" t="str">
        <f t="shared" si="4"/>
        <v xml:space="preserve"> </v>
      </c>
      <c r="X31" s="60"/>
      <c r="Y31" s="54"/>
      <c r="Z31" s="59" t="str">
        <f t="shared" si="5"/>
        <v xml:space="preserve"> </v>
      </c>
      <c r="AA31" s="59" t="str">
        <f t="shared" si="6"/>
        <v xml:space="preserve"> </v>
      </c>
      <c r="AB31" s="59" t="str">
        <f t="shared" si="7"/>
        <v xml:space="preserve"> </v>
      </c>
      <c r="AC31" s="111" t="str">
        <f t="shared" si="8"/>
        <v xml:space="preserve"> </v>
      </c>
      <c r="AD31" s="111" t="str">
        <f t="shared" si="9"/>
        <v xml:space="preserve"> </v>
      </c>
      <c r="AE31" s="60"/>
      <c r="AF31" s="60"/>
      <c r="AG31" s="61" t="str">
        <f>IF(ISERROR(Z31*100000000/'Calc-Units'!$E$21)," ",Z31*100000000/'Calc-Units'!$E$21)</f>
        <v xml:space="preserve"> </v>
      </c>
      <c r="AH31" s="61" t="str">
        <f>IF(ISERROR(AA31*100000000/'Calc-Units'!$D$21)," ",AA31*100000000/'Calc-Units'!$D$21)</f>
        <v xml:space="preserve"> </v>
      </c>
      <c r="AI31" s="61" t="str">
        <f>IF(ISERROR(AB31*100000000/'Calc-Units'!$C$21)," ",AB31*100000000/'Calc-Units'!$C$21)</f>
        <v xml:space="preserve"> </v>
      </c>
      <c r="AJ31" s="181" t="str">
        <f>IF(ISERROR(AC31*100000000/'Calc-Units'!$C$21)," ",AC31*100000000/'Calc-Units'!$C$21)</f>
        <v xml:space="preserve"> </v>
      </c>
      <c r="AK31" s="62"/>
      <c r="AL31" s="70">
        <v>0</v>
      </c>
      <c r="AM31" s="94">
        <f t="shared" si="10"/>
        <v>0</v>
      </c>
      <c r="AN31" s="57">
        <f t="shared" si="11"/>
        <v>-0.43430239645676894</v>
      </c>
      <c r="AO31" s="56"/>
      <c r="AP31" s="56"/>
      <c r="AQ31" s="59" t="str">
        <f t="shared" si="12"/>
        <v xml:space="preserve"> </v>
      </c>
      <c r="AR31" s="59" t="str">
        <f t="shared" si="13"/>
        <v xml:space="preserve"> </v>
      </c>
      <c r="AS31" s="59" t="str">
        <f t="shared" si="14"/>
        <v xml:space="preserve"> </v>
      </c>
      <c r="AT31" s="111" t="str">
        <f t="shared" si="15"/>
        <v xml:space="preserve"> </v>
      </c>
      <c r="AU31" s="111" t="str">
        <f t="shared" si="16"/>
        <v xml:space="preserve"> </v>
      </c>
      <c r="AV31" s="60"/>
      <c r="AW31" s="62"/>
      <c r="AX31" s="61" t="str">
        <f>IF(ISERROR(AQ31*100000000/'Calc-Units'!$E$21)," ",AQ31*100000000/'Calc-Units'!$E$21)</f>
        <v xml:space="preserve"> </v>
      </c>
      <c r="AY31" s="61" t="str">
        <f>IF(ISERROR(AR31*100000000/'Calc-Units'!$D$21)," ",AR31*100000000/'Calc-Units'!$D$21)</f>
        <v xml:space="preserve"> </v>
      </c>
      <c r="AZ31" s="61" t="str">
        <f>IF(ISERROR(AS31*100000000/'Calc-Units'!$C$21)," ",AS31*100000000/'Calc-Units'!$C$21)</f>
        <v xml:space="preserve"> </v>
      </c>
      <c r="BA31" s="181" t="str">
        <f>IF(ISERROR(AT31*100000000/'Calc-Units'!$C$21)," ",AT31*100000000/'Calc-Units'!$C$21)</f>
        <v xml:space="preserve"> </v>
      </c>
      <c r="BC31" s="54"/>
      <c r="BD31" s="54"/>
    </row>
    <row r="32" spans="1:56" s="53" customFormat="1">
      <c r="A32" s="69"/>
      <c r="B32" s="89"/>
      <c r="C32" s="69" t="s">
        <v>58</v>
      </c>
      <c r="D32" s="98">
        <f>'RRP 1.3'!AD$12</f>
        <v>0.93221999999999994</v>
      </c>
      <c r="E32" s="98">
        <v>0</v>
      </c>
      <c r="F32" s="98">
        <v>0</v>
      </c>
      <c r="G32" s="98">
        <v>0</v>
      </c>
      <c r="H32" s="98">
        <v>0</v>
      </c>
      <c r="I32" s="98">
        <f t="shared" si="0"/>
        <v>0.93221999999999994</v>
      </c>
      <c r="J32" s="56"/>
      <c r="K32" s="98" t="s">
        <v>473</v>
      </c>
      <c r="L32" s="106" t="str">
        <f>IF(ISERROR(VLOOKUP($K32,'Calc-Drivers'!$B$17:$G$27,L$42,FALSE))," ",VLOOKUP($K32,'Calc-Drivers'!$B$17:$G$27,L$42,FALSE))</f>
        <v xml:space="preserve"> </v>
      </c>
      <c r="M32" s="106" t="str">
        <f>IF(ISERROR(VLOOKUP($K32,'Calc-Drivers'!$B$17:$G$27,M$42,FALSE))," ",VLOOKUP($K32,'Calc-Drivers'!$B$17:$G$27,M$42,FALSE))</f>
        <v xml:space="preserve"> </v>
      </c>
      <c r="N32" s="106" t="str">
        <f>IF(ISERROR(VLOOKUP($K32,'Calc-Drivers'!$B$17:$G$27,N$42,FALSE))," ",VLOOKUP($K32,'Calc-Drivers'!$B$17:$G$27,N$42,FALSE))</f>
        <v xml:space="preserve"> </v>
      </c>
      <c r="O32" s="106" t="str">
        <f>IF(ISERROR(VLOOKUP($K32,'Calc-Drivers'!$B$17:$G$27,O$42,FALSE))," ",VLOOKUP($K32,'Calc-Drivers'!$B$17:$G$27,O$42,FALSE))</f>
        <v xml:space="preserve"> </v>
      </c>
      <c r="P32" s="106" t="str">
        <f>IF(ISERROR(VLOOKUP($K32,'Calc-Drivers'!$B$17:$G$27,P$42,FALSE))," ",VLOOKUP($K32,'Calc-Drivers'!$B$17:$G$27,P$42,FALSE))</f>
        <v xml:space="preserve"> </v>
      </c>
      <c r="Q32" s="118"/>
      <c r="R32" s="58"/>
      <c r="S32" s="59" t="str">
        <f t="shared" si="1"/>
        <v xml:space="preserve"> </v>
      </c>
      <c r="T32" s="59" t="str">
        <f t="shared" si="2"/>
        <v xml:space="preserve"> </v>
      </c>
      <c r="U32" s="59" t="str">
        <f t="shared" si="3"/>
        <v xml:space="preserve"> </v>
      </c>
      <c r="V32" s="111" t="str">
        <f t="shared" si="4"/>
        <v xml:space="preserve"> </v>
      </c>
      <c r="W32" s="111" t="str">
        <f t="shared" si="4"/>
        <v xml:space="preserve"> </v>
      </c>
      <c r="X32" s="60"/>
      <c r="Y32" s="54"/>
      <c r="Z32" s="59" t="str">
        <f t="shared" si="5"/>
        <v xml:space="preserve"> </v>
      </c>
      <c r="AA32" s="59" t="str">
        <f t="shared" si="6"/>
        <v xml:space="preserve"> </v>
      </c>
      <c r="AB32" s="59" t="str">
        <f t="shared" si="7"/>
        <v xml:space="preserve"> </v>
      </c>
      <c r="AC32" s="111" t="str">
        <f t="shared" si="8"/>
        <v xml:space="preserve"> </v>
      </c>
      <c r="AD32" s="111" t="str">
        <f t="shared" si="9"/>
        <v xml:space="preserve"> </v>
      </c>
      <c r="AE32" s="60"/>
      <c r="AF32" s="60"/>
      <c r="AG32" s="61" t="str">
        <f>IF(ISERROR(Z32*100000000/'Calc-Units'!$E$21)," ",Z32*100000000/'Calc-Units'!$E$21)</f>
        <v xml:space="preserve"> </v>
      </c>
      <c r="AH32" s="61" t="str">
        <f>IF(ISERROR(AA32*100000000/'Calc-Units'!$D$21)," ",AA32*100000000/'Calc-Units'!$D$21)</f>
        <v xml:space="preserve"> </v>
      </c>
      <c r="AI32" s="61" t="str">
        <f>IF(ISERROR(AB32*100000000/'Calc-Units'!$C$21)," ",AB32*100000000/'Calc-Units'!$C$21)</f>
        <v xml:space="preserve"> </v>
      </c>
      <c r="AJ32" s="181" t="str">
        <f>IF(ISERROR(AC32*100000000/'Calc-Units'!$C$21)," ",AC32*100000000/'Calc-Units'!$C$21)</f>
        <v xml:space="preserve"> </v>
      </c>
      <c r="AK32" s="62"/>
      <c r="AL32" s="70">
        <v>0</v>
      </c>
      <c r="AM32" s="94">
        <f t="shared" si="10"/>
        <v>0</v>
      </c>
      <c r="AN32" s="57">
        <f t="shared" si="11"/>
        <v>0.93221999999999994</v>
      </c>
      <c r="AO32" s="56"/>
      <c r="AP32" s="56"/>
      <c r="AQ32" s="59" t="str">
        <f t="shared" si="12"/>
        <v xml:space="preserve"> </v>
      </c>
      <c r="AR32" s="59" t="str">
        <f t="shared" si="13"/>
        <v xml:space="preserve"> </v>
      </c>
      <c r="AS32" s="59" t="str">
        <f t="shared" si="14"/>
        <v xml:space="preserve"> </v>
      </c>
      <c r="AT32" s="111" t="str">
        <f t="shared" si="15"/>
        <v xml:space="preserve"> </v>
      </c>
      <c r="AU32" s="111" t="str">
        <f t="shared" si="16"/>
        <v xml:space="preserve"> </v>
      </c>
      <c r="AV32" s="60"/>
      <c r="AW32" s="62"/>
      <c r="AX32" s="61" t="str">
        <f>IF(ISERROR(AQ32*100000000/'Calc-Units'!$E$21)," ",AQ32*100000000/'Calc-Units'!$E$21)</f>
        <v xml:space="preserve"> </v>
      </c>
      <c r="AY32" s="61" t="str">
        <f>IF(ISERROR(AR32*100000000/'Calc-Units'!$D$21)," ",AR32*100000000/'Calc-Units'!$D$21)</f>
        <v xml:space="preserve"> </v>
      </c>
      <c r="AZ32" s="61" t="str">
        <f>IF(ISERROR(AS32*100000000/'Calc-Units'!$C$21)," ",AS32*100000000/'Calc-Units'!$C$21)</f>
        <v xml:space="preserve"> </v>
      </c>
      <c r="BA32" s="181" t="str">
        <f>IF(ISERROR(AT32*100000000/'Calc-Units'!$C$21)," ",AT32*100000000/'Calc-Units'!$C$21)</f>
        <v xml:space="preserve"> </v>
      </c>
      <c r="BC32" s="54"/>
      <c r="BD32" s="54"/>
    </row>
    <row r="33" spans="1:56" s="53" customFormat="1">
      <c r="A33" s="69"/>
      <c r="B33" s="89"/>
      <c r="C33" s="69" t="s">
        <v>761</v>
      </c>
      <c r="D33" s="98">
        <f>'RRP 1.3'!AE$12</f>
        <v>11.957154855261129</v>
      </c>
      <c r="E33" s="98">
        <v>0</v>
      </c>
      <c r="F33" s="98">
        <v>0</v>
      </c>
      <c r="G33" s="98">
        <v>0</v>
      </c>
      <c r="H33" s="98">
        <v>0</v>
      </c>
      <c r="I33" s="98">
        <f t="shared" si="0"/>
        <v>11.957154855261129</v>
      </c>
      <c r="J33" s="56"/>
      <c r="K33" s="98" t="s">
        <v>473</v>
      </c>
      <c r="L33" s="106" t="str">
        <f>IF(ISERROR(VLOOKUP($K33,'Calc-Drivers'!$B$17:$G$27,L$42,FALSE))," ",VLOOKUP($K33,'Calc-Drivers'!$B$17:$G$27,L$42,FALSE))</f>
        <v xml:space="preserve"> </v>
      </c>
      <c r="M33" s="106" t="str">
        <f>IF(ISERROR(VLOOKUP($K33,'Calc-Drivers'!$B$17:$G$27,M$42,FALSE))," ",VLOOKUP($K33,'Calc-Drivers'!$B$17:$G$27,M$42,FALSE))</f>
        <v xml:space="preserve"> </v>
      </c>
      <c r="N33" s="106" t="str">
        <f>IF(ISERROR(VLOOKUP($K33,'Calc-Drivers'!$B$17:$G$27,N$42,FALSE))," ",VLOOKUP($K33,'Calc-Drivers'!$B$17:$G$27,N$42,FALSE))</f>
        <v xml:space="preserve"> </v>
      </c>
      <c r="O33" s="106" t="str">
        <f>IF(ISERROR(VLOOKUP($K33,'Calc-Drivers'!$B$17:$G$27,O$42,FALSE))," ",VLOOKUP($K33,'Calc-Drivers'!$B$17:$G$27,O$42,FALSE))</f>
        <v xml:space="preserve"> </v>
      </c>
      <c r="P33" s="106" t="str">
        <f>IF(ISERROR(VLOOKUP($K33,'Calc-Drivers'!$B$17:$G$27,P$42,FALSE))," ",VLOOKUP($K33,'Calc-Drivers'!$B$17:$G$27,P$42,FALSE))</f>
        <v xml:space="preserve"> </v>
      </c>
      <c r="Q33" s="118"/>
      <c r="R33" s="58"/>
      <c r="S33" s="59" t="str">
        <f t="shared" si="1"/>
        <v xml:space="preserve"> </v>
      </c>
      <c r="T33" s="59" t="str">
        <f t="shared" si="2"/>
        <v xml:space="preserve"> </v>
      </c>
      <c r="U33" s="59" t="str">
        <f t="shared" si="3"/>
        <v xml:space="preserve"> </v>
      </c>
      <c r="V33" s="111" t="str">
        <f t="shared" si="4"/>
        <v xml:space="preserve"> </v>
      </c>
      <c r="W33" s="111" t="str">
        <f t="shared" si="4"/>
        <v xml:space="preserve"> </v>
      </c>
      <c r="X33" s="60"/>
      <c r="Y33" s="54"/>
      <c r="Z33" s="59" t="str">
        <f t="shared" si="5"/>
        <v xml:space="preserve"> </v>
      </c>
      <c r="AA33" s="59" t="str">
        <f t="shared" si="6"/>
        <v xml:space="preserve"> </v>
      </c>
      <c r="AB33" s="59" t="str">
        <f t="shared" si="7"/>
        <v xml:space="preserve"> </v>
      </c>
      <c r="AC33" s="111" t="str">
        <f t="shared" si="8"/>
        <v xml:space="preserve"> </v>
      </c>
      <c r="AD33" s="111" t="str">
        <f t="shared" si="9"/>
        <v xml:space="preserve"> </v>
      </c>
      <c r="AE33" s="60"/>
      <c r="AF33" s="60"/>
      <c r="AG33" s="61" t="str">
        <f>IF(ISERROR(Z33*100000000/'Calc-Units'!$E$21)," ",Z33*100000000/'Calc-Units'!$E$21)</f>
        <v xml:space="preserve"> </v>
      </c>
      <c r="AH33" s="61" t="str">
        <f>IF(ISERROR(AA33*100000000/'Calc-Units'!$D$21)," ",AA33*100000000/'Calc-Units'!$D$21)</f>
        <v xml:space="preserve"> </v>
      </c>
      <c r="AI33" s="61" t="str">
        <f>IF(ISERROR(AB33*100000000/'Calc-Units'!$C$21)," ",AB33*100000000/'Calc-Units'!$C$21)</f>
        <v xml:space="preserve"> </v>
      </c>
      <c r="AJ33" s="181" t="str">
        <f>IF(ISERROR(AC33*100000000/'Calc-Units'!$C$21)," ",AC33*100000000/'Calc-Units'!$C$21)</f>
        <v xml:space="preserve"> </v>
      </c>
      <c r="AK33" s="62"/>
      <c r="AL33" s="70">
        <v>0</v>
      </c>
      <c r="AM33" s="94">
        <f t="shared" si="10"/>
        <v>0</v>
      </c>
      <c r="AN33" s="57">
        <f t="shared" si="11"/>
        <v>11.957154855261129</v>
      </c>
      <c r="AO33" s="56"/>
      <c r="AP33" s="56"/>
      <c r="AQ33" s="59" t="str">
        <f t="shared" si="12"/>
        <v xml:space="preserve"> </v>
      </c>
      <c r="AR33" s="59" t="str">
        <f t="shared" si="13"/>
        <v xml:space="preserve"> </v>
      </c>
      <c r="AS33" s="59" t="str">
        <f t="shared" si="14"/>
        <v xml:space="preserve"> </v>
      </c>
      <c r="AT33" s="111" t="str">
        <f t="shared" si="15"/>
        <v xml:space="preserve"> </v>
      </c>
      <c r="AU33" s="111" t="str">
        <f t="shared" si="16"/>
        <v xml:space="preserve"> </v>
      </c>
      <c r="AV33" s="60"/>
      <c r="AW33" s="62"/>
      <c r="AX33" s="61" t="str">
        <f>IF(ISERROR(AQ33*100000000/'Calc-Units'!$E$21)," ",AQ33*100000000/'Calc-Units'!$E$21)</f>
        <v xml:space="preserve"> </v>
      </c>
      <c r="AY33" s="61" t="str">
        <f>IF(ISERROR(AR33*100000000/'Calc-Units'!$D$21)," ",AR33*100000000/'Calc-Units'!$D$21)</f>
        <v xml:space="preserve"> </v>
      </c>
      <c r="AZ33" s="61" t="str">
        <f>IF(ISERROR(AS33*100000000/'Calc-Units'!$C$21)," ",AS33*100000000/'Calc-Units'!$C$21)</f>
        <v xml:space="preserve"> </v>
      </c>
      <c r="BA33" s="181" t="str">
        <f>IF(ISERROR(AT33*100000000/'Calc-Units'!$C$21)," ",AT33*100000000/'Calc-Units'!$C$21)</f>
        <v xml:space="preserve"> </v>
      </c>
      <c r="BC33" s="54"/>
      <c r="BD33" s="54"/>
    </row>
    <row r="34" spans="1:56" s="53" customFormat="1">
      <c r="A34" s="69"/>
      <c r="B34" s="89"/>
      <c r="C34" s="69" t="s">
        <v>762</v>
      </c>
      <c r="D34" s="98">
        <f>'RRP 1.3'!AF$12</f>
        <v>59.102484352201088</v>
      </c>
      <c r="E34" s="98">
        <v>0</v>
      </c>
      <c r="F34" s="98">
        <v>0</v>
      </c>
      <c r="G34" s="98">
        <v>0</v>
      </c>
      <c r="H34" s="98">
        <v>0</v>
      </c>
      <c r="I34" s="98">
        <f t="shared" si="0"/>
        <v>59.102484352201088</v>
      </c>
      <c r="J34" s="56"/>
      <c r="K34" s="98" t="s">
        <v>473</v>
      </c>
      <c r="L34" s="106" t="str">
        <f>IF(ISERROR(VLOOKUP($K34,'Calc-Drivers'!$B$17:$G$27,L$42,FALSE))," ",VLOOKUP($K34,'Calc-Drivers'!$B$17:$G$27,L$42,FALSE))</f>
        <v xml:space="preserve"> </v>
      </c>
      <c r="M34" s="106" t="str">
        <f>IF(ISERROR(VLOOKUP($K34,'Calc-Drivers'!$B$17:$G$27,M$42,FALSE))," ",VLOOKUP($K34,'Calc-Drivers'!$B$17:$G$27,M$42,FALSE))</f>
        <v xml:space="preserve"> </v>
      </c>
      <c r="N34" s="106" t="str">
        <f>IF(ISERROR(VLOOKUP($K34,'Calc-Drivers'!$B$17:$G$27,N$42,FALSE))," ",VLOOKUP($K34,'Calc-Drivers'!$B$17:$G$27,N$42,FALSE))</f>
        <v xml:space="preserve"> </v>
      </c>
      <c r="O34" s="106" t="str">
        <f>IF(ISERROR(VLOOKUP($K34,'Calc-Drivers'!$B$17:$G$27,O$42,FALSE))," ",VLOOKUP($K34,'Calc-Drivers'!$B$17:$G$27,O$42,FALSE))</f>
        <v xml:space="preserve"> </v>
      </c>
      <c r="P34" s="106" t="str">
        <f>IF(ISERROR(VLOOKUP($K34,'Calc-Drivers'!$B$17:$G$27,P$42,FALSE))," ",VLOOKUP($K34,'Calc-Drivers'!$B$17:$G$27,P$42,FALSE))</f>
        <v xml:space="preserve"> </v>
      </c>
      <c r="Q34" s="118"/>
      <c r="R34" s="58"/>
      <c r="S34" s="59" t="str">
        <f t="shared" si="1"/>
        <v xml:space="preserve"> </v>
      </c>
      <c r="T34" s="59" t="str">
        <f t="shared" si="2"/>
        <v xml:space="preserve"> </v>
      </c>
      <c r="U34" s="59" t="str">
        <f t="shared" si="3"/>
        <v xml:space="preserve"> </v>
      </c>
      <c r="V34" s="111" t="str">
        <f t="shared" si="4"/>
        <v xml:space="preserve"> </v>
      </c>
      <c r="W34" s="111" t="str">
        <f t="shared" si="4"/>
        <v xml:space="preserve"> </v>
      </c>
      <c r="X34" s="60"/>
      <c r="Y34" s="54"/>
      <c r="Z34" s="59" t="str">
        <f t="shared" si="5"/>
        <v xml:space="preserve"> </v>
      </c>
      <c r="AA34" s="59" t="str">
        <f t="shared" si="6"/>
        <v xml:space="preserve"> </v>
      </c>
      <c r="AB34" s="59" t="str">
        <f t="shared" si="7"/>
        <v xml:space="preserve"> </v>
      </c>
      <c r="AC34" s="111" t="str">
        <f t="shared" si="8"/>
        <v xml:space="preserve"> </v>
      </c>
      <c r="AD34" s="111" t="str">
        <f t="shared" si="9"/>
        <v xml:space="preserve"> </v>
      </c>
      <c r="AE34" s="60"/>
      <c r="AF34" s="60"/>
      <c r="AG34" s="61" t="str">
        <f>IF(ISERROR(Z34*100000000/'Calc-Units'!$E$21)," ",Z34*100000000/'Calc-Units'!$E$21)</f>
        <v xml:space="preserve"> </v>
      </c>
      <c r="AH34" s="61" t="str">
        <f>IF(ISERROR(AA34*100000000/'Calc-Units'!$D$21)," ",AA34*100000000/'Calc-Units'!$D$21)</f>
        <v xml:space="preserve"> </v>
      </c>
      <c r="AI34" s="61" t="str">
        <f>IF(ISERROR(AB34*100000000/'Calc-Units'!$C$21)," ",AB34*100000000/'Calc-Units'!$C$21)</f>
        <v xml:space="preserve"> </v>
      </c>
      <c r="AJ34" s="181" t="str">
        <f>IF(ISERROR(AC34*100000000/'Calc-Units'!$C$21)," ",AC34*100000000/'Calc-Units'!$C$21)</f>
        <v xml:space="preserve"> </v>
      </c>
      <c r="AK34" s="62"/>
      <c r="AL34" s="70">
        <v>0</v>
      </c>
      <c r="AM34" s="94">
        <f t="shared" si="10"/>
        <v>0</v>
      </c>
      <c r="AN34" s="57">
        <f t="shared" si="11"/>
        <v>59.102484352201088</v>
      </c>
      <c r="AO34" s="56"/>
      <c r="AP34" s="56"/>
      <c r="AQ34" s="59" t="str">
        <f t="shared" si="12"/>
        <v xml:space="preserve"> </v>
      </c>
      <c r="AR34" s="59" t="str">
        <f t="shared" si="13"/>
        <v xml:space="preserve"> </v>
      </c>
      <c r="AS34" s="59" t="str">
        <f t="shared" si="14"/>
        <v xml:space="preserve"> </v>
      </c>
      <c r="AT34" s="111" t="str">
        <f t="shared" si="15"/>
        <v xml:space="preserve"> </v>
      </c>
      <c r="AU34" s="111" t="str">
        <f t="shared" si="16"/>
        <v xml:space="preserve"> </v>
      </c>
      <c r="AV34" s="60"/>
      <c r="AW34" s="62"/>
      <c r="AX34" s="61" t="str">
        <f>IF(ISERROR(AQ34*100000000/'Calc-Units'!$E$21)," ",AQ34*100000000/'Calc-Units'!$E$21)</f>
        <v xml:space="preserve"> </v>
      </c>
      <c r="AY34" s="61" t="str">
        <f>IF(ISERROR(AR34*100000000/'Calc-Units'!$D$21)," ",AR34*100000000/'Calc-Units'!$D$21)</f>
        <v xml:space="preserve"> </v>
      </c>
      <c r="AZ34" s="61" t="str">
        <f>IF(ISERROR(AS34*100000000/'Calc-Units'!$C$21)," ",AS34*100000000/'Calc-Units'!$C$21)</f>
        <v xml:space="preserve"> </v>
      </c>
      <c r="BA34" s="181" t="str">
        <f>IF(ISERROR(AT34*100000000/'Calc-Units'!$C$21)," ",AT34*100000000/'Calc-Units'!$C$21)</f>
        <v xml:space="preserve"> </v>
      </c>
      <c r="BC34" s="54"/>
      <c r="BD34" s="54"/>
    </row>
    <row r="35" spans="1:56" s="53" customFormat="1">
      <c r="A35" s="69"/>
      <c r="B35" s="89"/>
      <c r="C35" s="69" t="s">
        <v>763</v>
      </c>
      <c r="D35" s="98">
        <f>'RRP 1.3'!AG$12</f>
        <v>17.0274</v>
      </c>
      <c r="E35" s="98">
        <v>0</v>
      </c>
      <c r="F35" s="98">
        <v>0</v>
      </c>
      <c r="G35" s="98">
        <v>0</v>
      </c>
      <c r="H35" s="98">
        <v>0</v>
      </c>
      <c r="I35" s="98">
        <f t="shared" si="0"/>
        <v>17.0274</v>
      </c>
      <c r="J35" s="56"/>
      <c r="K35" s="98" t="s">
        <v>473</v>
      </c>
      <c r="L35" s="106" t="str">
        <f>IF(ISERROR(VLOOKUP($K35,'Calc-Drivers'!$B$17:$G$27,L$42,FALSE))," ",VLOOKUP($K35,'Calc-Drivers'!$B$17:$G$27,L$42,FALSE))</f>
        <v xml:space="preserve"> </v>
      </c>
      <c r="M35" s="106" t="str">
        <f>IF(ISERROR(VLOOKUP($K35,'Calc-Drivers'!$B$17:$G$27,M$42,FALSE))," ",VLOOKUP($K35,'Calc-Drivers'!$B$17:$G$27,M$42,FALSE))</f>
        <v xml:space="preserve"> </v>
      </c>
      <c r="N35" s="106" t="str">
        <f>IF(ISERROR(VLOOKUP($K35,'Calc-Drivers'!$B$17:$G$27,N$42,FALSE))," ",VLOOKUP($K35,'Calc-Drivers'!$B$17:$G$27,N$42,FALSE))</f>
        <v xml:space="preserve"> </v>
      </c>
      <c r="O35" s="106" t="str">
        <f>IF(ISERROR(VLOOKUP($K35,'Calc-Drivers'!$B$17:$G$27,O$42,FALSE))," ",VLOOKUP($K35,'Calc-Drivers'!$B$17:$G$27,O$42,FALSE))</f>
        <v xml:space="preserve"> </v>
      </c>
      <c r="P35" s="106" t="str">
        <f>IF(ISERROR(VLOOKUP($K35,'Calc-Drivers'!$B$17:$G$27,P$42,FALSE))," ",VLOOKUP($K35,'Calc-Drivers'!$B$17:$G$27,P$42,FALSE))</f>
        <v xml:space="preserve"> </v>
      </c>
      <c r="Q35" s="118"/>
      <c r="R35" s="58"/>
      <c r="S35" s="59" t="str">
        <f t="shared" si="1"/>
        <v xml:space="preserve"> </v>
      </c>
      <c r="T35" s="59" t="str">
        <f t="shared" si="2"/>
        <v xml:space="preserve"> </v>
      </c>
      <c r="U35" s="59" t="str">
        <f t="shared" si="3"/>
        <v xml:space="preserve"> </v>
      </c>
      <c r="V35" s="111" t="str">
        <f t="shared" si="4"/>
        <v xml:space="preserve"> </v>
      </c>
      <c r="W35" s="111" t="str">
        <f t="shared" si="4"/>
        <v xml:space="preserve"> </v>
      </c>
      <c r="X35" s="60"/>
      <c r="Y35" s="54"/>
      <c r="Z35" s="59" t="str">
        <f t="shared" si="5"/>
        <v xml:space="preserve"> </v>
      </c>
      <c r="AA35" s="59" t="str">
        <f t="shared" si="6"/>
        <v xml:space="preserve"> </v>
      </c>
      <c r="AB35" s="59" t="str">
        <f t="shared" si="7"/>
        <v xml:space="preserve"> </v>
      </c>
      <c r="AC35" s="111" t="str">
        <f t="shared" si="8"/>
        <v xml:space="preserve"> </v>
      </c>
      <c r="AD35" s="111" t="str">
        <f t="shared" si="9"/>
        <v xml:space="preserve"> </v>
      </c>
      <c r="AE35" s="60"/>
      <c r="AF35" s="60"/>
      <c r="AG35" s="61" t="str">
        <f>IF(ISERROR(Z35*100000000/'Calc-Units'!$E$21)," ",Z35*100000000/'Calc-Units'!$E$21)</f>
        <v xml:space="preserve"> </v>
      </c>
      <c r="AH35" s="61" t="str">
        <f>IF(ISERROR(AA35*100000000/'Calc-Units'!$D$21)," ",AA35*100000000/'Calc-Units'!$D$21)</f>
        <v xml:space="preserve"> </v>
      </c>
      <c r="AI35" s="61" t="str">
        <f>IF(ISERROR(AB35*100000000/'Calc-Units'!$C$21)," ",AB35*100000000/'Calc-Units'!$C$21)</f>
        <v xml:space="preserve"> </v>
      </c>
      <c r="AJ35" s="181" t="str">
        <f>IF(ISERROR(AC35*100000000/'Calc-Units'!$C$21)," ",AC35*100000000/'Calc-Units'!$C$21)</f>
        <v xml:space="preserve"> </v>
      </c>
      <c r="AK35" s="62"/>
      <c r="AL35" s="70">
        <v>0</v>
      </c>
      <c r="AM35" s="94">
        <f t="shared" si="10"/>
        <v>0</v>
      </c>
      <c r="AN35" s="57">
        <f t="shared" si="11"/>
        <v>17.0274</v>
      </c>
      <c r="AO35" s="56"/>
      <c r="AP35" s="56"/>
      <c r="AQ35" s="59" t="str">
        <f t="shared" si="12"/>
        <v xml:space="preserve"> </v>
      </c>
      <c r="AR35" s="59" t="str">
        <f t="shared" si="13"/>
        <v xml:space="preserve"> </v>
      </c>
      <c r="AS35" s="59" t="str">
        <f t="shared" si="14"/>
        <v xml:space="preserve"> </v>
      </c>
      <c r="AT35" s="111" t="str">
        <f t="shared" si="15"/>
        <v xml:space="preserve"> </v>
      </c>
      <c r="AU35" s="111" t="str">
        <f t="shared" si="16"/>
        <v xml:space="preserve"> </v>
      </c>
      <c r="AV35" s="60"/>
      <c r="AW35" s="62"/>
      <c r="AX35" s="61" t="str">
        <f>IF(ISERROR(AQ35*100000000/'Calc-Units'!$E$21)," ",AQ35*100000000/'Calc-Units'!$E$21)</f>
        <v xml:space="preserve"> </v>
      </c>
      <c r="AY35" s="61" t="str">
        <f>IF(ISERROR(AR35*100000000/'Calc-Units'!$D$21)," ",AR35*100000000/'Calc-Units'!$D$21)</f>
        <v xml:space="preserve"> </v>
      </c>
      <c r="AZ35" s="61" t="str">
        <f>IF(ISERROR(AS35*100000000/'Calc-Units'!$C$21)," ",AS35*100000000/'Calc-Units'!$C$21)</f>
        <v xml:space="preserve"> </v>
      </c>
      <c r="BA35" s="181" t="str">
        <f>IF(ISERROR(AT35*100000000/'Calc-Units'!$C$21)," ",AT35*100000000/'Calc-Units'!$C$21)</f>
        <v xml:space="preserve"> </v>
      </c>
      <c r="BC35" s="54"/>
      <c r="BD35" s="54"/>
    </row>
    <row r="36" spans="1:56" s="53" customFormat="1">
      <c r="A36" s="69"/>
      <c r="B36" s="89"/>
      <c r="C36" s="69" t="s">
        <v>645</v>
      </c>
      <c r="D36" s="98">
        <f>'RRP 1.3'!AH$12</f>
        <v>9.0830000000000002</v>
      </c>
      <c r="E36" s="98">
        <v>0</v>
      </c>
      <c r="F36" s="98">
        <v>0</v>
      </c>
      <c r="G36" s="98">
        <v>0</v>
      </c>
      <c r="H36" s="98">
        <v>0</v>
      </c>
      <c r="I36" s="98">
        <f t="shared" si="0"/>
        <v>9.0830000000000002</v>
      </c>
      <c r="J36" s="56"/>
      <c r="K36" s="98" t="s">
        <v>473</v>
      </c>
      <c r="L36" s="106" t="str">
        <f>IF(ISERROR(VLOOKUP($K36,'Calc-Drivers'!$B$17:$G$27,L$42,FALSE))," ",VLOOKUP($K36,'Calc-Drivers'!$B$17:$G$27,L$42,FALSE))</f>
        <v xml:space="preserve"> </v>
      </c>
      <c r="M36" s="106" t="str">
        <f>IF(ISERROR(VLOOKUP($K36,'Calc-Drivers'!$B$17:$G$27,M$42,FALSE))," ",VLOOKUP($K36,'Calc-Drivers'!$B$17:$G$27,M$42,FALSE))</f>
        <v xml:space="preserve"> </v>
      </c>
      <c r="N36" s="106" t="str">
        <f>IF(ISERROR(VLOOKUP($K36,'Calc-Drivers'!$B$17:$G$27,N$42,FALSE))," ",VLOOKUP($K36,'Calc-Drivers'!$B$17:$G$27,N$42,FALSE))</f>
        <v xml:space="preserve"> </v>
      </c>
      <c r="O36" s="106" t="str">
        <f>IF(ISERROR(VLOOKUP($K36,'Calc-Drivers'!$B$17:$G$27,O$42,FALSE))," ",VLOOKUP($K36,'Calc-Drivers'!$B$17:$G$27,O$42,FALSE))</f>
        <v xml:space="preserve"> </v>
      </c>
      <c r="P36" s="106" t="str">
        <f>IF(ISERROR(VLOOKUP($K36,'Calc-Drivers'!$B$17:$G$27,P$42,FALSE))," ",VLOOKUP($K36,'Calc-Drivers'!$B$17:$G$27,P$42,FALSE))</f>
        <v xml:space="preserve"> </v>
      </c>
      <c r="Q36" s="118"/>
      <c r="R36" s="58"/>
      <c r="S36" s="59" t="str">
        <f t="shared" si="1"/>
        <v xml:space="preserve"> </v>
      </c>
      <c r="T36" s="59" t="str">
        <f t="shared" si="2"/>
        <v xml:space="preserve"> </v>
      </c>
      <c r="U36" s="59" t="str">
        <f t="shared" si="3"/>
        <v xml:space="preserve"> </v>
      </c>
      <c r="V36" s="111" t="str">
        <f t="shared" si="4"/>
        <v xml:space="preserve"> </v>
      </c>
      <c r="W36" s="111" t="str">
        <f t="shared" si="4"/>
        <v xml:space="preserve"> </v>
      </c>
      <c r="X36" s="60"/>
      <c r="Y36" s="54"/>
      <c r="Z36" s="59" t="str">
        <f t="shared" si="5"/>
        <v xml:space="preserve"> </v>
      </c>
      <c r="AA36" s="59" t="str">
        <f t="shared" si="6"/>
        <v xml:space="preserve"> </v>
      </c>
      <c r="AB36" s="59" t="str">
        <f t="shared" si="7"/>
        <v xml:space="preserve"> </v>
      </c>
      <c r="AC36" s="111" t="str">
        <f t="shared" si="8"/>
        <v xml:space="preserve"> </v>
      </c>
      <c r="AD36" s="111" t="str">
        <f t="shared" si="9"/>
        <v xml:space="preserve"> </v>
      </c>
      <c r="AE36" s="60"/>
      <c r="AF36" s="60"/>
      <c r="AG36" s="61" t="str">
        <f>IF(ISERROR(Z36*100000000/'Calc-Units'!$E$21)," ",Z36*100000000/'Calc-Units'!$E$21)</f>
        <v xml:space="preserve"> </v>
      </c>
      <c r="AH36" s="61" t="str">
        <f>IF(ISERROR(AA36*100000000/'Calc-Units'!$D$21)," ",AA36*100000000/'Calc-Units'!$D$21)</f>
        <v xml:space="preserve"> </v>
      </c>
      <c r="AI36" s="61" t="str">
        <f>IF(ISERROR(AB36*100000000/'Calc-Units'!$C$21)," ",AB36*100000000/'Calc-Units'!$C$21)</f>
        <v xml:space="preserve"> </v>
      </c>
      <c r="AJ36" s="181" t="str">
        <f>IF(ISERROR(AC36*100000000/'Calc-Units'!$C$21)," ",AC36*100000000/'Calc-Units'!$C$21)</f>
        <v xml:space="preserve"> </v>
      </c>
      <c r="AK36" s="62"/>
      <c r="AL36" s="70">
        <v>0</v>
      </c>
      <c r="AM36" s="94">
        <f t="shared" si="10"/>
        <v>0</v>
      </c>
      <c r="AN36" s="57">
        <f t="shared" si="11"/>
        <v>9.0830000000000002</v>
      </c>
      <c r="AO36" s="56"/>
      <c r="AP36" s="56"/>
      <c r="AQ36" s="59" t="str">
        <f t="shared" si="12"/>
        <v xml:space="preserve"> </v>
      </c>
      <c r="AR36" s="59" t="str">
        <f t="shared" si="13"/>
        <v xml:space="preserve"> </v>
      </c>
      <c r="AS36" s="59" t="str">
        <f t="shared" si="14"/>
        <v xml:space="preserve"> </v>
      </c>
      <c r="AT36" s="111" t="str">
        <f t="shared" si="15"/>
        <v xml:space="preserve"> </v>
      </c>
      <c r="AU36" s="111" t="str">
        <f t="shared" si="16"/>
        <v xml:space="preserve"> </v>
      </c>
      <c r="AV36" s="60"/>
      <c r="AW36" s="62"/>
      <c r="AX36" s="61" t="str">
        <f>IF(ISERROR(AQ36*100000000/'Calc-Units'!$E$21)," ",AQ36*100000000/'Calc-Units'!$E$21)</f>
        <v xml:space="preserve"> </v>
      </c>
      <c r="AY36" s="61" t="str">
        <f>IF(ISERROR(AR36*100000000/'Calc-Units'!$D$21)," ",AR36*100000000/'Calc-Units'!$D$21)</f>
        <v xml:space="preserve"> </v>
      </c>
      <c r="AZ36" s="61" t="str">
        <f>IF(ISERROR(AS36*100000000/'Calc-Units'!$C$21)," ",AS36*100000000/'Calc-Units'!$C$21)</f>
        <v xml:space="preserve"> </v>
      </c>
      <c r="BA36" s="181" t="str">
        <f>IF(ISERROR(AT36*100000000/'Calc-Units'!$C$21)," ",AT36*100000000/'Calc-Units'!$C$21)</f>
        <v xml:space="preserve"> </v>
      </c>
      <c r="BC36" s="54"/>
      <c r="BD36" s="54"/>
    </row>
    <row r="37" spans="1:56" s="53" customFormat="1">
      <c r="A37" s="69"/>
      <c r="B37" s="89"/>
      <c r="C37" s="69" t="s">
        <v>647</v>
      </c>
      <c r="D37" s="98">
        <f>'RRP 1.3'!AI$12</f>
        <v>0</v>
      </c>
      <c r="E37" s="98">
        <v>0</v>
      </c>
      <c r="F37" s="98">
        <v>0</v>
      </c>
      <c r="G37" s="98">
        <v>0</v>
      </c>
      <c r="H37" s="98">
        <v>0</v>
      </c>
      <c r="I37" s="98">
        <f t="shared" si="0"/>
        <v>0</v>
      </c>
      <c r="J37" s="56"/>
      <c r="K37" s="98" t="s">
        <v>473</v>
      </c>
      <c r="L37" s="106" t="str">
        <f>IF(ISERROR(VLOOKUP($K37,'Calc-Drivers'!$B$17:$G$27,L$42,FALSE))," ",VLOOKUP($K37,'Calc-Drivers'!$B$17:$G$27,L$42,FALSE))</f>
        <v xml:space="preserve"> </v>
      </c>
      <c r="M37" s="106" t="str">
        <f>IF(ISERROR(VLOOKUP($K37,'Calc-Drivers'!$B$17:$G$27,M$42,FALSE))," ",VLOOKUP($K37,'Calc-Drivers'!$B$17:$G$27,M$42,FALSE))</f>
        <v xml:space="preserve"> </v>
      </c>
      <c r="N37" s="106" t="str">
        <f>IF(ISERROR(VLOOKUP($K37,'Calc-Drivers'!$B$17:$G$27,N$42,FALSE))," ",VLOOKUP($K37,'Calc-Drivers'!$B$17:$G$27,N$42,FALSE))</f>
        <v xml:space="preserve"> </v>
      </c>
      <c r="O37" s="106" t="str">
        <f>IF(ISERROR(VLOOKUP($K37,'Calc-Drivers'!$B$17:$G$27,O$42,FALSE))," ",VLOOKUP($K37,'Calc-Drivers'!$B$17:$G$27,O$42,FALSE))</f>
        <v xml:space="preserve"> </v>
      </c>
      <c r="P37" s="106" t="str">
        <f>IF(ISERROR(VLOOKUP($K37,'Calc-Drivers'!$B$17:$G$27,P$42,FALSE))," ",VLOOKUP($K37,'Calc-Drivers'!$B$17:$G$27,P$42,FALSE))</f>
        <v xml:space="preserve"> </v>
      </c>
      <c r="Q37" s="118"/>
      <c r="R37" s="58"/>
      <c r="S37" s="59" t="str">
        <f t="shared" si="1"/>
        <v xml:space="preserve"> </v>
      </c>
      <c r="T37" s="59" t="str">
        <f t="shared" si="2"/>
        <v xml:space="preserve"> </v>
      </c>
      <c r="U37" s="59" t="str">
        <f t="shared" si="3"/>
        <v xml:space="preserve"> </v>
      </c>
      <c r="V37" s="111" t="str">
        <f t="shared" si="4"/>
        <v xml:space="preserve"> </v>
      </c>
      <c r="W37" s="111" t="str">
        <f t="shared" si="4"/>
        <v xml:space="preserve"> </v>
      </c>
      <c r="X37" s="60"/>
      <c r="Y37" s="54"/>
      <c r="Z37" s="59" t="str">
        <f t="shared" si="5"/>
        <v xml:space="preserve"> </v>
      </c>
      <c r="AA37" s="59" t="str">
        <f t="shared" si="6"/>
        <v xml:space="preserve"> </v>
      </c>
      <c r="AB37" s="59" t="str">
        <f t="shared" si="7"/>
        <v xml:space="preserve"> </v>
      </c>
      <c r="AC37" s="111" t="str">
        <f t="shared" si="8"/>
        <v xml:space="preserve"> </v>
      </c>
      <c r="AD37" s="111" t="str">
        <f t="shared" si="9"/>
        <v xml:space="preserve"> </v>
      </c>
      <c r="AE37" s="60"/>
      <c r="AF37" s="60"/>
      <c r="AG37" s="61" t="str">
        <f>IF(ISERROR(Z37*100000000/'Calc-Units'!$E$21)," ",Z37*100000000/'Calc-Units'!$E$21)</f>
        <v xml:space="preserve"> </v>
      </c>
      <c r="AH37" s="61" t="str">
        <f>IF(ISERROR(AA37*100000000/'Calc-Units'!$D$21)," ",AA37*100000000/'Calc-Units'!$D$21)</f>
        <v xml:space="preserve"> </v>
      </c>
      <c r="AI37" s="61" t="str">
        <f>IF(ISERROR(AB37*100000000/'Calc-Units'!$C$21)," ",AB37*100000000/'Calc-Units'!$C$21)</f>
        <v xml:space="preserve"> </v>
      </c>
      <c r="AJ37" s="181" t="str">
        <f>IF(ISERROR(AC37*100000000/'Calc-Units'!$C$21)," ",AC37*100000000/'Calc-Units'!$C$21)</f>
        <v xml:space="preserve"> </v>
      </c>
      <c r="AK37" s="62"/>
      <c r="AL37" s="70">
        <v>0</v>
      </c>
      <c r="AM37" s="94">
        <f t="shared" si="10"/>
        <v>0</v>
      </c>
      <c r="AN37" s="57">
        <f t="shared" si="11"/>
        <v>0</v>
      </c>
      <c r="AO37" s="56"/>
      <c r="AP37" s="56"/>
      <c r="AQ37" s="59" t="str">
        <f t="shared" si="12"/>
        <v xml:space="preserve"> </v>
      </c>
      <c r="AR37" s="59" t="str">
        <f t="shared" si="13"/>
        <v xml:space="preserve"> </v>
      </c>
      <c r="AS37" s="59" t="str">
        <f t="shared" si="14"/>
        <v xml:space="preserve"> </v>
      </c>
      <c r="AT37" s="111" t="str">
        <f t="shared" si="15"/>
        <v xml:space="preserve"> </v>
      </c>
      <c r="AU37" s="111" t="str">
        <f t="shared" si="16"/>
        <v xml:space="preserve"> </v>
      </c>
      <c r="AV37" s="60"/>
      <c r="AW37" s="62"/>
      <c r="AX37" s="61" t="str">
        <f>IF(ISERROR(AQ37*100000000/'Calc-Units'!$E$21)," ",AQ37*100000000/'Calc-Units'!$E$21)</f>
        <v xml:space="preserve"> </v>
      </c>
      <c r="AY37" s="61" t="str">
        <f>IF(ISERROR(AR37*100000000/'Calc-Units'!$D$21)," ",AR37*100000000/'Calc-Units'!$D$21)</f>
        <v xml:space="preserve"> </v>
      </c>
      <c r="AZ37" s="61" t="str">
        <f>IF(ISERROR(AS37*100000000/'Calc-Units'!$C$21)," ",AS37*100000000/'Calc-Units'!$C$21)</f>
        <v xml:space="preserve"> </v>
      </c>
      <c r="BA37" s="181" t="str">
        <f>IF(ISERROR(AT37*100000000/'Calc-Units'!$C$21)," ",AT37*100000000/'Calc-Units'!$C$21)</f>
        <v xml:space="preserve"> </v>
      </c>
      <c r="BC37" s="54"/>
      <c r="BD37" s="54"/>
    </row>
    <row r="38" spans="1:56" s="53" customFormat="1">
      <c r="A38" s="69"/>
      <c r="B38" s="89"/>
      <c r="C38" s="72" t="s">
        <v>648</v>
      </c>
      <c r="D38" s="99">
        <f>'RRP 1.3'!AJ$12</f>
        <v>-26.259723587606004</v>
      </c>
      <c r="E38" s="99">
        <v>0</v>
      </c>
      <c r="F38" s="99">
        <v>0</v>
      </c>
      <c r="G38" s="99">
        <v>0</v>
      </c>
      <c r="H38" s="99">
        <v>0</v>
      </c>
      <c r="I38" s="99">
        <f t="shared" si="0"/>
        <v>-26.259723587606004</v>
      </c>
      <c r="J38" s="56"/>
      <c r="K38" s="99" t="s">
        <v>473</v>
      </c>
      <c r="L38" s="180" t="str">
        <f>IF(ISERROR(VLOOKUP($K38,'Calc-Drivers'!$B$17:$G$27,L$42,FALSE))," ",VLOOKUP($K38,'Calc-Drivers'!$B$17:$G$27,L$42,FALSE))</f>
        <v xml:space="preserve"> </v>
      </c>
      <c r="M38" s="180" t="str">
        <f>IF(ISERROR(VLOOKUP($K38,'Calc-Drivers'!$B$17:$G$27,M$42,FALSE))," ",VLOOKUP($K38,'Calc-Drivers'!$B$17:$G$27,M$42,FALSE))</f>
        <v xml:space="preserve"> </v>
      </c>
      <c r="N38" s="180" t="str">
        <f>IF(ISERROR(VLOOKUP($K38,'Calc-Drivers'!$B$17:$G$27,N$42,FALSE))," ",VLOOKUP($K38,'Calc-Drivers'!$B$17:$G$27,N$42,FALSE))</f>
        <v xml:space="preserve"> </v>
      </c>
      <c r="O38" s="180" t="str">
        <f>IF(ISERROR(VLOOKUP($K38,'Calc-Drivers'!$B$17:$G$27,O$42,FALSE))," ",VLOOKUP($K38,'Calc-Drivers'!$B$17:$G$27,O$42,FALSE))</f>
        <v xml:space="preserve"> </v>
      </c>
      <c r="P38" s="180" t="str">
        <f>IF(ISERROR(VLOOKUP($K38,'Calc-Drivers'!$B$17:$G$27,P$42,FALSE))," ",VLOOKUP($K38,'Calc-Drivers'!$B$17:$G$27,P$42,FALSE))</f>
        <v xml:space="preserve"> </v>
      </c>
      <c r="Q38" s="118"/>
      <c r="R38" s="58"/>
      <c r="S38" s="115" t="str">
        <f t="shared" si="1"/>
        <v xml:space="preserve"> </v>
      </c>
      <c r="T38" s="115" t="str">
        <f t="shared" si="2"/>
        <v xml:space="preserve"> </v>
      </c>
      <c r="U38" s="115" t="str">
        <f t="shared" si="3"/>
        <v xml:space="preserve"> </v>
      </c>
      <c r="V38" s="112" t="str">
        <f t="shared" si="4"/>
        <v xml:space="preserve"> </v>
      </c>
      <c r="W38" s="112" t="str">
        <f t="shared" si="4"/>
        <v xml:space="preserve"> </v>
      </c>
      <c r="X38" s="60"/>
      <c r="Y38" s="54"/>
      <c r="Z38" s="115" t="str">
        <f t="shared" si="5"/>
        <v xml:space="preserve"> </v>
      </c>
      <c r="AA38" s="115" t="str">
        <f t="shared" si="6"/>
        <v xml:space="preserve"> </v>
      </c>
      <c r="AB38" s="115" t="str">
        <f t="shared" si="7"/>
        <v xml:space="preserve"> </v>
      </c>
      <c r="AC38" s="112" t="str">
        <f t="shared" si="8"/>
        <v xml:space="preserve"> </v>
      </c>
      <c r="AD38" s="112" t="str">
        <f t="shared" si="9"/>
        <v xml:space="preserve"> </v>
      </c>
      <c r="AE38" s="60"/>
      <c r="AF38" s="60"/>
      <c r="AG38" s="182" t="str">
        <f>IF(ISERROR(Z38*100000000/'Calc-Units'!$E$21)," ",Z38*100000000/'Calc-Units'!$E$21)</f>
        <v xml:space="preserve"> </v>
      </c>
      <c r="AH38" s="182" t="str">
        <f>IF(ISERROR(AA38*100000000/'Calc-Units'!$D$21)," ",AA38*100000000/'Calc-Units'!$D$21)</f>
        <v xml:space="preserve"> </v>
      </c>
      <c r="AI38" s="182" t="str">
        <f>IF(ISERROR(AB38*100000000/'Calc-Units'!$C$21)," ",AB38*100000000/'Calc-Units'!$C$21)</f>
        <v xml:space="preserve"> </v>
      </c>
      <c r="AJ38" s="183" t="str">
        <f>IF(ISERROR(AC38*100000000/'Calc-Units'!$C$21)," ",AC38*100000000/'Calc-Units'!$C$21)</f>
        <v xml:space="preserve"> </v>
      </c>
      <c r="AK38" s="62"/>
      <c r="AL38" s="70">
        <v>0</v>
      </c>
      <c r="AM38" s="94">
        <f t="shared" si="10"/>
        <v>0</v>
      </c>
      <c r="AN38" s="57">
        <f t="shared" si="11"/>
        <v>-26.259723587606004</v>
      </c>
      <c r="AO38" s="56"/>
      <c r="AP38" s="56"/>
      <c r="AQ38" s="115" t="str">
        <f t="shared" si="12"/>
        <v xml:space="preserve"> </v>
      </c>
      <c r="AR38" s="115" t="str">
        <f t="shared" si="13"/>
        <v xml:space="preserve"> </v>
      </c>
      <c r="AS38" s="115" t="str">
        <f t="shared" si="14"/>
        <v xml:space="preserve"> </v>
      </c>
      <c r="AT38" s="112" t="str">
        <f t="shared" si="15"/>
        <v xml:space="preserve"> </v>
      </c>
      <c r="AU38" s="112" t="str">
        <f t="shared" si="16"/>
        <v xml:space="preserve"> </v>
      </c>
      <c r="AV38" s="60"/>
      <c r="AW38" s="62"/>
      <c r="AX38" s="182" t="str">
        <f>IF(ISERROR(AQ38*100000000/'Calc-Units'!$E$21)," ",AQ38*100000000/'Calc-Units'!$E$21)</f>
        <v xml:space="preserve"> </v>
      </c>
      <c r="AY38" s="182" t="str">
        <f>IF(ISERROR(AR38*100000000/'Calc-Units'!$D$21)," ",AR38*100000000/'Calc-Units'!$D$21)</f>
        <v xml:space="preserve"> </v>
      </c>
      <c r="AZ38" s="182" t="str">
        <f>IF(ISERROR(AS38*100000000/'Calc-Units'!$C$21)," ",AS38*100000000/'Calc-Units'!$C$21)</f>
        <v xml:space="preserve"> </v>
      </c>
      <c r="BA38" s="183" t="str">
        <f>IF(ISERROR(AT38*100000000/'Calc-Units'!$C$21)," ",AT38*100000000/'Calc-Units'!$C$21)</f>
        <v xml:space="preserve"> </v>
      </c>
      <c r="BC38" s="54"/>
      <c r="BD38" s="54"/>
    </row>
    <row r="39" spans="1:56" s="53" customFormat="1" ht="25.5">
      <c r="A39" s="93"/>
      <c r="B39" s="208"/>
      <c r="C39" s="93" t="s">
        <v>659</v>
      </c>
      <c r="D39" s="100">
        <f>SUM(D6:D38)</f>
        <v>273.14448100000004</v>
      </c>
      <c r="E39" s="100">
        <f>SUM(E6:E38)</f>
        <v>59.753054700846057</v>
      </c>
      <c r="F39" s="100">
        <f>SUM(F6:F38)</f>
        <v>35.335798312499165</v>
      </c>
      <c r="G39" s="100">
        <f>SUM(G6:G38)</f>
        <v>12.824628641765324</v>
      </c>
      <c r="H39" s="100">
        <f>SUM(H6:H38)</f>
        <v>-8.3190570690448808</v>
      </c>
      <c r="I39" s="100">
        <f t="shared" si="0"/>
        <v>173.55005641393439</v>
      </c>
      <c r="J39" s="60"/>
      <c r="K39" s="117"/>
      <c r="L39" s="117"/>
      <c r="M39" s="117"/>
      <c r="N39" s="117"/>
      <c r="O39" s="117"/>
      <c r="P39" s="117"/>
      <c r="Q39" s="117"/>
      <c r="R39" s="1327" t="s">
        <v>246</v>
      </c>
      <c r="S39" s="101">
        <f>SUM(S6:S38)</f>
        <v>14.691831447288592</v>
      </c>
      <c r="T39" s="101">
        <f>SUM(T6:T38)</f>
        <v>10.396261799903623</v>
      </c>
      <c r="U39" s="101">
        <f>SUM(U6:U38)</f>
        <v>2.9227049809790118</v>
      </c>
      <c r="V39" s="101">
        <f>SUM(V6:V38)</f>
        <v>12.235196284620493</v>
      </c>
      <c r="W39" s="100"/>
      <c r="X39" s="1228"/>
      <c r="Y39" s="1233" t="s">
        <v>679</v>
      </c>
      <c r="Z39" s="2226">
        <f>SUM(Z40:AD40)</f>
        <v>150.71531216358767</v>
      </c>
      <c r="AA39" s="2227"/>
      <c r="AB39" s="2227"/>
      <c r="AC39" s="2228"/>
      <c r="AD39" s="1236"/>
      <c r="AE39" s="1234"/>
      <c r="AF39" s="1238" t="s">
        <v>679</v>
      </c>
      <c r="AG39" s="2223">
        <f>SUM(AG40:AJ40)</f>
        <v>0.62341329360741415</v>
      </c>
      <c r="AH39" s="2224"/>
      <c r="AI39" s="2224"/>
      <c r="AJ39" s="2225"/>
      <c r="AK39" s="62"/>
      <c r="AL39" s="1242" t="s">
        <v>246</v>
      </c>
      <c r="AM39" s="100">
        <f>SUM(AM6:AM38)</f>
        <v>116.61674655638517</v>
      </c>
      <c r="AN39" s="1243">
        <f>SUM(AN6:AN38)</f>
        <v>156.52773444361483</v>
      </c>
      <c r="AO39" s="128"/>
      <c r="AP39" s="1233" t="s">
        <v>679</v>
      </c>
      <c r="AQ39" s="2223">
        <f>SUM(AQ40:AU40)</f>
        <v>44.481730863935688</v>
      </c>
      <c r="AR39" s="2232"/>
      <c r="AS39" s="2232"/>
      <c r="AT39" s="2232"/>
      <c r="AU39" s="2233"/>
      <c r="AV39" s="129"/>
      <c r="AW39" s="1238" t="s">
        <v>679</v>
      </c>
      <c r="AX39" s="1328">
        <f>SUM(AX40:BA40)</f>
        <v>0.16843124397546039</v>
      </c>
      <c r="AY39" s="1328"/>
      <c r="AZ39" s="1328"/>
      <c r="BA39" s="1328"/>
      <c r="BC39" s="54"/>
      <c r="BD39" s="54"/>
    </row>
    <row r="40" spans="1:56" s="1223" customFormat="1" ht="20.25" customHeight="1">
      <c r="A40" s="1336"/>
      <c r="B40" s="1337"/>
      <c r="C40" s="1338"/>
      <c r="D40" s="1339"/>
      <c r="E40" s="1339"/>
      <c r="F40" s="1339"/>
      <c r="G40" s="1339"/>
      <c r="H40" s="1339"/>
      <c r="I40" s="1339"/>
      <c r="J40" s="1234"/>
      <c r="K40" s="1340"/>
      <c r="L40" s="1340"/>
      <c r="M40" s="1340"/>
      <c r="N40" s="1340"/>
      <c r="O40" s="1340"/>
      <c r="P40" s="1340"/>
      <c r="Q40" s="1340"/>
      <c r="R40" s="1341"/>
      <c r="S40" s="1342"/>
      <c r="T40" s="1342"/>
      <c r="U40" s="1342"/>
      <c r="V40" s="1342"/>
      <c r="W40" s="1234"/>
      <c r="X40" s="1234"/>
      <c r="Y40" s="1238" t="s">
        <v>680</v>
      </c>
      <c r="Z40" s="1343">
        <f>SUM(Z6:Z38)</f>
        <v>74.444886148134657</v>
      </c>
      <c r="AA40" s="1343">
        <f>SUM(AA6:AA38)</f>
        <v>45.732060112402777</v>
      </c>
      <c r="AB40" s="1343">
        <f>SUM(AB6:AB38)</f>
        <v>15.747333622744339</v>
      </c>
      <c r="AC40" s="1343">
        <f>SUM(AC6:AC38)</f>
        <v>7.830830096153842</v>
      </c>
      <c r="AD40" s="1343">
        <f>SUM(AD6:AD38)</f>
        <v>6.9602021841520383</v>
      </c>
      <c r="AE40" s="1234"/>
      <c r="AF40" s="1238" t="s">
        <v>680</v>
      </c>
      <c r="AG40" s="1328">
        <f>SUM(AG6:AG38)</f>
        <v>0.29385889159553513</v>
      </c>
      <c r="AH40" s="1328">
        <f>SUM(AH6:AH38)</f>
        <v>0.19076706855553344</v>
      </c>
      <c r="AI40" s="1328">
        <f>SUM(AI6:AI38)</f>
        <v>9.2692987825697876E-2</v>
      </c>
      <c r="AJ40" s="1328">
        <f>SUM(AJ6:AJ38)</f>
        <v>4.6094345630647689E-2</v>
      </c>
      <c r="AK40" s="1344"/>
      <c r="AL40" s="1345"/>
      <c r="AM40" s="1345"/>
      <c r="AN40" s="1345"/>
      <c r="AO40" s="1339"/>
      <c r="AP40" s="1238" t="s">
        <v>680</v>
      </c>
      <c r="AQ40" s="1328">
        <f>SUM(AQ6:AQ38)</f>
        <v>10.834699466172919</v>
      </c>
      <c r="AR40" s="1328">
        <f>SUM(AR6:AR38)</f>
        <v>9.6384246435144068</v>
      </c>
      <c r="AS40" s="1328">
        <f>SUM(AS6:AS38)</f>
        <v>3.8404098880687729</v>
      </c>
      <c r="AT40" s="1329">
        <f>SUM(AT6:AT38)</f>
        <v>10.677667387361598</v>
      </c>
      <c r="AU40" s="1328">
        <f>SUM(AU6:AU38)</f>
        <v>9.4905294788179919</v>
      </c>
      <c r="AV40" s="1331"/>
      <c r="AW40" s="1238" t="s">
        <v>680</v>
      </c>
      <c r="AX40" s="1330">
        <f>SUM(AX6:AX38)</f>
        <v>4.2768186515388863E-2</v>
      </c>
      <c r="AY40" s="1330">
        <f>SUM(AY6:AY38)</f>
        <v>4.0205798956299194E-2</v>
      </c>
      <c r="AZ40" s="1330">
        <f>SUM(AZ6:AZ38)</f>
        <v>2.2605672523905732E-2</v>
      </c>
      <c r="BA40" s="1330">
        <f>SUM(BA6:BA38)</f>
        <v>6.2851585979866606E-2</v>
      </c>
      <c r="BC40" s="1218"/>
      <c r="BD40" s="1218"/>
    </row>
    <row r="41" spans="1:56" s="53" customFormat="1" ht="20.25" customHeight="1">
      <c r="A41" s="87"/>
      <c r="B41" s="116"/>
      <c r="C41" s="116"/>
      <c r="D41" s="117"/>
      <c r="E41" s="117"/>
      <c r="F41" s="117"/>
      <c r="G41" s="117"/>
      <c r="H41" s="117"/>
      <c r="I41" s="117"/>
      <c r="J41" s="60"/>
      <c r="K41" s="56"/>
      <c r="L41" s="120"/>
      <c r="M41" s="56"/>
      <c r="N41" s="56"/>
      <c r="O41" s="56"/>
      <c r="P41" s="56"/>
      <c r="Q41" s="56"/>
      <c r="R41" s="58"/>
      <c r="S41" s="60"/>
      <c r="T41" s="60"/>
      <c r="U41" s="60"/>
      <c r="V41" s="60"/>
      <c r="W41" s="60"/>
      <c r="X41" s="60"/>
      <c r="Y41" s="121" t="s">
        <v>681</v>
      </c>
      <c r="Z41" s="119">
        <f>Z40/$Z$39</f>
        <v>0.49394374784780692</v>
      </c>
      <c r="AA41" s="119">
        <f>AA40/$Z$39</f>
        <v>0.30343340338747277</v>
      </c>
      <c r="AB41" s="119">
        <f>AB40/$Z$39</f>
        <v>0.10448396647085235</v>
      </c>
      <c r="AC41" s="119">
        <f>AC40/$Z$39</f>
        <v>5.1957760520405474E-2</v>
      </c>
      <c r="AD41" s="119">
        <f>AD40/$Z$39</f>
        <v>4.6181121773462383E-2</v>
      </c>
      <c r="AE41" s="60"/>
      <c r="AF41" s="121" t="s">
        <v>681</v>
      </c>
      <c r="AG41" s="119">
        <f>AG40/$AG$39</f>
        <v>0.47137091013107058</v>
      </c>
      <c r="AH41" s="119">
        <f>AH40/$AG$39</f>
        <v>0.30600417172955946</v>
      </c>
      <c r="AI41" s="119">
        <f>AI40/$AG$39</f>
        <v>0.1486862548107131</v>
      </c>
      <c r="AJ41" s="119">
        <f>AJ40/$AG$39</f>
        <v>7.393866332865684E-2</v>
      </c>
      <c r="AK41" s="62"/>
      <c r="AL41" s="117"/>
      <c r="AM41" s="117"/>
      <c r="AN41" s="117"/>
      <c r="AO41" s="117"/>
      <c r="AP41" s="1238" t="s">
        <v>681</v>
      </c>
      <c r="AQ41" s="1332">
        <f>AQ40/$AQ$39</f>
        <v>0.24357639093035685</v>
      </c>
      <c r="AR41" s="1332">
        <f>AR40/$AQ$39</f>
        <v>0.21668276967452546</v>
      </c>
      <c r="AS41" s="1332">
        <f>AS40/$AQ$39</f>
        <v>8.633679071113777E-2</v>
      </c>
      <c r="AT41" s="1333">
        <f>AT40/$AQ$39</f>
        <v>0.2400461308491639</v>
      </c>
      <c r="AU41" s="1334">
        <f>AU40/$AQ$39</f>
        <v>0.21335791783481606</v>
      </c>
      <c r="AV41" s="1335"/>
      <c r="AW41" s="1238" t="s">
        <v>681</v>
      </c>
      <c r="AX41" s="1334">
        <f>AX40/$AX$39</f>
        <v>0.25392074241059442</v>
      </c>
      <c r="AY41" s="1334">
        <f>AY40/$AX$39</f>
        <v>0.23870748684939347</v>
      </c>
      <c r="AZ41" s="1334">
        <f>AZ40/$AX$39</f>
        <v>0.1342130592302653</v>
      </c>
      <c r="BA41" s="1334">
        <f>BA40/$AX$39</f>
        <v>0.37315871150974683</v>
      </c>
      <c r="BC41" s="54"/>
      <c r="BD41" s="54"/>
    </row>
    <row r="42" spans="1:56" s="73" customFormat="1">
      <c r="A42" s="2234"/>
      <c r="B42" s="2234"/>
      <c r="C42" s="75"/>
      <c r="D42" s="74"/>
      <c r="I42" s="78"/>
      <c r="J42" s="77"/>
      <c r="K42" s="103" t="s">
        <v>894</v>
      </c>
      <c r="L42" s="103">
        <v>6</v>
      </c>
      <c r="M42" s="103">
        <v>5</v>
      </c>
      <c r="N42" s="103">
        <v>4</v>
      </c>
      <c r="O42" s="103">
        <v>3</v>
      </c>
      <c r="P42" s="103">
        <v>2</v>
      </c>
      <c r="Q42" s="103"/>
      <c r="R42" s="79"/>
      <c r="S42" s="78"/>
      <c r="T42" s="78"/>
      <c r="U42" s="78"/>
      <c r="V42" s="78"/>
      <c r="W42" s="78"/>
      <c r="X42" s="78"/>
      <c r="Y42" s="1229"/>
      <c r="Z42" s="1230"/>
      <c r="AA42" s="1230"/>
      <c r="AB42" s="1230"/>
      <c r="AC42" s="1230"/>
      <c r="AD42" s="78"/>
      <c r="AE42" s="78"/>
      <c r="AF42" s="78"/>
      <c r="AG42" s="80"/>
      <c r="AH42" s="80"/>
      <c r="AI42" s="80"/>
      <c r="AJ42" s="80"/>
      <c r="AK42" s="80"/>
      <c r="AL42" s="76"/>
      <c r="AM42" s="77"/>
      <c r="AN42" s="77"/>
      <c r="AO42" s="77"/>
      <c r="AP42" s="77"/>
      <c r="AQ42" s="78" t="s">
        <v>523</v>
      </c>
      <c r="AR42" s="78"/>
      <c r="AS42" s="78"/>
      <c r="AT42" s="78"/>
      <c r="AU42" s="78"/>
      <c r="AV42" s="78"/>
      <c r="AW42" s="80"/>
      <c r="AX42" s="80"/>
      <c r="AY42" s="80"/>
      <c r="AZ42" s="80"/>
      <c r="BA42" s="80"/>
    </row>
    <row r="43" spans="1:56" s="73" customFormat="1">
      <c r="A43" s="2234"/>
      <c r="B43" s="2234"/>
      <c r="C43" s="75"/>
      <c r="D43" s="81"/>
      <c r="I43" s="78"/>
      <c r="J43" s="77"/>
      <c r="L43" s="79"/>
      <c r="M43" s="79"/>
      <c r="N43" s="79"/>
      <c r="O43" s="79"/>
      <c r="P43" s="79"/>
      <c r="Q43" s="79"/>
      <c r="R43" s="79"/>
      <c r="S43" s="78"/>
      <c r="T43" s="78"/>
      <c r="U43" s="78"/>
      <c r="V43" s="78"/>
      <c r="W43" s="78"/>
      <c r="X43" s="78"/>
      <c r="Y43" s="1231"/>
      <c r="Z43" s="1232"/>
      <c r="AA43" s="1232"/>
      <c r="AB43" s="1232"/>
      <c r="AC43" s="1232"/>
      <c r="AD43" s="78"/>
      <c r="AE43" s="78"/>
      <c r="AF43" s="78"/>
      <c r="AG43" s="80"/>
      <c r="AH43" s="80"/>
      <c r="AI43" s="80"/>
      <c r="AJ43" s="80"/>
      <c r="AK43" s="80"/>
      <c r="AL43" s="76"/>
      <c r="AM43" s="77"/>
      <c r="AN43" s="77"/>
      <c r="AO43" s="77"/>
      <c r="AP43" s="77"/>
      <c r="AQ43" s="78"/>
      <c r="AR43" s="78"/>
      <c r="AS43" s="78"/>
      <c r="AT43" s="78"/>
      <c r="AU43" s="78"/>
      <c r="AV43" s="78"/>
      <c r="AW43" s="80"/>
      <c r="AX43" s="80"/>
      <c r="AY43" s="80"/>
      <c r="AZ43" s="80"/>
      <c r="BA43" s="80"/>
    </row>
    <row r="44" spans="1:56" s="73" customFormat="1">
      <c r="A44" s="2234"/>
      <c r="B44" s="2234"/>
      <c r="C44" s="75"/>
      <c r="D44" s="74"/>
      <c r="I44" s="78"/>
      <c r="J44" s="77"/>
      <c r="L44" s="79"/>
      <c r="M44" s="79"/>
      <c r="N44" s="79"/>
      <c r="O44" s="79"/>
      <c r="P44" s="79"/>
      <c r="Q44" s="79"/>
      <c r="R44" s="79"/>
      <c r="S44" s="78"/>
      <c r="T44" s="78"/>
      <c r="U44" s="78"/>
      <c r="V44" s="78"/>
      <c r="W44" s="78"/>
      <c r="X44" s="78"/>
      <c r="Y44" s="229" t="s">
        <v>841</v>
      </c>
      <c r="Z44" s="229"/>
      <c r="AA44" s="229"/>
      <c r="AB44" s="229"/>
      <c r="AC44" s="229"/>
      <c r="AD44" s="230"/>
      <c r="AE44" s="230"/>
      <c r="AF44" s="78"/>
      <c r="AG44" s="80"/>
      <c r="AH44" s="80"/>
      <c r="AI44" s="80"/>
      <c r="AJ44" s="80"/>
      <c r="AK44" s="80"/>
      <c r="AL44" s="76"/>
      <c r="AM44" s="77"/>
      <c r="AN44" s="77"/>
      <c r="AO44" s="77"/>
      <c r="AP44" s="77"/>
      <c r="AQ44" s="78"/>
      <c r="AR44" s="78"/>
      <c r="AS44" s="78"/>
      <c r="AT44" s="78"/>
      <c r="AU44" s="78"/>
      <c r="AV44" s="78"/>
      <c r="AW44" s="80"/>
      <c r="AX44" s="80"/>
      <c r="AY44" s="80"/>
      <c r="AZ44" s="80"/>
      <c r="BA44" s="80"/>
    </row>
    <row r="45" spans="1:56" s="73" customFormat="1">
      <c r="A45" s="2234"/>
      <c r="B45" s="2234"/>
      <c r="C45" s="75"/>
      <c r="D45" s="74"/>
      <c r="I45" s="78"/>
      <c r="J45" s="77"/>
      <c r="L45" s="79"/>
      <c r="M45" s="79"/>
      <c r="N45" s="79"/>
      <c r="O45" s="79"/>
      <c r="P45" s="79"/>
      <c r="Q45" s="79"/>
      <c r="R45" s="79"/>
      <c r="S45" s="78"/>
      <c r="T45" s="78"/>
      <c r="U45" s="78"/>
      <c r="V45" s="78"/>
      <c r="W45" s="78"/>
      <c r="X45" s="78"/>
      <c r="Y45" s="229"/>
      <c r="Z45" s="229"/>
      <c r="AA45" s="229"/>
      <c r="AB45" s="229"/>
      <c r="AC45" s="229"/>
      <c r="AD45" s="230"/>
      <c r="AE45" s="230"/>
      <c r="AF45" s="78"/>
      <c r="AG45" s="80"/>
      <c r="AH45" s="80"/>
      <c r="AI45" s="80"/>
      <c r="AJ45" s="80"/>
      <c r="AK45" s="80"/>
      <c r="AL45" s="76"/>
      <c r="AM45" s="77"/>
      <c r="AN45" s="77"/>
      <c r="AO45" s="77"/>
      <c r="AP45" s="77"/>
      <c r="AQ45" s="78"/>
      <c r="AR45" s="78"/>
      <c r="AS45" s="78"/>
      <c r="AT45" s="78"/>
      <c r="AU45" s="78"/>
      <c r="AV45" s="78"/>
      <c r="AW45" s="80"/>
      <c r="AX45" s="80"/>
      <c r="AY45" s="80"/>
      <c r="AZ45" s="80"/>
      <c r="BA45" s="80"/>
    </row>
    <row r="46" spans="1:56" s="73" customFormat="1">
      <c r="A46" s="2234"/>
      <c r="B46" s="2234"/>
      <c r="C46" s="75"/>
      <c r="D46" s="74"/>
      <c r="I46" s="78"/>
      <c r="J46" s="77"/>
      <c r="L46" s="79"/>
      <c r="M46" s="79"/>
      <c r="N46" s="79"/>
      <c r="O46" s="79"/>
      <c r="P46" s="79"/>
      <c r="Q46" s="79"/>
      <c r="R46" s="79"/>
      <c r="S46" s="78"/>
      <c r="T46" s="78"/>
      <c r="U46" s="78"/>
      <c r="V46" s="78"/>
      <c r="W46" s="78"/>
      <c r="X46" s="78"/>
      <c r="Y46" s="197" t="s">
        <v>489</v>
      </c>
      <c r="Z46" s="198">
        <f>SUMIF(Z6:Z11,"&gt;0",Z6:Z11)+SUMIF(Z27:Z38,"&gt;0",Z27:Z38)</f>
        <v>59.77326183859946</v>
      </c>
      <c r="AA46" s="198">
        <f>SUMIF(AA6:AA11,"&gt;0",AA6:AA11)+SUMIF(AA27:AA38,"&gt;0",AA27:AA38)</f>
        <v>35.414818905135391</v>
      </c>
      <c r="AB46" s="198">
        <f>SUMIF(AB6:AB11,"&gt;0",AB6:AB11)+SUMIF(AB27:AB38,"&gt;0",AB27:AB38)</f>
        <v>12.833913889456674</v>
      </c>
      <c r="AC46" s="198">
        <f>SUMIF(AC6:AC11,"&gt;0",AC6:AC11)+SUMIF(AC27:AC38,"&gt;0",AC27:AC38)</f>
        <v>14.321819438750691</v>
      </c>
      <c r="AD46" s="198">
        <f>SUMIF(AD6:AD11,"&gt;0",AD6:AD11)+SUMIF(AD27:AD38,"&gt;0",AD27:AD38)</f>
        <v>12.729526463303477</v>
      </c>
      <c r="AE46" s="230"/>
      <c r="AF46" s="78"/>
      <c r="AG46" s="80"/>
      <c r="AH46" s="80"/>
      <c r="AI46" s="80"/>
      <c r="AJ46" s="80"/>
      <c r="AK46" s="80"/>
      <c r="AL46" s="76"/>
      <c r="AM46" s="77"/>
      <c r="AN46" s="77"/>
      <c r="AO46" s="77"/>
      <c r="AP46" s="77"/>
      <c r="AQ46" s="78"/>
      <c r="AR46" s="78"/>
      <c r="AS46" s="78"/>
      <c r="AT46" s="78"/>
      <c r="AU46" s="78"/>
      <c r="AV46" s="78"/>
      <c r="AW46" s="80"/>
      <c r="AX46" s="80"/>
      <c r="AY46" s="80"/>
      <c r="AZ46" s="80"/>
      <c r="BA46" s="80"/>
    </row>
    <row r="47" spans="1:56" s="73" customFormat="1">
      <c r="A47" s="2234"/>
      <c r="B47" s="2234"/>
      <c r="C47" s="75"/>
      <c r="D47" s="74"/>
      <c r="E47" s="78"/>
      <c r="F47" s="78"/>
      <c r="G47" s="78"/>
      <c r="H47" s="78"/>
      <c r="I47" s="78"/>
      <c r="J47" s="77"/>
      <c r="L47" s="79"/>
      <c r="M47" s="79"/>
      <c r="N47" s="79"/>
      <c r="O47" s="79"/>
      <c r="P47" s="79"/>
      <c r="Q47" s="79"/>
      <c r="R47" s="79"/>
      <c r="S47" s="78"/>
      <c r="T47" s="78"/>
      <c r="U47" s="78"/>
      <c r="V47" s="78"/>
      <c r="W47" s="78"/>
      <c r="X47" s="78"/>
      <c r="Y47" s="199" t="s">
        <v>356</v>
      </c>
      <c r="Z47" s="200">
        <f>SUMIF(Z12:Z27,"&gt;0",Z12:Z27)</f>
        <v>14.671624309535193</v>
      </c>
      <c r="AA47" s="200">
        <f>SUMIF(AA12:AA27,"&gt;0",AA12:AA27)</f>
        <v>10.381962786532497</v>
      </c>
      <c r="AB47" s="200">
        <f>SUMIF(AB12:AB27,"&gt;0",AB12:AB27)</f>
        <v>2.9186850939843176</v>
      </c>
      <c r="AC47" s="200">
        <f>SUMIF(AC12:AC27,"&gt;0",AC12:AC27)</f>
        <v>12.218368001662697</v>
      </c>
      <c r="AD47" s="200">
        <f>SUMIF(AD12:AD27,"&gt;0",AD12:AD27)</f>
        <v>10.85993574215269</v>
      </c>
      <c r="AE47" s="230"/>
      <c r="AF47" s="78"/>
      <c r="AG47" s="80"/>
      <c r="AH47" s="80"/>
      <c r="AI47" s="80"/>
      <c r="AJ47" s="80"/>
      <c r="AK47" s="80"/>
      <c r="AL47" s="76"/>
      <c r="AM47" s="77"/>
      <c r="AN47" s="77"/>
      <c r="AO47" s="77"/>
      <c r="AP47" s="77"/>
      <c r="AQ47" s="78"/>
      <c r="AR47" s="78"/>
      <c r="AS47" s="78"/>
      <c r="AT47" s="78"/>
      <c r="AU47" s="78"/>
      <c r="AV47" s="78"/>
      <c r="AW47" s="80"/>
      <c r="AX47" s="80"/>
      <c r="AY47" s="80"/>
      <c r="AZ47" s="80"/>
      <c r="BA47" s="80"/>
    </row>
    <row r="48" spans="1:56" s="73" customFormat="1">
      <c r="A48" s="2234"/>
      <c r="B48" s="2234"/>
      <c r="C48" s="75"/>
      <c r="D48" s="74"/>
      <c r="I48" s="78"/>
      <c r="J48" s="77"/>
      <c r="L48" s="79"/>
      <c r="M48" s="79"/>
      <c r="N48" s="79"/>
      <c r="O48" s="79"/>
      <c r="P48" s="79"/>
      <c r="Q48" s="79"/>
      <c r="R48" s="79"/>
      <c r="S48" s="78"/>
      <c r="T48" s="78"/>
      <c r="U48" s="78"/>
      <c r="V48" s="78"/>
      <c r="W48" s="78"/>
      <c r="X48" s="78"/>
      <c r="Y48" s="199" t="s">
        <v>842</v>
      </c>
      <c r="Z48" s="201">
        <f>Z46/(Z47+Z46)</f>
        <v>0.80291964876753563</v>
      </c>
      <c r="AA48" s="202">
        <f>AA46/(AA47+AA46)</f>
        <v>0.77330366014733831</v>
      </c>
      <c r="AB48" s="202">
        <f>AB46/(AB47+AB46)</f>
        <v>0.81471723510181293</v>
      </c>
      <c r="AC48" s="231">
        <f>AC46/(AC47+AC46)</f>
        <v>0.53962766732168999</v>
      </c>
      <c r="AD48" s="231">
        <f>AD46/(AD47+AD46)</f>
        <v>0.53962766732168987</v>
      </c>
      <c r="AE48" s="1060"/>
      <c r="AF48" s="78"/>
      <c r="AG48" s="80"/>
      <c r="AH48" s="80"/>
      <c r="AI48" s="80"/>
      <c r="AJ48" s="80"/>
      <c r="AK48" s="80"/>
      <c r="AL48" s="76"/>
      <c r="AM48" s="77"/>
      <c r="AN48" s="77"/>
      <c r="AO48" s="77"/>
      <c r="AP48" s="77"/>
      <c r="AQ48" s="78"/>
      <c r="AR48" s="78"/>
      <c r="AS48" s="78"/>
      <c r="AT48" s="78"/>
      <c r="AU48" s="78"/>
      <c r="AV48" s="78"/>
      <c r="AW48" s="80"/>
      <c r="AX48" s="80"/>
      <c r="AY48" s="80"/>
      <c r="AZ48" s="80"/>
      <c r="BA48" s="80"/>
    </row>
    <row r="49" spans="1:53" s="73" customFormat="1">
      <c r="A49" s="2234"/>
      <c r="B49" s="2234"/>
      <c r="C49" s="75"/>
      <c r="D49" s="74"/>
      <c r="I49" s="78"/>
      <c r="J49" s="77"/>
      <c r="L49" s="79"/>
      <c r="M49" s="79"/>
      <c r="N49" s="79"/>
      <c r="O49" s="79"/>
      <c r="P49" s="79"/>
      <c r="Q49" s="79"/>
      <c r="R49" s="79"/>
      <c r="S49" s="78"/>
      <c r="T49" s="78"/>
      <c r="U49" s="78"/>
      <c r="V49" s="78"/>
      <c r="W49" s="78"/>
      <c r="X49" s="78"/>
      <c r="Y49" s="203" t="s">
        <v>357</v>
      </c>
      <c r="Z49" s="204">
        <f>Z47/(Z46+Z47)</f>
        <v>0.19708035123246428</v>
      </c>
      <c r="AA49" s="205">
        <f>AA47/(AA46+AA47)</f>
        <v>0.22669633985266166</v>
      </c>
      <c r="AB49" s="205">
        <f>AB47/(AB46+AB47)</f>
        <v>0.18528276489818704</v>
      </c>
      <c r="AC49" s="205">
        <f>AC47/(AC46+AC47)</f>
        <v>0.46037233267831001</v>
      </c>
      <c r="AD49" s="205">
        <f>AD47/(AD46+AD47)</f>
        <v>0.46037233267831018</v>
      </c>
      <c r="AE49" s="1060"/>
      <c r="AF49" s="78"/>
      <c r="AG49" s="80"/>
      <c r="AH49" s="80"/>
      <c r="AI49" s="80"/>
      <c r="AJ49" s="80"/>
      <c r="AK49" s="80"/>
      <c r="AL49" s="76"/>
      <c r="AM49" s="77"/>
      <c r="AN49" s="77"/>
      <c r="AO49" s="77"/>
      <c r="AP49" s="77"/>
      <c r="AQ49" s="78"/>
      <c r="AR49" s="78"/>
      <c r="AS49" s="78"/>
      <c r="AT49" s="78"/>
      <c r="AU49" s="78"/>
      <c r="AV49" s="78"/>
      <c r="AW49" s="80"/>
      <c r="AX49" s="80"/>
      <c r="AY49" s="80"/>
      <c r="AZ49" s="80"/>
      <c r="BA49" s="80"/>
    </row>
    <row r="50" spans="1:53" s="73" customFormat="1">
      <c r="A50" s="2234"/>
      <c r="B50" s="2234"/>
      <c r="C50" s="75"/>
      <c r="D50" s="74"/>
      <c r="I50" s="78"/>
      <c r="J50" s="77"/>
      <c r="L50" s="79"/>
      <c r="M50" s="79"/>
      <c r="N50" s="79"/>
      <c r="O50" s="79"/>
      <c r="P50" s="79"/>
      <c r="Q50" s="79"/>
      <c r="R50" s="79"/>
      <c r="S50" s="78"/>
      <c r="T50" s="78"/>
      <c r="U50" s="78"/>
      <c r="V50" s="78"/>
      <c r="W50" s="78"/>
      <c r="X50" s="78"/>
      <c r="Y50" s="229"/>
      <c r="Z50" s="230"/>
      <c r="AA50" s="230"/>
      <c r="AB50" s="230"/>
      <c r="AC50" s="230"/>
      <c r="AD50" s="230"/>
      <c r="AE50" s="230"/>
      <c r="AF50" s="78"/>
      <c r="AG50" s="80"/>
      <c r="AH50" s="80"/>
      <c r="AI50" s="80"/>
      <c r="AJ50" s="80"/>
      <c r="AK50" s="80"/>
      <c r="AL50" s="76"/>
      <c r="AM50" s="77"/>
      <c r="AN50" s="77"/>
      <c r="AO50" s="77"/>
      <c r="AP50" s="77"/>
      <c r="AQ50" s="78"/>
      <c r="AR50" s="78"/>
      <c r="AS50" s="78"/>
      <c r="AT50" s="78"/>
      <c r="AU50" s="78"/>
      <c r="AV50" s="78"/>
      <c r="AW50" s="80"/>
      <c r="AX50" s="80"/>
      <c r="AY50" s="80"/>
      <c r="AZ50" s="80"/>
      <c r="BA50" s="80"/>
    </row>
    <row r="51" spans="1:53" s="73" customFormat="1">
      <c r="A51" s="2234"/>
      <c r="B51" s="2234"/>
      <c r="C51" s="75"/>
      <c r="D51" s="74"/>
      <c r="I51" s="78"/>
      <c r="J51" s="77"/>
      <c r="L51" s="79"/>
      <c r="M51" s="79"/>
      <c r="N51" s="79"/>
      <c r="O51" s="79"/>
      <c r="P51" s="79"/>
      <c r="Q51" s="79"/>
      <c r="R51" s="79"/>
      <c r="S51" s="78"/>
      <c r="T51" s="78"/>
      <c r="U51" s="78"/>
      <c r="V51" s="78"/>
      <c r="W51" s="78"/>
      <c r="X51" s="78"/>
      <c r="Z51" s="78"/>
      <c r="AA51" s="78"/>
      <c r="AB51" s="78"/>
      <c r="AC51" s="78"/>
      <c r="AD51" s="78"/>
      <c r="AE51" s="78"/>
      <c r="AF51" s="78"/>
      <c r="AG51" s="80"/>
      <c r="AH51" s="80"/>
      <c r="AI51" s="80"/>
      <c r="AJ51" s="80"/>
      <c r="AK51" s="80"/>
      <c r="AL51" s="76"/>
      <c r="AM51" s="77"/>
      <c r="AN51" s="77"/>
      <c r="AO51" s="77"/>
      <c r="AP51" s="77"/>
      <c r="AQ51" s="78"/>
      <c r="AR51" s="78"/>
      <c r="AS51" s="78"/>
      <c r="AT51" s="78"/>
      <c r="AU51" s="78"/>
      <c r="AV51" s="78"/>
      <c r="AW51" s="80"/>
      <c r="AX51" s="80"/>
      <c r="AY51" s="80"/>
      <c r="AZ51" s="80"/>
      <c r="BA51" s="80"/>
    </row>
    <row r="52" spans="1:53" s="73" customFormat="1">
      <c r="A52" s="2234"/>
      <c r="B52" s="2234"/>
      <c r="C52" s="75"/>
      <c r="D52" s="74"/>
      <c r="I52" s="78"/>
      <c r="J52" s="77"/>
      <c r="L52" s="79"/>
      <c r="M52" s="79"/>
      <c r="N52" s="79"/>
      <c r="O52" s="79"/>
      <c r="P52" s="79"/>
      <c r="Q52" s="79"/>
      <c r="R52" s="79"/>
      <c r="S52" s="78"/>
      <c r="T52" s="78"/>
      <c r="U52" s="78"/>
      <c r="V52" s="78"/>
      <c r="W52" s="78"/>
      <c r="X52" s="78"/>
      <c r="Z52" s="78"/>
      <c r="AA52" s="78"/>
      <c r="AB52" s="78"/>
      <c r="AC52" s="78"/>
      <c r="AD52" s="78"/>
      <c r="AE52" s="78"/>
      <c r="AF52" s="78"/>
      <c r="AG52" s="80"/>
      <c r="AH52" s="80"/>
      <c r="AI52" s="80"/>
      <c r="AJ52" s="80"/>
      <c r="AK52" s="80"/>
      <c r="AL52" s="76"/>
      <c r="AM52" s="77"/>
      <c r="AN52" s="77"/>
      <c r="AO52" s="77"/>
      <c r="AP52" s="77"/>
      <c r="AQ52" s="78"/>
      <c r="AR52" s="78"/>
      <c r="AS52" s="78"/>
      <c r="AT52" s="78"/>
      <c r="AU52" s="78"/>
      <c r="AV52" s="78"/>
      <c r="AW52" s="80"/>
      <c r="AX52" s="80"/>
      <c r="AY52" s="80"/>
      <c r="AZ52" s="80"/>
      <c r="BA52" s="80"/>
    </row>
    <row r="53" spans="1:53" s="73" customFormat="1">
      <c r="A53" s="2234"/>
      <c r="B53" s="2234"/>
      <c r="C53" s="75"/>
      <c r="D53" s="74"/>
      <c r="I53" s="78"/>
      <c r="J53" s="77"/>
      <c r="L53" s="79"/>
      <c r="M53" s="79"/>
      <c r="N53" s="79"/>
      <c r="O53" s="79"/>
      <c r="P53" s="79"/>
      <c r="Q53" s="79"/>
      <c r="R53" s="79"/>
      <c r="S53" s="78"/>
      <c r="T53" s="78"/>
      <c r="U53" s="78"/>
      <c r="V53" s="78"/>
      <c r="W53" s="78"/>
      <c r="X53" s="78"/>
      <c r="Z53" s="78"/>
      <c r="AA53" s="78"/>
      <c r="AB53" s="78"/>
      <c r="AC53" s="78"/>
      <c r="AD53" s="78"/>
      <c r="AE53" s="78"/>
      <c r="AF53" s="78"/>
      <c r="AG53" s="80"/>
      <c r="AH53" s="80"/>
      <c r="AI53" s="80"/>
      <c r="AJ53" s="80"/>
      <c r="AK53" s="80"/>
      <c r="AL53" s="76"/>
      <c r="AM53" s="77"/>
      <c r="AN53" s="77"/>
      <c r="AO53" s="77"/>
      <c r="AP53" s="77"/>
      <c r="AQ53" s="78"/>
      <c r="AR53" s="78"/>
      <c r="AS53" s="78"/>
      <c r="AT53" s="78"/>
      <c r="AU53" s="78"/>
      <c r="AV53" s="78"/>
      <c r="AW53" s="80"/>
      <c r="AX53" s="80"/>
      <c r="AY53" s="80"/>
      <c r="AZ53" s="80"/>
      <c r="BA53" s="80"/>
    </row>
    <row r="54" spans="1:53" s="73" customFormat="1">
      <c r="A54" s="2234"/>
      <c r="B54" s="2234"/>
      <c r="C54" s="75"/>
      <c r="D54" s="74"/>
      <c r="I54" s="78"/>
      <c r="J54" s="77"/>
      <c r="L54" s="79"/>
      <c r="M54" s="79"/>
      <c r="N54" s="79"/>
      <c r="O54" s="79"/>
      <c r="P54" s="79"/>
      <c r="Q54" s="79"/>
      <c r="R54" s="79"/>
      <c r="S54" s="78"/>
      <c r="T54" s="78"/>
      <c r="U54" s="78"/>
      <c r="V54" s="78"/>
      <c r="W54" s="78"/>
      <c r="X54" s="78"/>
      <c r="Z54" s="78"/>
      <c r="AA54" s="78"/>
      <c r="AB54" s="78"/>
      <c r="AC54" s="78"/>
      <c r="AD54" s="78"/>
      <c r="AE54" s="78"/>
      <c r="AF54" s="78"/>
      <c r="AG54" s="80"/>
      <c r="AH54" s="80"/>
      <c r="AI54" s="80"/>
      <c r="AJ54" s="80"/>
      <c r="AK54" s="80"/>
      <c r="AL54" s="76"/>
      <c r="AM54" s="77"/>
      <c r="AN54" s="77"/>
      <c r="AO54" s="77"/>
      <c r="AP54" s="77"/>
      <c r="AQ54" s="78"/>
      <c r="AR54" s="78"/>
      <c r="AS54" s="78"/>
      <c r="AT54" s="78"/>
      <c r="AU54" s="78"/>
      <c r="AV54" s="78"/>
      <c r="AW54" s="80"/>
      <c r="AX54" s="80"/>
      <c r="AY54" s="80"/>
      <c r="AZ54" s="80"/>
      <c r="BA54" s="80"/>
    </row>
    <row r="55" spans="1:53" s="73" customFormat="1">
      <c r="A55" s="2234"/>
      <c r="B55" s="2234"/>
      <c r="C55" s="75"/>
      <c r="D55" s="74"/>
      <c r="I55" s="78"/>
      <c r="J55" s="77"/>
      <c r="L55" s="79"/>
      <c r="M55" s="79"/>
      <c r="N55" s="79"/>
      <c r="O55" s="79"/>
      <c r="P55" s="79"/>
      <c r="Q55" s="79"/>
      <c r="R55" s="79"/>
      <c r="S55" s="78"/>
      <c r="T55" s="78"/>
      <c r="U55" s="78"/>
      <c r="V55" s="78"/>
      <c r="W55" s="78"/>
      <c r="X55" s="78"/>
      <c r="Z55" s="78"/>
      <c r="AA55" s="78"/>
      <c r="AB55" s="78"/>
      <c r="AC55" s="78"/>
      <c r="AD55" s="78"/>
      <c r="AE55" s="78"/>
      <c r="AF55" s="78"/>
      <c r="AG55" s="80"/>
      <c r="AH55" s="80"/>
      <c r="AI55" s="80"/>
      <c r="AJ55" s="80"/>
      <c r="AK55" s="80"/>
      <c r="AL55" s="76"/>
      <c r="AM55" s="77"/>
      <c r="AN55" s="77"/>
      <c r="AO55" s="77"/>
      <c r="AP55" s="77"/>
      <c r="AQ55" s="78"/>
      <c r="AR55" s="78"/>
      <c r="AS55" s="78"/>
      <c r="AT55" s="78"/>
      <c r="AU55" s="78"/>
      <c r="AV55" s="78"/>
      <c r="AW55" s="80"/>
      <c r="AX55" s="80"/>
      <c r="AY55" s="80"/>
      <c r="AZ55" s="80"/>
      <c r="BA55" s="80"/>
    </row>
    <row r="56" spans="1:53" s="73" customFormat="1">
      <c r="A56" s="2234"/>
      <c r="B56" s="2234"/>
      <c r="C56" s="75"/>
      <c r="D56" s="74"/>
      <c r="I56" s="78"/>
      <c r="J56" s="77"/>
      <c r="L56" s="79"/>
      <c r="M56" s="79"/>
      <c r="N56" s="79"/>
      <c r="O56" s="79"/>
      <c r="P56" s="79"/>
      <c r="Q56" s="79"/>
      <c r="R56" s="79"/>
      <c r="S56" s="78"/>
      <c r="T56" s="78"/>
      <c r="U56" s="78"/>
      <c r="V56" s="78"/>
      <c r="W56" s="78"/>
      <c r="X56" s="78"/>
      <c r="Z56" s="78"/>
      <c r="AA56" s="78"/>
      <c r="AB56" s="78"/>
      <c r="AC56" s="78"/>
      <c r="AD56" s="78"/>
      <c r="AE56" s="78"/>
      <c r="AF56" s="78"/>
      <c r="AG56" s="80"/>
      <c r="AH56" s="80"/>
      <c r="AI56" s="80"/>
      <c r="AJ56" s="80"/>
      <c r="AK56" s="80"/>
      <c r="AL56" s="76"/>
      <c r="AM56" s="77"/>
      <c r="AN56" s="77"/>
      <c r="AO56" s="77"/>
      <c r="AP56" s="77"/>
      <c r="AQ56" s="78"/>
      <c r="AR56" s="78"/>
      <c r="AS56" s="78"/>
      <c r="AT56" s="78"/>
      <c r="AU56" s="78"/>
      <c r="AV56" s="78"/>
      <c r="AW56" s="80"/>
      <c r="AX56" s="80"/>
      <c r="AY56" s="80"/>
      <c r="AZ56" s="80"/>
      <c r="BA56" s="80"/>
    </row>
    <row r="57" spans="1:53" s="73" customFormat="1">
      <c r="A57" s="2234"/>
      <c r="B57" s="2234"/>
      <c r="C57" s="75"/>
      <c r="D57" s="74"/>
      <c r="I57" s="78"/>
      <c r="J57" s="77"/>
      <c r="L57" s="79"/>
      <c r="M57" s="79"/>
      <c r="N57" s="79"/>
      <c r="O57" s="79"/>
      <c r="P57" s="79"/>
      <c r="Q57" s="79"/>
      <c r="R57" s="79"/>
      <c r="S57" s="78"/>
      <c r="T57" s="78"/>
      <c r="U57" s="78"/>
      <c r="V57" s="78"/>
      <c r="W57" s="78"/>
      <c r="X57" s="78"/>
      <c r="Z57" s="78"/>
      <c r="AA57" s="78"/>
      <c r="AB57" s="78"/>
      <c r="AC57" s="78"/>
      <c r="AD57" s="78"/>
      <c r="AE57" s="78"/>
      <c r="AF57" s="78"/>
      <c r="AG57" s="80"/>
      <c r="AH57" s="80"/>
      <c r="AI57" s="80"/>
      <c r="AJ57" s="80"/>
      <c r="AK57" s="80"/>
      <c r="AL57" s="76"/>
      <c r="AM57" s="77"/>
      <c r="AN57" s="77"/>
      <c r="AO57" s="77"/>
      <c r="AP57" s="77"/>
      <c r="AQ57" s="78"/>
      <c r="AR57" s="78"/>
      <c r="AS57" s="78"/>
      <c r="AT57" s="78"/>
      <c r="AU57" s="78"/>
      <c r="AV57" s="78"/>
      <c r="AW57" s="80"/>
      <c r="AX57" s="80"/>
      <c r="AY57" s="80"/>
      <c r="AZ57" s="80"/>
      <c r="BA57" s="80"/>
    </row>
    <row r="58" spans="1:53" s="73" customFormat="1">
      <c r="A58" s="2234"/>
      <c r="B58" s="2234"/>
      <c r="C58" s="75"/>
      <c r="D58" s="74"/>
      <c r="I58" s="78"/>
      <c r="J58" s="77"/>
      <c r="L58" s="79"/>
      <c r="M58" s="79"/>
      <c r="N58" s="79"/>
      <c r="O58" s="79"/>
      <c r="P58" s="79"/>
      <c r="Q58" s="79"/>
      <c r="R58" s="79"/>
      <c r="S58" s="78"/>
      <c r="T58" s="78"/>
      <c r="U58" s="78"/>
      <c r="V58" s="78"/>
      <c r="W58" s="78"/>
      <c r="X58" s="78"/>
      <c r="Z58" s="78"/>
      <c r="AA58" s="78"/>
      <c r="AB58" s="78"/>
      <c r="AC58" s="78"/>
      <c r="AD58" s="78"/>
      <c r="AE58" s="78"/>
      <c r="AF58" s="78"/>
      <c r="AG58" s="80"/>
      <c r="AH58" s="80"/>
      <c r="AI58" s="80"/>
      <c r="AJ58" s="80"/>
      <c r="AK58" s="80"/>
      <c r="AL58" s="76"/>
      <c r="AM58" s="77"/>
      <c r="AN58" s="77"/>
      <c r="AO58" s="77"/>
      <c r="AP58" s="77"/>
      <c r="AQ58" s="78"/>
      <c r="AR58" s="78"/>
      <c r="AS58" s="78"/>
      <c r="AT58" s="78"/>
      <c r="AU58" s="78"/>
      <c r="AV58" s="78"/>
      <c r="AW58" s="80"/>
      <c r="AX58" s="80"/>
      <c r="AY58" s="80"/>
      <c r="AZ58" s="80"/>
      <c r="BA58" s="80"/>
    </row>
    <row r="59" spans="1:53" s="73" customFormat="1">
      <c r="A59" s="2234"/>
      <c r="B59" s="2234"/>
      <c r="C59" s="75"/>
      <c r="D59" s="74"/>
      <c r="I59" s="78"/>
      <c r="J59" s="77"/>
      <c r="L59" s="79"/>
      <c r="M59" s="79"/>
      <c r="N59" s="79"/>
      <c r="O59" s="79"/>
      <c r="P59" s="79"/>
      <c r="Q59" s="79"/>
      <c r="R59" s="79"/>
      <c r="S59" s="78"/>
      <c r="T59" s="78"/>
      <c r="U59" s="78"/>
      <c r="V59" s="78"/>
      <c r="W59" s="78"/>
      <c r="X59" s="78"/>
      <c r="Z59" s="78"/>
      <c r="AA59" s="78"/>
      <c r="AB59" s="78"/>
      <c r="AC59" s="78"/>
      <c r="AD59" s="78"/>
      <c r="AE59" s="78"/>
      <c r="AF59" s="78"/>
      <c r="AG59" s="80"/>
      <c r="AH59" s="80"/>
      <c r="AI59" s="80"/>
      <c r="AJ59" s="80"/>
      <c r="AK59" s="80"/>
      <c r="AL59" s="76"/>
      <c r="AM59" s="77"/>
      <c r="AN59" s="77"/>
      <c r="AO59" s="77"/>
      <c r="AP59" s="77"/>
      <c r="AQ59" s="78"/>
      <c r="AR59" s="78"/>
      <c r="AS59" s="78"/>
      <c r="AT59" s="78"/>
      <c r="AU59" s="78"/>
      <c r="AV59" s="78"/>
      <c r="AW59" s="80"/>
      <c r="AX59" s="80"/>
      <c r="AY59" s="80"/>
      <c r="AZ59" s="80"/>
      <c r="BA59" s="80"/>
    </row>
    <row r="60" spans="1:53" s="73" customFormat="1">
      <c r="A60" s="2234"/>
      <c r="B60" s="2234"/>
      <c r="C60" s="75"/>
      <c r="D60" s="74"/>
      <c r="I60" s="78"/>
      <c r="J60" s="77"/>
      <c r="L60" s="79"/>
      <c r="M60" s="79"/>
      <c r="N60" s="79"/>
      <c r="O60" s="79"/>
      <c r="P60" s="79"/>
      <c r="Q60" s="79"/>
      <c r="R60" s="79"/>
      <c r="S60" s="78"/>
      <c r="T60" s="78"/>
      <c r="U60" s="78"/>
      <c r="V60" s="78"/>
      <c r="W60" s="78"/>
      <c r="X60" s="78"/>
      <c r="Z60" s="78"/>
      <c r="AA60" s="78"/>
      <c r="AB60" s="78"/>
      <c r="AC60" s="78"/>
      <c r="AD60" s="78"/>
      <c r="AE60" s="78"/>
      <c r="AF60" s="78"/>
      <c r="AG60" s="80"/>
      <c r="AH60" s="80"/>
      <c r="AI60" s="80"/>
      <c r="AJ60" s="80"/>
      <c r="AK60" s="80"/>
      <c r="AL60" s="76"/>
      <c r="AM60" s="77"/>
      <c r="AN60" s="77"/>
      <c r="AO60" s="77"/>
      <c r="AP60" s="77"/>
      <c r="AQ60" s="78"/>
      <c r="AR60" s="78"/>
      <c r="AS60" s="78"/>
      <c r="AT60" s="78"/>
      <c r="AU60" s="78"/>
      <c r="AV60" s="78"/>
      <c r="AW60" s="80"/>
      <c r="AX60" s="80"/>
      <c r="AY60" s="80"/>
      <c r="AZ60" s="80"/>
      <c r="BA60" s="80"/>
    </row>
    <row r="61" spans="1:53" s="73" customFormat="1">
      <c r="A61" s="2234"/>
      <c r="B61" s="2234"/>
      <c r="C61" s="75"/>
      <c r="D61" s="74"/>
      <c r="I61" s="78"/>
      <c r="J61" s="77"/>
      <c r="L61" s="79"/>
      <c r="M61" s="79"/>
      <c r="N61" s="79"/>
      <c r="O61" s="79"/>
      <c r="P61" s="79"/>
      <c r="Q61" s="79"/>
      <c r="R61" s="79"/>
      <c r="S61" s="78"/>
      <c r="T61" s="78"/>
      <c r="U61" s="78"/>
      <c r="V61" s="78"/>
      <c r="W61" s="78"/>
      <c r="X61" s="78"/>
      <c r="Z61" s="78"/>
      <c r="AA61" s="78"/>
      <c r="AB61" s="78"/>
      <c r="AC61" s="78"/>
      <c r="AD61" s="78"/>
      <c r="AE61" s="78"/>
      <c r="AF61" s="78"/>
      <c r="AG61" s="80"/>
      <c r="AH61" s="80"/>
      <c r="AI61" s="80"/>
      <c r="AJ61" s="80"/>
      <c r="AK61" s="80"/>
      <c r="AL61" s="76"/>
      <c r="AM61" s="77"/>
      <c r="AN61" s="77"/>
      <c r="AO61" s="77"/>
      <c r="AP61" s="77"/>
      <c r="AQ61" s="78"/>
      <c r="AR61" s="78"/>
      <c r="AS61" s="78"/>
      <c r="AT61" s="78"/>
      <c r="AU61" s="78"/>
      <c r="AV61" s="78"/>
      <c r="AW61" s="80"/>
      <c r="AX61" s="80"/>
      <c r="AY61" s="80"/>
      <c r="AZ61" s="80"/>
      <c r="BA61" s="80"/>
    </row>
    <row r="62" spans="1:53" s="73" customFormat="1">
      <c r="A62" s="2234"/>
      <c r="B62" s="2234"/>
      <c r="C62" s="75"/>
      <c r="D62" s="74"/>
      <c r="I62" s="78"/>
      <c r="J62" s="77"/>
      <c r="L62" s="79"/>
      <c r="M62" s="79"/>
      <c r="N62" s="79"/>
      <c r="O62" s="79"/>
      <c r="P62" s="79"/>
      <c r="Q62" s="79"/>
      <c r="R62" s="79"/>
      <c r="S62" s="78"/>
      <c r="T62" s="78"/>
      <c r="U62" s="78"/>
      <c r="V62" s="78"/>
      <c r="W62" s="78"/>
      <c r="X62" s="78"/>
      <c r="Z62" s="78"/>
      <c r="AA62" s="78"/>
      <c r="AB62" s="78"/>
      <c r="AC62" s="78"/>
      <c r="AD62" s="78"/>
      <c r="AE62" s="78"/>
      <c r="AF62" s="78"/>
      <c r="AG62" s="80"/>
      <c r="AH62" s="80"/>
      <c r="AI62" s="80"/>
      <c r="AJ62" s="80"/>
      <c r="AK62" s="80"/>
      <c r="AL62" s="76"/>
      <c r="AM62" s="77"/>
      <c r="AN62" s="77"/>
      <c r="AO62" s="77"/>
      <c r="AP62" s="77"/>
      <c r="AQ62" s="78"/>
      <c r="AR62" s="78"/>
      <c r="AS62" s="78"/>
      <c r="AT62" s="78"/>
      <c r="AU62" s="78"/>
      <c r="AV62" s="78"/>
      <c r="AW62" s="80"/>
      <c r="AX62" s="80"/>
      <c r="AY62" s="80"/>
      <c r="AZ62" s="80"/>
      <c r="BA62" s="80"/>
    </row>
  </sheetData>
  <mergeCells count="25">
    <mergeCell ref="AG39:AJ39"/>
    <mergeCell ref="Z39:AC39"/>
    <mergeCell ref="L4:P4"/>
    <mergeCell ref="AQ39:AU39"/>
    <mergeCell ref="A42:A62"/>
    <mergeCell ref="B42:B47"/>
    <mergeCell ref="B48:B62"/>
    <mergeCell ref="E4:H4"/>
    <mergeCell ref="B6:B11"/>
    <mergeCell ref="B12:B26"/>
    <mergeCell ref="A6:A11"/>
    <mergeCell ref="AX3:BA3"/>
    <mergeCell ref="AL3:AN3"/>
    <mergeCell ref="AG2:AJ2"/>
    <mergeCell ref="AG3:AJ3"/>
    <mergeCell ref="Z3:AD3"/>
    <mergeCell ref="AQ3:AU3"/>
    <mergeCell ref="Z2:AD2"/>
    <mergeCell ref="AL2:BA2"/>
    <mergeCell ref="D2:I2"/>
    <mergeCell ref="K3:P3"/>
    <mergeCell ref="K2:P2"/>
    <mergeCell ref="S3:W3"/>
    <mergeCell ref="S2:W2"/>
    <mergeCell ref="E3:I3"/>
  </mergeCells>
  <phoneticPr fontId="2"/>
  <hyperlinks>
    <hyperlink ref="A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I35"/>
  <sheetViews>
    <sheetView showGridLines="0" zoomScale="90" zoomScaleNormal="90" zoomScalePageLayoutView="75"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8" customFormat="1"/>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463</v>
      </c>
    </row>
    <row r="16" spans="1:9">
      <c r="B16" s="1247" t="s">
        <v>897</v>
      </c>
      <c r="C16" s="1247" t="s">
        <v>885</v>
      </c>
      <c r="D16" s="1247" t="s">
        <v>625</v>
      </c>
      <c r="E16" s="1247" t="s">
        <v>374</v>
      </c>
      <c r="F16" s="1247" t="s">
        <v>239</v>
      </c>
      <c r="G16" s="1247" t="s">
        <v>245</v>
      </c>
      <c r="H16" s="1247" t="s">
        <v>246</v>
      </c>
      <c r="I16" s="1249" t="s">
        <v>479</v>
      </c>
    </row>
    <row r="17" spans="2:9" ht="15" customHeight="1">
      <c r="B17" s="1250" t="s">
        <v>406</v>
      </c>
      <c r="C17" s="15">
        <f>'Calc-Net capex'!H6*SUM('FBPQ NL1'!D10:M13)/SUM('FBPQ NL1'!D10:M16)</f>
        <v>5.8519728446138834E-2</v>
      </c>
      <c r="D17" s="15">
        <f>'Calc-Net capex'!H6*SUM('FBPQ NL1'!D14:M16)/SUM('FBPQ NL1'!D10:M16)</f>
        <v>0.18114195054581075</v>
      </c>
      <c r="E17" s="15">
        <f>'Calc-Net capex'!H7</f>
        <v>8.3066989773941113E-2</v>
      </c>
      <c r="F17" s="15">
        <f>'Calc-Net capex'!H8</f>
        <v>0.24491161675657727</v>
      </c>
      <c r="G17" s="49">
        <f>'Calc-Net capex'!H9+'Calc-Net capex'!H10</f>
        <v>0.43235971447753196</v>
      </c>
      <c r="H17" s="49"/>
      <c r="I17" s="22" t="s">
        <v>376</v>
      </c>
    </row>
    <row r="18" spans="2:9" ht="15" customHeight="1">
      <c r="B18" s="1250" t="s">
        <v>911</v>
      </c>
      <c r="C18" s="17">
        <v>1</v>
      </c>
      <c r="D18" s="17">
        <v>0</v>
      </c>
      <c r="E18" s="17">
        <v>0</v>
      </c>
      <c r="F18" s="17">
        <v>0</v>
      </c>
      <c r="G18" s="50">
        <v>0</v>
      </c>
      <c r="H18" s="50">
        <f t="shared" ref="H18:H27" si="0">SUM(C18:G18)</f>
        <v>1</v>
      </c>
      <c r="I18" s="1248" t="s">
        <v>483</v>
      </c>
    </row>
    <row r="19" spans="2:9" ht="15" customHeight="1">
      <c r="B19" s="1250" t="s">
        <v>478</v>
      </c>
      <c r="C19" s="16"/>
      <c r="D19" s="16">
        <f>'RRP 5.1'!$G$64/'RRP 5.1'!$G$65</f>
        <v>0.54004241180963031</v>
      </c>
      <c r="E19" s="16">
        <v>0</v>
      </c>
      <c r="F19" s="16">
        <f>'RRP 5.1'!$G$63/'RRP 5.1'!$G$65</f>
        <v>0.36332506393574565</v>
      </c>
      <c r="G19" s="51">
        <f>('RRP 5.1'!$G$61+'RRP 5.1'!$G$62)/'RRP 5.1'!$G$65</f>
        <v>9.6632524254624097E-2</v>
      </c>
      <c r="H19" s="51">
        <f t="shared" si="0"/>
        <v>1</v>
      </c>
      <c r="I19" s="1248" t="s">
        <v>480</v>
      </c>
    </row>
    <row r="20" spans="2:9" ht="15" customHeight="1">
      <c r="B20" s="1250" t="s">
        <v>912</v>
      </c>
      <c r="C20" s="16"/>
      <c r="D20" s="16">
        <f>0/'RRP 5.1'!$G$73</f>
        <v>0</v>
      </c>
      <c r="E20" s="16">
        <v>0</v>
      </c>
      <c r="F20" s="16">
        <f>('RRP 5.1'!$G$71+'RRP 5.1'!$G$72)/'RRP 5.1'!$G$73</f>
        <v>0.988202957773886</v>
      </c>
      <c r="G20" s="51">
        <f>('RRP 5.1'!$G$68+'RRP 5.1'!$G$69+'RRP 5.1'!$G$70)/'RRP 5.1'!$G$73</f>
        <v>1.1797042226114029E-2</v>
      </c>
      <c r="H20" s="51">
        <f t="shared" si="0"/>
        <v>1</v>
      </c>
      <c r="I20" s="1248" t="s">
        <v>480</v>
      </c>
    </row>
    <row r="21" spans="2:9" ht="15" customHeight="1">
      <c r="B21" s="1250" t="s">
        <v>645</v>
      </c>
      <c r="C21" s="16"/>
      <c r="D21" s="16">
        <v>0</v>
      </c>
      <c r="E21" s="16">
        <v>0</v>
      </c>
      <c r="F21" s="16">
        <v>0</v>
      </c>
      <c r="G21" s="51">
        <v>1</v>
      </c>
      <c r="H21" s="51">
        <f t="shared" si="0"/>
        <v>1</v>
      </c>
      <c r="I21" s="1248" t="s">
        <v>483</v>
      </c>
    </row>
    <row r="22" spans="2:9" ht="15" customHeight="1">
      <c r="B22" s="1250" t="s">
        <v>484</v>
      </c>
      <c r="C22" s="1812">
        <f>'Calc-MEAV'!H6*(('Calc-MEAV'!I21+'Calc-MEAV'!I30)/'Calc-MEAV'!G6)</f>
        <v>0.21272895640239217</v>
      </c>
      <c r="D22" s="1812">
        <f>'Calc-MEAV'!H6*(('Calc-MEAV'!G6-'Calc-MEAV'!I21-'Calc-MEAV'!I30)/'Calc-MEAV'!G6)</f>
        <v>0.23933849477997618</v>
      </c>
      <c r="E22" s="1812">
        <f>'Calc-MEAV'!H7</f>
        <v>5.7172422457393603E-2</v>
      </c>
      <c r="F22" s="1812">
        <f>'Calc-MEAV'!H8</f>
        <v>0.20336622254725664</v>
      </c>
      <c r="G22" s="1812">
        <f>'Calc-MEAV'!H9+'Calc-MEAV'!H10</f>
        <v>0.28739390381298147</v>
      </c>
      <c r="H22" s="1812">
        <f t="shared" si="0"/>
        <v>1</v>
      </c>
      <c r="I22" s="52" t="s">
        <v>377</v>
      </c>
    </row>
    <row r="23" spans="2:9" ht="15" customHeight="1"/>
    <row r="24" spans="2:9" ht="15" customHeight="1"/>
    <row r="25" spans="2:9" ht="15" customHeight="1">
      <c r="B25" s="1250" t="s">
        <v>646</v>
      </c>
      <c r="C25" s="1812"/>
      <c r="D25" s="1812">
        <v>0</v>
      </c>
      <c r="E25" s="1812">
        <v>0</v>
      </c>
      <c r="F25" s="1812">
        <v>0</v>
      </c>
      <c r="G25" s="1812">
        <v>1</v>
      </c>
      <c r="H25" s="1812">
        <f t="shared" si="0"/>
        <v>1</v>
      </c>
      <c r="I25" s="1248" t="s">
        <v>483</v>
      </c>
    </row>
    <row r="26" spans="2:9" ht="15" customHeight="1">
      <c r="B26" s="1250" t="s">
        <v>422</v>
      </c>
      <c r="C26" s="1812"/>
      <c r="D26" s="1812">
        <v>1</v>
      </c>
      <c r="E26" s="1812">
        <v>0</v>
      </c>
      <c r="F26" s="1812">
        <v>0</v>
      </c>
      <c r="G26" s="1812">
        <v>0</v>
      </c>
      <c r="H26" s="1812">
        <f t="shared" si="0"/>
        <v>1</v>
      </c>
      <c r="I26" s="1248" t="s">
        <v>483</v>
      </c>
    </row>
    <row r="27" spans="2:9" ht="15" customHeight="1">
      <c r="B27" s="1813" t="s">
        <v>423</v>
      </c>
      <c r="C27" s="1814"/>
      <c r="D27" s="1814">
        <v>0</v>
      </c>
      <c r="E27" s="1814">
        <v>0</v>
      </c>
      <c r="F27" s="1814">
        <v>1</v>
      </c>
      <c r="G27" s="1814">
        <v>0</v>
      </c>
      <c r="H27" s="1814">
        <f t="shared" si="0"/>
        <v>1</v>
      </c>
      <c r="I27" s="102" t="s">
        <v>483</v>
      </c>
    </row>
    <row r="29" spans="2:9">
      <c r="B29" s="7"/>
      <c r="C29" s="7"/>
      <c r="D29" s="7"/>
      <c r="E29" s="7"/>
      <c r="F29" s="7"/>
    </row>
    <row r="30" spans="2:9">
      <c r="B30" s="7"/>
      <c r="C30" s="7"/>
      <c r="D30" s="7"/>
      <c r="E30" s="7"/>
      <c r="F30" s="7"/>
    </row>
    <row r="31" spans="2:9" s="28" customFormat="1" ht="114.75">
      <c r="B31" s="1801" t="s">
        <v>897</v>
      </c>
      <c r="C31" s="1802" t="s">
        <v>993</v>
      </c>
      <c r="D31" s="1803" t="s">
        <v>994</v>
      </c>
      <c r="E31" s="1803" t="s">
        <v>995</v>
      </c>
      <c r="F31" s="1804" t="s">
        <v>479</v>
      </c>
    </row>
    <row r="32" spans="2:9" s="28" customFormat="1" ht="25.5">
      <c r="B32" s="1802" t="s">
        <v>996</v>
      </c>
      <c r="C32" s="1805">
        <f>Inputs!B35</f>
        <v>245181123.57760999</v>
      </c>
      <c r="D32" s="1806">
        <f>SUM(Inputs!C30:G30)</f>
        <v>2370919400.6666727</v>
      </c>
      <c r="E32" s="1807">
        <f>D32/(C32+D32)</f>
        <v>0.90627993026054077</v>
      </c>
      <c r="F32" s="1808" t="s">
        <v>997</v>
      </c>
    </row>
    <row r="33" spans="2:6">
      <c r="B33" s="192"/>
      <c r="C33" s="193"/>
      <c r="D33" s="193"/>
      <c r="E33" s="193"/>
      <c r="F33" s="194"/>
    </row>
    <row r="34" spans="2:6">
      <c r="B34" s="7"/>
      <c r="C34" s="7"/>
      <c r="D34" s="7"/>
      <c r="E34" s="7"/>
      <c r="F34" s="7"/>
    </row>
    <row r="35" spans="2:6">
      <c r="B35" s="7"/>
      <c r="C35" s="7"/>
      <c r="D35" s="7"/>
      <c r="E35" s="7"/>
      <c r="F35" s="7"/>
    </row>
  </sheetData>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A1:AW81"/>
  <sheetViews>
    <sheetView showGridLines="0" zoomScale="60" zoomScaleNormal="60" zoomScalePageLayoutView="8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219" customFormat="1">
      <c r="A1" s="219" t="s">
        <v>661</v>
      </c>
    </row>
    <row r="2" spans="1:49">
      <c r="A2" s="241" t="s">
        <v>216</v>
      </c>
    </row>
    <row r="3" spans="1:49">
      <c r="A3" s="53"/>
      <c r="B3" s="53"/>
      <c r="C3" s="53"/>
      <c r="D3" s="53"/>
      <c r="E3" s="53"/>
      <c r="F3" s="53"/>
      <c r="G3" s="53"/>
      <c r="H3" s="53"/>
      <c r="I3" s="53"/>
      <c r="J3" s="53"/>
      <c r="K3" s="53"/>
      <c r="L3" s="53"/>
      <c r="M3" s="53"/>
      <c r="N3" s="53"/>
      <c r="O3" s="130"/>
      <c r="P3" s="130"/>
      <c r="Q3" s="130"/>
      <c r="R3" s="130"/>
      <c r="S3" s="130"/>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row>
    <row r="4" spans="1:49">
      <c r="A4" s="53"/>
      <c r="B4" s="138" t="s">
        <v>452</v>
      </c>
      <c r="C4" s="138"/>
      <c r="D4" s="138"/>
      <c r="E4" s="138"/>
      <c r="F4" s="138"/>
      <c r="G4" s="138"/>
      <c r="H4" s="138"/>
      <c r="I4" s="138"/>
      <c r="J4" s="138"/>
      <c r="K4" s="138"/>
      <c r="L4" s="138" t="s">
        <v>453</v>
      </c>
      <c r="M4" s="138"/>
      <c r="N4" s="138"/>
      <c r="O4" s="138"/>
      <c r="P4" s="138"/>
      <c r="Q4" s="138"/>
      <c r="R4" s="138"/>
      <c r="S4" s="138"/>
      <c r="T4" s="138"/>
      <c r="U4" s="53"/>
      <c r="V4" s="53"/>
      <c r="W4" s="53"/>
      <c r="X4" s="53"/>
      <c r="Y4" s="53"/>
      <c r="Z4" s="53"/>
      <c r="AA4" s="53"/>
      <c r="AB4" s="53"/>
      <c r="AC4" s="53"/>
    </row>
    <row r="5" spans="1:49">
      <c r="A5" s="53"/>
      <c r="B5" s="138"/>
      <c r="C5" s="138"/>
      <c r="D5" s="138"/>
      <c r="E5" s="138"/>
      <c r="F5" s="138"/>
      <c r="G5" s="138"/>
      <c r="H5" s="138"/>
      <c r="I5" s="138"/>
      <c r="J5" s="138"/>
      <c r="K5" s="138"/>
      <c r="L5" s="138"/>
      <c r="M5" s="138"/>
      <c r="N5" s="138"/>
      <c r="O5" s="138"/>
      <c r="P5" s="138"/>
      <c r="Q5" s="138"/>
      <c r="R5" s="138"/>
      <c r="S5" s="138"/>
      <c r="T5" s="138"/>
      <c r="U5" s="53"/>
      <c r="V5" s="53"/>
      <c r="W5" s="53"/>
      <c r="X5" s="53"/>
      <c r="Y5" s="53"/>
      <c r="Z5" s="53"/>
      <c r="AA5" s="53"/>
      <c r="AB5" s="53"/>
      <c r="AC5" s="53"/>
    </row>
    <row r="6" spans="1:49">
      <c r="A6" s="53"/>
      <c r="B6" s="138"/>
      <c r="C6" s="138"/>
      <c r="D6" s="1317" t="s">
        <v>32</v>
      </c>
      <c r="E6" s="1317" t="s">
        <v>33</v>
      </c>
      <c r="F6" s="1317"/>
      <c r="G6" s="1317" t="s">
        <v>29</v>
      </c>
      <c r="H6" s="1317" t="s">
        <v>34</v>
      </c>
      <c r="I6" s="1317" t="s">
        <v>35</v>
      </c>
      <c r="J6" s="138"/>
      <c r="K6" s="138"/>
      <c r="L6" s="138"/>
      <c r="M6" s="138"/>
      <c r="N6" s="138"/>
      <c r="O6" s="1315" t="s">
        <v>32</v>
      </c>
      <c r="P6" s="1315" t="s">
        <v>33</v>
      </c>
      <c r="Q6" s="1315" t="s">
        <v>29</v>
      </c>
      <c r="R6" s="1315" t="s">
        <v>34</v>
      </c>
      <c r="S6" s="1315" t="s">
        <v>35</v>
      </c>
      <c r="T6" s="138"/>
      <c r="U6" s="53"/>
      <c r="V6" s="53"/>
      <c r="W6" s="53"/>
      <c r="X6" s="53"/>
      <c r="Y6" s="53"/>
      <c r="Z6" s="53"/>
      <c r="AA6" s="53"/>
      <c r="AB6" s="53"/>
      <c r="AC6" s="53"/>
    </row>
    <row r="7" spans="1:49">
      <c r="A7" s="53"/>
      <c r="B7" s="138"/>
      <c r="C7" s="138"/>
      <c r="D7" s="139"/>
      <c r="E7" s="139"/>
      <c r="F7" s="139"/>
      <c r="G7" s="139"/>
      <c r="H7" s="139"/>
      <c r="I7" s="139"/>
      <c r="J7" s="139"/>
      <c r="K7" s="138"/>
      <c r="L7" s="138" t="s">
        <v>602</v>
      </c>
      <c r="M7" s="138"/>
      <c r="N7" s="138"/>
      <c r="O7" s="1316">
        <f>'Allowed revenue -DPCR4'!D3</f>
        <v>920</v>
      </c>
      <c r="P7" s="1316">
        <f>'Allowed revenue -DPCR4'!E3</f>
        <v>964.3</v>
      </c>
      <c r="Q7" s="1316">
        <f>'Allowed revenue -DPCR4'!F3</f>
        <v>1002.5</v>
      </c>
      <c r="R7" s="1316">
        <f>'Allowed revenue -DPCR4'!G3</f>
        <v>1034.7</v>
      </c>
      <c r="S7" s="1316">
        <f>'Allowed revenue -DPCR4'!H3</f>
        <v>1060.8</v>
      </c>
      <c r="T7" s="138"/>
      <c r="U7" s="53"/>
      <c r="V7" s="53"/>
      <c r="W7" s="53"/>
      <c r="X7" s="53"/>
      <c r="Y7" s="53"/>
      <c r="Z7" s="53"/>
      <c r="AA7" s="53"/>
      <c r="AB7" s="53"/>
      <c r="AC7" s="53"/>
    </row>
    <row r="8" spans="1:49">
      <c r="A8" s="53"/>
      <c r="B8" s="138" t="s">
        <v>603</v>
      </c>
      <c r="C8" s="138"/>
      <c r="D8" s="1323">
        <f>O33</f>
        <v>221.20241745024757</v>
      </c>
      <c r="E8" s="1323">
        <f>P33</f>
        <v>223.63564404220025</v>
      </c>
      <c r="F8" s="1323"/>
      <c r="G8" s="1323">
        <f>Q33</f>
        <v>224.07804887710077</v>
      </c>
      <c r="H8" s="1323">
        <f>R33</f>
        <v>226.06887063415303</v>
      </c>
      <c r="I8" s="1323">
        <f>S33</f>
        <v>226.51127546905352</v>
      </c>
      <c r="J8" s="139"/>
      <c r="K8" s="138"/>
      <c r="L8" s="138" t="s">
        <v>604</v>
      </c>
      <c r="M8" s="138"/>
      <c r="N8" s="138"/>
      <c r="O8" s="1316">
        <f>'Allowed revenue -DPCR4'!D4</f>
        <v>112.7</v>
      </c>
      <c r="P8" s="1316">
        <f>'Allowed revenue -DPCR4'!E4</f>
        <v>112.3</v>
      </c>
      <c r="Q8" s="1316">
        <f>'Allowed revenue -DPCR4'!F4</f>
        <v>111.8</v>
      </c>
      <c r="R8" s="1316">
        <f>'Allowed revenue -DPCR4'!G4</f>
        <v>111.4</v>
      </c>
      <c r="S8" s="1316">
        <f>'Allowed revenue -DPCR4'!H4</f>
        <v>110.9</v>
      </c>
      <c r="T8" s="139"/>
      <c r="U8" s="53"/>
      <c r="V8" s="53"/>
      <c r="W8" s="53"/>
      <c r="X8" s="53"/>
      <c r="Y8" s="53"/>
      <c r="Z8" s="53"/>
      <c r="AA8" s="53"/>
      <c r="AB8" s="53"/>
      <c r="AC8" s="53"/>
    </row>
    <row r="9" spans="1:49">
      <c r="A9" s="53"/>
      <c r="B9" s="138"/>
      <c r="C9" s="138"/>
      <c r="D9" s="1322"/>
      <c r="E9" s="1322"/>
      <c r="F9" s="1322"/>
      <c r="G9" s="1322"/>
      <c r="H9" s="1322"/>
      <c r="I9" s="1322"/>
      <c r="J9" s="138"/>
      <c r="K9" s="138"/>
      <c r="L9" s="138" t="s">
        <v>441</v>
      </c>
      <c r="M9" s="138"/>
      <c r="N9" s="138"/>
      <c r="O9" s="1316">
        <f>'Allowed revenue -DPCR4'!D5</f>
        <v>-68.5</v>
      </c>
      <c r="P9" s="1316">
        <f>'Allowed revenue -DPCR4'!E5</f>
        <v>-74.099999999999994</v>
      </c>
      <c r="Q9" s="1316">
        <f>'Allowed revenue -DPCR4'!F5</f>
        <v>-79.7</v>
      </c>
      <c r="R9" s="1316">
        <f>'Allowed revenue -DPCR4'!G5</f>
        <v>-85.3</v>
      </c>
      <c r="S9" s="1316">
        <f>'Allowed revenue -DPCR4'!H5</f>
        <v>-90.9</v>
      </c>
      <c r="T9" s="139"/>
      <c r="U9" s="53"/>
      <c r="V9" s="53"/>
      <c r="W9" s="53"/>
      <c r="X9" s="53"/>
      <c r="Y9" s="53"/>
      <c r="Z9" s="53"/>
      <c r="AA9" s="53"/>
      <c r="AB9" s="53"/>
      <c r="AC9" s="53"/>
    </row>
    <row r="10" spans="1:49">
      <c r="A10" s="53"/>
      <c r="B10" s="1314" t="s">
        <v>899</v>
      </c>
      <c r="C10" s="138"/>
      <c r="D10" s="1322">
        <f>O14+(1-0.577)*O16</f>
        <v>73.768000000000001</v>
      </c>
      <c r="E10" s="1322">
        <f>P14+(1-0.577)*P16</f>
        <v>71.468000000000004</v>
      </c>
      <c r="F10" s="1322"/>
      <c r="G10" s="1322">
        <f>Q14+(1-0.577)*Q16</f>
        <v>69.867999999999995</v>
      </c>
      <c r="H10" s="1322">
        <f>R14+(1-0.577)*R16</f>
        <v>68.468000000000004</v>
      </c>
      <c r="I10" s="1322">
        <f>S14+(1-0.577)*S16</f>
        <v>66.968000000000004</v>
      </c>
      <c r="J10" s="138"/>
      <c r="K10" s="138"/>
      <c r="L10" s="138" t="s">
        <v>362</v>
      </c>
      <c r="M10" s="138"/>
      <c r="N10" s="138"/>
      <c r="O10" s="1316">
        <f>'Allowed revenue -DPCR4'!D6</f>
        <v>964.3</v>
      </c>
      <c r="P10" s="1316">
        <f>'Allowed revenue -DPCR4'!E6</f>
        <v>1002.5</v>
      </c>
      <c r="Q10" s="1316">
        <f>'Allowed revenue -DPCR4'!F6</f>
        <v>1034.7</v>
      </c>
      <c r="R10" s="1316">
        <f>'Allowed revenue -DPCR4'!G6</f>
        <v>1060.8</v>
      </c>
      <c r="S10" s="1316">
        <f>'Allowed revenue -DPCR4'!H6</f>
        <v>1080.9000000000001</v>
      </c>
      <c r="T10" s="138"/>
      <c r="U10" s="53"/>
      <c r="V10" s="53"/>
      <c r="W10" s="53"/>
      <c r="X10" s="53"/>
      <c r="Y10" s="53"/>
      <c r="Z10" s="53"/>
      <c r="AA10" s="53"/>
      <c r="AB10" s="53"/>
      <c r="AC10" s="53"/>
    </row>
    <row r="11" spans="1:49">
      <c r="A11" s="53"/>
      <c r="B11" s="138" t="s">
        <v>363</v>
      </c>
      <c r="C11" s="138"/>
      <c r="D11" s="1323" t="str">
        <f>O20</f>
        <v/>
      </c>
      <c r="E11" s="1323" t="str">
        <f>P20</f>
        <v/>
      </c>
      <c r="F11" s="1323" t="str">
        <f>Q20</f>
        <v/>
      </c>
      <c r="G11" s="1323" t="str">
        <f>Q20</f>
        <v/>
      </c>
      <c r="H11" s="1323" t="str">
        <f>R20</f>
        <v/>
      </c>
      <c r="I11" s="1323" t="str">
        <f>S20</f>
        <v/>
      </c>
      <c r="J11" s="138"/>
      <c r="K11" s="138"/>
      <c r="L11" s="138" t="s">
        <v>364</v>
      </c>
      <c r="M11" s="138"/>
      <c r="N11" s="138"/>
      <c r="O11" s="1316">
        <f>'Allowed revenue -DPCR4'!D7</f>
        <v>920</v>
      </c>
      <c r="P11" s="1316"/>
      <c r="Q11" s="1316">
        <f>'Allowed revenue -DPCR4'!F7</f>
        <v>0</v>
      </c>
      <c r="R11" s="1316"/>
      <c r="S11" s="1316">
        <f>'Allowed revenue -DPCR4'!H7</f>
        <v>825.2</v>
      </c>
      <c r="T11" s="141"/>
      <c r="U11" s="53"/>
      <c r="V11" s="53"/>
      <c r="W11" s="53"/>
      <c r="X11" s="53"/>
      <c r="Y11" s="53"/>
      <c r="Z11" s="53"/>
      <c r="AA11" s="53"/>
      <c r="AB11" s="53"/>
      <c r="AC11" s="53"/>
    </row>
    <row r="12" spans="1:49">
      <c r="A12" s="53"/>
      <c r="B12" s="138" t="s">
        <v>365</v>
      </c>
      <c r="C12" s="138"/>
      <c r="D12" s="1323">
        <f>O21</f>
        <v>1.5</v>
      </c>
      <c r="E12" s="1323"/>
      <c r="F12" s="1323"/>
      <c r="G12" s="1323"/>
      <c r="H12" s="1323"/>
      <c r="I12" s="1323"/>
      <c r="J12" s="139"/>
      <c r="K12" s="138"/>
      <c r="L12" s="138" t="s">
        <v>366</v>
      </c>
      <c r="M12" s="138"/>
      <c r="N12" s="138"/>
      <c r="O12" s="1316"/>
      <c r="P12" s="1316">
        <f>'Allowed revenue -DPCR4'!E8</f>
        <v>0</v>
      </c>
      <c r="Q12" s="1316"/>
      <c r="R12" s="1316"/>
      <c r="S12" s="1316">
        <f>'Allowed revenue -DPCR4'!H8</f>
        <v>94.8</v>
      </c>
      <c r="T12" s="141"/>
      <c r="U12" s="53"/>
      <c r="V12" s="53"/>
      <c r="W12" s="53"/>
      <c r="X12" s="53"/>
      <c r="Y12" s="53"/>
      <c r="Z12" s="53"/>
      <c r="AA12" s="53"/>
      <c r="AB12" s="53"/>
      <c r="AC12" s="53"/>
    </row>
    <row r="13" spans="1:49">
      <c r="A13" s="53"/>
      <c r="B13" s="138" t="s">
        <v>368</v>
      </c>
      <c r="C13" s="138"/>
      <c r="D13" s="1322">
        <f>SUM(D10:D12)</f>
        <v>75.268000000000001</v>
      </c>
      <c r="E13" s="1322">
        <f>SUM(E10:E12)</f>
        <v>71.468000000000004</v>
      </c>
      <c r="F13" s="1322"/>
      <c r="G13" s="1322">
        <f>SUM(G10:G12)</f>
        <v>69.867999999999995</v>
      </c>
      <c r="H13" s="1322">
        <f>SUM(H10:H12)</f>
        <v>68.468000000000004</v>
      </c>
      <c r="I13" s="1322">
        <f>SUM(I10:I12)</f>
        <v>66.968000000000004</v>
      </c>
      <c r="J13" s="138"/>
      <c r="K13" s="138"/>
      <c r="L13" s="138"/>
      <c r="M13" s="138"/>
      <c r="N13" s="138"/>
      <c r="O13" s="1317"/>
      <c r="P13" s="1317"/>
      <c r="Q13" s="1317"/>
      <c r="R13" s="1317"/>
      <c r="S13" s="1317"/>
      <c r="T13" s="138"/>
      <c r="U13" s="53"/>
      <c r="V13" s="53"/>
      <c r="W13" s="53"/>
      <c r="X13" s="53"/>
      <c r="Y13" s="53"/>
      <c r="Z13" s="53"/>
      <c r="AA13" s="53"/>
      <c r="AB13" s="53"/>
      <c r="AC13" s="53"/>
    </row>
    <row r="14" spans="1:49">
      <c r="A14" s="53"/>
      <c r="B14" s="138"/>
      <c r="C14" s="138"/>
      <c r="D14" s="1322"/>
      <c r="E14" s="1322"/>
      <c r="F14" s="1322"/>
      <c r="G14" s="1322"/>
      <c r="H14" s="1322"/>
      <c r="I14" s="1322"/>
      <c r="J14" s="138"/>
      <c r="K14" s="138"/>
      <c r="L14" s="138" t="s">
        <v>332</v>
      </c>
      <c r="M14" s="138"/>
      <c r="N14" s="138"/>
      <c r="O14" s="1318">
        <f>'Allowed revenue -DPCR4'!D10</f>
        <v>67</v>
      </c>
      <c r="P14" s="1318">
        <f>'Allowed revenue -DPCR4'!E10</f>
        <v>64.7</v>
      </c>
      <c r="Q14" s="1318">
        <f>'Allowed revenue -DPCR4'!F10</f>
        <v>63.1</v>
      </c>
      <c r="R14" s="1318">
        <f>'Allowed revenue -DPCR4'!G10</f>
        <v>61.7</v>
      </c>
      <c r="S14" s="1318">
        <f>'Allowed revenue -DPCR4'!H10</f>
        <v>60.2</v>
      </c>
      <c r="T14" s="139"/>
      <c r="U14" s="53"/>
      <c r="V14" s="53"/>
      <c r="W14" s="53"/>
      <c r="X14" s="53"/>
      <c r="Y14" s="53"/>
      <c r="Z14" s="53"/>
      <c r="AA14" s="53"/>
      <c r="AB14" s="53"/>
      <c r="AC14" s="53"/>
    </row>
    <row r="15" spans="1:49">
      <c r="A15" s="53"/>
      <c r="B15" s="138" t="s">
        <v>333</v>
      </c>
      <c r="C15" s="138"/>
      <c r="D15" s="1322"/>
      <c r="E15" s="1322"/>
      <c r="F15" s="1322"/>
      <c r="G15" s="1322"/>
      <c r="H15" s="1322"/>
      <c r="I15" s="1322"/>
      <c r="J15" s="138"/>
      <c r="K15" s="138"/>
      <c r="L15" s="138" t="s">
        <v>334</v>
      </c>
      <c r="M15" s="138"/>
      <c r="N15" s="138"/>
      <c r="O15" s="1318">
        <f>'Allowed revenue -DPCR4'!D11</f>
        <v>103.5</v>
      </c>
      <c r="P15" s="1318">
        <f>'Allowed revenue -DPCR4'!E11</f>
        <v>103.1</v>
      </c>
      <c r="Q15" s="1318">
        <f>'Allowed revenue -DPCR4'!F11</f>
        <v>102.6</v>
      </c>
      <c r="R15" s="1318">
        <f>'Allowed revenue -DPCR4'!G11</f>
        <v>102.2</v>
      </c>
      <c r="S15" s="1318">
        <f>'Allowed revenue -DPCR4'!H11</f>
        <v>101.7</v>
      </c>
      <c r="T15" s="139"/>
      <c r="U15" s="53"/>
      <c r="V15" s="53"/>
      <c r="W15" s="53"/>
      <c r="X15" s="53"/>
      <c r="Y15" s="53"/>
      <c r="Z15" s="53"/>
      <c r="AA15" s="53"/>
      <c r="AB15" s="53"/>
      <c r="AC15" s="53"/>
    </row>
    <row r="16" spans="1:49">
      <c r="A16" s="53"/>
      <c r="B16" s="138" t="s">
        <v>441</v>
      </c>
      <c r="C16" s="143"/>
      <c r="D16" s="1322">
        <f>-O9</f>
        <v>68.5</v>
      </c>
      <c r="E16" s="1322">
        <f>-P9</f>
        <v>74.099999999999994</v>
      </c>
      <c r="F16" s="1322"/>
      <c r="G16" s="1322">
        <f>-Q9</f>
        <v>79.7</v>
      </c>
      <c r="H16" s="1322">
        <f>-R9</f>
        <v>85.3</v>
      </c>
      <c r="I16" s="1322">
        <f>-S9</f>
        <v>90.9</v>
      </c>
      <c r="J16" s="144"/>
      <c r="K16" s="138"/>
      <c r="L16" s="138" t="s">
        <v>335</v>
      </c>
      <c r="M16" s="138"/>
      <c r="N16" s="138"/>
      <c r="O16" s="1318">
        <f>'Allowed revenue -DPCR4'!D12</f>
        <v>16</v>
      </c>
      <c r="P16" s="1318">
        <f>'Allowed revenue -DPCR4'!E12</f>
        <v>16</v>
      </c>
      <c r="Q16" s="1318">
        <f>'Allowed revenue -DPCR4'!F12</f>
        <v>16</v>
      </c>
      <c r="R16" s="1318">
        <f>'Allowed revenue -DPCR4'!G12</f>
        <v>16</v>
      </c>
      <c r="S16" s="1318">
        <f>'Allowed revenue -DPCR4'!H12</f>
        <v>16</v>
      </c>
      <c r="T16" s="139"/>
      <c r="U16" s="53"/>
      <c r="V16" s="53"/>
      <c r="W16" s="53"/>
      <c r="X16" s="53"/>
      <c r="Y16" s="53"/>
      <c r="Z16" s="53"/>
      <c r="AA16" s="53"/>
      <c r="AB16" s="53"/>
      <c r="AC16" s="53"/>
    </row>
    <row r="17" spans="1:47">
      <c r="A17" s="53"/>
      <c r="B17" s="138" t="s">
        <v>336</v>
      </c>
      <c r="C17" s="138"/>
      <c r="D17" s="1322">
        <f t="shared" ref="D17:E19" si="0">O17</f>
        <v>19.7</v>
      </c>
      <c r="E17" s="1322">
        <f t="shared" si="0"/>
        <v>22.3</v>
      </c>
      <c r="F17" s="1322"/>
      <c r="G17" s="1322">
        <f t="shared" ref="G17:I19" si="1">Q17</f>
        <v>23.5</v>
      </c>
      <c r="H17" s="1322">
        <f t="shared" si="1"/>
        <v>24.9</v>
      </c>
      <c r="I17" s="1322">
        <f t="shared" si="1"/>
        <v>24.9</v>
      </c>
      <c r="J17" s="138"/>
      <c r="K17" s="138"/>
      <c r="L17" s="138" t="s">
        <v>336</v>
      </c>
      <c r="M17" s="138"/>
      <c r="N17" s="138"/>
      <c r="O17" s="1318">
        <f>'Allowed revenue -DPCR4'!D13</f>
        <v>19.7</v>
      </c>
      <c r="P17" s="1318">
        <f>'Allowed revenue -DPCR4'!E13</f>
        <v>22.3</v>
      </c>
      <c r="Q17" s="1318">
        <f>'Allowed revenue -DPCR4'!F13</f>
        <v>23.5</v>
      </c>
      <c r="R17" s="1318">
        <f>'Allowed revenue -DPCR4'!G13</f>
        <v>24.9</v>
      </c>
      <c r="S17" s="1318">
        <f>'Allowed revenue -DPCR4'!H13</f>
        <v>24.9</v>
      </c>
      <c r="T17" s="139"/>
      <c r="U17" s="53"/>
      <c r="V17" s="53"/>
      <c r="W17" s="53"/>
      <c r="X17" s="53"/>
      <c r="Y17" s="53"/>
      <c r="Z17" s="53"/>
      <c r="AA17" s="53"/>
      <c r="AB17" s="53"/>
      <c r="AC17" s="53"/>
    </row>
    <row r="18" spans="1:47">
      <c r="A18" s="53"/>
      <c r="B18" s="138" t="s">
        <v>337</v>
      </c>
      <c r="C18" s="138"/>
      <c r="D18" s="1323">
        <f t="shared" si="0"/>
        <v>1.8</v>
      </c>
      <c r="E18" s="1323">
        <f t="shared" si="0"/>
        <v>1</v>
      </c>
      <c r="F18" s="1323"/>
      <c r="G18" s="1323">
        <f t="shared" si="1"/>
        <v>-0.6</v>
      </c>
      <c r="H18" s="1323">
        <f t="shared" si="1"/>
        <v>-1.1000000000000001</v>
      </c>
      <c r="I18" s="1323">
        <f t="shared" si="1"/>
        <v>-0.5</v>
      </c>
      <c r="J18" s="139"/>
      <c r="K18" s="138"/>
      <c r="L18" s="138" t="s">
        <v>338</v>
      </c>
      <c r="M18" s="138"/>
      <c r="N18" s="138"/>
      <c r="O18" s="1318">
        <f>'Allowed revenue -DPCR4'!D14</f>
        <v>1.8</v>
      </c>
      <c r="P18" s="1318">
        <f>'Allowed revenue -DPCR4'!E14</f>
        <v>1</v>
      </c>
      <c r="Q18" s="1318">
        <f>'Allowed revenue -DPCR4'!F14</f>
        <v>-0.6</v>
      </c>
      <c r="R18" s="1318">
        <f>'Allowed revenue -DPCR4'!G14</f>
        <v>-1.1000000000000001</v>
      </c>
      <c r="S18" s="1318">
        <f>'Allowed revenue -DPCR4'!H14</f>
        <v>-0.5</v>
      </c>
      <c r="T18" s="139"/>
      <c r="U18" s="53"/>
      <c r="V18" s="53"/>
      <c r="W18" s="53"/>
      <c r="X18" s="53"/>
      <c r="Y18" s="53"/>
      <c r="Z18" s="53"/>
      <c r="AA18" s="53"/>
      <c r="AB18" s="53"/>
      <c r="AC18" s="53"/>
    </row>
    <row r="19" spans="1:47">
      <c r="A19" s="53"/>
      <c r="B19" s="138" t="s">
        <v>339</v>
      </c>
      <c r="C19" s="138"/>
      <c r="D19" s="1323">
        <f t="shared" si="0"/>
        <v>1.6</v>
      </c>
      <c r="E19" s="1323">
        <f t="shared" si="0"/>
        <v>1.7</v>
      </c>
      <c r="F19" s="1323"/>
      <c r="G19" s="1323">
        <f t="shared" si="1"/>
        <v>1.8</v>
      </c>
      <c r="H19" s="1323">
        <f t="shared" si="1"/>
        <v>1.8</v>
      </c>
      <c r="I19" s="1323">
        <f t="shared" si="1"/>
        <v>1.9</v>
      </c>
      <c r="J19" s="144"/>
      <c r="K19" s="138"/>
      <c r="L19" s="138" t="s">
        <v>340</v>
      </c>
      <c r="M19" s="138"/>
      <c r="N19" s="138"/>
      <c r="O19" s="1318">
        <f>'Allowed revenue -DPCR4'!D15</f>
        <v>1.6</v>
      </c>
      <c r="P19" s="1318">
        <f>'Allowed revenue -DPCR4'!E15</f>
        <v>1.7</v>
      </c>
      <c r="Q19" s="1318">
        <f>'Allowed revenue -DPCR4'!F15</f>
        <v>1.8</v>
      </c>
      <c r="R19" s="1318">
        <f>'Allowed revenue -DPCR4'!G15</f>
        <v>1.8</v>
      </c>
      <c r="S19" s="1318">
        <f>'Allowed revenue -DPCR4'!H15</f>
        <v>1.9</v>
      </c>
      <c r="T19" s="139"/>
      <c r="U19" s="53"/>
      <c r="V19" s="53"/>
      <c r="W19" s="53"/>
      <c r="X19" s="53"/>
      <c r="Y19" s="53"/>
      <c r="Z19" s="53"/>
      <c r="AA19" s="53"/>
      <c r="AB19" s="53"/>
      <c r="AC19" s="53"/>
    </row>
    <row r="20" spans="1:47">
      <c r="A20" s="53"/>
      <c r="B20" s="138" t="s">
        <v>342</v>
      </c>
      <c r="C20" s="144"/>
      <c r="D20" s="1322">
        <f>D8-D13-D16-D17-D18-D19</f>
        <v>54.334417450247564</v>
      </c>
      <c r="E20" s="1322">
        <f>E8-E13-E16-E17-E18-E19</f>
        <v>53.067644042200271</v>
      </c>
      <c r="F20" s="1322"/>
      <c r="G20" s="1322">
        <f>G8-G13-G16-G17-G18-G19</f>
        <v>49.810048877100776</v>
      </c>
      <c r="H20" s="1322">
        <f>H8-H13-H16-H17-H18-H19</f>
        <v>46.70087063415302</v>
      </c>
      <c r="I20" s="1322">
        <f>I8-I13-I16-I17-I18-I19</f>
        <v>42.343275469053523</v>
      </c>
      <c r="J20" s="144"/>
      <c r="K20" s="138"/>
      <c r="L20" s="138" t="s">
        <v>385</v>
      </c>
      <c r="M20" s="138"/>
      <c r="N20" s="138"/>
      <c r="O20" s="1319" t="str">
        <f>IF(ISNUMBER('Allowed revenue -DPCR4'!D16+'Allowed revenue -DPCR4'!D17),'Allowed revenue -DPCR4'!D16+'Allowed revenue -DPCR4'!D17,"")</f>
        <v/>
      </c>
      <c r="P20" s="1319" t="str">
        <f>IF(ISNUMBER('Allowed revenue -DPCR4'!E16+'Allowed revenue -DPCR4'!E17),'Allowed revenue -DPCR4'!E16+'Allowed revenue -DPCR4'!E17,"")</f>
        <v/>
      </c>
      <c r="Q20" s="1319" t="str">
        <f>IF(ISNUMBER('Allowed revenue -DPCR4'!F16+'Allowed revenue -DPCR4'!F17),'Allowed revenue -DPCR4'!F16+'Allowed revenue -DPCR4'!F17,"")</f>
        <v/>
      </c>
      <c r="R20" s="1319" t="str">
        <f>IF(ISNUMBER('Allowed revenue -DPCR4'!G16+'Allowed revenue -DPCR4'!G17),'Allowed revenue -DPCR4'!G16+'Allowed revenue -DPCR4'!G17,"")</f>
        <v/>
      </c>
      <c r="S20" s="1319" t="str">
        <f>IF(ISNUMBER('Allowed revenue -DPCR4'!H16+'Allowed revenue -DPCR4'!H17),'Allowed revenue -DPCR4'!H16+'Allowed revenue -DPCR4'!H17,"")</f>
        <v/>
      </c>
      <c r="T20" s="139"/>
      <c r="U20" s="53"/>
      <c r="V20" s="53"/>
      <c r="W20" s="53"/>
      <c r="X20" s="53"/>
      <c r="Y20" s="53"/>
      <c r="Z20" s="53"/>
      <c r="AA20" s="53"/>
      <c r="AB20" s="53"/>
      <c r="AC20" s="53"/>
    </row>
    <row r="21" spans="1:47">
      <c r="A21" s="53"/>
      <c r="B21" s="138" t="s">
        <v>468</v>
      </c>
      <c r="C21" s="138"/>
      <c r="D21" s="1322">
        <f>SUM(D16:D20)</f>
        <v>145.93441745024757</v>
      </c>
      <c r="E21" s="1322">
        <f>SUM(E16:E20)</f>
        <v>152.16764404220027</v>
      </c>
      <c r="F21" s="1322"/>
      <c r="G21" s="1322">
        <f>SUM(G16:G20)</f>
        <v>154.21004887710077</v>
      </c>
      <c r="H21" s="1322">
        <f>SUM(H16:H20)</f>
        <v>157.60087063415301</v>
      </c>
      <c r="I21" s="1322">
        <f>SUM(I16:I20)</f>
        <v>159.54327546905353</v>
      </c>
      <c r="J21" s="138"/>
      <c r="K21" s="138"/>
      <c r="L21" s="138" t="s">
        <v>365</v>
      </c>
      <c r="M21" s="138"/>
      <c r="N21" s="138"/>
      <c r="O21" s="1318">
        <f>'Allowed revenue -DPCR4'!D18</f>
        <v>1.5</v>
      </c>
      <c r="P21" s="1318" t="str">
        <f>'Allowed revenue -DPCR4'!E18</f>
        <v>-</v>
      </c>
      <c r="Q21" s="1318" t="str">
        <f>'Allowed revenue -DPCR4'!F18</f>
        <v>-</v>
      </c>
      <c r="R21" s="1318" t="str">
        <f>'Allowed revenue -DPCR4'!G18</f>
        <v>-</v>
      </c>
      <c r="S21" s="1318" t="str">
        <f>'Allowed revenue -DPCR4'!H18</f>
        <v>-</v>
      </c>
      <c r="T21" s="139"/>
      <c r="U21" s="53"/>
      <c r="V21" s="53"/>
      <c r="W21" s="53"/>
      <c r="X21" s="53"/>
      <c r="Y21" s="53"/>
      <c r="Z21" s="53"/>
      <c r="AA21" s="53"/>
      <c r="AB21" s="53"/>
      <c r="AC21" s="53"/>
    </row>
    <row r="22" spans="1:47">
      <c r="A22" s="53"/>
      <c r="B22" s="152" t="s">
        <v>469</v>
      </c>
      <c r="C22" s="138"/>
      <c r="D22" s="1322">
        <f>D21-D16</f>
        <v>77.434417450247565</v>
      </c>
      <c r="E22" s="1322">
        <f>E21-E16</f>
        <v>78.067644042200271</v>
      </c>
      <c r="F22" s="1322"/>
      <c r="G22" s="1322">
        <f>G21-G16</f>
        <v>74.510048877100772</v>
      </c>
      <c r="H22" s="1322">
        <f>H21-H16</f>
        <v>72.300870634153014</v>
      </c>
      <c r="I22" s="1322">
        <f>I21-I16</f>
        <v>68.643275469053521</v>
      </c>
      <c r="J22" s="153"/>
      <c r="K22" s="153"/>
      <c r="L22" s="153" t="s">
        <v>657</v>
      </c>
      <c r="M22" s="153"/>
      <c r="N22" s="153"/>
      <c r="O22" s="1317">
        <f>'Allowed revenue -DPCR4'!D19</f>
        <v>212.6</v>
      </c>
      <c r="P22" s="1317">
        <f>'Allowed revenue -DPCR4'!E19</f>
        <v>210.3</v>
      </c>
      <c r="Q22" s="1317">
        <f>'Allowed revenue -DPCR4'!F19</f>
        <v>207.9</v>
      </c>
      <c r="R22" s="1317">
        <f>'Allowed revenue -DPCR4'!G19</f>
        <v>205.5</v>
      </c>
      <c r="S22" s="1317">
        <f>'Allowed revenue -DPCR4'!H19</f>
        <v>204.2</v>
      </c>
      <c r="T22" s="138"/>
      <c r="U22" s="53"/>
      <c r="V22" s="53"/>
      <c r="W22" s="53"/>
      <c r="X22" s="53"/>
      <c r="Y22" s="53"/>
      <c r="Z22" s="53"/>
      <c r="AA22" s="53"/>
      <c r="AB22" s="53"/>
      <c r="AC22" s="53"/>
    </row>
    <row r="23" spans="1:47">
      <c r="A23" s="53"/>
      <c r="B23" s="138"/>
      <c r="C23" s="138"/>
      <c r="D23" s="1322"/>
      <c r="E23" s="1322"/>
      <c r="F23" s="1322"/>
      <c r="G23" s="1322"/>
      <c r="H23" s="1322"/>
      <c r="I23" s="1322"/>
      <c r="J23" s="153"/>
      <c r="K23" s="153"/>
      <c r="L23" s="153" t="s">
        <v>432</v>
      </c>
      <c r="M23" s="153"/>
      <c r="N23" s="153"/>
      <c r="O23" s="1317">
        <f>'Allowed revenue -DPCR4'!D20</f>
        <v>207</v>
      </c>
      <c r="P23" s="1317">
        <f>'Allowed revenue -DPCR4'!E20</f>
        <v>193.9</v>
      </c>
      <c r="Q23" s="1317">
        <f>'Allowed revenue -DPCR4'!F20</f>
        <v>181.6</v>
      </c>
      <c r="R23" s="1317">
        <f>'Allowed revenue -DPCR4'!G20</f>
        <v>170.1</v>
      </c>
      <c r="S23" s="1317">
        <f>'Allowed revenue -DPCR4'!H20</f>
        <v>160.19999999999999</v>
      </c>
      <c r="T23" s="141"/>
      <c r="U23" s="53"/>
      <c r="V23" s="53"/>
      <c r="W23" s="53"/>
      <c r="X23" s="53"/>
      <c r="Y23" s="53"/>
      <c r="Z23" s="53"/>
      <c r="AA23" s="53"/>
      <c r="AB23" s="53"/>
      <c r="AC23" s="53"/>
    </row>
    <row r="24" spans="1:47">
      <c r="A24" s="53"/>
      <c r="B24" s="138" t="s">
        <v>433</v>
      </c>
      <c r="C24" s="138"/>
      <c r="D24" s="1322"/>
      <c r="E24" s="1322"/>
      <c r="F24" s="1322"/>
      <c r="G24" s="1322"/>
      <c r="H24" s="1322"/>
      <c r="I24" s="1322"/>
      <c r="J24" s="153"/>
      <c r="K24" s="138"/>
      <c r="L24" s="138" t="s">
        <v>366</v>
      </c>
      <c r="M24" s="138"/>
      <c r="N24" s="138"/>
      <c r="O24" s="1317"/>
      <c r="P24" s="1317"/>
      <c r="Q24" s="1317"/>
      <c r="R24" s="1317"/>
      <c r="S24" s="1317">
        <f>'Allowed revenue -DPCR4'!H21</f>
        <v>94.8</v>
      </c>
      <c r="T24" s="141"/>
      <c r="U24" s="53"/>
      <c r="V24" s="53"/>
      <c r="W24" s="53"/>
      <c r="X24" s="53"/>
      <c r="Y24" s="53"/>
      <c r="Z24" s="53"/>
      <c r="AA24" s="53"/>
      <c r="AB24" s="53"/>
      <c r="AC24" s="53"/>
    </row>
    <row r="25" spans="1:47">
      <c r="A25" s="53"/>
      <c r="B25" s="138"/>
      <c r="C25" s="138"/>
      <c r="D25" s="1322"/>
      <c r="E25" s="1322"/>
      <c r="F25" s="1322"/>
      <c r="G25" s="1322"/>
      <c r="H25" s="1322"/>
      <c r="I25" s="1322"/>
      <c r="J25" s="138"/>
      <c r="K25" s="138"/>
      <c r="L25" s="138" t="s">
        <v>434</v>
      </c>
      <c r="M25" s="138"/>
      <c r="N25" s="138"/>
      <c r="O25" s="1317"/>
      <c r="P25" s="1317"/>
      <c r="Q25" s="1317"/>
      <c r="R25" s="1317"/>
      <c r="S25" s="1317">
        <f>'Allowed revenue -DPCR4'!H22</f>
        <v>1007.6</v>
      </c>
      <c r="T25" s="141"/>
      <c r="U25" s="53"/>
      <c r="V25" s="53"/>
      <c r="W25" s="53"/>
      <c r="X25" s="53"/>
      <c r="Y25" s="53"/>
      <c r="Z25" s="53"/>
      <c r="AA25" s="53"/>
      <c r="AB25" s="53"/>
      <c r="AC25" s="53"/>
    </row>
    <row r="26" spans="1:47">
      <c r="A26" s="53"/>
      <c r="B26" s="138" t="s">
        <v>517</v>
      </c>
      <c r="C26" s="138"/>
      <c r="D26" s="1323">
        <f>D13</f>
        <v>75.268000000000001</v>
      </c>
      <c r="E26" s="1323">
        <f>E13</f>
        <v>71.468000000000004</v>
      </c>
      <c r="F26" s="1323"/>
      <c r="G26" s="1323">
        <f>G13</f>
        <v>69.867999999999995</v>
      </c>
      <c r="H26" s="1323">
        <f>H13</f>
        <v>68.468000000000004</v>
      </c>
      <c r="I26" s="1323">
        <f>I13</f>
        <v>66.968000000000004</v>
      </c>
      <c r="J26" s="140"/>
      <c r="K26" s="138"/>
      <c r="L26" s="138"/>
      <c r="M26" s="138"/>
      <c r="N26" s="138"/>
      <c r="O26" s="138"/>
      <c r="P26" s="138"/>
      <c r="Q26" s="138"/>
      <c r="R26" s="138"/>
      <c r="S26" s="138"/>
      <c r="T26" s="138"/>
      <c r="U26" s="53"/>
      <c r="V26" s="53"/>
      <c r="W26" s="53"/>
      <c r="X26" s="53"/>
      <c r="Y26" s="53"/>
      <c r="Z26" s="53"/>
      <c r="AA26" s="53"/>
      <c r="AB26" s="53"/>
      <c r="AC26" s="53"/>
    </row>
    <row r="27" spans="1:47">
      <c r="A27" s="53"/>
      <c r="B27" s="138" t="s">
        <v>441</v>
      </c>
      <c r="C27" s="138"/>
      <c r="D27" s="1323">
        <f>D16</f>
        <v>68.5</v>
      </c>
      <c r="E27" s="1323">
        <f>E16</f>
        <v>74.099999999999994</v>
      </c>
      <c r="F27" s="1323"/>
      <c r="G27" s="1323">
        <f>G16</f>
        <v>79.7</v>
      </c>
      <c r="H27" s="1323">
        <f>H16</f>
        <v>85.3</v>
      </c>
      <c r="I27" s="1323">
        <f>I16</f>
        <v>90.9</v>
      </c>
      <c r="J27" s="139"/>
      <c r="K27" s="138"/>
      <c r="L27" s="138"/>
      <c r="M27" s="143"/>
      <c r="N27" s="138"/>
      <c r="O27" s="1320">
        <f>1/(1+Inputs!B25)</f>
        <v>0.94746316736936853</v>
      </c>
      <c r="P27" s="1320">
        <f>O27/(1+Inputs!B25)</f>
        <v>0.89768645352159604</v>
      </c>
      <c r="Q27" s="1320">
        <f>P27/(1+Inputs!B25)</f>
        <v>0.85052485055814675</v>
      </c>
      <c r="R27" s="1320">
        <f>Q27/(1+Inputs!B25)</f>
        <v>0.8058409688361805</v>
      </c>
      <c r="S27" s="1320">
        <f>R27/(1+Inputs!B25)</f>
        <v>0.76350463672952817</v>
      </c>
      <c r="T27" s="153"/>
      <c r="U27" s="53"/>
      <c r="V27" s="53"/>
      <c r="W27" s="53"/>
      <c r="X27" s="53"/>
      <c r="Y27" s="53"/>
      <c r="Z27" s="53"/>
      <c r="AA27" s="53"/>
      <c r="AB27" s="53"/>
      <c r="AC27" s="53"/>
    </row>
    <row r="28" spans="1:47">
      <c r="A28" s="53"/>
      <c r="B28" s="138" t="s">
        <v>342</v>
      </c>
      <c r="C28" s="144"/>
      <c r="D28" s="1322">
        <f>D20</f>
        <v>54.334417450247564</v>
      </c>
      <c r="E28" s="1322">
        <f>E20</f>
        <v>53.067644042200271</v>
      </c>
      <c r="F28" s="1322"/>
      <c r="G28" s="1322">
        <f>G20</f>
        <v>49.810048877100776</v>
      </c>
      <c r="H28" s="1322">
        <f>H20</f>
        <v>46.70087063415302</v>
      </c>
      <c r="I28" s="1322">
        <f>I20</f>
        <v>42.343275469053523</v>
      </c>
      <c r="J28" s="144"/>
      <c r="K28" s="138"/>
      <c r="L28" s="138"/>
      <c r="M28" s="138"/>
      <c r="N28" s="138"/>
      <c r="O28" s="1320">
        <v>1</v>
      </c>
      <c r="P28" s="1320">
        <f>O27</f>
        <v>0.94746316736936853</v>
      </c>
      <c r="Q28" s="1320">
        <f>P27</f>
        <v>0.89768645352159604</v>
      </c>
      <c r="R28" s="1320">
        <f>Q27</f>
        <v>0.85052485055814675</v>
      </c>
      <c r="S28" s="1320">
        <f>R27</f>
        <v>0.8058409688361805</v>
      </c>
      <c r="T28" s="153"/>
      <c r="U28" s="53"/>
      <c r="V28" s="53"/>
      <c r="W28" s="53"/>
      <c r="X28" s="53"/>
      <c r="Y28" s="53"/>
      <c r="Z28" s="53"/>
      <c r="AA28" s="53"/>
      <c r="AB28" s="53"/>
      <c r="AC28" s="53"/>
    </row>
    <row r="29" spans="1:47">
      <c r="A29" s="53"/>
      <c r="B29" s="138"/>
      <c r="C29" s="144"/>
      <c r="D29" s="144"/>
      <c r="E29" s="144"/>
      <c r="F29" s="144"/>
      <c r="G29" s="144"/>
      <c r="H29" s="144"/>
      <c r="I29" s="144"/>
      <c r="J29" s="144"/>
      <c r="K29" s="138"/>
      <c r="L29" s="138"/>
      <c r="M29" s="138"/>
      <c r="N29" s="138"/>
      <c r="O29" s="1320">
        <f>1/(1+Inputs!B25)^0.5</f>
        <v>0.97337719686120061</v>
      </c>
      <c r="P29" s="1320">
        <f>1/(1+Inputs!B25)^1.5</f>
        <v>0.92223904198323059</v>
      </c>
      <c r="Q29" s="1320">
        <f>1/(1+Inputs!B25)^2.5</f>
        <v>0.87378752378912361</v>
      </c>
      <c r="R29" s="1320">
        <f>1/(1+Inputs!B25)^3.5</f>
        <v>0.82788149489708041</v>
      </c>
      <c r="S29" s="1320">
        <f>1/(1+Inputs!B25)^4.5</f>
        <v>0.78438722336167555</v>
      </c>
      <c r="T29" s="153"/>
      <c r="U29" s="53"/>
      <c r="V29" s="53"/>
      <c r="W29" s="53"/>
      <c r="X29" s="53"/>
      <c r="Y29" s="53"/>
      <c r="Z29" s="53"/>
      <c r="AA29" s="53"/>
      <c r="AB29" s="53"/>
      <c r="AC29" s="53"/>
    </row>
    <row r="30" spans="1:47">
      <c r="A30" s="53"/>
      <c r="B30" s="138"/>
      <c r="C30" s="138"/>
      <c r="D30" s="138"/>
      <c r="E30" s="138"/>
      <c r="F30" s="138"/>
      <c r="G30" s="138"/>
      <c r="H30" s="138"/>
      <c r="I30" s="138"/>
      <c r="J30" s="138"/>
      <c r="K30" s="138"/>
      <c r="L30" s="138"/>
      <c r="M30" s="138"/>
      <c r="N30" s="138"/>
      <c r="O30" s="1317"/>
      <c r="P30" s="1317"/>
      <c r="Q30" s="1317"/>
      <c r="R30" s="1317"/>
      <c r="S30" s="1317"/>
      <c r="T30" s="138"/>
      <c r="U30" s="53"/>
      <c r="V30" s="53"/>
      <c r="W30" s="53"/>
      <c r="X30" s="53"/>
      <c r="Y30" s="53"/>
      <c r="Z30" s="53"/>
      <c r="AA30" s="53"/>
      <c r="AB30" s="53"/>
      <c r="AC30" s="53"/>
    </row>
    <row r="31" spans="1:47">
      <c r="A31" s="53"/>
      <c r="B31" s="138"/>
      <c r="C31" s="139"/>
      <c r="D31" s="138"/>
      <c r="E31" s="138"/>
      <c r="F31" s="138"/>
      <c r="G31" s="138"/>
      <c r="H31" s="138"/>
      <c r="I31" s="138"/>
      <c r="J31" s="138"/>
      <c r="K31" s="138"/>
      <c r="L31" s="138" t="s">
        <v>438</v>
      </c>
      <c r="M31" s="138"/>
      <c r="N31" s="138"/>
      <c r="O31" s="1318">
        <f>'Allowed revenue -DPCR4'!D24</f>
        <v>1</v>
      </c>
      <c r="P31" s="1318">
        <f>'Allowed revenue -DPCR4'!E24</f>
        <v>1.0109999999999999</v>
      </c>
      <c r="Q31" s="1318">
        <f>'Allowed revenue -DPCR4'!F24</f>
        <v>1.0129999999999999</v>
      </c>
      <c r="R31" s="1318">
        <f>'Allowed revenue -DPCR4'!G24</f>
        <v>1.022</v>
      </c>
      <c r="S31" s="1318">
        <f>'Allowed revenue -DPCR4'!H24</f>
        <v>1.024</v>
      </c>
      <c r="T31" s="139"/>
      <c r="U31" s="53"/>
      <c r="V31" s="53"/>
      <c r="W31" s="53"/>
      <c r="X31" s="53"/>
      <c r="Y31" s="53"/>
      <c r="Z31" s="53"/>
      <c r="AA31" s="53"/>
      <c r="AB31" s="53"/>
      <c r="AC31" s="53"/>
    </row>
    <row r="32" spans="1:47">
      <c r="A32" s="53"/>
      <c r="B32" s="138"/>
      <c r="C32" s="139"/>
      <c r="D32" s="138"/>
      <c r="E32" s="138"/>
      <c r="F32" s="138"/>
      <c r="G32" s="138"/>
      <c r="H32" s="138"/>
      <c r="I32" s="138"/>
      <c r="J32" s="138"/>
      <c r="K32" s="138"/>
      <c r="L32" s="138" t="s">
        <v>439</v>
      </c>
      <c r="M32" s="138"/>
      <c r="N32" s="138"/>
      <c r="O32" s="1321">
        <f>O31*O29</f>
        <v>0.97337719686120061</v>
      </c>
      <c r="P32" s="1321">
        <f>P31*P29</f>
        <v>0.93238367144504608</v>
      </c>
      <c r="Q32" s="1321">
        <f>Q31*Q29</f>
        <v>0.88514676159838213</v>
      </c>
      <c r="R32" s="1321">
        <f>R31*R29</f>
        <v>0.84609488778481623</v>
      </c>
      <c r="S32" s="1321">
        <f>S31*S29</f>
        <v>0.80321251672235583</v>
      </c>
      <c r="T32" s="161"/>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row>
    <row r="33" spans="1:49">
      <c r="A33" s="53"/>
      <c r="B33" s="138"/>
      <c r="C33" s="138"/>
      <c r="D33" s="138"/>
      <c r="E33" s="138"/>
      <c r="F33" s="138"/>
      <c r="G33" s="138"/>
      <c r="H33" s="138"/>
      <c r="I33" s="138"/>
      <c r="J33" s="138"/>
      <c r="K33" s="138"/>
      <c r="L33" s="138" t="s">
        <v>440</v>
      </c>
      <c r="M33" s="138"/>
      <c r="N33" s="138"/>
      <c r="O33" s="1322">
        <f>($S$25-$N$39)/SUM($O$32:$U$32)*O31</f>
        <v>221.20241745024757</v>
      </c>
      <c r="P33" s="1322">
        <f>($S$25-$N$39)/SUM($O$32:$U$32)*P31</f>
        <v>223.63564404220025</v>
      </c>
      <c r="Q33" s="1322">
        <f>($S$25-$N$39)/SUM($O$32:$U$32)*Q31</f>
        <v>224.07804887710077</v>
      </c>
      <c r="R33" s="1322">
        <f>($S$25-$N$39)/SUM($O$32:$U$32)*R31</f>
        <v>226.06887063415303</v>
      </c>
      <c r="S33" s="1322">
        <f>($S$25-$N$39)/SUM($O$32:$U$32)*S31</f>
        <v>226.51127546905352</v>
      </c>
      <c r="T33" s="141"/>
      <c r="U33" s="53"/>
      <c r="V33" s="53"/>
      <c r="W33" s="53"/>
      <c r="X33" s="53"/>
      <c r="Y33" s="53"/>
      <c r="Z33" s="53"/>
      <c r="AA33" s="53"/>
      <c r="AB33" s="53"/>
      <c r="AC33" s="53"/>
      <c r="AD33" s="53"/>
      <c r="AE33" s="53"/>
      <c r="AF33" s="53"/>
      <c r="AG33" s="53"/>
      <c r="AH33" s="53"/>
      <c r="AI33" s="53"/>
      <c r="AJ33" s="53"/>
      <c r="AK33" s="53"/>
      <c r="AL33" s="53"/>
      <c r="AM33" s="53"/>
      <c r="AN33" s="53"/>
      <c r="AO33" s="196"/>
      <c r="AP33" s="196"/>
      <c r="AQ33" s="196"/>
      <c r="AR33" s="196"/>
      <c r="AS33" s="196"/>
      <c r="AT33" s="53"/>
      <c r="AU33" s="53"/>
    </row>
    <row r="34" spans="1:49">
      <c r="A34" s="53"/>
      <c r="B34" s="138"/>
      <c r="C34" s="138"/>
      <c r="D34" s="138"/>
      <c r="E34" s="138"/>
      <c r="F34" s="138"/>
      <c r="G34" s="138"/>
      <c r="H34" s="138"/>
      <c r="I34" s="138"/>
      <c r="J34" s="138"/>
      <c r="K34" s="138"/>
      <c r="L34" s="138" t="s">
        <v>359</v>
      </c>
      <c r="M34" s="138"/>
      <c r="N34" s="138"/>
      <c r="O34" s="1317">
        <f>'Allowed revenue -DPCR4'!D27</f>
        <v>5.8</v>
      </c>
      <c r="P34" s="1317">
        <f>'Allowed revenue -DPCR4'!E27</f>
        <v>5.8</v>
      </c>
      <c r="Q34" s="1317">
        <f>'Allowed revenue -DPCR4'!F27</f>
        <v>5.8</v>
      </c>
      <c r="R34" s="1317">
        <f>'Allowed revenue -DPCR4'!G27</f>
        <v>5.8</v>
      </c>
      <c r="S34" s="1317">
        <f>'Allowed revenue -DPCR4'!H27</f>
        <v>5.8</v>
      </c>
      <c r="T34" s="138"/>
      <c r="U34" s="53"/>
      <c r="V34" s="53"/>
      <c r="W34" s="53"/>
      <c r="X34" s="53"/>
      <c r="Y34" s="53"/>
      <c r="Z34" s="53"/>
      <c r="AA34" s="53"/>
      <c r="AB34" s="53"/>
      <c r="AC34" s="53"/>
      <c r="AD34" s="53"/>
      <c r="AE34" s="53"/>
      <c r="AF34" s="53"/>
      <c r="AG34" s="53"/>
      <c r="AH34" s="53"/>
      <c r="AI34" s="53"/>
      <c r="AJ34" s="53"/>
      <c r="AK34" s="53"/>
      <c r="AL34" s="53"/>
      <c r="AM34" s="53"/>
      <c r="AN34" s="53"/>
      <c r="AO34" s="65"/>
      <c r="AP34" s="65"/>
      <c r="AQ34" s="65"/>
      <c r="AR34" s="65"/>
      <c r="AS34" s="65"/>
      <c r="AT34" s="53"/>
      <c r="AU34" s="53"/>
    </row>
    <row r="35" spans="1:49">
      <c r="A35" s="53"/>
      <c r="B35" s="138"/>
      <c r="C35" s="138"/>
      <c r="D35" s="138"/>
      <c r="E35" s="138"/>
      <c r="F35" s="138"/>
      <c r="G35" s="138"/>
      <c r="H35" s="138"/>
      <c r="I35" s="138"/>
      <c r="J35" s="138"/>
      <c r="K35" s="138"/>
      <c r="L35" s="138" t="s">
        <v>360</v>
      </c>
      <c r="M35" s="138"/>
      <c r="N35" s="138"/>
      <c r="O35" s="1322">
        <f>O34+O33</f>
        <v>227.00241745024758</v>
      </c>
      <c r="P35" s="1322">
        <f>P34+P33</f>
        <v>229.43564404220027</v>
      </c>
      <c r="Q35" s="1322">
        <f>Q34+Q33</f>
        <v>229.87804887710078</v>
      </c>
      <c r="R35" s="1322">
        <f>R34+R33</f>
        <v>231.86887063415304</v>
      </c>
      <c r="S35" s="1322">
        <f>S34+S33</f>
        <v>232.31127546905353</v>
      </c>
      <c r="T35" s="141"/>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142"/>
      <c r="AS35" s="53"/>
      <c r="AT35" s="53"/>
      <c r="AU35" s="53"/>
    </row>
    <row r="36" spans="1:49">
      <c r="A36" s="53"/>
      <c r="B36" s="138"/>
      <c r="C36" s="138"/>
      <c r="D36" s="138"/>
      <c r="E36" s="138"/>
      <c r="F36" s="138"/>
      <c r="G36" s="138"/>
      <c r="H36" s="138"/>
      <c r="I36" s="138"/>
      <c r="J36" s="138"/>
      <c r="K36" s="138"/>
      <c r="L36" s="138" t="s">
        <v>348</v>
      </c>
      <c r="M36" s="138"/>
      <c r="N36" s="138"/>
      <c r="O36" s="1322">
        <f>O35*O29</f>
        <v>220.95897677843809</v>
      </c>
      <c r="P36" s="1322">
        <f>P35*P29</f>
        <v>211.59450855828428</v>
      </c>
      <c r="Q36" s="1322">
        <f>Q35*Q29</f>
        <v>200.86457110179703</v>
      </c>
      <c r="R36" s="1322">
        <f>R35*R29</f>
        <v>191.95994724070036</v>
      </c>
      <c r="S36" s="1322">
        <f>S35*S29</f>
        <v>182.22199632078022</v>
      </c>
      <c r="T36" s="141"/>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row>
    <row r="37" spans="1:49">
      <c r="A37" s="53"/>
      <c r="B37" s="138"/>
      <c r="C37" s="138"/>
      <c r="D37" s="138"/>
      <c r="E37" s="138"/>
      <c r="F37" s="138"/>
      <c r="G37" s="138"/>
      <c r="H37" s="138"/>
      <c r="I37" s="138"/>
      <c r="J37" s="138"/>
      <c r="K37" s="138"/>
      <c r="L37" s="138" t="s">
        <v>434</v>
      </c>
      <c r="M37" s="138"/>
      <c r="N37" s="138"/>
      <c r="O37" s="1317"/>
      <c r="P37" s="1317"/>
      <c r="Q37" s="1317"/>
      <c r="R37" s="1317"/>
      <c r="S37" s="1322">
        <f>SUM(O36:S36)</f>
        <v>1007.6</v>
      </c>
      <c r="T37" s="141"/>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row>
    <row r="38" spans="1:49">
      <c r="A38" s="53"/>
      <c r="B38" s="138"/>
      <c r="C38" s="138"/>
      <c r="D38" s="138"/>
      <c r="E38" s="138"/>
      <c r="F38" s="138"/>
      <c r="G38" s="138"/>
      <c r="H38" s="138"/>
      <c r="I38" s="138"/>
      <c r="J38" s="138"/>
      <c r="K38" s="138"/>
      <c r="L38" s="138"/>
      <c r="M38" s="138"/>
      <c r="N38" s="138"/>
      <c r="O38" s="1317"/>
      <c r="P38" s="1317"/>
      <c r="Q38" s="1317"/>
      <c r="R38" s="1317"/>
      <c r="S38" s="1317"/>
      <c r="T38" s="138"/>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row>
    <row r="39" spans="1:49">
      <c r="A39" s="53"/>
      <c r="B39" s="138"/>
      <c r="C39" s="138"/>
      <c r="D39" s="138"/>
      <c r="E39" s="138"/>
      <c r="F39" s="138"/>
      <c r="G39" s="138"/>
      <c r="H39" s="138"/>
      <c r="I39" s="138"/>
      <c r="J39" s="138"/>
      <c r="K39" s="138"/>
      <c r="L39" s="138" t="s">
        <v>387</v>
      </c>
      <c r="M39" s="138"/>
      <c r="N39" s="141">
        <f>SUM(O39:S39)</f>
        <v>25.413700389175403</v>
      </c>
      <c r="O39" s="1322">
        <f>O34*O29</f>
        <v>5.6455877417949631</v>
      </c>
      <c r="P39" s="1322">
        <f>P34*P29</f>
        <v>5.3489864435027377</v>
      </c>
      <c r="Q39" s="1322">
        <f>Q34*Q29</f>
        <v>5.067967637976917</v>
      </c>
      <c r="R39" s="1322">
        <f>R34*R29</f>
        <v>4.8017126704030666</v>
      </c>
      <c r="S39" s="1322">
        <f>S34*S29</f>
        <v>4.5494458954977182</v>
      </c>
      <c r="T39" s="141"/>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row>
    <row r="40" spans="1:49" s="221" customFormat="1">
      <c r="A40" s="220"/>
      <c r="N40" s="222"/>
      <c r="O40" s="222"/>
      <c r="P40" s="222"/>
      <c r="Q40" s="222"/>
      <c r="R40" s="222"/>
      <c r="S40" s="222"/>
      <c r="T40" s="222"/>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row>
    <row r="41" spans="1:49" s="224" customFormat="1">
      <c r="A41" s="219" t="s">
        <v>499</v>
      </c>
      <c r="N41" s="225"/>
      <c r="O41" s="225"/>
      <c r="P41" s="225"/>
      <c r="Q41" s="225"/>
      <c r="R41" s="225"/>
      <c r="S41" s="225"/>
      <c r="T41" s="225"/>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row>
    <row r="42" spans="1:49">
      <c r="A42" s="53"/>
      <c r="B42" s="18"/>
      <c r="C42" s="18"/>
      <c r="D42" s="18"/>
      <c r="E42" s="18"/>
      <c r="F42" s="18"/>
      <c r="G42" s="18"/>
      <c r="H42" s="18"/>
      <c r="I42" s="18"/>
      <c r="J42" s="18"/>
      <c r="K42" s="18"/>
      <c r="L42" s="18"/>
      <c r="M42" s="18"/>
      <c r="N42" s="162"/>
      <c r="O42" s="162"/>
      <c r="P42" s="162"/>
      <c r="Q42" s="162"/>
      <c r="R42" s="162"/>
      <c r="S42" s="162"/>
      <c r="T42" s="162"/>
      <c r="U42" s="162"/>
      <c r="V42" s="162"/>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row>
    <row r="43" spans="1:49" ht="25.5">
      <c r="A43" s="53"/>
      <c r="B43" s="163" t="s">
        <v>650</v>
      </c>
      <c r="C43" s="1298" t="s">
        <v>776</v>
      </c>
      <c r="D43" s="164" t="s">
        <v>777</v>
      </c>
      <c r="E43" s="2250" t="s">
        <v>778</v>
      </c>
      <c r="F43" s="2250"/>
      <c r="G43" s="2250"/>
      <c r="H43" s="2250"/>
      <c r="I43" s="2250"/>
      <c r="J43" s="165"/>
      <c r="K43" s="2251" t="s">
        <v>14</v>
      </c>
      <c r="L43" s="2251"/>
      <c r="M43" s="2251"/>
      <c r="N43" s="2251"/>
      <c r="O43" s="166"/>
      <c r="P43" s="2252"/>
      <c r="Q43" s="2253"/>
      <c r="R43" s="2254"/>
      <c r="S43" s="2254"/>
      <c r="T43" s="2254"/>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row>
    <row r="44" spans="1:49">
      <c r="A44" s="53"/>
      <c r="B44" s="1274"/>
      <c r="C44" s="1299"/>
      <c r="D44" s="173"/>
      <c r="E44" s="1275" t="s">
        <v>245</v>
      </c>
      <c r="F44" s="1275"/>
      <c r="G44" s="1275" t="s">
        <v>239</v>
      </c>
      <c r="H44" s="1275" t="s">
        <v>408</v>
      </c>
      <c r="I44" s="1275" t="s">
        <v>625</v>
      </c>
      <c r="J44" s="175" t="s">
        <v>885</v>
      </c>
      <c r="K44" s="1276" t="s">
        <v>245</v>
      </c>
      <c r="L44" s="1276" t="s">
        <v>239</v>
      </c>
      <c r="M44" s="1276" t="s">
        <v>408</v>
      </c>
      <c r="N44" s="1276" t="s">
        <v>625</v>
      </c>
      <c r="O44" s="1277" t="s">
        <v>885</v>
      </c>
      <c r="P44" s="1263"/>
      <c r="Q44" s="1264"/>
      <c r="R44" s="1264"/>
      <c r="S44" s="1264"/>
      <c r="T44" s="1264"/>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row>
    <row r="45" spans="1:49">
      <c r="A45" s="53"/>
      <c r="B45" s="167" t="s">
        <v>342</v>
      </c>
      <c r="C45" s="1300">
        <f>SUM(D22:I22)</f>
        <v>370.95625647275517</v>
      </c>
      <c r="D45" s="227" t="s">
        <v>406</v>
      </c>
      <c r="E45" s="157">
        <f>VLOOKUP($D45,'Calc-Drivers'!$B$17:$G$27,E$51,FALSE)</f>
        <v>0.43235971447753196</v>
      </c>
      <c r="F45" s="157"/>
      <c r="G45" s="157">
        <f>VLOOKUP($D45,'Calc-Drivers'!$B$17:$G$27,G$51,FALSE)</f>
        <v>0.24491161675657727</v>
      </c>
      <c r="H45" s="157">
        <f>VLOOKUP($D45,'Calc-Drivers'!$B$17:$G$27,H$51,FALSE)</f>
        <v>8.3066989773941113E-2</v>
      </c>
      <c r="I45" s="157">
        <f>VLOOKUP($D45,'Calc-Drivers'!$B$17:$G$27,I$51,FALSE)</f>
        <v>0.18114195054581075</v>
      </c>
      <c r="J45" s="1061">
        <f>VLOOKUP($D45,'Calc-Drivers'!$B$17:$G$27,J$51,FALSE)</f>
        <v>5.8519728446138834E-2</v>
      </c>
      <c r="K45" s="1272">
        <f>$C45*E45</f>
        <v>160.38654113221455</v>
      </c>
      <c r="L45" s="1272">
        <f t="shared" ref="L45:N47" si="2">$C45*G45</f>
        <v>90.851496518710007</v>
      </c>
      <c r="M45" s="1272">
        <f t="shared" si="2"/>
        <v>30.814219563001831</v>
      </c>
      <c r="N45" s="1272">
        <f t="shared" si="2"/>
        <v>67.19573986464691</v>
      </c>
      <c r="O45" s="171">
        <f>$C45 * J45</f>
        <v>21.708259394181862</v>
      </c>
      <c r="P45" s="1265"/>
      <c r="Q45" s="1266"/>
      <c r="R45" s="1266"/>
      <c r="S45" s="1266"/>
      <c r="T45" s="1266"/>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row>
    <row r="46" spans="1:49">
      <c r="A46" s="53"/>
      <c r="B46" s="167" t="s">
        <v>441</v>
      </c>
      <c r="C46" s="1300">
        <f>SUM(D16:I16)</f>
        <v>398.5</v>
      </c>
      <c r="D46" s="170" t="s">
        <v>406</v>
      </c>
      <c r="E46" s="157">
        <f>VLOOKUP($D46,'Calc-Drivers'!$B$17:$G$27,E$51,FALSE)</f>
        <v>0.43235971447753196</v>
      </c>
      <c r="F46" s="157"/>
      <c r="G46" s="157">
        <f>VLOOKUP($D46,'Calc-Drivers'!$B$17:$G$27,G$51,FALSE)</f>
        <v>0.24491161675657727</v>
      </c>
      <c r="H46" s="157">
        <f>VLOOKUP($D46,'Calc-Drivers'!$B$17:$G$27,H$51,FALSE)</f>
        <v>8.3066989773941113E-2</v>
      </c>
      <c r="I46" s="157">
        <f>VLOOKUP($D46,'Calc-Drivers'!$B$17:$G$27,I$51,FALSE)</f>
        <v>0.18114195054581075</v>
      </c>
      <c r="J46" s="1061">
        <f>VLOOKUP($D46,'Calc-Drivers'!$B$17:$G$27,J$51,FALSE)</f>
        <v>5.8519728446138834E-2</v>
      </c>
      <c r="K46" s="1272">
        <f>$C46*E46</f>
        <v>172.29534621929648</v>
      </c>
      <c r="L46" s="1272">
        <f t="shared" si="2"/>
        <v>97.597279277496042</v>
      </c>
      <c r="M46" s="1272">
        <f t="shared" si="2"/>
        <v>33.102195424915536</v>
      </c>
      <c r="N46" s="1272">
        <f t="shared" si="2"/>
        <v>72.185067292505579</v>
      </c>
      <c r="O46" s="171">
        <f>$C46 * J46</f>
        <v>23.320111785786324</v>
      </c>
      <c r="P46" s="1265"/>
      <c r="Q46" s="1266"/>
      <c r="R46" s="1266"/>
      <c r="S46" s="1266"/>
      <c r="T46" s="1266"/>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row>
    <row r="47" spans="1:49">
      <c r="A47" s="53"/>
      <c r="B47" s="172" t="s">
        <v>779</v>
      </c>
      <c r="C47" s="1300">
        <f>SUM(D13:I13)</f>
        <v>352.04</v>
      </c>
      <c r="D47" s="170" t="s">
        <v>780</v>
      </c>
      <c r="E47" s="157">
        <f>'Calc DNO Opex Allocation'!AQ41</f>
        <v>0.24357639093035685</v>
      </c>
      <c r="F47" s="157"/>
      <c r="G47" s="157">
        <f>'Calc DNO Opex Allocation'!AR41</f>
        <v>0.21668276967452546</v>
      </c>
      <c r="H47" s="157">
        <f>'Calc DNO Opex Allocation'!AS41</f>
        <v>8.633679071113777E-2</v>
      </c>
      <c r="I47" s="157">
        <f>'Calc DNO Opex Allocation'!AT41</f>
        <v>0.2400461308491639</v>
      </c>
      <c r="J47" s="1061">
        <f>'Calc DNO Opex Allocation'!AU41</f>
        <v>0.21335791783481606</v>
      </c>
      <c r="K47" s="1272">
        <f>$C47*E47</f>
        <v>85.748632663122834</v>
      </c>
      <c r="L47" s="1272">
        <f t="shared" si="2"/>
        <v>76.281002236219948</v>
      </c>
      <c r="M47" s="1272">
        <f t="shared" si="2"/>
        <v>30.394003801948941</v>
      </c>
      <c r="N47" s="1272">
        <f>$C47*I47</f>
        <v>84.505839904139663</v>
      </c>
      <c r="O47" s="171">
        <f>$C47 * J47</f>
        <v>75.11052139456865</v>
      </c>
      <c r="P47" s="1265"/>
      <c r="Q47" s="1266"/>
      <c r="R47" s="1266"/>
      <c r="S47" s="1266"/>
      <c r="T47" s="1266"/>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row>
    <row r="48" spans="1:49">
      <c r="A48" s="53"/>
      <c r="B48" s="168"/>
      <c r="C48" s="1300"/>
      <c r="D48" s="168"/>
      <c r="E48" s="148"/>
      <c r="F48" s="148"/>
      <c r="G48" s="148"/>
      <c r="H48" s="148"/>
      <c r="I48" s="148"/>
      <c r="J48" s="169"/>
      <c r="K48" s="1271"/>
      <c r="L48" s="1271"/>
      <c r="M48" s="1272"/>
      <c r="N48" s="1271"/>
      <c r="O48" s="171"/>
      <c r="P48" s="1267"/>
      <c r="Q48" s="1268"/>
      <c r="R48" s="1268"/>
      <c r="S48" s="1266"/>
      <c r="T48" s="1264"/>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row>
    <row r="49" spans="1:49">
      <c r="A49" s="53"/>
      <c r="B49" s="172" t="s">
        <v>246</v>
      </c>
      <c r="C49" s="1300">
        <f>SUM(C45:C47)</f>
        <v>1121.4962564727552</v>
      </c>
      <c r="D49" s="168"/>
      <c r="E49" s="148"/>
      <c r="F49" s="148"/>
      <c r="G49" s="148"/>
      <c r="H49" s="148"/>
      <c r="I49" s="148"/>
      <c r="J49" s="169"/>
      <c r="K49" s="1272">
        <f>SUM(K45:K48)</f>
        <v>418.43052001463388</v>
      </c>
      <c r="L49" s="1272">
        <f>SUM(L45:L48)</f>
        <v>264.729778032426</v>
      </c>
      <c r="M49" s="1272">
        <f>SUM(M45:M48)</f>
        <v>94.310418789866304</v>
      </c>
      <c r="N49" s="1272">
        <f>SUM(N45:N48)</f>
        <v>223.88664706129217</v>
      </c>
      <c r="O49" s="171">
        <f>SUM($O$45:$O$48)</f>
        <v>120.13889257453684</v>
      </c>
      <c r="P49" s="1269"/>
      <c r="Q49" s="1270"/>
      <c r="R49" s="1270"/>
      <c r="S49" s="1270"/>
      <c r="T49" s="1270"/>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row>
    <row r="50" spans="1:49">
      <c r="A50" s="53"/>
      <c r="B50" s="173"/>
      <c r="C50" s="173"/>
      <c r="D50" s="173"/>
      <c r="E50" s="174"/>
      <c r="F50" s="174"/>
      <c r="G50" s="174"/>
      <c r="H50" s="174"/>
      <c r="I50" s="174"/>
      <c r="J50" s="175"/>
      <c r="K50" s="1273">
        <f>K49/SUM($K$49:$O$49)</f>
        <v>0.37310023782928153</v>
      </c>
      <c r="L50" s="1273">
        <f>L49/SUM($K$49:$O$49)</f>
        <v>0.23605052313329514</v>
      </c>
      <c r="M50" s="1273">
        <f>M49/SUM($K$49:$O$49)</f>
        <v>8.4093387067099332E-2</v>
      </c>
      <c r="N50" s="1273">
        <f>N49/SUM($K$49:$O$49)</f>
        <v>0.19963209486355615</v>
      </c>
      <c r="O50" s="176">
        <f>O49/SUM($K$48:$O$49)</f>
        <v>0.10712375710676783</v>
      </c>
      <c r="P50" s="1267"/>
      <c r="Q50" s="1268"/>
      <c r="R50" s="1268"/>
      <c r="S50" s="1268"/>
      <c r="T50" s="1268"/>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row>
    <row r="51" spans="1:49">
      <c r="A51" s="53"/>
      <c r="B51" s="53"/>
      <c r="C51" s="53"/>
      <c r="D51" s="53"/>
      <c r="E51" s="53">
        <v>6</v>
      </c>
      <c r="F51" s="53"/>
      <c r="G51" s="53">
        <v>5</v>
      </c>
      <c r="H51" s="53">
        <v>4</v>
      </c>
      <c r="I51" s="53">
        <v>3</v>
      </c>
      <c r="J51" s="53">
        <v>2</v>
      </c>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row>
    <row r="52" spans="1:49">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row>
    <row r="53" spans="1:49">
      <c r="A53" s="53"/>
      <c r="B53" s="53"/>
      <c r="C53" s="53"/>
      <c r="D53" s="228" t="s">
        <v>411</v>
      </c>
      <c r="E53" s="53"/>
      <c r="F53" s="53"/>
      <c r="G53" s="53"/>
      <c r="H53" s="53"/>
      <c r="I53" s="53"/>
      <c r="J53" s="53"/>
      <c r="K53" s="49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row>
    <row r="54" spans="1:49">
      <c r="A54" s="53"/>
      <c r="B54" s="53"/>
      <c r="C54" s="53"/>
      <c r="D54" s="1193" t="s">
        <v>892</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row>
    <row r="55" spans="1:49">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row>
    <row r="56" spans="1:49" s="224" customFormat="1">
      <c r="A56" s="219" t="s">
        <v>901</v>
      </c>
      <c r="N56" s="225"/>
      <c r="O56" s="225"/>
      <c r="P56" s="225"/>
      <c r="Q56" s="225"/>
      <c r="R56" s="225"/>
      <c r="S56" s="225"/>
      <c r="T56" s="225"/>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row>
    <row r="58" spans="1:49" ht="13.5" thickBot="1">
      <c r="B58" s="2258" t="s">
        <v>500</v>
      </c>
      <c r="C58" s="2258"/>
      <c r="D58" s="2258"/>
      <c r="E58" s="2258"/>
      <c r="F58" s="2258"/>
      <c r="G58" s="2258"/>
    </row>
    <row r="59" spans="1:49">
      <c r="B59" s="131" t="s">
        <v>881</v>
      </c>
      <c r="C59" s="132"/>
      <c r="D59" s="132"/>
      <c r="E59" s="132"/>
      <c r="F59" s="132">
        <f>'Summary of revenue'!J11</f>
        <v>253.35650699999999</v>
      </c>
      <c r="G59" s="133">
        <f>F59/$F$64</f>
        <v>0.97119486625510509</v>
      </c>
      <c r="K59" s="1303"/>
      <c r="L59" s="1303"/>
      <c r="M59" s="145"/>
      <c r="N59" s="1194"/>
      <c r="O59" s="1194"/>
      <c r="P59" s="1305" t="s">
        <v>14</v>
      </c>
      <c r="Q59" s="1305" t="s">
        <v>999</v>
      </c>
      <c r="R59" s="1305" t="s">
        <v>1000</v>
      </c>
    </row>
    <row r="60" spans="1:49">
      <c r="B60" s="134" t="s">
        <v>458</v>
      </c>
      <c r="C60" s="135"/>
      <c r="D60" s="135"/>
      <c r="E60" s="135"/>
      <c r="F60" s="135">
        <f>'Summary of revenue'!J12</f>
        <v>-3.0408849999999998</v>
      </c>
      <c r="G60" s="1301">
        <f>F60/$F$64</f>
        <v>-1.1656664894232043E-2</v>
      </c>
      <c r="K60" s="1303"/>
      <c r="L60" s="1303"/>
      <c r="M60" s="147"/>
      <c r="N60" s="148"/>
      <c r="O60" s="148"/>
      <c r="P60" s="149"/>
      <c r="Q60" s="149"/>
      <c r="R60" s="149"/>
    </row>
    <row r="61" spans="1:49">
      <c r="B61" s="134" t="s">
        <v>450</v>
      </c>
      <c r="C61" s="135"/>
      <c r="D61" s="135"/>
      <c r="E61" s="135"/>
      <c r="F61" s="135">
        <f>'Summary of revenue'!J13</f>
        <v>11.735621999999999</v>
      </c>
      <c r="G61" s="1301">
        <f>F61/$F$64</f>
        <v>4.4986315819038614E-2</v>
      </c>
      <c r="K61" s="1303"/>
      <c r="L61" s="1303"/>
      <c r="M61" s="147" t="s">
        <v>454</v>
      </c>
      <c r="N61" s="148"/>
      <c r="O61" s="148"/>
      <c r="P61" s="1325">
        <f>F64</f>
        <v>260.87092899999999</v>
      </c>
      <c r="Q61" s="1325">
        <f>'Summary of revenue'!J65</f>
        <v>4.0999999612767226</v>
      </c>
      <c r="R61" s="1325">
        <f>P61-Q61</f>
        <v>256.77092903872324</v>
      </c>
    </row>
    <row r="62" spans="1:49">
      <c r="B62" s="1324" t="s">
        <v>900</v>
      </c>
      <c r="C62" s="135"/>
      <c r="D62" s="135"/>
      <c r="E62" s="135"/>
      <c r="F62" s="135">
        <f>'Summary of revenue'!J21</f>
        <v>-10.380315</v>
      </c>
      <c r="G62" s="1301">
        <f>F62/$F$64</f>
        <v>-3.9790999479286555E-2</v>
      </c>
      <c r="K62" s="1303"/>
      <c r="L62" s="1303"/>
      <c r="M62" s="147"/>
      <c r="N62" s="148"/>
      <c r="O62" s="148"/>
      <c r="P62" s="1325"/>
      <c r="Q62" s="1325"/>
      <c r="R62" s="1325"/>
    </row>
    <row r="63" spans="1:49" ht="14.25">
      <c r="B63" s="134" t="s">
        <v>451</v>
      </c>
      <c r="C63" s="135"/>
      <c r="D63" s="135"/>
      <c r="E63" s="135"/>
      <c r="F63" s="135">
        <f>'Summary of revenue'!J46+'Summary of revenue'!J47</f>
        <v>9.1999999999999993</v>
      </c>
      <c r="G63" s="1301">
        <f>F63/$F$64</f>
        <v>3.526648229937495E-2</v>
      </c>
      <c r="K63" s="1303"/>
      <c r="L63" s="1303"/>
      <c r="M63" s="147" t="s">
        <v>992</v>
      </c>
      <c r="N63" s="148"/>
      <c r="O63" s="1304"/>
      <c r="P63" s="1325">
        <f>-F61</f>
        <v>-11.735621999999999</v>
      </c>
      <c r="Q63" s="1325">
        <f>Q$61*P63/P$61</f>
        <v>-0.18444389311604073</v>
      </c>
      <c r="R63" s="1325">
        <f>P63-Q63</f>
        <v>-11.551178106883958</v>
      </c>
    </row>
    <row r="64" spans="1:49" ht="13.5" thickBot="1">
      <c r="B64" s="136" t="s">
        <v>246</v>
      </c>
      <c r="C64" s="137"/>
      <c r="D64" s="137"/>
      <c r="E64" s="137"/>
      <c r="F64" s="137">
        <f>SUM(F59:F63)</f>
        <v>260.87092899999999</v>
      </c>
      <c r="G64" s="1302">
        <f>SUM(G59:G63)</f>
        <v>1.0000000000000002</v>
      </c>
      <c r="K64" s="1303"/>
      <c r="L64" s="1303"/>
      <c r="M64" s="147" t="s">
        <v>991</v>
      </c>
      <c r="N64" s="148"/>
      <c r="O64" s="148"/>
      <c r="P64" s="1325">
        <f>-'Calc DNO Opex Allocation'!I36</f>
        <v>-9.0830000000000002</v>
      </c>
      <c r="Q64" s="1325">
        <f>Q$61*P64/P$61</f>
        <v>-0.14275373569232189</v>
      </c>
      <c r="R64" s="1325">
        <f>P64-Q64</f>
        <v>-8.9402462643076781</v>
      </c>
    </row>
    <row r="65" spans="2:20" ht="14.25">
      <c r="K65" s="1303"/>
      <c r="L65" s="1303"/>
      <c r="M65" s="147"/>
      <c r="N65" s="148"/>
      <c r="O65" s="1304"/>
      <c r="P65" s="1325"/>
      <c r="Q65" s="1325"/>
      <c r="R65" s="1325"/>
    </row>
    <row r="66" spans="2:20" ht="14.25">
      <c r="K66" s="1303"/>
      <c r="L66" s="1303"/>
      <c r="M66" s="147" t="s">
        <v>998</v>
      </c>
      <c r="N66" s="148"/>
      <c r="O66" s="1304"/>
      <c r="P66" s="1325">
        <f>-SUM(P63:P65)</f>
        <v>20.818621999999998</v>
      </c>
      <c r="Q66" s="1325">
        <f>-SUM(Q63:Q65)</f>
        <v>0.32719762880836262</v>
      </c>
      <c r="R66" s="1325">
        <f>P66-Q66</f>
        <v>20.491424371191634</v>
      </c>
    </row>
    <row r="67" spans="2:20" ht="13.5" thickBot="1">
      <c r="K67" s="1303"/>
      <c r="L67" s="1303"/>
      <c r="M67" s="159" t="s">
        <v>367</v>
      </c>
      <c r="N67" s="160"/>
      <c r="O67" s="160"/>
      <c r="P67" s="1326">
        <f>SUM(P61:P65)</f>
        <v>240.05230699999998</v>
      </c>
      <c r="Q67" s="1326">
        <f>SUM(Q61:Q65)</f>
        <v>3.7728023324683599</v>
      </c>
      <c r="R67" s="1325">
        <f>P67-Q67</f>
        <v>236.27950466753163</v>
      </c>
    </row>
    <row r="68" spans="2:20">
      <c r="B68" s="53"/>
      <c r="C68" s="53"/>
      <c r="D68" s="53"/>
      <c r="E68" s="53"/>
      <c r="F68" s="53"/>
      <c r="G68" s="53"/>
      <c r="H68" s="53"/>
      <c r="I68" s="53"/>
      <c r="J68" s="53"/>
      <c r="K68" s="53"/>
      <c r="L68" s="53"/>
      <c r="M68" s="53"/>
      <c r="N68" s="53"/>
      <c r="O68" s="53"/>
      <c r="P68" s="53"/>
      <c r="Q68" s="53"/>
      <c r="R68" s="53"/>
    </row>
    <row r="69" spans="2:20" s="85" customFormat="1" ht="39" customHeight="1" thickBot="1">
      <c r="D69" s="2255"/>
      <c r="E69" s="2256"/>
      <c r="F69" s="2256"/>
      <c r="G69" s="2256"/>
      <c r="H69" s="2256"/>
      <c r="I69" s="2256"/>
      <c r="J69" s="2256"/>
      <c r="K69" s="2257"/>
      <c r="L69" s="2255" t="s">
        <v>772</v>
      </c>
      <c r="M69" s="2256"/>
      <c r="N69" s="2256"/>
      <c r="O69" s="2256"/>
      <c r="P69" s="2256"/>
      <c r="Q69" s="2256"/>
      <c r="R69" s="2257"/>
    </row>
    <row r="70" spans="2:20">
      <c r="B70" s="1297" t="s">
        <v>895</v>
      </c>
      <c r="C70" s="146"/>
      <c r="D70" s="2246" t="s">
        <v>14</v>
      </c>
      <c r="E70" s="2247"/>
      <c r="F70" s="2247"/>
      <c r="G70" s="2247"/>
      <c r="H70" s="2247"/>
      <c r="I70" s="2247"/>
      <c r="J70" s="2247"/>
      <c r="K70" s="1194"/>
      <c r="L70" s="2246" t="s">
        <v>341</v>
      </c>
      <c r="M70" s="2248"/>
      <c r="N70" s="2248"/>
      <c r="O70" s="2248"/>
      <c r="P70" s="2248"/>
      <c r="Q70" s="2247"/>
      <c r="R70" s="2249"/>
    </row>
    <row r="71" spans="2:20">
      <c r="B71" s="147"/>
      <c r="C71" s="148"/>
      <c r="D71" s="150" t="s">
        <v>246</v>
      </c>
      <c r="E71" s="150"/>
      <c r="F71" s="150" t="s">
        <v>245</v>
      </c>
      <c r="G71" s="150" t="s">
        <v>239</v>
      </c>
      <c r="H71" s="150" t="s">
        <v>408</v>
      </c>
      <c r="I71" s="150" t="s">
        <v>240</v>
      </c>
      <c r="J71" s="150" t="s">
        <v>386</v>
      </c>
      <c r="K71" s="1278"/>
      <c r="L71" s="1279" t="s">
        <v>245</v>
      </c>
      <c r="M71" s="151" t="s">
        <v>239</v>
      </c>
      <c r="N71" s="151" t="s">
        <v>408</v>
      </c>
      <c r="O71" s="151" t="s">
        <v>625</v>
      </c>
      <c r="P71" s="150" t="s">
        <v>386</v>
      </c>
      <c r="Q71" s="150"/>
      <c r="R71" s="150" t="s">
        <v>246</v>
      </c>
      <c r="S71" s="1281" t="s">
        <v>885</v>
      </c>
    </row>
    <row r="72" spans="2:20">
      <c r="B72" s="147"/>
      <c r="C72" s="148"/>
      <c r="D72" s="147"/>
      <c r="E72" s="148"/>
      <c r="F72" s="148"/>
      <c r="G72" s="148"/>
      <c r="H72" s="148"/>
      <c r="I72" s="148"/>
      <c r="J72" s="148"/>
      <c r="K72" s="148"/>
      <c r="L72" s="1283"/>
      <c r="M72" s="1271"/>
      <c r="N72" s="1271"/>
      <c r="O72" s="1271"/>
      <c r="P72" s="169"/>
      <c r="Q72" s="169"/>
      <c r="R72" s="169"/>
      <c r="S72" s="149"/>
    </row>
    <row r="73" spans="2:20">
      <c r="B73" s="147" t="s">
        <v>658</v>
      </c>
      <c r="C73" s="148"/>
      <c r="D73" s="154">
        <f>SUM(F73:J73)</f>
        <v>256.77092903872324</v>
      </c>
      <c r="E73" s="148"/>
      <c r="F73" s="155">
        <f>$R$67*K50</f>
        <v>88.155939385640892</v>
      </c>
      <c r="G73" s="155">
        <f>$R$67*L50</f>
        <v>55.773900682446687</v>
      </c>
      <c r="H73" s="155">
        <f>$R$67*M50</f>
        <v>19.869543842029241</v>
      </c>
      <c r="I73" s="155">
        <f>$R$67*(N50+O50)</f>
        <v>72.480120757414795</v>
      </c>
      <c r="J73" s="1306">
        <f>R66</f>
        <v>20.491424371191634</v>
      </c>
      <c r="K73" s="148"/>
      <c r="L73" s="1284">
        <f>F73*100000000/'Calc-Units'!E21</f>
        <v>0.34798100951997657</v>
      </c>
      <c r="M73" s="1285">
        <f>G73*100000000/'Calc-Units'!D21</f>
        <v>0.2326556798216978</v>
      </c>
      <c r="N73" s="1285">
        <f>H73*100000000/'Calc-Units'!C21</f>
        <v>0.11695741193869595</v>
      </c>
      <c r="O73" s="1285">
        <f>I73*100000000/'Calc-Units'!C21</f>
        <v>0.4266372397971287</v>
      </c>
      <c r="P73" s="1285">
        <f>J73*100000000/'Calc-Units'!E21</f>
        <v>8.0886513023205042E-2</v>
      </c>
      <c r="Q73" s="169"/>
      <c r="R73" s="1285"/>
      <c r="S73" s="1282"/>
    </row>
    <row r="74" spans="2:20">
      <c r="B74" s="147"/>
      <c r="C74" s="148"/>
      <c r="D74" s="147"/>
      <c r="E74" s="148"/>
      <c r="F74" s="148"/>
      <c r="G74" s="148"/>
      <c r="H74" s="148"/>
      <c r="I74" s="148"/>
      <c r="J74" s="148"/>
      <c r="K74" s="148"/>
      <c r="L74" s="1283"/>
      <c r="M74" s="1271"/>
      <c r="N74" s="1271"/>
      <c r="O74" s="1271"/>
      <c r="P74" s="1271"/>
      <c r="Q74" s="169"/>
      <c r="R74" s="169"/>
      <c r="S74" s="149"/>
    </row>
    <row r="75" spans="2:20">
      <c r="B75" s="147" t="s">
        <v>435</v>
      </c>
      <c r="C75" s="148"/>
      <c r="D75" s="147"/>
      <c r="E75" s="148"/>
      <c r="F75" s="148"/>
      <c r="G75" s="148"/>
      <c r="H75" s="148"/>
      <c r="I75" s="148"/>
      <c r="J75" s="148"/>
      <c r="K75" s="148"/>
      <c r="L75" s="1284">
        <f>L73</f>
        <v>0.34798100951997657</v>
      </c>
      <c r="M75" s="1285">
        <f>M73</f>
        <v>0.2326556798216978</v>
      </c>
      <c r="N75" s="1285">
        <f>N73</f>
        <v>0.11695741193869595</v>
      </c>
      <c r="O75" s="1285">
        <f>O73</f>
        <v>0.4266372397971287</v>
      </c>
      <c r="P75" s="1285">
        <f>P73</f>
        <v>8.0886513023205042E-2</v>
      </c>
      <c r="Q75" s="169"/>
      <c r="R75" s="1286">
        <f>SUM(L75:P75)</f>
        <v>1.2051178541007039</v>
      </c>
      <c r="S75" s="156"/>
    </row>
    <row r="76" spans="2:20">
      <c r="B76" s="147" t="s">
        <v>436</v>
      </c>
      <c r="C76" s="148"/>
      <c r="D76" s="147"/>
      <c r="E76" s="148"/>
      <c r="F76" s="148"/>
      <c r="G76" s="148"/>
      <c r="H76" s="148"/>
      <c r="I76" s="148"/>
      <c r="J76" s="148"/>
      <c r="K76" s="148"/>
      <c r="L76" s="1284"/>
      <c r="M76" s="1285"/>
      <c r="N76" s="1285"/>
      <c r="O76" s="1271"/>
      <c r="P76" s="1285"/>
      <c r="Q76" s="169"/>
      <c r="R76" s="1286"/>
      <c r="S76" s="156"/>
    </row>
    <row r="77" spans="2:20">
      <c r="B77" s="147" t="s">
        <v>437</v>
      </c>
      <c r="C77" s="148"/>
      <c r="D77" s="147"/>
      <c r="E77" s="148"/>
      <c r="F77" s="148"/>
      <c r="G77" s="148"/>
      <c r="H77" s="148"/>
      <c r="I77" s="148"/>
      <c r="J77" s="148"/>
      <c r="K77" s="148"/>
      <c r="L77" s="1284"/>
      <c r="M77" s="1271"/>
      <c r="N77" s="1271"/>
      <c r="O77" s="1271"/>
      <c r="P77" s="1285"/>
      <c r="Q77" s="169"/>
      <c r="R77" s="1286"/>
      <c r="S77" s="156"/>
    </row>
    <row r="78" spans="2:20">
      <c r="B78" s="147"/>
      <c r="C78" s="148"/>
      <c r="D78" s="147"/>
      <c r="E78" s="148"/>
      <c r="F78" s="148"/>
      <c r="G78" s="148"/>
      <c r="H78" s="148"/>
      <c r="I78" s="148"/>
      <c r="J78" s="148"/>
      <c r="K78" s="148"/>
      <c r="L78" s="1283"/>
      <c r="M78" s="1271"/>
      <c r="N78" s="1271"/>
      <c r="O78" s="1271"/>
      <c r="P78" s="1271"/>
      <c r="Q78" s="169"/>
      <c r="R78" s="169"/>
      <c r="S78" s="149"/>
    </row>
    <row r="79" spans="2:20">
      <c r="B79" s="147" t="s">
        <v>435</v>
      </c>
      <c r="C79" s="148"/>
      <c r="D79" s="147"/>
      <c r="E79" s="148"/>
      <c r="F79" s="148"/>
      <c r="G79" s="148"/>
      <c r="H79" s="148"/>
      <c r="I79" s="148"/>
      <c r="J79" s="148"/>
      <c r="K79" s="148"/>
      <c r="L79" s="1287">
        <f>L75/$R75</f>
        <v>0.28875267952913264</v>
      </c>
      <c r="M79" s="1288">
        <f>M75/$R75</f>
        <v>0.19305637123376007</v>
      </c>
      <c r="N79" s="1288">
        <f>N75/$R75</f>
        <v>9.7050600935601583E-2</v>
      </c>
      <c r="O79" s="1288">
        <f>$O75/$R75*$N50/($N50+$O50)</f>
        <v>0.2303916568027165</v>
      </c>
      <c r="P79" s="1288">
        <f>P75/$R75</f>
        <v>6.7119172409544167E-2</v>
      </c>
      <c r="Q79" s="1289"/>
      <c r="R79" s="1290">
        <f>SUM(L79:P79) + S79</f>
        <v>1</v>
      </c>
      <c r="S79" s="226">
        <f>$O75/$R75*$O50/($N50+$O50)</f>
        <v>0.12362951908924516</v>
      </c>
      <c r="T79" s="493"/>
    </row>
    <row r="80" spans="2:20">
      <c r="B80" s="147" t="s">
        <v>436</v>
      </c>
      <c r="C80" s="148"/>
      <c r="D80" s="147"/>
      <c r="E80" s="148"/>
      <c r="F80" s="148"/>
      <c r="G80" s="148"/>
      <c r="H80" s="148"/>
      <c r="I80" s="148"/>
      <c r="J80" s="148"/>
      <c r="K80" s="148"/>
      <c r="L80" s="1291"/>
      <c r="M80" s="1292"/>
      <c r="N80" s="1292"/>
      <c r="O80" s="1292"/>
      <c r="P80" s="1292"/>
      <c r="Q80" s="1293"/>
      <c r="R80" s="1293"/>
      <c r="S80" s="158"/>
    </row>
    <row r="81" spans="2:19" ht="13.5" thickBot="1">
      <c r="B81" s="159" t="s">
        <v>437</v>
      </c>
      <c r="C81" s="160"/>
      <c r="D81" s="159"/>
      <c r="E81" s="160"/>
      <c r="F81" s="160"/>
      <c r="G81" s="160"/>
      <c r="H81" s="160"/>
      <c r="I81" s="160"/>
      <c r="J81" s="160"/>
      <c r="K81" s="160"/>
      <c r="L81" s="1294"/>
      <c r="M81" s="1295"/>
      <c r="N81" s="1295"/>
      <c r="O81" s="1295"/>
      <c r="P81" s="1295"/>
      <c r="Q81" s="1296"/>
      <c r="R81" s="1296"/>
      <c r="S81" s="1280"/>
    </row>
  </sheetData>
  <mergeCells count="8">
    <mergeCell ref="D70:J70"/>
    <mergeCell ref="L70:R70"/>
    <mergeCell ref="E43:I43"/>
    <mergeCell ref="K43:N43"/>
    <mergeCell ref="P43:T43"/>
    <mergeCell ref="D69:K69"/>
    <mergeCell ref="L69:R69"/>
    <mergeCell ref="B58:G58"/>
  </mergeCells>
  <phoneticPr fontId="0" type="noConversion"/>
  <hyperlinks>
    <hyperlink ref="A2" location="Inputs!A1" display="Index"/>
  </hyperlinks>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G40"/>
  <sheetViews>
    <sheetView showGridLines="0" zoomScale="90" zoomScaleNormal="90" zoomScalePageLayoutView="75" workbookViewId="0"/>
  </sheetViews>
  <sheetFormatPr defaultColWidth="8.85546875" defaultRowHeight="12.75"/>
  <cols>
    <col min="1" max="1" width="44" customWidth="1"/>
    <col min="2" max="7" width="13.42578125" customWidth="1"/>
    <col min="8" max="8" width="9.140625" customWidth="1"/>
  </cols>
  <sheetData>
    <row r="1" spans="1:7" s="1" customFormat="1">
      <c r="A1" s="8"/>
      <c r="G1" s="241" t="s">
        <v>216</v>
      </c>
    </row>
    <row r="3" spans="1:7" ht="12.75" customHeight="1">
      <c r="A3" s="186" t="s">
        <v>897</v>
      </c>
      <c r="B3" s="2259" t="s">
        <v>343</v>
      </c>
      <c r="C3" s="2259"/>
      <c r="D3" s="2259"/>
      <c r="E3" s="2259"/>
      <c r="F3" s="2259"/>
      <c r="G3" s="2259"/>
    </row>
    <row r="4" spans="1:7">
      <c r="A4" s="190"/>
      <c r="B4" s="1208" t="s">
        <v>885</v>
      </c>
      <c r="C4" s="1198" t="s">
        <v>625</v>
      </c>
      <c r="D4" s="1199" t="s">
        <v>374</v>
      </c>
      <c r="E4" s="1198" t="s">
        <v>239</v>
      </c>
      <c r="F4" s="1198" t="s">
        <v>245</v>
      </c>
      <c r="G4" s="1200" t="s">
        <v>449</v>
      </c>
    </row>
    <row r="5" spans="1:7">
      <c r="A5" s="1309" t="s">
        <v>488</v>
      </c>
      <c r="B5" s="214">
        <f>'DNO Final Allocation'!J47</f>
        <v>0.21335791783481606</v>
      </c>
      <c r="C5" s="1201">
        <f>'DNO Final Allocation'!I47</f>
        <v>0.2400461308491639</v>
      </c>
      <c r="D5" s="1201">
        <f>'DNO Final Allocation'!H47</f>
        <v>8.633679071113777E-2</v>
      </c>
      <c r="E5" s="1201">
        <f>'DNO Final Allocation'!G47</f>
        <v>0.21668276967452546</v>
      </c>
      <c r="F5" s="1201">
        <f>'DNO Final Allocation'!E47</f>
        <v>0.24357639093035685</v>
      </c>
      <c r="G5" s="1202" t="s">
        <v>482</v>
      </c>
    </row>
    <row r="6" spans="1:7">
      <c r="A6" s="1310" t="s">
        <v>441</v>
      </c>
      <c r="B6" s="215">
        <f>'DNO Final Allocation'!J45</f>
        <v>5.8519728446138834E-2</v>
      </c>
      <c r="C6" s="1203">
        <f>'DNO Final Allocation'!I46</f>
        <v>0.18114195054581075</v>
      </c>
      <c r="D6" s="1203">
        <f>'DNO Final Allocation'!H46</f>
        <v>8.3066989773941113E-2</v>
      </c>
      <c r="E6" s="1203">
        <f>'DNO Final Allocation'!G46</f>
        <v>0.24491161675657727</v>
      </c>
      <c r="F6" s="1203">
        <f>'DNO Final Allocation'!E46</f>
        <v>0.43235971447753196</v>
      </c>
      <c r="G6" s="1204" t="s">
        <v>482</v>
      </c>
    </row>
    <row r="7" spans="1:7">
      <c r="A7" s="1311" t="s">
        <v>342</v>
      </c>
      <c r="B7" s="216">
        <f>'DNO Final Allocation'!J46</f>
        <v>5.8519728446138834E-2</v>
      </c>
      <c r="C7" s="1205">
        <f>'DNO Final Allocation'!I45</f>
        <v>0.18114195054581075</v>
      </c>
      <c r="D7" s="1205">
        <f>'DNO Final Allocation'!H45</f>
        <v>8.3066989773941113E-2</v>
      </c>
      <c r="E7" s="1205">
        <f>'DNO Final Allocation'!G45</f>
        <v>0.24491161675657727</v>
      </c>
      <c r="F7" s="1205">
        <f>'DNO Final Allocation'!E45</f>
        <v>0.43235971447753196</v>
      </c>
      <c r="G7" s="1206" t="s">
        <v>482</v>
      </c>
    </row>
    <row r="8" spans="1:7">
      <c r="A8" s="1312" t="s">
        <v>448</v>
      </c>
      <c r="B8" s="217">
        <f>'DNO Final Allocation'!O50</f>
        <v>0.10712375710676783</v>
      </c>
      <c r="C8" s="484">
        <f>'DNO Final Allocation'!N50</f>
        <v>0.19963209486355615</v>
      </c>
      <c r="D8" s="1196">
        <f>'DNO Final Allocation'!M50</f>
        <v>8.4093387067099332E-2</v>
      </c>
      <c r="E8" s="1196">
        <f>'DNO Final Allocation'!L50</f>
        <v>0.23605052313329514</v>
      </c>
      <c r="F8" s="1196">
        <f>'DNO Final Allocation'!K50</f>
        <v>0.37310023782928153</v>
      </c>
      <c r="G8" s="484" t="s">
        <v>482</v>
      </c>
    </row>
    <row r="9" spans="1:7" ht="41.25" customHeight="1">
      <c r="A9" s="1313" t="s">
        <v>898</v>
      </c>
      <c r="B9" s="213">
        <f>'DNO Final Allocation'!S79</f>
        <v>0.12362951908924516</v>
      </c>
      <c r="C9" s="1197">
        <f>'DNO Final Allocation'!O79</f>
        <v>0.2303916568027165</v>
      </c>
      <c r="D9" s="1197">
        <f>'DNO Final Allocation'!N79</f>
        <v>9.7050600935601583E-2</v>
      </c>
      <c r="E9" s="1197">
        <f>'DNO Final Allocation'!M79</f>
        <v>0.19305637123376007</v>
      </c>
      <c r="F9" s="1197">
        <f>'DNO Final Allocation'!L79</f>
        <v>0.28875267952913264</v>
      </c>
      <c r="G9" s="1197">
        <f>'DNO Final Allocation'!P79</f>
        <v>6.7119172409544167E-2</v>
      </c>
    </row>
    <row r="10" spans="1:7">
      <c r="A10" s="1313" t="s">
        <v>445</v>
      </c>
      <c r="B10" s="232">
        <f>'Calc DNO Opex Allocation'!AD48</f>
        <v>0.53962766732168987</v>
      </c>
      <c r="C10" s="1207">
        <f>'Calc DNO Opex Allocation'!AC48</f>
        <v>0.53962766732168999</v>
      </c>
      <c r="D10" s="1207">
        <f>'Calc DNO Opex Allocation'!AB48</f>
        <v>0.81471723510181293</v>
      </c>
      <c r="E10" s="1207">
        <f>'Calc DNO Opex Allocation'!AA48</f>
        <v>0.77330366014733831</v>
      </c>
      <c r="F10" s="1207">
        <f>'Calc DNO Opex Allocation'!Z48</f>
        <v>0.80291964876753563</v>
      </c>
      <c r="G10" s="1207" t="s">
        <v>482</v>
      </c>
    </row>
    <row r="12" spans="1:7" ht="12" customHeight="1"/>
    <row r="22" ht="12" customHeight="1"/>
    <row r="31" ht="12" customHeight="1"/>
    <row r="40" ht="12" customHeight="1"/>
  </sheetData>
  <mergeCells count="1">
    <mergeCell ref="B3:G3"/>
  </mergeCells>
  <phoneticPr fontId="2"/>
  <hyperlinks>
    <hyperlink ref="G1" location="Inputs!A1" display="Index"/>
  </hyperlinks>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tabSelected="1" workbookViewId="0"/>
  </sheetViews>
  <sheetFormatPr defaultColWidth="17.7109375" defaultRowHeight="12.75"/>
  <sheetData>
    <row r="1" spans="1:6" ht="19.5">
      <c r="A1" s="1764" t="str">
        <f>"Results from Method M ("&amp;Inputs!B19&amp;") for "&amp;Inputs!B6&amp;" in "&amp;Inputs!C6&amp;"  Status: "&amp;Inputs!D6&amp;""</f>
        <v>Results from Method M (LR1) for Electricity North West in 2014/15  Status: 2007/08</v>
      </c>
    </row>
    <row r="3" spans="1:6" s="1767" customFormat="1" ht="17.25">
      <c r="A3" s="1768" t="s">
        <v>931</v>
      </c>
    </row>
    <row r="4" spans="1:6" s="1767" customFormat="1" ht="17.25">
      <c r="A4" s="1768"/>
    </row>
    <row r="5" spans="1:6" s="1767" customFormat="1" ht="25.5">
      <c r="A5" s="1781"/>
      <c r="B5" s="1782" t="s">
        <v>349</v>
      </c>
      <c r="C5" s="1782" t="s">
        <v>350</v>
      </c>
      <c r="D5" s="1782" t="s">
        <v>351</v>
      </c>
      <c r="E5" s="1782" t="s">
        <v>352</v>
      </c>
      <c r="F5" s="1782" t="s">
        <v>353</v>
      </c>
    </row>
    <row r="6" spans="1:6" s="1767" customFormat="1" ht="15">
      <c r="A6" s="1783" t="s">
        <v>354</v>
      </c>
      <c r="B6" s="1784"/>
      <c r="C6" s="1784">
        <f>'Allocation Summary'!C9*(1-'Allocation Summary'!C10*Inputs!B12)+'Allocation Summary'!B9</f>
        <v>0.33412906191902902</v>
      </c>
      <c r="D6" s="1784">
        <f>'Allocation Summary'!C9 +'Allocation Summary'!D9+('Allocation Summary'!E9*(1-Inputs!B13*'Allocation Summary'!E10))+'Allocation Summary'!B9</f>
        <v>0.58441166866539129</v>
      </c>
      <c r="E6" s="1784">
        <f>('Allocation Summary'!D9 + 'Allocation Summary'!E9  *(1-Inputs!B13* 'Allocation Summary'!E10))/(1-'Allocation Summary'!C9-'Allocation Summary'!B9)</f>
        <v>0.35665332078269085</v>
      </c>
      <c r="F6" s="1784">
        <f>'Allocation Summary'!E9*(1-Inputs!B13*'Allocation Summary'!E10)/(1-'Allocation Summary'!B9-'Allocation Summary'!C9-'Allocation Summary'!D9)</f>
        <v>0.24290952115235206</v>
      </c>
    </row>
    <row r="7" spans="1:6" s="1767" customFormat="1" ht="15"/>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1DFFF"/>
  </sheetPr>
  <dimension ref="A1:J33"/>
  <sheetViews>
    <sheetView workbookViewId="0"/>
  </sheetViews>
  <sheetFormatPr defaultColWidth="8.85546875" defaultRowHeight="12.75"/>
  <cols>
    <col min="1" max="1" width="5" customWidth="1"/>
    <col min="2" max="2" width="38.140625" bestFit="1" customWidth="1"/>
    <col min="3" max="8" width="9.42578125" customWidth="1"/>
  </cols>
  <sheetData>
    <row r="1" spans="1:10">
      <c r="C1" s="240" t="s">
        <v>200</v>
      </c>
      <c r="D1" s="240" t="s">
        <v>196</v>
      </c>
      <c r="E1" s="240" t="s">
        <v>197</v>
      </c>
      <c r="F1" s="240" t="s">
        <v>198</v>
      </c>
      <c r="G1" s="240" t="s">
        <v>199</v>
      </c>
      <c r="H1" s="240" t="s">
        <v>35</v>
      </c>
      <c r="J1" s="241" t="s">
        <v>216</v>
      </c>
    </row>
    <row r="2" spans="1:10">
      <c r="C2" s="240" t="s">
        <v>201</v>
      </c>
      <c r="D2" s="240" t="s">
        <v>201</v>
      </c>
      <c r="E2" s="240" t="s">
        <v>201</v>
      </c>
      <c r="F2" s="240" t="s">
        <v>201</v>
      </c>
      <c r="G2" s="240" t="s">
        <v>201</v>
      </c>
      <c r="H2" s="240" t="s">
        <v>201</v>
      </c>
    </row>
    <row r="3" spans="1:10">
      <c r="A3">
        <v>1</v>
      </c>
      <c r="B3" t="s">
        <v>602</v>
      </c>
      <c r="C3" s="1254"/>
      <c r="D3" s="1255">
        <v>920</v>
      </c>
      <c r="E3" s="1255">
        <v>964.3</v>
      </c>
      <c r="F3" s="1255">
        <v>1002.5</v>
      </c>
      <c r="G3" s="1255">
        <v>1034.7</v>
      </c>
      <c r="H3" s="1255">
        <v>1060.8</v>
      </c>
      <c r="I3" t="s">
        <v>859</v>
      </c>
    </row>
    <row r="4" spans="1:10">
      <c r="A4">
        <v>2</v>
      </c>
      <c r="B4" t="s">
        <v>604</v>
      </c>
      <c r="C4" s="1254"/>
      <c r="D4" s="1255">
        <v>112.7</v>
      </c>
      <c r="E4" s="1255">
        <v>112.3</v>
      </c>
      <c r="F4" s="1255">
        <v>111.8</v>
      </c>
      <c r="G4" s="1255">
        <v>111.4</v>
      </c>
      <c r="H4" s="1255">
        <v>110.9</v>
      </c>
      <c r="I4" t="s">
        <v>859</v>
      </c>
    </row>
    <row r="5" spans="1:10">
      <c r="A5">
        <v>3</v>
      </c>
      <c r="B5" t="s">
        <v>441</v>
      </c>
      <c r="C5" s="1254"/>
      <c r="D5" s="1255">
        <v>-68.5</v>
      </c>
      <c r="E5" s="1255">
        <v>-74.099999999999994</v>
      </c>
      <c r="F5" s="1255">
        <v>-79.7</v>
      </c>
      <c r="G5" s="1255">
        <v>-85.3</v>
      </c>
      <c r="H5" s="1255">
        <v>-90.9</v>
      </c>
      <c r="I5" t="s">
        <v>859</v>
      </c>
    </row>
    <row r="6" spans="1:10">
      <c r="A6">
        <v>4</v>
      </c>
      <c r="B6" t="s">
        <v>362</v>
      </c>
      <c r="C6" s="1254"/>
      <c r="D6" s="1255">
        <v>964.3</v>
      </c>
      <c r="E6" s="1255">
        <v>1002.5</v>
      </c>
      <c r="F6" s="1255">
        <v>1034.7</v>
      </c>
      <c r="G6" s="1255">
        <v>1060.8</v>
      </c>
      <c r="H6" s="1255">
        <v>1080.9000000000001</v>
      </c>
      <c r="I6" t="s">
        <v>859</v>
      </c>
    </row>
    <row r="7" spans="1:10">
      <c r="A7">
        <v>5</v>
      </c>
      <c r="B7" t="s">
        <v>149</v>
      </c>
      <c r="C7" s="1254"/>
      <c r="D7" s="1255">
        <v>920</v>
      </c>
      <c r="E7" s="1255"/>
      <c r="F7" s="1255"/>
      <c r="G7" s="1255"/>
      <c r="H7" s="1255">
        <v>825.2</v>
      </c>
    </row>
    <row r="8" spans="1:10">
      <c r="A8">
        <v>6</v>
      </c>
      <c r="B8" t="s">
        <v>195</v>
      </c>
      <c r="C8" s="1254"/>
      <c r="D8" s="1255"/>
      <c r="E8" s="1255"/>
      <c r="F8" s="1255"/>
      <c r="G8" s="1255"/>
      <c r="H8" s="1255">
        <v>94.8</v>
      </c>
    </row>
    <row r="9" spans="1:10">
      <c r="A9" s="485" t="s">
        <v>248</v>
      </c>
      <c r="D9" s="177"/>
      <c r="E9" s="177"/>
      <c r="F9" s="177"/>
      <c r="G9" s="177"/>
      <c r="H9" s="177"/>
    </row>
    <row r="10" spans="1:10">
      <c r="A10">
        <v>7</v>
      </c>
      <c r="B10" t="s">
        <v>150</v>
      </c>
      <c r="C10" s="1254"/>
      <c r="D10" s="1255">
        <v>67</v>
      </c>
      <c r="E10" s="1255">
        <v>64.7</v>
      </c>
      <c r="F10" s="1255">
        <v>63.1</v>
      </c>
      <c r="G10" s="1255">
        <v>61.7</v>
      </c>
      <c r="H10" s="1255">
        <v>60.2</v>
      </c>
      <c r="I10" t="s">
        <v>859</v>
      </c>
    </row>
    <row r="11" spans="1:10">
      <c r="A11">
        <v>8</v>
      </c>
      <c r="B11" t="s">
        <v>151</v>
      </c>
      <c r="C11" s="1254"/>
      <c r="D11" s="1255">
        <v>103.5</v>
      </c>
      <c r="E11" s="1255">
        <v>103.1</v>
      </c>
      <c r="F11" s="1255">
        <v>102.6</v>
      </c>
      <c r="G11" s="1255">
        <v>102.2</v>
      </c>
      <c r="H11" s="1255">
        <v>101.7</v>
      </c>
      <c r="I11" t="s">
        <v>859</v>
      </c>
    </row>
    <row r="12" spans="1:10">
      <c r="A12">
        <v>9</v>
      </c>
      <c r="B12" t="s">
        <v>152</v>
      </c>
      <c r="C12" s="1254"/>
      <c r="D12" s="1255">
        <v>16</v>
      </c>
      <c r="E12" s="1255">
        <v>16</v>
      </c>
      <c r="F12" s="1255">
        <v>16</v>
      </c>
      <c r="G12" s="1255">
        <v>16</v>
      </c>
      <c r="H12" s="1255">
        <v>16</v>
      </c>
      <c r="I12" t="s">
        <v>859</v>
      </c>
    </row>
    <row r="13" spans="1:10">
      <c r="A13">
        <v>10</v>
      </c>
      <c r="B13" t="s">
        <v>336</v>
      </c>
      <c r="C13" s="1254"/>
      <c r="D13" s="1255">
        <v>19.7</v>
      </c>
      <c r="E13" s="1255">
        <v>22.3</v>
      </c>
      <c r="F13" s="1255">
        <v>23.5</v>
      </c>
      <c r="G13" s="1255">
        <v>24.9</v>
      </c>
      <c r="H13" s="1255">
        <v>24.9</v>
      </c>
      <c r="I13" t="s">
        <v>859</v>
      </c>
    </row>
    <row r="14" spans="1:10">
      <c r="A14">
        <v>11</v>
      </c>
      <c r="B14" t="s">
        <v>153</v>
      </c>
      <c r="C14" s="1254"/>
      <c r="D14" s="1255">
        <v>1.8</v>
      </c>
      <c r="E14" s="1255">
        <v>1</v>
      </c>
      <c r="F14" s="1255">
        <v>-0.6</v>
      </c>
      <c r="G14" s="1255">
        <v>-1.1000000000000001</v>
      </c>
      <c r="H14" s="1255">
        <v>-0.5</v>
      </c>
      <c r="I14" t="s">
        <v>859</v>
      </c>
    </row>
    <row r="15" spans="1:10">
      <c r="A15">
        <v>12</v>
      </c>
      <c r="B15" t="s">
        <v>154</v>
      </c>
      <c r="C15" s="1254"/>
      <c r="D15" s="1255">
        <v>1.6</v>
      </c>
      <c r="E15" s="1255">
        <v>1.7</v>
      </c>
      <c r="F15" s="1255">
        <v>1.8</v>
      </c>
      <c r="G15" s="1255">
        <v>1.8</v>
      </c>
      <c r="H15" s="1255">
        <v>1.9</v>
      </c>
      <c r="I15" t="s">
        <v>859</v>
      </c>
    </row>
    <row r="16" spans="1:10">
      <c r="A16">
        <v>13</v>
      </c>
      <c r="B16" t="s">
        <v>179</v>
      </c>
      <c r="C16" s="1254"/>
      <c r="D16" s="1256">
        <v>1.4</v>
      </c>
      <c r="E16" s="1256">
        <v>1.4</v>
      </c>
      <c r="F16" s="1256">
        <v>1.4</v>
      </c>
      <c r="G16" s="1256" t="s">
        <v>1019</v>
      </c>
      <c r="H16" s="1256" t="s">
        <v>1019</v>
      </c>
      <c r="I16" t="s">
        <v>859</v>
      </c>
    </row>
    <row r="17" spans="1:9">
      <c r="A17">
        <v>14</v>
      </c>
      <c r="B17" t="s">
        <v>180</v>
      </c>
      <c r="C17" s="1254"/>
      <c r="D17" s="1256" t="s">
        <v>1019</v>
      </c>
      <c r="E17" s="1256" t="s">
        <v>1019</v>
      </c>
      <c r="F17" s="1256" t="s">
        <v>1019</v>
      </c>
      <c r="G17" s="1256" t="s">
        <v>1019</v>
      </c>
      <c r="H17" s="1256" t="s">
        <v>1019</v>
      </c>
      <c r="I17" t="s">
        <v>859</v>
      </c>
    </row>
    <row r="18" spans="1:9">
      <c r="A18">
        <v>15</v>
      </c>
      <c r="B18" t="s">
        <v>365</v>
      </c>
      <c r="C18" s="1254"/>
      <c r="D18" s="1256">
        <v>1.5</v>
      </c>
      <c r="E18" s="1256" t="s">
        <v>1019</v>
      </c>
      <c r="F18" s="1256" t="s">
        <v>1019</v>
      </c>
      <c r="G18" s="1256" t="s">
        <v>1019</v>
      </c>
      <c r="H18" s="1256" t="s">
        <v>1019</v>
      </c>
      <c r="I18" t="s">
        <v>859</v>
      </c>
    </row>
    <row r="19" spans="1:9">
      <c r="A19">
        <v>16</v>
      </c>
      <c r="B19" t="s">
        <v>657</v>
      </c>
      <c r="C19" s="1257"/>
      <c r="D19" s="1258">
        <v>212.6</v>
      </c>
      <c r="E19" s="1258">
        <v>210.3</v>
      </c>
      <c r="F19" s="1258">
        <v>207.9</v>
      </c>
      <c r="G19" s="1258">
        <v>205.5</v>
      </c>
      <c r="H19" s="1258">
        <v>204.2</v>
      </c>
      <c r="I19" t="s">
        <v>859</v>
      </c>
    </row>
    <row r="20" spans="1:9">
      <c r="A20">
        <v>17</v>
      </c>
      <c r="B20" t="s">
        <v>181</v>
      </c>
      <c r="C20" s="1254"/>
      <c r="D20" s="1255">
        <v>207</v>
      </c>
      <c r="E20" s="1255">
        <v>193.9</v>
      </c>
      <c r="F20" s="1255">
        <v>181.6</v>
      </c>
      <c r="G20" s="1255">
        <v>170.1</v>
      </c>
      <c r="H20" s="1255">
        <v>160.19999999999999</v>
      </c>
      <c r="I20" t="s">
        <v>859</v>
      </c>
    </row>
    <row r="21" spans="1:9">
      <c r="A21">
        <v>18</v>
      </c>
      <c r="B21" t="s">
        <v>366</v>
      </c>
      <c r="C21" s="1254"/>
      <c r="D21" s="1255"/>
      <c r="E21" s="1255"/>
      <c r="F21" s="1255"/>
      <c r="G21" s="1255"/>
      <c r="H21" s="1255">
        <v>94.8</v>
      </c>
    </row>
    <row r="22" spans="1:9">
      <c r="A22">
        <v>19</v>
      </c>
      <c r="B22" s="493" t="s">
        <v>182</v>
      </c>
      <c r="C22" s="1254"/>
      <c r="D22" s="1255"/>
      <c r="E22" s="1255"/>
      <c r="F22" s="1255"/>
      <c r="G22" s="1255"/>
      <c r="H22" s="1258">
        <v>1007.6</v>
      </c>
    </row>
    <row r="23" spans="1:9">
      <c r="A23" s="485" t="s">
        <v>781</v>
      </c>
      <c r="D23" s="177"/>
      <c r="E23" s="177"/>
      <c r="F23" s="177"/>
      <c r="G23" s="177"/>
      <c r="H23" s="177"/>
    </row>
    <row r="24" spans="1:9">
      <c r="A24">
        <v>20</v>
      </c>
      <c r="B24" t="s">
        <v>438</v>
      </c>
      <c r="C24" s="1254"/>
      <c r="D24" s="1259">
        <v>1</v>
      </c>
      <c r="E24" s="1259">
        <v>1.0109999999999999</v>
      </c>
      <c r="F24" s="1259">
        <v>1.0129999999999999</v>
      </c>
      <c r="G24" s="1259">
        <v>1.022</v>
      </c>
      <c r="H24" s="1259">
        <v>1.024</v>
      </c>
      <c r="I24" t="s">
        <v>859</v>
      </c>
    </row>
    <row r="25" spans="1:9">
      <c r="A25">
        <v>21</v>
      </c>
      <c r="B25" t="s">
        <v>439</v>
      </c>
      <c r="C25" s="1254"/>
      <c r="D25" s="1259">
        <v>0.97299999999999998</v>
      </c>
      <c r="E25" s="1259">
        <v>0.93200000000000005</v>
      </c>
      <c r="F25" s="1259">
        <v>0.88500000000000001</v>
      </c>
      <c r="G25" s="1259">
        <v>0.84599999999999997</v>
      </c>
      <c r="H25" s="1259">
        <v>0.80300000000000005</v>
      </c>
      <c r="I25" t="s">
        <v>859</v>
      </c>
    </row>
    <row r="26" spans="1:9">
      <c r="A26">
        <v>22</v>
      </c>
      <c r="B26" t="s">
        <v>440</v>
      </c>
      <c r="C26" s="1254">
        <v>205.2</v>
      </c>
      <c r="D26" s="1255">
        <v>221.2</v>
      </c>
      <c r="E26" s="1255">
        <v>223.6</v>
      </c>
      <c r="F26" s="1255">
        <v>224.1</v>
      </c>
      <c r="G26" s="1255">
        <v>226.1</v>
      </c>
      <c r="H26" s="1255">
        <v>226.5</v>
      </c>
      <c r="I26" t="s">
        <v>859</v>
      </c>
    </row>
    <row r="27" spans="1:9">
      <c r="A27">
        <v>23</v>
      </c>
      <c r="B27" t="s">
        <v>183</v>
      </c>
      <c r="C27" s="1254"/>
      <c r="D27" s="1255">
        <v>5.8</v>
      </c>
      <c r="E27" s="1255">
        <v>5.8</v>
      </c>
      <c r="F27" s="1255">
        <v>5.8</v>
      </c>
      <c r="G27" s="1255">
        <v>5.8</v>
      </c>
      <c r="H27" s="1255">
        <v>5.8</v>
      </c>
      <c r="I27" t="s">
        <v>859</v>
      </c>
    </row>
    <row r="28" spans="1:9">
      <c r="A28">
        <v>24</v>
      </c>
      <c r="B28" t="s">
        <v>360</v>
      </c>
      <c r="C28" s="1254"/>
      <c r="D28" s="1255">
        <v>227</v>
      </c>
      <c r="E28" s="1255">
        <v>229.4</v>
      </c>
      <c r="F28" s="1255">
        <v>229.9</v>
      </c>
      <c r="G28" s="1255">
        <v>231.9</v>
      </c>
      <c r="H28" s="1255">
        <v>232.3</v>
      </c>
      <c r="I28" t="s">
        <v>859</v>
      </c>
    </row>
    <row r="29" spans="1:9">
      <c r="A29">
        <v>25</v>
      </c>
      <c r="B29" t="s">
        <v>184</v>
      </c>
      <c r="C29" s="1254"/>
      <c r="D29" s="1255">
        <v>221</v>
      </c>
      <c r="E29" s="1255">
        <v>211.6</v>
      </c>
      <c r="F29" s="1255">
        <v>200.9</v>
      </c>
      <c r="G29" s="1255">
        <v>192</v>
      </c>
      <c r="H29" s="1255">
        <v>182.2</v>
      </c>
      <c r="I29" t="s">
        <v>859</v>
      </c>
    </row>
    <row r="30" spans="1:9">
      <c r="A30">
        <v>26</v>
      </c>
      <c r="B30" t="s">
        <v>182</v>
      </c>
      <c r="C30" s="1254"/>
      <c r="D30" s="1255"/>
      <c r="E30" s="1255"/>
      <c r="F30" s="1255"/>
      <c r="G30" s="1255"/>
      <c r="H30" s="1258">
        <v>1007.6</v>
      </c>
    </row>
    <row r="32" spans="1:9">
      <c r="A32" t="s">
        <v>131</v>
      </c>
    </row>
    <row r="33" spans="1:1">
      <c r="A33" s="499" t="s">
        <v>226</v>
      </c>
    </row>
  </sheetData>
  <phoneticPr fontId="0" type="noConversion"/>
  <hyperlinks>
    <hyperlink ref="A33" r:id="rId1"/>
    <hyperlink ref="J1" location="Inputs!A1" display="Index"/>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1DFFF"/>
  </sheetPr>
  <dimension ref="A1:AE147"/>
  <sheetViews>
    <sheetView zoomScale="80" zoomScaleNormal="80" zoomScalePageLayoutView="80" workbookViewId="0"/>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485" t="s">
        <v>858</v>
      </c>
      <c r="B1" s="485"/>
      <c r="F1" t="s">
        <v>859</v>
      </c>
      <c r="G1" s="241" t="s">
        <v>216</v>
      </c>
      <c r="I1" t="s">
        <v>859</v>
      </c>
      <c r="K1" t="s">
        <v>859</v>
      </c>
      <c r="L1" t="s">
        <v>859</v>
      </c>
      <c r="N1" t="s">
        <v>859</v>
      </c>
      <c r="P1" t="s">
        <v>859</v>
      </c>
      <c r="Q1" t="s">
        <v>859</v>
      </c>
      <c r="S1" t="s">
        <v>859</v>
      </c>
      <c r="U1" t="s">
        <v>859</v>
      </c>
      <c r="V1" t="s">
        <v>859</v>
      </c>
      <c r="X1" t="s">
        <v>859</v>
      </c>
      <c r="Z1" t="s">
        <v>859</v>
      </c>
      <c r="AA1" t="s">
        <v>859</v>
      </c>
      <c r="AC1" t="s">
        <v>859</v>
      </c>
      <c r="AE1" t="s">
        <v>859</v>
      </c>
    </row>
    <row r="2" spans="1:31">
      <c r="A2" s="485"/>
      <c r="B2" s="485"/>
    </row>
    <row r="3" spans="1:31">
      <c r="A3" s="485" t="s">
        <v>692</v>
      </c>
      <c r="B3" s="485"/>
    </row>
    <row r="4" spans="1:31">
      <c r="A4" s="485"/>
      <c r="B4" s="485"/>
    </row>
    <row r="5" spans="1:31">
      <c r="A5" s="485"/>
      <c r="B5" s="485" t="s">
        <v>693</v>
      </c>
    </row>
    <row r="6" spans="1:31" ht="13.5" thickBot="1"/>
    <row r="7" spans="1:31" ht="13.5" customHeight="1" thickBot="1">
      <c r="B7" s="1890" t="s">
        <v>641</v>
      </c>
      <c r="C7" s="1891"/>
      <c r="D7" s="1891"/>
      <c r="E7" s="1892"/>
      <c r="F7" s="1887" t="s">
        <v>694</v>
      </c>
      <c r="G7" s="1884" t="s">
        <v>32</v>
      </c>
      <c r="H7" s="1884"/>
      <c r="I7" s="1884"/>
      <c r="J7" s="1884"/>
      <c r="K7" s="1885"/>
      <c r="L7" s="1884" t="s">
        <v>33</v>
      </c>
      <c r="M7" s="1884"/>
      <c r="N7" s="1884"/>
      <c r="O7" s="1884"/>
      <c r="P7" s="1885"/>
      <c r="Q7" s="1883" t="s">
        <v>29</v>
      </c>
      <c r="R7" s="1884"/>
      <c r="S7" s="1884"/>
      <c r="T7" s="1884"/>
      <c r="U7" s="1885"/>
      <c r="V7" s="1883" t="s">
        <v>34</v>
      </c>
      <c r="W7" s="1884"/>
      <c r="X7" s="1884"/>
      <c r="Y7" s="1884"/>
      <c r="Z7" s="1885"/>
      <c r="AA7" s="1883" t="s">
        <v>35</v>
      </c>
      <c r="AB7" s="1884"/>
      <c r="AC7" s="1884"/>
      <c r="AD7" s="1884"/>
      <c r="AE7" s="1885"/>
    </row>
    <row r="8" spans="1:31" ht="38.25">
      <c r="B8" s="1881"/>
      <c r="C8" s="1886"/>
      <c r="D8" s="1886"/>
      <c r="E8" s="1882"/>
      <c r="F8" s="1888"/>
      <c r="G8" s="1886" t="s">
        <v>861</v>
      </c>
      <c r="H8" s="1886"/>
      <c r="I8" s="1881" t="s">
        <v>698</v>
      </c>
      <c r="J8" s="1886"/>
      <c r="K8" s="244" t="s">
        <v>699</v>
      </c>
      <c r="L8" s="1886" t="s">
        <v>861</v>
      </c>
      <c r="M8" s="1886"/>
      <c r="N8" s="1881" t="s">
        <v>698</v>
      </c>
      <c r="O8" s="1882"/>
      <c r="P8" s="245" t="s">
        <v>699</v>
      </c>
      <c r="Q8" s="1886" t="s">
        <v>861</v>
      </c>
      <c r="R8" s="1886"/>
      <c r="S8" s="1881" t="s">
        <v>698</v>
      </c>
      <c r="T8" s="1886"/>
      <c r="U8" s="244" t="s">
        <v>699</v>
      </c>
      <c r="V8" s="1886" t="s">
        <v>861</v>
      </c>
      <c r="W8" s="1886"/>
      <c r="X8" s="1881" t="s">
        <v>698</v>
      </c>
      <c r="Y8" s="1882"/>
      <c r="Z8" s="245" t="s">
        <v>699</v>
      </c>
      <c r="AA8" s="1886" t="s">
        <v>861</v>
      </c>
      <c r="AB8" s="1886"/>
      <c r="AC8" s="1881" t="s">
        <v>698</v>
      </c>
      <c r="AD8" s="1882"/>
      <c r="AE8" s="245" t="s">
        <v>546</v>
      </c>
    </row>
    <row r="9" spans="1:31" ht="16.5" customHeight="1" thickBot="1">
      <c r="B9" s="1893"/>
      <c r="C9" s="1894"/>
      <c r="D9" s="1894"/>
      <c r="E9" s="1895"/>
      <c r="F9" s="1889"/>
      <c r="G9" s="500" t="s">
        <v>547</v>
      </c>
      <c r="H9" s="501" t="s">
        <v>548</v>
      </c>
      <c r="I9" s="502" t="s">
        <v>547</v>
      </c>
      <c r="J9" s="503" t="s">
        <v>548</v>
      </c>
      <c r="K9" s="504" t="s">
        <v>32</v>
      </c>
      <c r="L9" s="500" t="s">
        <v>547</v>
      </c>
      <c r="M9" s="501" t="s">
        <v>548</v>
      </c>
      <c r="N9" s="502" t="s">
        <v>547</v>
      </c>
      <c r="O9" s="505" t="s">
        <v>548</v>
      </c>
      <c r="P9" s="506" t="s">
        <v>33</v>
      </c>
      <c r="Q9" s="500" t="s">
        <v>547</v>
      </c>
      <c r="R9" s="501" t="s">
        <v>548</v>
      </c>
      <c r="S9" s="502" t="s">
        <v>547</v>
      </c>
      <c r="T9" s="503" t="s">
        <v>548</v>
      </c>
      <c r="U9" s="504" t="s">
        <v>29</v>
      </c>
      <c r="V9" s="500" t="s">
        <v>547</v>
      </c>
      <c r="W9" s="501" t="s">
        <v>548</v>
      </c>
      <c r="X9" s="502" t="s">
        <v>547</v>
      </c>
      <c r="Y9" s="505" t="s">
        <v>548</v>
      </c>
      <c r="Z9" s="506" t="s">
        <v>34</v>
      </c>
      <c r="AA9" s="500" t="s">
        <v>547</v>
      </c>
      <c r="AB9" s="501" t="s">
        <v>548</v>
      </c>
      <c r="AC9" s="502" t="s">
        <v>547</v>
      </c>
      <c r="AD9" s="505" t="s">
        <v>548</v>
      </c>
      <c r="AE9" s="506" t="s">
        <v>35</v>
      </c>
    </row>
    <row r="10" spans="1:31">
      <c r="B10" s="248"/>
      <c r="C10" s="249" t="s">
        <v>465</v>
      </c>
      <c r="D10" s="249"/>
      <c r="E10" s="250"/>
      <c r="F10" s="251"/>
      <c r="G10" s="252"/>
      <c r="H10" s="253"/>
      <c r="I10" s="252"/>
      <c r="J10" s="254"/>
      <c r="K10" s="251"/>
      <c r="L10" s="252"/>
      <c r="M10" s="253"/>
      <c r="N10" s="252"/>
      <c r="O10" s="254"/>
      <c r="P10" s="251"/>
      <c r="Q10" s="252"/>
      <c r="R10" s="253"/>
      <c r="S10" s="252"/>
      <c r="T10" s="254"/>
      <c r="U10" s="251"/>
      <c r="V10" s="252"/>
      <c r="W10" s="253"/>
      <c r="X10" s="252"/>
      <c r="Y10" s="253"/>
      <c r="Z10" s="251"/>
      <c r="AA10" s="252"/>
      <c r="AB10" s="253"/>
      <c r="AC10" s="252"/>
      <c r="AD10" s="253"/>
      <c r="AE10" s="251"/>
    </row>
    <row r="11" spans="1:31">
      <c r="B11" s="248"/>
      <c r="C11" s="250"/>
      <c r="D11" s="255" t="s">
        <v>584</v>
      </c>
      <c r="E11" s="250"/>
      <c r="F11" s="256"/>
      <c r="G11" s="257"/>
      <c r="H11" s="258"/>
      <c r="I11" s="257"/>
      <c r="J11" s="259"/>
      <c r="K11" s="256"/>
      <c r="L11" s="257"/>
      <c r="M11" s="258"/>
      <c r="N11" s="257"/>
      <c r="O11" s="259"/>
      <c r="P11" s="256"/>
      <c r="Q11" s="257"/>
      <c r="R11" s="258"/>
      <c r="S11" s="257"/>
      <c r="T11" s="259"/>
      <c r="U11" s="260"/>
      <c r="V11" s="257"/>
      <c r="W11" s="258"/>
      <c r="X11" s="257"/>
      <c r="Y11" s="258"/>
      <c r="Z11" s="256"/>
      <c r="AA11" s="257"/>
      <c r="AB11" s="258"/>
      <c r="AC11" s="257"/>
      <c r="AD11" s="258"/>
      <c r="AE11" s="256"/>
    </row>
    <row r="12" spans="1:31">
      <c r="B12" s="261"/>
      <c r="C12" s="250"/>
      <c r="D12" s="250"/>
      <c r="E12" s="250" t="s">
        <v>466</v>
      </c>
      <c r="F12" s="262">
        <v>2354.5645372041154</v>
      </c>
      <c r="G12" s="263">
        <v>0</v>
      </c>
      <c r="H12" s="264">
        <v>9</v>
      </c>
      <c r="I12" s="263">
        <v>1.794</v>
      </c>
      <c r="J12" s="264">
        <v>8.7759999999999998</v>
      </c>
      <c r="K12" s="262">
        <v>2356.1345372041155</v>
      </c>
      <c r="L12" s="263">
        <v>0</v>
      </c>
      <c r="M12" s="264">
        <v>27</v>
      </c>
      <c r="N12" s="263">
        <v>0.71499999999999997</v>
      </c>
      <c r="O12" s="264">
        <v>0</v>
      </c>
      <c r="P12" s="262">
        <v>2329.8495372041157</v>
      </c>
      <c r="Q12" s="263">
        <v>0</v>
      </c>
      <c r="R12" s="264">
        <v>18</v>
      </c>
      <c r="S12" s="263">
        <v>0</v>
      </c>
      <c r="T12" s="264">
        <v>13</v>
      </c>
      <c r="U12" s="265">
        <v>2324.8495372041157</v>
      </c>
      <c r="V12" s="263">
        <v>0</v>
      </c>
      <c r="W12" s="264">
        <v>85.324719847205969</v>
      </c>
      <c r="X12" s="263">
        <v>0.48</v>
      </c>
      <c r="Y12" s="264">
        <v>43.995182643090388</v>
      </c>
      <c r="Z12" s="262">
        <v>2284</v>
      </c>
      <c r="AA12" s="263">
        <v>0</v>
      </c>
      <c r="AB12" s="264">
        <v>41.947929483602621</v>
      </c>
      <c r="AC12" s="263">
        <v>0.46800000000000003</v>
      </c>
      <c r="AD12" s="264">
        <v>27.392517406770956</v>
      </c>
      <c r="AE12" s="262">
        <v>2269.9125879231683</v>
      </c>
    </row>
    <row r="13" spans="1:31">
      <c r="B13" s="261"/>
      <c r="C13" s="250"/>
      <c r="D13" s="250"/>
      <c r="E13" s="250" t="s">
        <v>467</v>
      </c>
      <c r="F13" s="262">
        <v>99289.390225289055</v>
      </c>
      <c r="G13" s="263">
        <v>0</v>
      </c>
      <c r="H13" s="264">
        <v>705</v>
      </c>
      <c r="I13" s="263">
        <v>8</v>
      </c>
      <c r="J13" s="266">
        <v>392</v>
      </c>
      <c r="K13" s="262">
        <v>98984.390225289055</v>
      </c>
      <c r="L13" s="263">
        <v>0</v>
      </c>
      <c r="M13" s="264">
        <v>0</v>
      </c>
      <c r="N13" s="263">
        <v>0</v>
      </c>
      <c r="O13" s="266">
        <v>0</v>
      </c>
      <c r="P13" s="262">
        <v>98984.390225289055</v>
      </c>
      <c r="Q13" s="263">
        <v>0</v>
      </c>
      <c r="R13" s="264">
        <v>0</v>
      </c>
      <c r="S13" s="263">
        <v>0</v>
      </c>
      <c r="T13" s="266">
        <v>0</v>
      </c>
      <c r="U13" s="265">
        <v>98984.390225289055</v>
      </c>
      <c r="V13" s="263">
        <v>0</v>
      </c>
      <c r="W13" s="264">
        <v>2693.8522252890562</v>
      </c>
      <c r="X13" s="263">
        <v>1</v>
      </c>
      <c r="Y13" s="264">
        <v>2406.462</v>
      </c>
      <c r="Z13" s="262">
        <v>98698</v>
      </c>
      <c r="AA13" s="263">
        <v>0</v>
      </c>
      <c r="AB13" s="264">
        <v>1376.7634505781118</v>
      </c>
      <c r="AC13" s="263">
        <v>3.2000000000000001E-2</v>
      </c>
      <c r="AD13" s="264">
        <v>1024.6436666666666</v>
      </c>
      <c r="AE13" s="262">
        <v>98345.912216088545</v>
      </c>
    </row>
    <row r="14" spans="1:31">
      <c r="B14" s="261"/>
      <c r="C14" s="250"/>
      <c r="D14" s="250"/>
      <c r="E14" s="250"/>
      <c r="F14" s="267"/>
      <c r="G14" s="268"/>
      <c r="H14" s="269"/>
      <c r="I14" s="268"/>
      <c r="J14" s="270"/>
      <c r="K14" s="267"/>
      <c r="L14" s="268"/>
      <c r="M14" s="269"/>
      <c r="N14" s="268"/>
      <c r="O14" s="270"/>
      <c r="P14" s="267"/>
      <c r="Q14" s="268"/>
      <c r="R14" s="269"/>
      <c r="S14" s="268"/>
      <c r="T14" s="270"/>
      <c r="U14" s="271"/>
      <c r="V14" s="268"/>
      <c r="W14" s="269"/>
      <c r="X14" s="268"/>
      <c r="Y14" s="269"/>
      <c r="Z14" s="267"/>
      <c r="AA14" s="268"/>
      <c r="AB14" s="269"/>
      <c r="AC14" s="268"/>
      <c r="AD14" s="269"/>
      <c r="AE14" s="267"/>
    </row>
    <row r="15" spans="1:31">
      <c r="B15" s="261"/>
      <c r="C15" s="250"/>
      <c r="D15" s="255" t="s">
        <v>745</v>
      </c>
      <c r="E15" s="250"/>
      <c r="F15" s="267"/>
      <c r="G15" s="268"/>
      <c r="H15" s="269"/>
      <c r="I15" s="268"/>
      <c r="J15" s="270"/>
      <c r="K15" s="267"/>
      <c r="L15" s="268"/>
      <c r="M15" s="269"/>
      <c r="N15" s="268"/>
      <c r="O15" s="270"/>
      <c r="P15" s="267"/>
      <c r="Q15" s="268"/>
      <c r="R15" s="269"/>
      <c r="S15" s="268"/>
      <c r="T15" s="270"/>
      <c r="U15" s="271"/>
      <c r="V15" s="268"/>
      <c r="W15" s="269"/>
      <c r="X15" s="268"/>
      <c r="Y15" s="269"/>
      <c r="Z15" s="267"/>
      <c r="AA15" s="268"/>
      <c r="AB15" s="269"/>
      <c r="AC15" s="268"/>
      <c r="AD15" s="269"/>
      <c r="AE15" s="267"/>
    </row>
    <row r="16" spans="1:31">
      <c r="B16" s="261"/>
      <c r="C16" s="250"/>
      <c r="D16" s="250"/>
      <c r="E16" s="250" t="s">
        <v>746</v>
      </c>
      <c r="F16" s="262">
        <v>60371.75</v>
      </c>
      <c r="G16" s="263">
        <v>0</v>
      </c>
      <c r="H16" s="264">
        <v>39</v>
      </c>
      <c r="I16" s="263">
        <v>18</v>
      </c>
      <c r="J16" s="266">
        <v>39</v>
      </c>
      <c r="K16" s="262">
        <v>60389.75</v>
      </c>
      <c r="L16" s="263">
        <v>0</v>
      </c>
      <c r="M16" s="264">
        <v>29</v>
      </c>
      <c r="N16" s="263">
        <v>178</v>
      </c>
      <c r="O16" s="266">
        <v>0</v>
      </c>
      <c r="P16" s="262">
        <v>60538.75</v>
      </c>
      <c r="Q16" s="263">
        <v>0</v>
      </c>
      <c r="R16" s="264">
        <v>528</v>
      </c>
      <c r="S16" s="263">
        <v>0</v>
      </c>
      <c r="T16" s="266">
        <v>359</v>
      </c>
      <c r="U16" s="265">
        <v>60369.75</v>
      </c>
      <c r="V16" s="263">
        <v>0</v>
      </c>
      <c r="W16" s="264">
        <v>2708.68</v>
      </c>
      <c r="X16" s="263">
        <v>0</v>
      </c>
      <c r="Y16" s="264">
        <v>2702.68</v>
      </c>
      <c r="Z16" s="262">
        <v>60363.75</v>
      </c>
      <c r="AA16" s="263">
        <v>0</v>
      </c>
      <c r="AB16" s="264">
        <v>1150.3308569948058</v>
      </c>
      <c r="AC16" s="263">
        <v>0</v>
      </c>
      <c r="AD16" s="264">
        <v>1252.9608602038074</v>
      </c>
      <c r="AE16" s="262">
        <v>60466.380003209</v>
      </c>
    </row>
    <row r="17" spans="2:31">
      <c r="B17" s="261"/>
      <c r="C17" s="250"/>
      <c r="D17" s="250"/>
      <c r="E17" s="250"/>
      <c r="F17" s="267"/>
      <c r="G17" s="268"/>
      <c r="H17" s="269"/>
      <c r="I17" s="268"/>
      <c r="J17" s="270"/>
      <c r="K17" s="267"/>
      <c r="L17" s="268"/>
      <c r="M17" s="269"/>
      <c r="N17" s="268"/>
      <c r="O17" s="270"/>
      <c r="P17" s="267"/>
      <c r="Q17" s="268"/>
      <c r="R17" s="269"/>
      <c r="S17" s="268"/>
      <c r="T17" s="270"/>
      <c r="U17" s="271"/>
      <c r="V17" s="268"/>
      <c r="W17" s="269"/>
      <c r="X17" s="268"/>
      <c r="Y17" s="269"/>
      <c r="Z17" s="267"/>
      <c r="AA17" s="268"/>
      <c r="AB17" s="269"/>
      <c r="AC17" s="268"/>
      <c r="AD17" s="269"/>
      <c r="AE17" s="267"/>
    </row>
    <row r="18" spans="2:31">
      <c r="B18" s="261"/>
      <c r="C18" s="250"/>
      <c r="D18" s="255" t="s">
        <v>878</v>
      </c>
      <c r="E18" s="250"/>
      <c r="F18" s="267"/>
      <c r="G18" s="268"/>
      <c r="H18" s="269"/>
      <c r="I18" s="268"/>
      <c r="J18" s="270"/>
      <c r="K18" s="267"/>
      <c r="L18" s="268"/>
      <c r="M18" s="269"/>
      <c r="N18" s="268"/>
      <c r="O18" s="270"/>
      <c r="P18" s="267"/>
      <c r="Q18" s="268"/>
      <c r="R18" s="269"/>
      <c r="S18" s="268"/>
      <c r="T18" s="270"/>
      <c r="U18" s="271"/>
      <c r="V18" s="268"/>
      <c r="W18" s="269"/>
      <c r="X18" s="268"/>
      <c r="Y18" s="269"/>
      <c r="Z18" s="267"/>
      <c r="AA18" s="268"/>
      <c r="AB18" s="269"/>
      <c r="AC18" s="268"/>
      <c r="AD18" s="269"/>
      <c r="AE18" s="267"/>
    </row>
    <row r="19" spans="2:31">
      <c r="B19" s="261"/>
      <c r="C19" s="250"/>
      <c r="D19" s="255"/>
      <c r="E19" s="250" t="s">
        <v>773</v>
      </c>
      <c r="F19" s="262">
        <v>4727.8075599589647</v>
      </c>
      <c r="G19" s="263">
        <v>0</v>
      </c>
      <c r="H19" s="264">
        <v>17.791543310266785</v>
      </c>
      <c r="I19" s="263">
        <v>0</v>
      </c>
      <c r="J19" s="266">
        <v>0</v>
      </c>
      <c r="K19" s="262">
        <v>4710.0160166486976</v>
      </c>
      <c r="L19" s="263">
        <v>0</v>
      </c>
      <c r="M19" s="264">
        <v>28.154379185746794</v>
      </c>
      <c r="N19" s="263">
        <v>0</v>
      </c>
      <c r="O19" s="266">
        <v>0</v>
      </c>
      <c r="P19" s="262">
        <v>4681.861637462951</v>
      </c>
      <c r="Q19" s="263">
        <v>0</v>
      </c>
      <c r="R19" s="264">
        <v>7.6009464171068011</v>
      </c>
      <c r="S19" s="263">
        <v>0</v>
      </c>
      <c r="T19" s="266">
        <v>0</v>
      </c>
      <c r="U19" s="265">
        <v>4674.2606910458444</v>
      </c>
      <c r="V19" s="263">
        <v>0</v>
      </c>
      <c r="W19" s="264">
        <v>25.26069104584419</v>
      </c>
      <c r="X19" s="263">
        <v>0</v>
      </c>
      <c r="Y19" s="264">
        <v>0</v>
      </c>
      <c r="Z19" s="262">
        <v>4649</v>
      </c>
      <c r="AA19" s="263">
        <v>0</v>
      </c>
      <c r="AB19" s="264">
        <v>36.173098579662422</v>
      </c>
      <c r="AC19" s="263">
        <v>0</v>
      </c>
      <c r="AD19" s="264">
        <v>0</v>
      </c>
      <c r="AE19" s="262">
        <v>4612.8269014203379</v>
      </c>
    </row>
    <row r="20" spans="2:31">
      <c r="B20" s="261"/>
      <c r="C20" s="250"/>
      <c r="D20" s="255"/>
      <c r="E20" s="250" t="s">
        <v>634</v>
      </c>
      <c r="F20" s="262">
        <v>4022.4958378132133</v>
      </c>
      <c r="G20" s="263">
        <v>0</v>
      </c>
      <c r="H20" s="264">
        <v>0</v>
      </c>
      <c r="I20" s="263">
        <v>2.9239999999999999</v>
      </c>
      <c r="J20" s="266">
        <v>60.159019485664224</v>
      </c>
      <c r="K20" s="262">
        <v>4085.5788572988777</v>
      </c>
      <c r="L20" s="263">
        <v>0</v>
      </c>
      <c r="M20" s="264">
        <v>0</v>
      </c>
      <c r="N20" s="263">
        <v>2.4159999999999999</v>
      </c>
      <c r="O20" s="266">
        <v>86.588143594849896</v>
      </c>
      <c r="P20" s="262">
        <v>4174.5830008937273</v>
      </c>
      <c r="Q20" s="263">
        <v>0</v>
      </c>
      <c r="R20" s="264">
        <v>0</v>
      </c>
      <c r="S20" s="263">
        <v>17</v>
      </c>
      <c r="T20" s="266">
        <v>82.839527566492634</v>
      </c>
      <c r="U20" s="265">
        <v>4274.4225284602198</v>
      </c>
      <c r="V20" s="263">
        <v>0</v>
      </c>
      <c r="W20" s="264">
        <v>6.1178571428683881E-3</v>
      </c>
      <c r="X20" s="263">
        <v>9.382128278705089</v>
      </c>
      <c r="Y20" s="264">
        <v>93.20146111821812</v>
      </c>
      <c r="Z20" s="262">
        <v>4377</v>
      </c>
      <c r="AA20" s="263">
        <v>0</v>
      </c>
      <c r="AB20" s="264">
        <v>6.1178571428683881E-3</v>
      </c>
      <c r="AC20" s="263">
        <v>0.61</v>
      </c>
      <c r="AD20" s="264">
        <v>105.65311526303276</v>
      </c>
      <c r="AE20" s="262">
        <v>4483.2569974058897</v>
      </c>
    </row>
    <row r="21" spans="2:31">
      <c r="B21" s="261"/>
      <c r="C21" s="250"/>
      <c r="D21" s="255"/>
      <c r="E21" s="250" t="s">
        <v>635</v>
      </c>
      <c r="F21" s="262">
        <v>19566.731821733883</v>
      </c>
      <c r="G21" s="263">
        <v>0</v>
      </c>
      <c r="H21" s="264">
        <v>42.663476175397435</v>
      </c>
      <c r="I21" s="263">
        <v>0</v>
      </c>
      <c r="J21" s="266">
        <v>0</v>
      </c>
      <c r="K21" s="262">
        <v>19524.068345558488</v>
      </c>
      <c r="L21" s="263">
        <v>0</v>
      </c>
      <c r="M21" s="264">
        <v>64.750764409103112</v>
      </c>
      <c r="N21" s="263">
        <v>0</v>
      </c>
      <c r="O21" s="266">
        <v>0</v>
      </c>
      <c r="P21" s="262">
        <v>19459.317581149386</v>
      </c>
      <c r="Q21" s="263">
        <v>0</v>
      </c>
      <c r="R21" s="264">
        <v>35.43858114938584</v>
      </c>
      <c r="S21" s="263">
        <v>0</v>
      </c>
      <c r="T21" s="266">
        <v>0</v>
      </c>
      <c r="U21" s="265">
        <v>19423.879000000001</v>
      </c>
      <c r="V21" s="263">
        <v>0</v>
      </c>
      <c r="W21" s="264">
        <v>55.879000000000005</v>
      </c>
      <c r="X21" s="263">
        <v>0</v>
      </c>
      <c r="Y21" s="264">
        <v>0</v>
      </c>
      <c r="Z21" s="262">
        <v>19368</v>
      </c>
      <c r="AA21" s="263">
        <v>0</v>
      </c>
      <c r="AB21" s="264">
        <v>52.995000000000005</v>
      </c>
      <c r="AC21" s="263">
        <v>0</v>
      </c>
      <c r="AD21" s="264">
        <v>0</v>
      </c>
      <c r="AE21" s="262">
        <v>19315.005000000001</v>
      </c>
    </row>
    <row r="22" spans="2:31">
      <c r="B22" s="261"/>
      <c r="C22" s="250"/>
      <c r="D22" s="255"/>
      <c r="E22" s="250" t="s">
        <v>636</v>
      </c>
      <c r="F22" s="262">
        <v>2353878.8150429553</v>
      </c>
      <c r="G22" s="263">
        <v>0</v>
      </c>
      <c r="H22" s="264">
        <v>0</v>
      </c>
      <c r="I22" s="263">
        <v>17</v>
      </c>
      <c r="J22" s="266">
        <v>480</v>
      </c>
      <c r="K22" s="262">
        <v>2354375.8150429553</v>
      </c>
      <c r="L22" s="263">
        <v>0</v>
      </c>
      <c r="M22" s="264">
        <v>3000</v>
      </c>
      <c r="N22" s="263">
        <v>0</v>
      </c>
      <c r="O22" s="266">
        <v>0</v>
      </c>
      <c r="P22" s="262">
        <v>2351375.8150429553</v>
      </c>
      <c r="Q22" s="263">
        <v>0</v>
      </c>
      <c r="R22" s="264">
        <v>0</v>
      </c>
      <c r="S22" s="263">
        <v>0</v>
      </c>
      <c r="T22" s="266">
        <v>0</v>
      </c>
      <c r="U22" s="265">
        <v>2351375.8150429553</v>
      </c>
      <c r="V22" s="263">
        <v>0</v>
      </c>
      <c r="W22" s="264">
        <v>10</v>
      </c>
      <c r="X22" s="263">
        <v>8</v>
      </c>
      <c r="Y22" s="264">
        <v>1272.184957044672</v>
      </c>
      <c r="Z22" s="262">
        <v>2352646</v>
      </c>
      <c r="AA22" s="263">
        <v>0</v>
      </c>
      <c r="AB22" s="264">
        <v>1584</v>
      </c>
      <c r="AC22" s="263">
        <v>0.22900000000000001</v>
      </c>
      <c r="AD22" s="264">
        <v>996.4000290576729</v>
      </c>
      <c r="AE22" s="262">
        <v>2352058.6290290575</v>
      </c>
    </row>
    <row r="23" spans="2:31">
      <c r="B23" s="261"/>
      <c r="C23" s="250"/>
      <c r="D23" s="250"/>
      <c r="E23" s="250"/>
      <c r="F23" s="267"/>
      <c r="G23" s="268"/>
      <c r="H23" s="269"/>
      <c r="I23" s="268"/>
      <c r="J23" s="270"/>
      <c r="K23" s="267"/>
      <c r="L23" s="268"/>
      <c r="M23" s="269"/>
      <c r="N23" s="268"/>
      <c r="O23" s="270"/>
      <c r="P23" s="267"/>
      <c r="Q23" s="268"/>
      <c r="R23" s="269"/>
      <c r="S23" s="268"/>
      <c r="T23" s="270"/>
      <c r="U23" s="271"/>
      <c r="V23" s="268"/>
      <c r="W23" s="269"/>
      <c r="X23" s="268"/>
      <c r="Y23" s="269"/>
      <c r="Z23" s="267"/>
      <c r="AA23" s="268"/>
      <c r="AB23" s="269"/>
      <c r="AC23" s="268"/>
      <c r="AD23" s="269"/>
      <c r="AE23" s="267"/>
    </row>
    <row r="24" spans="2:31">
      <c r="B24" s="261"/>
      <c r="C24" s="250"/>
      <c r="D24" s="255" t="s">
        <v>637</v>
      </c>
      <c r="E24" s="250"/>
      <c r="F24" s="267"/>
      <c r="G24" s="268"/>
      <c r="H24" s="269"/>
      <c r="I24" s="268"/>
      <c r="J24" s="270"/>
      <c r="K24" s="267"/>
      <c r="L24" s="268"/>
      <c r="M24" s="269"/>
      <c r="N24" s="268"/>
      <c r="O24" s="270"/>
      <c r="P24" s="267"/>
      <c r="Q24" s="268"/>
      <c r="R24" s="269"/>
      <c r="S24" s="268"/>
      <c r="T24" s="270"/>
      <c r="U24" s="271"/>
      <c r="V24" s="268"/>
      <c r="W24" s="269"/>
      <c r="X24" s="268"/>
      <c r="Y24" s="269"/>
      <c r="Z24" s="267"/>
      <c r="AA24" s="268"/>
      <c r="AB24" s="269"/>
      <c r="AC24" s="268"/>
      <c r="AD24" s="269"/>
      <c r="AE24" s="267"/>
    </row>
    <row r="25" spans="2:31">
      <c r="B25" s="261"/>
      <c r="C25" s="250"/>
      <c r="D25" s="255"/>
      <c r="E25" s="250" t="s">
        <v>638</v>
      </c>
      <c r="F25" s="262">
        <v>3156.67</v>
      </c>
      <c r="G25" s="263">
        <v>0</v>
      </c>
      <c r="H25" s="264">
        <v>64</v>
      </c>
      <c r="I25" s="263">
        <v>0</v>
      </c>
      <c r="J25" s="266">
        <v>9</v>
      </c>
      <c r="K25" s="262">
        <v>3101.67</v>
      </c>
      <c r="L25" s="263">
        <v>0</v>
      </c>
      <c r="M25" s="264">
        <v>16</v>
      </c>
      <c r="N25" s="263">
        <v>0</v>
      </c>
      <c r="O25" s="266">
        <v>0</v>
      </c>
      <c r="P25" s="262">
        <v>3085.67</v>
      </c>
      <c r="Q25" s="263">
        <v>0</v>
      </c>
      <c r="R25" s="264">
        <v>18</v>
      </c>
      <c r="S25" s="263">
        <v>10</v>
      </c>
      <c r="T25" s="266">
        <v>61</v>
      </c>
      <c r="U25" s="265">
        <v>3138.67</v>
      </c>
      <c r="V25" s="263">
        <v>0</v>
      </c>
      <c r="W25" s="264">
        <v>17</v>
      </c>
      <c r="X25" s="263">
        <v>4.0999999999999996</v>
      </c>
      <c r="Y25" s="264">
        <v>66.23</v>
      </c>
      <c r="Z25" s="262">
        <v>3192</v>
      </c>
      <c r="AA25" s="263">
        <v>0</v>
      </c>
      <c r="AB25" s="264">
        <v>10</v>
      </c>
      <c r="AC25" s="263">
        <v>0</v>
      </c>
      <c r="AD25" s="264">
        <v>9</v>
      </c>
      <c r="AE25" s="262">
        <v>3191</v>
      </c>
    </row>
    <row r="26" spans="2:31">
      <c r="B26" s="261"/>
      <c r="C26" s="250"/>
      <c r="D26" s="255"/>
      <c r="E26" s="250" t="s">
        <v>639</v>
      </c>
      <c r="F26" s="262">
        <v>7230.67</v>
      </c>
      <c r="G26" s="263">
        <v>0</v>
      </c>
      <c r="H26" s="264">
        <v>82</v>
      </c>
      <c r="I26" s="263">
        <v>0</v>
      </c>
      <c r="J26" s="266">
        <v>0</v>
      </c>
      <c r="K26" s="262">
        <v>7148.67</v>
      </c>
      <c r="L26" s="263">
        <v>0</v>
      </c>
      <c r="M26" s="264">
        <v>68</v>
      </c>
      <c r="N26" s="263">
        <v>15</v>
      </c>
      <c r="O26" s="266">
        <v>42</v>
      </c>
      <c r="P26" s="262">
        <v>7137.67</v>
      </c>
      <c r="Q26" s="263">
        <v>0</v>
      </c>
      <c r="R26" s="264">
        <v>140</v>
      </c>
      <c r="S26" s="263">
        <v>1</v>
      </c>
      <c r="T26" s="266">
        <v>16</v>
      </c>
      <c r="U26" s="265">
        <v>7014.67</v>
      </c>
      <c r="V26" s="263">
        <v>0</v>
      </c>
      <c r="W26" s="264">
        <v>138</v>
      </c>
      <c r="X26" s="263">
        <v>1.77</v>
      </c>
      <c r="Y26" s="264">
        <v>28.56</v>
      </c>
      <c r="Z26" s="262">
        <v>6907</v>
      </c>
      <c r="AA26" s="263">
        <v>0</v>
      </c>
      <c r="AB26" s="264">
        <v>94</v>
      </c>
      <c r="AC26" s="263">
        <v>0</v>
      </c>
      <c r="AD26" s="264">
        <v>95</v>
      </c>
      <c r="AE26" s="262">
        <v>6908</v>
      </c>
    </row>
    <row r="27" spans="2:31">
      <c r="B27" s="261"/>
      <c r="C27" s="250"/>
      <c r="D27" s="255"/>
      <c r="E27" s="250" t="s">
        <v>758</v>
      </c>
      <c r="F27" s="262">
        <v>6404</v>
      </c>
      <c r="G27" s="263">
        <v>0</v>
      </c>
      <c r="H27" s="264">
        <v>0</v>
      </c>
      <c r="I27" s="263">
        <v>0</v>
      </c>
      <c r="J27" s="266">
        <v>0</v>
      </c>
      <c r="K27" s="262">
        <v>6404</v>
      </c>
      <c r="L27" s="263">
        <v>0</v>
      </c>
      <c r="M27" s="264">
        <v>35</v>
      </c>
      <c r="N27" s="263">
        <v>0</v>
      </c>
      <c r="O27" s="266">
        <v>2</v>
      </c>
      <c r="P27" s="262">
        <v>6371</v>
      </c>
      <c r="Q27" s="263">
        <v>0</v>
      </c>
      <c r="R27" s="264">
        <v>71</v>
      </c>
      <c r="S27" s="263">
        <v>0</v>
      </c>
      <c r="T27" s="266">
        <v>2</v>
      </c>
      <c r="U27" s="265">
        <v>6302</v>
      </c>
      <c r="V27" s="263">
        <v>0</v>
      </c>
      <c r="W27" s="264">
        <v>62</v>
      </c>
      <c r="X27" s="263">
        <v>0</v>
      </c>
      <c r="Y27" s="264">
        <v>0</v>
      </c>
      <c r="Z27" s="262">
        <v>6240</v>
      </c>
      <c r="AA27" s="263">
        <v>0</v>
      </c>
      <c r="AB27" s="264">
        <v>7</v>
      </c>
      <c r="AC27" s="263">
        <v>0</v>
      </c>
      <c r="AD27" s="264">
        <v>4</v>
      </c>
      <c r="AE27" s="262">
        <v>6237</v>
      </c>
    </row>
    <row r="28" spans="2:31">
      <c r="B28" s="261"/>
      <c r="C28" s="250"/>
      <c r="D28" s="255"/>
      <c r="E28" s="250" t="s">
        <v>759</v>
      </c>
      <c r="F28" s="262">
        <v>18976</v>
      </c>
      <c r="G28" s="263">
        <v>0</v>
      </c>
      <c r="H28" s="264">
        <v>40</v>
      </c>
      <c r="I28" s="263">
        <v>2</v>
      </c>
      <c r="J28" s="266">
        <v>46</v>
      </c>
      <c r="K28" s="262">
        <v>18984</v>
      </c>
      <c r="L28" s="263">
        <v>0</v>
      </c>
      <c r="M28" s="264">
        <v>128</v>
      </c>
      <c r="N28" s="263">
        <v>4</v>
      </c>
      <c r="O28" s="266">
        <v>86</v>
      </c>
      <c r="P28" s="262">
        <v>18946</v>
      </c>
      <c r="Q28" s="263">
        <v>0</v>
      </c>
      <c r="R28" s="264">
        <v>322</v>
      </c>
      <c r="S28" s="263">
        <v>29</v>
      </c>
      <c r="T28" s="266">
        <v>323</v>
      </c>
      <c r="U28" s="265">
        <v>18976</v>
      </c>
      <c r="V28" s="263">
        <v>0</v>
      </c>
      <c r="W28" s="264">
        <v>112</v>
      </c>
      <c r="X28" s="263">
        <v>5</v>
      </c>
      <c r="Y28" s="264">
        <v>74</v>
      </c>
      <c r="Z28" s="262">
        <v>18943</v>
      </c>
      <c r="AA28" s="263">
        <v>0</v>
      </c>
      <c r="AB28" s="264">
        <v>150.01866853979703</v>
      </c>
      <c r="AC28" s="263">
        <v>0</v>
      </c>
      <c r="AD28" s="264">
        <v>87.713266812564328</v>
      </c>
      <c r="AE28" s="262">
        <v>18880.694598272767</v>
      </c>
    </row>
    <row r="29" spans="2:31">
      <c r="B29" s="261"/>
      <c r="C29" s="250"/>
      <c r="D29" s="255"/>
      <c r="E29" s="250" t="s">
        <v>41</v>
      </c>
      <c r="F29" s="262">
        <v>20641</v>
      </c>
      <c r="G29" s="263">
        <v>0</v>
      </c>
      <c r="H29" s="264">
        <v>0</v>
      </c>
      <c r="I29" s="263">
        <v>0</v>
      </c>
      <c r="J29" s="266">
        <v>0</v>
      </c>
      <c r="K29" s="262">
        <v>20641</v>
      </c>
      <c r="L29" s="263">
        <v>0</v>
      </c>
      <c r="M29" s="264">
        <v>0</v>
      </c>
      <c r="N29" s="263">
        <v>0</v>
      </c>
      <c r="O29" s="266">
        <v>0</v>
      </c>
      <c r="P29" s="262">
        <v>20641</v>
      </c>
      <c r="Q29" s="263">
        <v>0</v>
      </c>
      <c r="R29" s="264">
        <v>656</v>
      </c>
      <c r="S29" s="263">
        <v>0</v>
      </c>
      <c r="T29" s="266">
        <v>0</v>
      </c>
      <c r="U29" s="265">
        <v>19985</v>
      </c>
      <c r="V29" s="263">
        <v>0</v>
      </c>
      <c r="W29" s="264">
        <v>107</v>
      </c>
      <c r="X29" s="263">
        <v>0</v>
      </c>
      <c r="Y29" s="264">
        <v>0</v>
      </c>
      <c r="Z29" s="262">
        <v>19878</v>
      </c>
      <c r="AA29" s="263">
        <v>0</v>
      </c>
      <c r="AB29" s="264">
        <v>0</v>
      </c>
      <c r="AC29" s="263">
        <v>0</v>
      </c>
      <c r="AD29" s="264">
        <v>0</v>
      </c>
      <c r="AE29" s="262">
        <v>19878</v>
      </c>
    </row>
    <row r="30" spans="2:31">
      <c r="B30" s="261"/>
      <c r="C30" s="250"/>
      <c r="D30" s="255"/>
      <c r="E30" s="250" t="s">
        <v>42</v>
      </c>
      <c r="F30" s="262">
        <v>0</v>
      </c>
      <c r="G30" s="263">
        <v>0</v>
      </c>
      <c r="H30" s="264">
        <v>0</v>
      </c>
      <c r="I30" s="263">
        <v>0</v>
      </c>
      <c r="J30" s="266">
        <v>0</v>
      </c>
      <c r="K30" s="262">
        <v>0</v>
      </c>
      <c r="L30" s="263">
        <v>0</v>
      </c>
      <c r="M30" s="264">
        <v>0</v>
      </c>
      <c r="N30" s="263">
        <v>0</v>
      </c>
      <c r="O30" s="266">
        <v>0</v>
      </c>
      <c r="P30" s="262">
        <v>0</v>
      </c>
      <c r="Q30" s="263">
        <v>0</v>
      </c>
      <c r="R30" s="264">
        <v>0</v>
      </c>
      <c r="S30" s="263">
        <v>0</v>
      </c>
      <c r="T30" s="266">
        <v>0</v>
      </c>
      <c r="U30" s="265">
        <v>0</v>
      </c>
      <c r="V30" s="263">
        <v>0</v>
      </c>
      <c r="W30" s="264">
        <v>0</v>
      </c>
      <c r="X30" s="263">
        <v>0</v>
      </c>
      <c r="Y30" s="264">
        <v>0</v>
      </c>
      <c r="Z30" s="262">
        <v>0</v>
      </c>
      <c r="AA30" s="263">
        <v>0</v>
      </c>
      <c r="AB30" s="264">
        <v>0</v>
      </c>
      <c r="AC30" s="263">
        <v>0</v>
      </c>
      <c r="AD30" s="264">
        <v>0</v>
      </c>
      <c r="AE30" s="262">
        <v>0</v>
      </c>
    </row>
    <row r="31" spans="2:31" ht="13.5" thickBot="1">
      <c r="B31" s="246"/>
      <c r="C31" s="247"/>
      <c r="D31" s="247"/>
      <c r="E31" s="247"/>
      <c r="F31" s="272"/>
      <c r="G31" s="273"/>
      <c r="H31" s="274"/>
      <c r="I31" s="273"/>
      <c r="J31" s="275"/>
      <c r="K31" s="276"/>
      <c r="L31" s="273"/>
      <c r="M31" s="274"/>
      <c r="N31" s="273"/>
      <c r="O31" s="275"/>
      <c r="P31" s="276"/>
      <c r="Q31" s="273"/>
      <c r="R31" s="274"/>
      <c r="S31" s="273"/>
      <c r="T31" s="275"/>
      <c r="U31" s="277"/>
      <c r="V31" s="273"/>
      <c r="W31" s="274"/>
      <c r="X31" s="273"/>
      <c r="Y31" s="274"/>
      <c r="Z31" s="276"/>
      <c r="AA31" s="273"/>
      <c r="AB31" s="274"/>
      <c r="AC31" s="273"/>
      <c r="AD31" s="274"/>
      <c r="AE31" s="276"/>
    </row>
    <row r="32" spans="2:31">
      <c r="B32" s="278"/>
      <c r="C32" s="279" t="s">
        <v>43</v>
      </c>
      <c r="D32" s="279"/>
      <c r="E32" s="280"/>
      <c r="F32" s="267"/>
      <c r="G32" s="268"/>
      <c r="H32" s="269"/>
      <c r="I32" s="268"/>
      <c r="J32" s="270"/>
      <c r="K32" s="267"/>
      <c r="L32" s="268"/>
      <c r="M32" s="269"/>
      <c r="N32" s="268"/>
      <c r="O32" s="270"/>
      <c r="P32" s="267"/>
      <c r="Q32" s="268"/>
      <c r="R32" s="269"/>
      <c r="S32" s="268"/>
      <c r="T32" s="270"/>
      <c r="U32" s="271"/>
      <c r="V32" s="268"/>
      <c r="W32" s="269"/>
      <c r="X32" s="268"/>
      <c r="Y32" s="269"/>
      <c r="Z32" s="267"/>
      <c r="AA32" s="268"/>
      <c r="AB32" s="269"/>
      <c r="AC32" s="268"/>
      <c r="AD32" s="269"/>
      <c r="AE32" s="267"/>
    </row>
    <row r="33" spans="2:31">
      <c r="B33" s="261"/>
      <c r="C33" s="250"/>
      <c r="D33" s="255" t="s">
        <v>584</v>
      </c>
      <c r="E33" s="250"/>
      <c r="F33" s="267"/>
      <c r="G33" s="268"/>
      <c r="H33" s="269"/>
      <c r="I33" s="268"/>
      <c r="J33" s="270"/>
      <c r="K33" s="267"/>
      <c r="L33" s="268"/>
      <c r="M33" s="269"/>
      <c r="N33" s="268"/>
      <c r="O33" s="270"/>
      <c r="P33" s="267"/>
      <c r="Q33" s="268"/>
      <c r="R33" s="269"/>
      <c r="S33" s="268"/>
      <c r="T33" s="270"/>
      <c r="U33" s="271"/>
      <c r="V33" s="268"/>
      <c r="W33" s="269"/>
      <c r="X33" s="268"/>
      <c r="Y33" s="269"/>
      <c r="Z33" s="267"/>
      <c r="AA33" s="268"/>
      <c r="AB33" s="269"/>
      <c r="AC33" s="268"/>
      <c r="AD33" s="269"/>
      <c r="AE33" s="267"/>
    </row>
    <row r="34" spans="2:31">
      <c r="B34" s="261"/>
      <c r="C34" s="250"/>
      <c r="D34" s="255"/>
      <c r="E34" s="250" t="s">
        <v>44</v>
      </c>
      <c r="F34" s="262">
        <v>7824.8160318033397</v>
      </c>
      <c r="G34" s="263">
        <v>0</v>
      </c>
      <c r="H34" s="264">
        <v>8</v>
      </c>
      <c r="I34" s="263">
        <v>2.129</v>
      </c>
      <c r="J34" s="266">
        <v>34.146000000000001</v>
      </c>
      <c r="K34" s="262">
        <v>7853.0910318033393</v>
      </c>
      <c r="L34" s="263">
        <v>0</v>
      </c>
      <c r="M34" s="264">
        <v>80.3</v>
      </c>
      <c r="N34" s="263">
        <v>0.21</v>
      </c>
      <c r="O34" s="266">
        <v>33.735999999999997</v>
      </c>
      <c r="P34" s="262">
        <v>7806.7370318033391</v>
      </c>
      <c r="Q34" s="263">
        <v>0</v>
      </c>
      <c r="R34" s="264">
        <v>34.200000000000003</v>
      </c>
      <c r="S34" s="263">
        <v>0</v>
      </c>
      <c r="T34" s="266">
        <v>19.984999999999999</v>
      </c>
      <c r="U34" s="265">
        <v>7792.5220318033389</v>
      </c>
      <c r="V34" s="263">
        <v>0</v>
      </c>
      <c r="W34" s="264">
        <v>19.152065767974861</v>
      </c>
      <c r="X34" s="263">
        <v>2.3780000000000001</v>
      </c>
      <c r="Y34" s="264">
        <v>7.252033964635574</v>
      </c>
      <c r="Z34" s="262">
        <v>7783</v>
      </c>
      <c r="AA34" s="263">
        <v>0</v>
      </c>
      <c r="AB34" s="264">
        <v>27.194989535949727</v>
      </c>
      <c r="AC34" s="263">
        <v>4.2130000000000001</v>
      </c>
      <c r="AD34" s="264">
        <v>8.8975279292711473</v>
      </c>
      <c r="AE34" s="262">
        <v>7768.9155383933221</v>
      </c>
    </row>
    <row r="35" spans="2:31">
      <c r="B35" s="261"/>
      <c r="C35" s="250"/>
      <c r="D35" s="255"/>
      <c r="E35" s="250" t="s">
        <v>45</v>
      </c>
      <c r="F35" s="262">
        <v>14.526999999999999</v>
      </c>
      <c r="G35" s="263">
        <v>0</v>
      </c>
      <c r="H35" s="264">
        <v>0</v>
      </c>
      <c r="I35" s="263">
        <v>0</v>
      </c>
      <c r="J35" s="266">
        <v>3.1349999999999998</v>
      </c>
      <c r="K35" s="262">
        <v>17.661999999999999</v>
      </c>
      <c r="L35" s="263">
        <v>0</v>
      </c>
      <c r="M35" s="264">
        <v>2.5</v>
      </c>
      <c r="N35" s="263">
        <v>0.30599999999999999</v>
      </c>
      <c r="O35" s="266">
        <v>7.2320000000000002</v>
      </c>
      <c r="P35" s="262">
        <v>22.7</v>
      </c>
      <c r="Q35" s="263">
        <v>0</v>
      </c>
      <c r="R35" s="264">
        <v>0</v>
      </c>
      <c r="S35" s="263">
        <v>0</v>
      </c>
      <c r="T35" s="266">
        <v>4.3</v>
      </c>
      <c r="U35" s="265">
        <v>27</v>
      </c>
      <c r="V35" s="263">
        <v>0</v>
      </c>
      <c r="W35" s="264">
        <v>0</v>
      </c>
      <c r="X35" s="263">
        <v>0</v>
      </c>
      <c r="Y35" s="264">
        <v>0</v>
      </c>
      <c r="Z35" s="262">
        <v>27</v>
      </c>
      <c r="AA35" s="263">
        <v>0</v>
      </c>
      <c r="AB35" s="264">
        <v>0</v>
      </c>
      <c r="AC35" s="263">
        <v>0</v>
      </c>
      <c r="AD35" s="264">
        <v>0</v>
      </c>
      <c r="AE35" s="262">
        <v>27</v>
      </c>
    </row>
    <row r="36" spans="2:31">
      <c r="B36" s="261"/>
      <c r="C36" s="250"/>
      <c r="D36" s="250"/>
      <c r="E36" s="250" t="s">
        <v>46</v>
      </c>
      <c r="F36" s="262">
        <v>0</v>
      </c>
      <c r="G36" s="263">
        <v>0</v>
      </c>
      <c r="H36" s="264">
        <v>0</v>
      </c>
      <c r="I36" s="263">
        <v>0</v>
      </c>
      <c r="J36" s="266">
        <v>0</v>
      </c>
      <c r="K36" s="262">
        <v>0</v>
      </c>
      <c r="L36" s="263">
        <v>0</v>
      </c>
      <c r="M36" s="264">
        <v>0</v>
      </c>
      <c r="N36" s="263">
        <v>0</v>
      </c>
      <c r="O36" s="266">
        <v>0</v>
      </c>
      <c r="P36" s="262">
        <v>0</v>
      </c>
      <c r="Q36" s="263">
        <v>0</v>
      </c>
      <c r="R36" s="264">
        <v>0</v>
      </c>
      <c r="S36" s="263">
        <v>0</v>
      </c>
      <c r="T36" s="266">
        <v>0</v>
      </c>
      <c r="U36" s="265">
        <v>0</v>
      </c>
      <c r="V36" s="263">
        <v>0</v>
      </c>
      <c r="W36" s="264">
        <v>0</v>
      </c>
      <c r="X36" s="263">
        <v>0</v>
      </c>
      <c r="Y36" s="264">
        <v>0</v>
      </c>
      <c r="Z36" s="262">
        <v>0</v>
      </c>
      <c r="AA36" s="263">
        <v>0</v>
      </c>
      <c r="AB36" s="264">
        <v>0</v>
      </c>
      <c r="AC36" s="263">
        <v>0</v>
      </c>
      <c r="AD36" s="264">
        <v>0</v>
      </c>
      <c r="AE36" s="262">
        <v>0</v>
      </c>
    </row>
    <row r="37" spans="2:31">
      <c r="B37" s="261"/>
      <c r="C37" s="250"/>
      <c r="D37" s="250"/>
      <c r="E37" s="250" t="s">
        <v>649</v>
      </c>
      <c r="F37" s="262">
        <v>0</v>
      </c>
      <c r="G37" s="263">
        <v>0</v>
      </c>
      <c r="H37" s="264">
        <v>0</v>
      </c>
      <c r="I37" s="263">
        <v>0</v>
      </c>
      <c r="J37" s="266">
        <v>0</v>
      </c>
      <c r="K37" s="262">
        <v>0</v>
      </c>
      <c r="L37" s="263">
        <v>0</v>
      </c>
      <c r="M37" s="264">
        <v>0</v>
      </c>
      <c r="N37" s="263">
        <v>0</v>
      </c>
      <c r="O37" s="266">
        <v>0</v>
      </c>
      <c r="P37" s="262">
        <v>0</v>
      </c>
      <c r="Q37" s="263">
        <v>0</v>
      </c>
      <c r="R37" s="264">
        <v>0</v>
      </c>
      <c r="S37" s="263">
        <v>0</v>
      </c>
      <c r="T37" s="266">
        <v>0</v>
      </c>
      <c r="U37" s="265">
        <v>0</v>
      </c>
      <c r="V37" s="263">
        <v>0</v>
      </c>
      <c r="W37" s="264">
        <v>0</v>
      </c>
      <c r="X37" s="263">
        <v>0</v>
      </c>
      <c r="Y37" s="264">
        <v>0</v>
      </c>
      <c r="Z37" s="262">
        <v>0</v>
      </c>
      <c r="AA37" s="263">
        <v>0</v>
      </c>
      <c r="AB37" s="264">
        <v>0</v>
      </c>
      <c r="AC37" s="263">
        <v>0</v>
      </c>
      <c r="AD37" s="264">
        <v>0</v>
      </c>
      <c r="AE37" s="262">
        <v>0</v>
      </c>
    </row>
    <row r="38" spans="2:31">
      <c r="B38" s="261"/>
      <c r="C38" s="250"/>
      <c r="D38" s="250"/>
      <c r="E38" s="250"/>
      <c r="F38" s="267"/>
      <c r="G38" s="268"/>
      <c r="H38" s="269"/>
      <c r="I38" s="268"/>
      <c r="J38" s="270"/>
      <c r="K38" s="267"/>
      <c r="L38" s="268"/>
      <c r="M38" s="269"/>
      <c r="N38" s="268"/>
      <c r="O38" s="270"/>
      <c r="P38" s="267"/>
      <c r="Q38" s="268"/>
      <c r="R38" s="269"/>
      <c r="S38" s="268"/>
      <c r="T38" s="270"/>
      <c r="U38" s="271"/>
      <c r="V38" s="268"/>
      <c r="W38" s="269"/>
      <c r="X38" s="268"/>
      <c r="Y38" s="269"/>
      <c r="Z38" s="267"/>
      <c r="AA38" s="268"/>
      <c r="AB38" s="269"/>
      <c r="AC38" s="268"/>
      <c r="AD38" s="269"/>
      <c r="AE38" s="267"/>
    </row>
    <row r="39" spans="2:31">
      <c r="B39" s="261"/>
      <c r="C39" s="250"/>
      <c r="D39" s="255" t="s">
        <v>745</v>
      </c>
      <c r="E39" s="250"/>
      <c r="F39" s="267"/>
      <c r="G39" s="268"/>
      <c r="H39" s="269"/>
      <c r="I39" s="268"/>
      <c r="J39" s="270"/>
      <c r="K39" s="267"/>
      <c r="L39" s="268"/>
      <c r="M39" s="269"/>
      <c r="N39" s="268"/>
      <c r="O39" s="270"/>
      <c r="P39" s="267"/>
      <c r="Q39" s="268"/>
      <c r="R39" s="269"/>
      <c r="S39" s="268"/>
      <c r="T39" s="270"/>
      <c r="U39" s="271"/>
      <c r="V39" s="268"/>
      <c r="W39" s="269"/>
      <c r="X39" s="268"/>
      <c r="Y39" s="269"/>
      <c r="Z39" s="267"/>
      <c r="AA39" s="268"/>
      <c r="AB39" s="269"/>
      <c r="AC39" s="268"/>
      <c r="AD39" s="269"/>
      <c r="AE39" s="267"/>
    </row>
    <row r="40" spans="2:31">
      <c r="B40" s="261"/>
      <c r="C40" s="250"/>
      <c r="D40" s="280"/>
      <c r="E40" s="250" t="s">
        <v>767</v>
      </c>
      <c r="F40" s="262">
        <v>99876.5</v>
      </c>
      <c r="G40" s="263">
        <v>0</v>
      </c>
      <c r="H40" s="264">
        <v>252</v>
      </c>
      <c r="I40" s="263">
        <v>22</v>
      </c>
      <c r="J40" s="266">
        <v>252</v>
      </c>
      <c r="K40" s="262">
        <v>99898.5</v>
      </c>
      <c r="L40" s="263">
        <v>0</v>
      </c>
      <c r="M40" s="264">
        <v>0</v>
      </c>
      <c r="N40" s="263">
        <v>1</v>
      </c>
      <c r="O40" s="266">
        <v>51</v>
      </c>
      <c r="P40" s="262">
        <v>99950.5</v>
      </c>
      <c r="Q40" s="263">
        <v>0</v>
      </c>
      <c r="R40" s="264">
        <v>624</v>
      </c>
      <c r="S40" s="263">
        <v>0</v>
      </c>
      <c r="T40" s="266">
        <v>498</v>
      </c>
      <c r="U40" s="265">
        <v>99824.5</v>
      </c>
      <c r="V40" s="263">
        <v>0</v>
      </c>
      <c r="W40" s="264">
        <v>739</v>
      </c>
      <c r="X40" s="263">
        <v>0</v>
      </c>
      <c r="Y40" s="264">
        <v>604</v>
      </c>
      <c r="Z40" s="262">
        <v>99689.5</v>
      </c>
      <c r="AA40" s="263">
        <v>0</v>
      </c>
      <c r="AB40" s="264">
        <v>1818.6554371029215</v>
      </c>
      <c r="AC40" s="263">
        <v>7</v>
      </c>
      <c r="AD40" s="264">
        <v>1641.5823573334308</v>
      </c>
      <c r="AE40" s="262">
        <v>99519.426920230515</v>
      </c>
    </row>
    <row r="41" spans="2:31">
      <c r="B41" s="261"/>
      <c r="C41" s="250"/>
      <c r="D41" s="255"/>
      <c r="E41" s="250" t="s">
        <v>768</v>
      </c>
      <c r="F41" s="262">
        <v>0</v>
      </c>
      <c r="G41" s="263">
        <v>0</v>
      </c>
      <c r="H41" s="264">
        <v>0</v>
      </c>
      <c r="I41" s="263">
        <v>0</v>
      </c>
      <c r="J41" s="266">
        <v>0</v>
      </c>
      <c r="K41" s="262">
        <v>0</v>
      </c>
      <c r="L41" s="263">
        <v>0</v>
      </c>
      <c r="M41" s="264">
        <v>0</v>
      </c>
      <c r="N41" s="263">
        <v>0</v>
      </c>
      <c r="O41" s="266">
        <v>0</v>
      </c>
      <c r="P41" s="262">
        <v>0</v>
      </c>
      <c r="Q41" s="263">
        <v>0</v>
      </c>
      <c r="R41" s="264">
        <v>0</v>
      </c>
      <c r="S41" s="263">
        <v>0</v>
      </c>
      <c r="T41" s="266">
        <v>0</v>
      </c>
      <c r="U41" s="265">
        <v>0</v>
      </c>
      <c r="V41" s="263">
        <v>0</v>
      </c>
      <c r="W41" s="264">
        <v>0</v>
      </c>
      <c r="X41" s="263">
        <v>0</v>
      </c>
      <c r="Y41" s="264">
        <v>0</v>
      </c>
      <c r="Z41" s="262">
        <v>0</v>
      </c>
      <c r="AA41" s="263">
        <v>0</v>
      </c>
      <c r="AB41" s="264">
        <v>0</v>
      </c>
      <c r="AC41" s="263">
        <v>0</v>
      </c>
      <c r="AD41" s="264">
        <v>0</v>
      </c>
      <c r="AE41" s="262">
        <v>0</v>
      </c>
    </row>
    <row r="42" spans="2:31">
      <c r="B42" s="261"/>
      <c r="C42" s="250"/>
      <c r="D42" s="250"/>
      <c r="E42" s="250"/>
      <c r="F42" s="267"/>
      <c r="G42" s="268"/>
      <c r="H42" s="269"/>
      <c r="I42" s="268"/>
      <c r="J42" s="270"/>
      <c r="K42" s="267"/>
      <c r="L42" s="268"/>
      <c r="M42" s="269"/>
      <c r="N42" s="268"/>
      <c r="O42" s="270"/>
      <c r="P42" s="267"/>
      <c r="Q42" s="268"/>
      <c r="R42" s="269"/>
      <c r="S42" s="268"/>
      <c r="T42" s="270"/>
      <c r="U42" s="271"/>
      <c r="V42" s="268"/>
      <c r="W42" s="269"/>
      <c r="X42" s="268"/>
      <c r="Y42" s="269"/>
      <c r="Z42" s="267"/>
      <c r="AA42" s="268"/>
      <c r="AB42" s="269"/>
      <c r="AC42" s="268"/>
      <c r="AD42" s="269"/>
      <c r="AE42" s="267"/>
    </row>
    <row r="43" spans="2:31">
      <c r="B43" s="261"/>
      <c r="C43" s="250"/>
      <c r="D43" s="255" t="s">
        <v>769</v>
      </c>
      <c r="E43" s="250"/>
      <c r="F43" s="267"/>
      <c r="G43" s="268"/>
      <c r="H43" s="269"/>
      <c r="I43" s="268"/>
      <c r="J43" s="270"/>
      <c r="K43" s="267"/>
      <c r="L43" s="268"/>
      <c r="M43" s="269"/>
      <c r="N43" s="268"/>
      <c r="O43" s="270"/>
      <c r="P43" s="267"/>
      <c r="Q43" s="268"/>
      <c r="R43" s="269"/>
      <c r="S43" s="268"/>
      <c r="T43" s="270"/>
      <c r="U43" s="271"/>
      <c r="V43" s="268"/>
      <c r="W43" s="269"/>
      <c r="X43" s="268"/>
      <c r="Y43" s="269"/>
      <c r="Z43" s="267"/>
      <c r="AA43" s="268"/>
      <c r="AB43" s="269"/>
      <c r="AC43" s="268"/>
      <c r="AD43" s="269"/>
      <c r="AE43" s="267"/>
    </row>
    <row r="44" spans="2:31">
      <c r="B44" s="261"/>
      <c r="C44" s="250"/>
      <c r="D44" s="255"/>
      <c r="E44" s="250" t="s">
        <v>770</v>
      </c>
      <c r="F44" s="262">
        <v>12749.288507012367</v>
      </c>
      <c r="G44" s="263">
        <v>13</v>
      </c>
      <c r="H44" s="264">
        <v>29</v>
      </c>
      <c r="I44" s="263">
        <v>13.225999999999999</v>
      </c>
      <c r="J44" s="266">
        <v>28.709000000000003</v>
      </c>
      <c r="K44" s="262">
        <v>12749.223507012366</v>
      </c>
      <c r="L44" s="263">
        <v>4</v>
      </c>
      <c r="M44" s="264">
        <v>13</v>
      </c>
      <c r="N44" s="263">
        <v>8.1760000000000002</v>
      </c>
      <c r="O44" s="266">
        <v>35.398000000000003</v>
      </c>
      <c r="P44" s="262">
        <v>12775.797507012367</v>
      </c>
      <c r="Q44" s="263">
        <v>0</v>
      </c>
      <c r="R44" s="264">
        <v>30.7</v>
      </c>
      <c r="S44" s="263">
        <v>0</v>
      </c>
      <c r="T44" s="266">
        <v>32.652999999999999</v>
      </c>
      <c r="U44" s="265">
        <v>12777.750507012366</v>
      </c>
      <c r="V44" s="263">
        <v>0</v>
      </c>
      <c r="W44" s="264">
        <v>32.29612323161146</v>
      </c>
      <c r="X44" s="263">
        <v>24.228000000000002</v>
      </c>
      <c r="Y44" s="264">
        <v>43.31761621924538</v>
      </c>
      <c r="Z44" s="262">
        <v>12813</v>
      </c>
      <c r="AA44" s="263">
        <v>0</v>
      </c>
      <c r="AB44" s="264">
        <v>26.595943007999999</v>
      </c>
      <c r="AC44" s="263">
        <v>29.117999999999999</v>
      </c>
      <c r="AD44" s="264">
        <v>52.429234564555834</v>
      </c>
      <c r="AE44" s="262">
        <v>12867.951291556556</v>
      </c>
    </row>
    <row r="45" spans="2:31">
      <c r="B45" s="261"/>
      <c r="C45" s="250"/>
      <c r="D45" s="255"/>
      <c r="E45" s="250" t="s">
        <v>771</v>
      </c>
      <c r="F45" s="262">
        <v>0</v>
      </c>
      <c r="G45" s="263">
        <v>0</v>
      </c>
      <c r="H45" s="264">
        <v>0</v>
      </c>
      <c r="I45" s="263">
        <v>0</v>
      </c>
      <c r="J45" s="266">
        <v>0</v>
      </c>
      <c r="K45" s="262">
        <v>0</v>
      </c>
      <c r="L45" s="263">
        <v>0</v>
      </c>
      <c r="M45" s="264">
        <v>0</v>
      </c>
      <c r="N45" s="263">
        <v>0</v>
      </c>
      <c r="O45" s="266">
        <v>0</v>
      </c>
      <c r="P45" s="262">
        <v>0</v>
      </c>
      <c r="Q45" s="263">
        <v>0</v>
      </c>
      <c r="R45" s="264">
        <v>0</v>
      </c>
      <c r="S45" s="263">
        <v>0</v>
      </c>
      <c r="T45" s="266">
        <v>0</v>
      </c>
      <c r="U45" s="265">
        <v>0</v>
      </c>
      <c r="V45" s="263">
        <v>0</v>
      </c>
      <c r="W45" s="264">
        <v>0</v>
      </c>
      <c r="X45" s="263">
        <v>0</v>
      </c>
      <c r="Y45" s="264">
        <v>0</v>
      </c>
      <c r="Z45" s="262">
        <v>0</v>
      </c>
      <c r="AA45" s="263">
        <v>0</v>
      </c>
      <c r="AB45" s="264">
        <v>0</v>
      </c>
      <c r="AC45" s="263">
        <v>0</v>
      </c>
      <c r="AD45" s="264">
        <v>0</v>
      </c>
      <c r="AE45" s="262">
        <v>0</v>
      </c>
    </row>
    <row r="46" spans="2:31">
      <c r="B46" s="261"/>
      <c r="C46" s="250"/>
      <c r="D46" s="255"/>
      <c r="E46" s="250"/>
      <c r="F46" s="267"/>
      <c r="G46" s="268"/>
      <c r="H46" s="269"/>
      <c r="I46" s="268"/>
      <c r="J46" s="270"/>
      <c r="K46" s="267"/>
      <c r="L46" s="268"/>
      <c r="M46" s="269"/>
      <c r="N46" s="268"/>
      <c r="O46" s="270"/>
      <c r="P46" s="267"/>
      <c r="Q46" s="268"/>
      <c r="R46" s="269"/>
      <c r="S46" s="268"/>
      <c r="T46" s="270"/>
      <c r="U46" s="271"/>
      <c r="V46" s="268"/>
      <c r="W46" s="269"/>
      <c r="X46" s="268"/>
      <c r="Y46" s="269"/>
      <c r="Z46" s="267"/>
      <c r="AA46" s="268"/>
      <c r="AB46" s="269"/>
      <c r="AC46" s="268"/>
      <c r="AD46" s="269"/>
      <c r="AE46" s="267"/>
    </row>
    <row r="47" spans="2:31">
      <c r="B47" s="261"/>
      <c r="C47" s="250"/>
      <c r="D47" s="255" t="s">
        <v>68</v>
      </c>
      <c r="E47" s="250"/>
      <c r="F47" s="267"/>
      <c r="G47" s="268"/>
      <c r="H47" s="269"/>
      <c r="I47" s="268"/>
      <c r="J47" s="270"/>
      <c r="K47" s="267"/>
      <c r="L47" s="268"/>
      <c r="M47" s="269"/>
      <c r="N47" s="268"/>
      <c r="O47" s="270"/>
      <c r="P47" s="267"/>
      <c r="Q47" s="268"/>
      <c r="R47" s="269"/>
      <c r="S47" s="268"/>
      <c r="T47" s="270"/>
      <c r="U47" s="271"/>
      <c r="V47" s="268"/>
      <c r="W47" s="269"/>
      <c r="X47" s="268"/>
      <c r="Y47" s="269"/>
      <c r="Z47" s="267"/>
      <c r="AA47" s="268"/>
      <c r="AB47" s="269"/>
      <c r="AC47" s="268"/>
      <c r="AD47" s="269"/>
      <c r="AE47" s="267"/>
    </row>
    <row r="48" spans="2:31">
      <c r="B48" s="261"/>
      <c r="C48" s="250"/>
      <c r="D48" s="255"/>
      <c r="E48" s="250" t="s">
        <v>69</v>
      </c>
      <c r="F48" s="262">
        <v>22</v>
      </c>
      <c r="G48" s="263">
        <v>0</v>
      </c>
      <c r="H48" s="264">
        <v>0</v>
      </c>
      <c r="I48" s="263">
        <v>0</v>
      </c>
      <c r="J48" s="266">
        <v>0</v>
      </c>
      <c r="K48" s="262">
        <v>22</v>
      </c>
      <c r="L48" s="263">
        <v>0</v>
      </c>
      <c r="M48" s="264">
        <v>0</v>
      </c>
      <c r="N48" s="263">
        <v>0</v>
      </c>
      <c r="O48" s="266">
        <v>0</v>
      </c>
      <c r="P48" s="262">
        <v>22</v>
      </c>
      <c r="Q48" s="263">
        <v>0</v>
      </c>
      <c r="R48" s="264">
        <v>0</v>
      </c>
      <c r="S48" s="263">
        <v>0</v>
      </c>
      <c r="T48" s="266">
        <v>0</v>
      </c>
      <c r="U48" s="265">
        <v>22</v>
      </c>
      <c r="V48" s="263">
        <v>0</v>
      </c>
      <c r="W48" s="264">
        <v>0</v>
      </c>
      <c r="X48" s="263">
        <v>0</v>
      </c>
      <c r="Y48" s="264">
        <v>0</v>
      </c>
      <c r="Z48" s="262">
        <v>22</v>
      </c>
      <c r="AA48" s="263">
        <v>0</v>
      </c>
      <c r="AB48" s="264">
        <v>0</v>
      </c>
      <c r="AC48" s="263">
        <v>0</v>
      </c>
      <c r="AD48" s="264">
        <v>0</v>
      </c>
      <c r="AE48" s="262">
        <v>22</v>
      </c>
    </row>
    <row r="49" spans="2:31">
      <c r="B49" s="261"/>
      <c r="C49" s="250"/>
      <c r="D49" s="255"/>
      <c r="E49" s="250"/>
      <c r="F49" s="267"/>
      <c r="G49" s="268"/>
      <c r="H49" s="269"/>
      <c r="I49" s="268"/>
      <c r="J49" s="270"/>
      <c r="K49" s="267"/>
      <c r="L49" s="268"/>
      <c r="M49" s="269"/>
      <c r="N49" s="268"/>
      <c r="O49" s="270"/>
      <c r="P49" s="267"/>
      <c r="Q49" s="268"/>
      <c r="R49" s="269"/>
      <c r="S49" s="268"/>
      <c r="T49" s="270"/>
      <c r="U49" s="271"/>
      <c r="V49" s="268"/>
      <c r="W49" s="269"/>
      <c r="X49" s="268"/>
      <c r="Y49" s="269"/>
      <c r="Z49" s="267"/>
      <c r="AA49" s="268"/>
      <c r="AB49" s="269"/>
      <c r="AC49" s="268"/>
      <c r="AD49" s="269"/>
      <c r="AE49" s="267"/>
    </row>
    <row r="50" spans="2:31">
      <c r="B50" s="261"/>
      <c r="C50" s="250"/>
      <c r="D50" s="255" t="s">
        <v>637</v>
      </c>
      <c r="E50" s="250"/>
      <c r="F50" s="267"/>
      <c r="G50" s="268"/>
      <c r="H50" s="269"/>
      <c r="I50" s="268"/>
      <c r="J50" s="270"/>
      <c r="K50" s="267"/>
      <c r="L50" s="268"/>
      <c r="M50" s="269"/>
      <c r="N50" s="268"/>
      <c r="O50" s="270"/>
      <c r="P50" s="267"/>
      <c r="Q50" s="268"/>
      <c r="R50" s="269"/>
      <c r="S50" s="268"/>
      <c r="T50" s="270"/>
      <c r="U50" s="271"/>
      <c r="V50" s="268"/>
      <c r="W50" s="269"/>
      <c r="X50" s="268"/>
      <c r="Y50" s="269"/>
      <c r="Z50" s="267"/>
      <c r="AA50" s="268"/>
      <c r="AB50" s="269"/>
      <c r="AC50" s="268"/>
      <c r="AD50" s="269"/>
      <c r="AE50" s="267"/>
    </row>
    <row r="51" spans="2:31">
      <c r="B51" s="261"/>
      <c r="C51" s="250"/>
      <c r="D51" s="255"/>
      <c r="E51" s="250" t="s">
        <v>70</v>
      </c>
      <c r="F51" s="262">
        <v>862</v>
      </c>
      <c r="G51" s="263">
        <v>0</v>
      </c>
      <c r="H51" s="264">
        <v>33</v>
      </c>
      <c r="I51" s="263">
        <v>1</v>
      </c>
      <c r="J51" s="266">
        <v>9</v>
      </c>
      <c r="K51" s="262">
        <v>839</v>
      </c>
      <c r="L51" s="263">
        <v>0</v>
      </c>
      <c r="M51" s="264">
        <v>42</v>
      </c>
      <c r="N51" s="263">
        <v>0</v>
      </c>
      <c r="O51" s="266">
        <v>40</v>
      </c>
      <c r="P51" s="262">
        <v>837</v>
      </c>
      <c r="Q51" s="263">
        <v>0</v>
      </c>
      <c r="R51" s="264">
        <v>11</v>
      </c>
      <c r="S51" s="263">
        <v>0</v>
      </c>
      <c r="T51" s="266">
        <v>8</v>
      </c>
      <c r="U51" s="265">
        <v>834</v>
      </c>
      <c r="V51" s="263">
        <v>0</v>
      </c>
      <c r="W51" s="264">
        <v>57</v>
      </c>
      <c r="X51" s="263">
        <v>0</v>
      </c>
      <c r="Y51" s="264">
        <v>12</v>
      </c>
      <c r="Z51" s="262">
        <v>789</v>
      </c>
      <c r="AA51" s="263">
        <v>0</v>
      </c>
      <c r="AB51" s="264">
        <v>7.2315580799999992</v>
      </c>
      <c r="AC51" s="263">
        <v>29</v>
      </c>
      <c r="AD51" s="264">
        <v>7.2315580799999992</v>
      </c>
      <c r="AE51" s="262">
        <v>818</v>
      </c>
    </row>
    <row r="52" spans="2:31">
      <c r="B52" s="261"/>
      <c r="C52" s="250"/>
      <c r="D52" s="255"/>
      <c r="E52" s="250" t="s">
        <v>80</v>
      </c>
      <c r="F52" s="262">
        <v>10923</v>
      </c>
      <c r="G52" s="263">
        <v>0</v>
      </c>
      <c r="H52" s="264">
        <v>147</v>
      </c>
      <c r="I52" s="263">
        <v>15</v>
      </c>
      <c r="J52" s="266">
        <v>83</v>
      </c>
      <c r="K52" s="262">
        <v>10874</v>
      </c>
      <c r="L52" s="263">
        <v>0</v>
      </c>
      <c r="M52" s="264">
        <v>179</v>
      </c>
      <c r="N52" s="263">
        <v>1</v>
      </c>
      <c r="O52" s="266">
        <v>53</v>
      </c>
      <c r="P52" s="262">
        <v>10749</v>
      </c>
      <c r="Q52" s="263">
        <v>0</v>
      </c>
      <c r="R52" s="264">
        <v>184</v>
      </c>
      <c r="S52" s="263">
        <v>40</v>
      </c>
      <c r="T52" s="266">
        <v>35</v>
      </c>
      <c r="U52" s="265">
        <v>10640</v>
      </c>
      <c r="V52" s="263">
        <v>0</v>
      </c>
      <c r="W52" s="264">
        <v>171</v>
      </c>
      <c r="X52" s="263">
        <v>0</v>
      </c>
      <c r="Y52" s="264">
        <v>59</v>
      </c>
      <c r="Z52" s="262">
        <v>10528</v>
      </c>
      <c r="AA52" s="263">
        <v>0</v>
      </c>
      <c r="AB52" s="264">
        <v>139.44295808000001</v>
      </c>
      <c r="AC52" s="263">
        <v>0</v>
      </c>
      <c r="AD52" s="264">
        <v>91.442958079999997</v>
      </c>
      <c r="AE52" s="262">
        <v>10480</v>
      </c>
    </row>
    <row r="53" spans="2:31">
      <c r="B53" s="261"/>
      <c r="C53" s="250"/>
      <c r="D53" s="255"/>
      <c r="E53" s="250" t="s">
        <v>81</v>
      </c>
      <c r="F53" s="262">
        <v>109</v>
      </c>
      <c r="G53" s="263">
        <v>0</v>
      </c>
      <c r="H53" s="264">
        <v>2</v>
      </c>
      <c r="I53" s="263">
        <v>0</v>
      </c>
      <c r="J53" s="266">
        <v>1</v>
      </c>
      <c r="K53" s="262">
        <v>108</v>
      </c>
      <c r="L53" s="263">
        <v>0</v>
      </c>
      <c r="M53" s="264">
        <v>12</v>
      </c>
      <c r="N53" s="263">
        <v>0</v>
      </c>
      <c r="O53" s="266">
        <v>3</v>
      </c>
      <c r="P53" s="262">
        <v>99</v>
      </c>
      <c r="Q53" s="263">
        <v>0</v>
      </c>
      <c r="R53" s="264">
        <v>0</v>
      </c>
      <c r="S53" s="263">
        <v>0</v>
      </c>
      <c r="T53" s="266">
        <v>0</v>
      </c>
      <c r="U53" s="265">
        <v>99</v>
      </c>
      <c r="V53" s="263">
        <v>0</v>
      </c>
      <c r="W53" s="264">
        <v>2</v>
      </c>
      <c r="X53" s="263">
        <v>0</v>
      </c>
      <c r="Y53" s="264">
        <v>1</v>
      </c>
      <c r="Z53" s="262">
        <v>98</v>
      </c>
      <c r="AA53" s="263">
        <v>0</v>
      </c>
      <c r="AB53" s="264">
        <v>20.751758079999998</v>
      </c>
      <c r="AC53" s="263">
        <v>0</v>
      </c>
      <c r="AD53" s="264">
        <v>20.751758079999998</v>
      </c>
      <c r="AE53" s="262">
        <v>98</v>
      </c>
    </row>
    <row r="54" spans="2:31">
      <c r="B54" s="261"/>
      <c r="C54" s="250"/>
      <c r="D54" s="255"/>
      <c r="E54" s="250" t="s">
        <v>82</v>
      </c>
      <c r="F54" s="262">
        <v>15235</v>
      </c>
      <c r="G54" s="263">
        <v>0</v>
      </c>
      <c r="H54" s="264">
        <v>300</v>
      </c>
      <c r="I54" s="263">
        <v>1</v>
      </c>
      <c r="J54" s="266">
        <v>25</v>
      </c>
      <c r="K54" s="262">
        <v>14961</v>
      </c>
      <c r="L54" s="263">
        <v>0</v>
      </c>
      <c r="M54" s="264">
        <v>354</v>
      </c>
      <c r="N54" s="263">
        <v>19</v>
      </c>
      <c r="O54" s="266">
        <v>37</v>
      </c>
      <c r="P54" s="262">
        <v>14663</v>
      </c>
      <c r="Q54" s="263">
        <v>0</v>
      </c>
      <c r="R54" s="264">
        <v>287</v>
      </c>
      <c r="S54" s="263">
        <v>2</v>
      </c>
      <c r="T54" s="266">
        <v>39</v>
      </c>
      <c r="U54" s="265">
        <v>14417</v>
      </c>
      <c r="V54" s="263">
        <v>0</v>
      </c>
      <c r="W54" s="264">
        <v>227</v>
      </c>
      <c r="X54" s="263">
        <v>3</v>
      </c>
      <c r="Y54" s="264">
        <v>44</v>
      </c>
      <c r="Z54" s="262">
        <v>14237</v>
      </c>
      <c r="AA54" s="263">
        <v>43</v>
      </c>
      <c r="AB54" s="264">
        <v>110.44295808</v>
      </c>
      <c r="AC54" s="263">
        <v>43</v>
      </c>
      <c r="AD54" s="264">
        <v>9.4429580800000004</v>
      </c>
      <c r="AE54" s="262">
        <v>14136</v>
      </c>
    </row>
    <row r="55" spans="2:31">
      <c r="B55" s="261"/>
      <c r="C55" s="250"/>
      <c r="D55" s="255"/>
      <c r="E55" s="250" t="s">
        <v>782</v>
      </c>
      <c r="F55" s="262">
        <v>10227.08545034642</v>
      </c>
      <c r="G55" s="263">
        <v>0</v>
      </c>
      <c r="H55" s="264">
        <v>102</v>
      </c>
      <c r="I55" s="263">
        <v>6</v>
      </c>
      <c r="J55" s="266">
        <v>148</v>
      </c>
      <c r="K55" s="262">
        <v>10279.08545034642</v>
      </c>
      <c r="L55" s="263">
        <v>0</v>
      </c>
      <c r="M55" s="264">
        <v>69</v>
      </c>
      <c r="N55" s="263">
        <v>3</v>
      </c>
      <c r="O55" s="266">
        <v>43</v>
      </c>
      <c r="P55" s="262">
        <v>10256.08545034642</v>
      </c>
      <c r="Q55" s="263">
        <v>0</v>
      </c>
      <c r="R55" s="264">
        <v>83</v>
      </c>
      <c r="S55" s="263">
        <v>3.5011547344110854</v>
      </c>
      <c r="T55" s="266">
        <v>116.4133949191686</v>
      </c>
      <c r="U55" s="265">
        <v>10293</v>
      </c>
      <c r="V55" s="263">
        <v>0</v>
      </c>
      <c r="W55" s="264">
        <v>78</v>
      </c>
      <c r="X55" s="263">
        <v>5</v>
      </c>
      <c r="Y55" s="264">
        <v>79</v>
      </c>
      <c r="Z55" s="262">
        <v>10299</v>
      </c>
      <c r="AA55" s="263">
        <v>0</v>
      </c>
      <c r="AB55" s="264">
        <v>38.442958079999997</v>
      </c>
      <c r="AC55" s="263">
        <v>2</v>
      </c>
      <c r="AD55" s="264">
        <v>110.44295808</v>
      </c>
      <c r="AE55" s="262">
        <v>10373</v>
      </c>
    </row>
    <row r="56" spans="2:31">
      <c r="B56" s="261"/>
      <c r="C56" s="250"/>
      <c r="D56" s="255"/>
      <c r="E56" s="250" t="s">
        <v>783</v>
      </c>
      <c r="F56" s="262">
        <v>9701</v>
      </c>
      <c r="G56" s="263">
        <v>0</v>
      </c>
      <c r="H56" s="264">
        <v>45</v>
      </c>
      <c r="I56" s="263">
        <v>0</v>
      </c>
      <c r="J56" s="266">
        <v>56</v>
      </c>
      <c r="K56" s="262">
        <v>9712</v>
      </c>
      <c r="L56" s="263">
        <v>0</v>
      </c>
      <c r="M56" s="264">
        <v>91</v>
      </c>
      <c r="N56" s="263">
        <v>5</v>
      </c>
      <c r="O56" s="266">
        <v>111</v>
      </c>
      <c r="P56" s="262">
        <v>9737</v>
      </c>
      <c r="Q56" s="263">
        <v>0</v>
      </c>
      <c r="R56" s="264">
        <v>173</v>
      </c>
      <c r="S56" s="263">
        <v>1</v>
      </c>
      <c r="T56" s="266">
        <v>87</v>
      </c>
      <c r="U56" s="265">
        <v>9652</v>
      </c>
      <c r="V56" s="263">
        <v>0</v>
      </c>
      <c r="W56" s="264">
        <v>42</v>
      </c>
      <c r="X56" s="263">
        <v>14</v>
      </c>
      <c r="Y56" s="264">
        <v>63</v>
      </c>
      <c r="Z56" s="262">
        <v>9687</v>
      </c>
      <c r="AA56" s="263">
        <v>0</v>
      </c>
      <c r="AB56" s="264">
        <v>0</v>
      </c>
      <c r="AC56" s="263">
        <v>4</v>
      </c>
      <c r="AD56" s="264">
        <v>0</v>
      </c>
      <c r="AE56" s="262">
        <v>9691</v>
      </c>
    </row>
    <row r="57" spans="2:31">
      <c r="B57" s="261"/>
      <c r="C57" s="250"/>
      <c r="D57" s="255"/>
      <c r="E57" s="250" t="s">
        <v>72</v>
      </c>
      <c r="F57" s="262">
        <v>17</v>
      </c>
      <c r="G57" s="263">
        <v>0</v>
      </c>
      <c r="H57" s="264">
        <v>0</v>
      </c>
      <c r="I57" s="263">
        <v>0</v>
      </c>
      <c r="J57" s="266">
        <v>0</v>
      </c>
      <c r="K57" s="262">
        <v>17</v>
      </c>
      <c r="L57" s="263">
        <v>0</v>
      </c>
      <c r="M57" s="264">
        <v>0</v>
      </c>
      <c r="N57" s="263">
        <v>0</v>
      </c>
      <c r="O57" s="266">
        <v>0</v>
      </c>
      <c r="P57" s="262">
        <v>17</v>
      </c>
      <c r="Q57" s="263">
        <v>0</v>
      </c>
      <c r="R57" s="264">
        <v>0</v>
      </c>
      <c r="S57" s="263">
        <v>0</v>
      </c>
      <c r="T57" s="266">
        <v>0</v>
      </c>
      <c r="U57" s="265">
        <v>17</v>
      </c>
      <c r="V57" s="263">
        <v>12</v>
      </c>
      <c r="W57" s="264">
        <v>0</v>
      </c>
      <c r="X57" s="263">
        <v>0</v>
      </c>
      <c r="Y57" s="264">
        <v>0</v>
      </c>
      <c r="Z57" s="262">
        <v>5</v>
      </c>
      <c r="AA57" s="263">
        <v>0</v>
      </c>
      <c r="AB57" s="264">
        <v>0</v>
      </c>
      <c r="AC57" s="263">
        <v>1</v>
      </c>
      <c r="AD57" s="264">
        <v>0</v>
      </c>
      <c r="AE57" s="262">
        <v>6</v>
      </c>
    </row>
    <row r="58" spans="2:31">
      <c r="B58" s="261"/>
      <c r="C58" s="250"/>
      <c r="D58" s="250"/>
      <c r="E58" s="250" t="s">
        <v>662</v>
      </c>
      <c r="F58" s="262">
        <v>0</v>
      </c>
      <c r="G58" s="263">
        <v>0</v>
      </c>
      <c r="H58" s="264">
        <v>0</v>
      </c>
      <c r="I58" s="263">
        <v>0</v>
      </c>
      <c r="J58" s="266">
        <v>0</v>
      </c>
      <c r="K58" s="262">
        <v>0</v>
      </c>
      <c r="L58" s="263">
        <v>0</v>
      </c>
      <c r="M58" s="264">
        <v>0</v>
      </c>
      <c r="N58" s="263">
        <v>0</v>
      </c>
      <c r="O58" s="266">
        <v>0</v>
      </c>
      <c r="P58" s="262">
        <v>0</v>
      </c>
      <c r="Q58" s="263">
        <v>0</v>
      </c>
      <c r="R58" s="264">
        <v>0</v>
      </c>
      <c r="S58" s="263">
        <v>0</v>
      </c>
      <c r="T58" s="266">
        <v>0</v>
      </c>
      <c r="U58" s="265">
        <v>0</v>
      </c>
      <c r="V58" s="263">
        <v>0</v>
      </c>
      <c r="W58" s="264">
        <v>0</v>
      </c>
      <c r="X58" s="263">
        <v>0</v>
      </c>
      <c r="Y58" s="264">
        <v>0</v>
      </c>
      <c r="Z58" s="262">
        <v>0</v>
      </c>
      <c r="AA58" s="263">
        <v>0</v>
      </c>
      <c r="AB58" s="264">
        <v>0</v>
      </c>
      <c r="AC58" s="263">
        <v>0</v>
      </c>
      <c r="AD58" s="264">
        <v>0</v>
      </c>
      <c r="AE58" s="262">
        <v>0</v>
      </c>
    </row>
    <row r="59" spans="2:31">
      <c r="B59" s="261"/>
      <c r="C59" s="250"/>
      <c r="D59" s="250"/>
      <c r="E59" s="250" t="s">
        <v>501</v>
      </c>
      <c r="F59" s="262">
        <v>0</v>
      </c>
      <c r="G59" s="263">
        <v>0</v>
      </c>
      <c r="H59" s="264">
        <v>0</v>
      </c>
      <c r="I59" s="263">
        <v>0</v>
      </c>
      <c r="J59" s="266">
        <v>0</v>
      </c>
      <c r="K59" s="262">
        <v>0</v>
      </c>
      <c r="L59" s="263">
        <v>0</v>
      </c>
      <c r="M59" s="264">
        <v>0</v>
      </c>
      <c r="N59" s="263">
        <v>0</v>
      </c>
      <c r="O59" s="266">
        <v>0</v>
      </c>
      <c r="P59" s="262">
        <v>0</v>
      </c>
      <c r="Q59" s="263">
        <v>0</v>
      </c>
      <c r="R59" s="264">
        <v>0</v>
      </c>
      <c r="S59" s="263">
        <v>0</v>
      </c>
      <c r="T59" s="266">
        <v>0</v>
      </c>
      <c r="U59" s="265">
        <v>0</v>
      </c>
      <c r="V59" s="263">
        <v>0</v>
      </c>
      <c r="W59" s="264">
        <v>0</v>
      </c>
      <c r="X59" s="263">
        <v>0</v>
      </c>
      <c r="Y59" s="264">
        <v>0</v>
      </c>
      <c r="Z59" s="262">
        <v>0</v>
      </c>
      <c r="AA59" s="263">
        <v>0</v>
      </c>
      <c r="AB59" s="264">
        <v>0</v>
      </c>
      <c r="AC59" s="263">
        <v>0</v>
      </c>
      <c r="AD59" s="264">
        <v>0</v>
      </c>
      <c r="AE59" s="262">
        <v>0</v>
      </c>
    </row>
    <row r="60" spans="2:31">
      <c r="B60" s="261"/>
      <c r="C60" s="250"/>
      <c r="D60" s="255"/>
      <c r="E60" s="250" t="s">
        <v>502</v>
      </c>
      <c r="F60" s="262">
        <v>0</v>
      </c>
      <c r="G60" s="263">
        <v>0</v>
      </c>
      <c r="H60" s="264">
        <v>0</v>
      </c>
      <c r="I60" s="263">
        <v>0</v>
      </c>
      <c r="J60" s="266">
        <v>0</v>
      </c>
      <c r="K60" s="262">
        <v>0</v>
      </c>
      <c r="L60" s="263">
        <v>0</v>
      </c>
      <c r="M60" s="264">
        <v>0</v>
      </c>
      <c r="N60" s="263">
        <v>0</v>
      </c>
      <c r="O60" s="266">
        <v>0</v>
      </c>
      <c r="P60" s="262">
        <v>0</v>
      </c>
      <c r="Q60" s="263">
        <v>0</v>
      </c>
      <c r="R60" s="264">
        <v>0</v>
      </c>
      <c r="S60" s="263">
        <v>0</v>
      </c>
      <c r="T60" s="266">
        <v>0</v>
      </c>
      <c r="U60" s="265">
        <v>0</v>
      </c>
      <c r="V60" s="263">
        <v>0</v>
      </c>
      <c r="W60" s="264">
        <v>0</v>
      </c>
      <c r="X60" s="263">
        <v>0</v>
      </c>
      <c r="Y60" s="264">
        <v>0</v>
      </c>
      <c r="Z60" s="262">
        <v>0</v>
      </c>
      <c r="AA60" s="263">
        <v>0</v>
      </c>
      <c r="AB60" s="264">
        <v>0</v>
      </c>
      <c r="AC60" s="263">
        <v>0</v>
      </c>
      <c r="AD60" s="264">
        <v>0</v>
      </c>
      <c r="AE60" s="262">
        <v>0</v>
      </c>
    </row>
    <row r="61" spans="2:31">
      <c r="B61" s="261"/>
      <c r="C61" s="250"/>
      <c r="D61" s="255"/>
      <c r="E61" s="250" t="s">
        <v>503</v>
      </c>
      <c r="F61" s="262">
        <v>0</v>
      </c>
      <c r="G61" s="263">
        <v>0</v>
      </c>
      <c r="H61" s="264">
        <v>0</v>
      </c>
      <c r="I61" s="263">
        <v>0</v>
      </c>
      <c r="J61" s="266">
        <v>0</v>
      </c>
      <c r="K61" s="262">
        <v>0</v>
      </c>
      <c r="L61" s="263">
        <v>0</v>
      </c>
      <c r="M61" s="264">
        <v>0</v>
      </c>
      <c r="N61" s="263">
        <v>0</v>
      </c>
      <c r="O61" s="266">
        <v>0</v>
      </c>
      <c r="P61" s="262">
        <v>0</v>
      </c>
      <c r="Q61" s="263">
        <v>0</v>
      </c>
      <c r="R61" s="264">
        <v>0</v>
      </c>
      <c r="S61" s="263">
        <v>0</v>
      </c>
      <c r="T61" s="266">
        <v>0</v>
      </c>
      <c r="U61" s="265">
        <v>0</v>
      </c>
      <c r="V61" s="263">
        <v>0</v>
      </c>
      <c r="W61" s="264">
        <v>0</v>
      </c>
      <c r="X61" s="263">
        <v>0</v>
      </c>
      <c r="Y61" s="264">
        <v>0</v>
      </c>
      <c r="Z61" s="262">
        <v>0</v>
      </c>
      <c r="AA61" s="263">
        <v>0</v>
      </c>
      <c r="AB61" s="264">
        <v>0</v>
      </c>
      <c r="AC61" s="263">
        <v>0</v>
      </c>
      <c r="AD61" s="264">
        <v>0</v>
      </c>
      <c r="AE61" s="262">
        <v>0</v>
      </c>
    </row>
    <row r="62" spans="2:31">
      <c r="B62" s="261"/>
      <c r="C62" s="250"/>
      <c r="D62" s="255"/>
      <c r="E62" s="250" t="s">
        <v>506</v>
      </c>
      <c r="F62" s="262">
        <v>0</v>
      </c>
      <c r="G62" s="263">
        <v>0</v>
      </c>
      <c r="H62" s="264">
        <v>0</v>
      </c>
      <c r="I62" s="263">
        <v>0</v>
      </c>
      <c r="J62" s="266">
        <v>0</v>
      </c>
      <c r="K62" s="262">
        <v>0</v>
      </c>
      <c r="L62" s="263">
        <v>0</v>
      </c>
      <c r="M62" s="264">
        <v>0</v>
      </c>
      <c r="N62" s="263">
        <v>0</v>
      </c>
      <c r="O62" s="266">
        <v>0</v>
      </c>
      <c r="P62" s="262">
        <v>0</v>
      </c>
      <c r="Q62" s="263">
        <v>0</v>
      </c>
      <c r="R62" s="264">
        <v>0</v>
      </c>
      <c r="S62" s="263">
        <v>0</v>
      </c>
      <c r="T62" s="266">
        <v>0</v>
      </c>
      <c r="U62" s="265">
        <v>0</v>
      </c>
      <c r="V62" s="263">
        <v>0</v>
      </c>
      <c r="W62" s="264">
        <v>0</v>
      </c>
      <c r="X62" s="263">
        <v>0</v>
      </c>
      <c r="Y62" s="264">
        <v>0</v>
      </c>
      <c r="Z62" s="262">
        <v>0</v>
      </c>
      <c r="AA62" s="263">
        <v>0</v>
      </c>
      <c r="AB62" s="264">
        <v>0</v>
      </c>
      <c r="AC62" s="263">
        <v>0</v>
      </c>
      <c r="AD62" s="264">
        <v>0</v>
      </c>
      <c r="AE62" s="262">
        <v>0</v>
      </c>
    </row>
    <row r="63" spans="2:31">
      <c r="B63" s="261"/>
      <c r="C63" s="250"/>
      <c r="D63" s="255"/>
      <c r="E63" s="250" t="s">
        <v>665</v>
      </c>
      <c r="F63" s="262">
        <v>0</v>
      </c>
      <c r="G63" s="263">
        <v>0</v>
      </c>
      <c r="H63" s="264">
        <v>0</v>
      </c>
      <c r="I63" s="263">
        <v>0</v>
      </c>
      <c r="J63" s="266">
        <v>0</v>
      </c>
      <c r="K63" s="262">
        <v>0</v>
      </c>
      <c r="L63" s="263">
        <v>0</v>
      </c>
      <c r="M63" s="264">
        <v>0</v>
      </c>
      <c r="N63" s="263">
        <v>0</v>
      </c>
      <c r="O63" s="266">
        <v>0</v>
      </c>
      <c r="P63" s="262">
        <v>0</v>
      </c>
      <c r="Q63" s="263">
        <v>0</v>
      </c>
      <c r="R63" s="264">
        <v>0</v>
      </c>
      <c r="S63" s="263">
        <v>0</v>
      </c>
      <c r="T63" s="266">
        <v>0</v>
      </c>
      <c r="U63" s="265">
        <v>0</v>
      </c>
      <c r="V63" s="263">
        <v>0</v>
      </c>
      <c r="W63" s="264">
        <v>0</v>
      </c>
      <c r="X63" s="263">
        <v>0</v>
      </c>
      <c r="Y63" s="264">
        <v>0</v>
      </c>
      <c r="Z63" s="262">
        <v>0</v>
      </c>
      <c r="AA63" s="263">
        <v>0</v>
      </c>
      <c r="AB63" s="264">
        <v>0</v>
      </c>
      <c r="AC63" s="263">
        <v>0</v>
      </c>
      <c r="AD63" s="264">
        <v>0</v>
      </c>
      <c r="AE63" s="262">
        <v>0</v>
      </c>
    </row>
    <row r="64" spans="2:31">
      <c r="B64" s="261"/>
      <c r="C64" s="250"/>
      <c r="D64" s="255"/>
      <c r="E64" s="250" t="s">
        <v>511</v>
      </c>
      <c r="F64" s="262">
        <v>0</v>
      </c>
      <c r="G64" s="263">
        <v>0</v>
      </c>
      <c r="H64" s="264">
        <v>0</v>
      </c>
      <c r="I64" s="263">
        <v>0</v>
      </c>
      <c r="J64" s="266">
        <v>0</v>
      </c>
      <c r="K64" s="262">
        <v>0</v>
      </c>
      <c r="L64" s="263">
        <v>0</v>
      </c>
      <c r="M64" s="264">
        <v>0</v>
      </c>
      <c r="N64" s="263">
        <v>0</v>
      </c>
      <c r="O64" s="266">
        <v>0</v>
      </c>
      <c r="P64" s="262">
        <v>0</v>
      </c>
      <c r="Q64" s="263">
        <v>0</v>
      </c>
      <c r="R64" s="264">
        <v>0</v>
      </c>
      <c r="S64" s="263">
        <v>0</v>
      </c>
      <c r="T64" s="266">
        <v>0</v>
      </c>
      <c r="U64" s="265">
        <v>0</v>
      </c>
      <c r="V64" s="263">
        <v>0</v>
      </c>
      <c r="W64" s="264">
        <v>0</v>
      </c>
      <c r="X64" s="263">
        <v>0</v>
      </c>
      <c r="Y64" s="264">
        <v>0</v>
      </c>
      <c r="Z64" s="262">
        <v>0</v>
      </c>
      <c r="AA64" s="263">
        <v>0</v>
      </c>
      <c r="AB64" s="264">
        <v>0</v>
      </c>
      <c r="AC64" s="263">
        <v>0</v>
      </c>
      <c r="AD64" s="264">
        <v>0</v>
      </c>
      <c r="AE64" s="262">
        <v>0</v>
      </c>
    </row>
    <row r="65" spans="2:31">
      <c r="B65" s="261"/>
      <c r="C65" s="250"/>
      <c r="D65" s="255"/>
      <c r="E65" s="250"/>
      <c r="F65" s="267"/>
      <c r="G65" s="268"/>
      <c r="H65" s="269"/>
      <c r="I65" s="268"/>
      <c r="J65" s="270"/>
      <c r="K65" s="267"/>
      <c r="L65" s="268"/>
      <c r="M65" s="269"/>
      <c r="N65" s="268"/>
      <c r="O65" s="270"/>
      <c r="P65" s="267"/>
      <c r="Q65" s="268"/>
      <c r="R65" s="269"/>
      <c r="S65" s="268"/>
      <c r="T65" s="270"/>
      <c r="U65" s="271"/>
      <c r="V65" s="268"/>
      <c r="W65" s="269"/>
      <c r="X65" s="268"/>
      <c r="Y65" s="269"/>
      <c r="Z65" s="267"/>
      <c r="AA65" s="268"/>
      <c r="AB65" s="269"/>
      <c r="AC65" s="268"/>
      <c r="AD65" s="269"/>
      <c r="AE65" s="267"/>
    </row>
    <row r="66" spans="2:31">
      <c r="B66" s="261"/>
      <c r="C66" s="250"/>
      <c r="D66" s="255" t="s">
        <v>512</v>
      </c>
      <c r="E66" s="250"/>
      <c r="F66" s="267"/>
      <c r="G66" s="268"/>
      <c r="H66" s="269"/>
      <c r="I66" s="268"/>
      <c r="J66" s="270"/>
      <c r="K66" s="267"/>
      <c r="L66" s="268"/>
      <c r="M66" s="269"/>
      <c r="N66" s="268"/>
      <c r="O66" s="270"/>
      <c r="P66" s="267"/>
      <c r="Q66" s="268"/>
      <c r="R66" s="269"/>
      <c r="S66" s="268"/>
      <c r="T66" s="270"/>
      <c r="U66" s="271"/>
      <c r="V66" s="268"/>
      <c r="W66" s="269"/>
      <c r="X66" s="268"/>
      <c r="Y66" s="269"/>
      <c r="Z66" s="267"/>
      <c r="AA66" s="268"/>
      <c r="AB66" s="269"/>
      <c r="AC66" s="268"/>
      <c r="AD66" s="269"/>
      <c r="AE66" s="267"/>
    </row>
    <row r="67" spans="2:31">
      <c r="B67" s="261"/>
      <c r="C67" s="250"/>
      <c r="D67" s="255"/>
      <c r="E67" s="250" t="s">
        <v>513</v>
      </c>
      <c r="F67" s="262">
        <v>17288.090534979423</v>
      </c>
      <c r="G67" s="263">
        <v>0</v>
      </c>
      <c r="H67" s="264">
        <v>314</v>
      </c>
      <c r="I67" s="263">
        <v>26</v>
      </c>
      <c r="J67" s="266">
        <v>130</v>
      </c>
      <c r="K67" s="262">
        <v>17130.090534979423</v>
      </c>
      <c r="L67" s="263">
        <v>0</v>
      </c>
      <c r="M67" s="264">
        <v>256</v>
      </c>
      <c r="N67" s="263">
        <v>12</v>
      </c>
      <c r="O67" s="266">
        <v>160</v>
      </c>
      <c r="P67" s="262">
        <v>17046.090534979423</v>
      </c>
      <c r="Q67" s="263">
        <v>0</v>
      </c>
      <c r="R67" s="264">
        <v>187</v>
      </c>
      <c r="S67" s="263">
        <v>0</v>
      </c>
      <c r="T67" s="266">
        <v>113.90946502057614</v>
      </c>
      <c r="U67" s="265">
        <v>16973</v>
      </c>
      <c r="V67" s="263">
        <v>0</v>
      </c>
      <c r="W67" s="264">
        <v>223</v>
      </c>
      <c r="X67" s="263">
        <v>8</v>
      </c>
      <c r="Y67" s="264">
        <v>165</v>
      </c>
      <c r="Z67" s="262">
        <v>16923</v>
      </c>
      <c r="AA67" s="263">
        <v>0</v>
      </c>
      <c r="AB67" s="264">
        <v>84.115724403171711</v>
      </c>
      <c r="AC67" s="263">
        <v>5</v>
      </c>
      <c r="AD67" s="264">
        <v>86.115724403171711</v>
      </c>
      <c r="AE67" s="262">
        <v>16930</v>
      </c>
    </row>
    <row r="68" spans="2:31">
      <c r="B68" s="261"/>
      <c r="C68" s="250"/>
      <c r="D68" s="255"/>
      <c r="E68" s="250" t="s">
        <v>514</v>
      </c>
      <c r="F68" s="262">
        <v>16669</v>
      </c>
      <c r="G68" s="263">
        <v>0</v>
      </c>
      <c r="H68" s="264">
        <v>314</v>
      </c>
      <c r="I68" s="263">
        <v>26</v>
      </c>
      <c r="J68" s="266">
        <v>130</v>
      </c>
      <c r="K68" s="262">
        <v>16511</v>
      </c>
      <c r="L68" s="263">
        <v>0</v>
      </c>
      <c r="M68" s="264">
        <v>129</v>
      </c>
      <c r="N68" s="263">
        <v>10</v>
      </c>
      <c r="O68" s="266">
        <v>35</v>
      </c>
      <c r="P68" s="262">
        <v>16427</v>
      </c>
      <c r="Q68" s="263">
        <v>0</v>
      </c>
      <c r="R68" s="264">
        <v>164</v>
      </c>
      <c r="S68" s="263">
        <v>8</v>
      </c>
      <c r="T68" s="266">
        <v>122</v>
      </c>
      <c r="U68" s="265">
        <v>16393</v>
      </c>
      <c r="V68" s="263">
        <v>0</v>
      </c>
      <c r="W68" s="264">
        <v>227</v>
      </c>
      <c r="X68" s="263">
        <v>4</v>
      </c>
      <c r="Y68" s="264">
        <v>109</v>
      </c>
      <c r="Z68" s="262">
        <v>16279</v>
      </c>
      <c r="AA68" s="263">
        <v>0</v>
      </c>
      <c r="AB68" s="264">
        <v>140.7268895</v>
      </c>
      <c r="AC68" s="263">
        <v>0</v>
      </c>
      <c r="AD68" s="264">
        <v>123.7268895</v>
      </c>
      <c r="AE68" s="262">
        <v>16262</v>
      </c>
    </row>
    <row r="69" spans="2:31">
      <c r="B69" s="261"/>
      <c r="C69" s="250"/>
      <c r="D69" s="255"/>
      <c r="E69" s="250" t="s">
        <v>515</v>
      </c>
      <c r="F69" s="262">
        <v>0</v>
      </c>
      <c r="G69" s="263">
        <v>0</v>
      </c>
      <c r="H69" s="264">
        <v>0</v>
      </c>
      <c r="I69" s="263">
        <v>0</v>
      </c>
      <c r="J69" s="266">
        <v>0</v>
      </c>
      <c r="K69" s="262">
        <v>0</v>
      </c>
      <c r="L69" s="263">
        <v>0</v>
      </c>
      <c r="M69" s="264">
        <v>0</v>
      </c>
      <c r="N69" s="263">
        <v>0</v>
      </c>
      <c r="O69" s="266">
        <v>0</v>
      </c>
      <c r="P69" s="262">
        <v>0</v>
      </c>
      <c r="Q69" s="263">
        <v>0</v>
      </c>
      <c r="R69" s="264">
        <v>0</v>
      </c>
      <c r="S69" s="263">
        <v>0</v>
      </c>
      <c r="T69" s="266">
        <v>0</v>
      </c>
      <c r="U69" s="265">
        <v>0</v>
      </c>
      <c r="V69" s="263">
        <v>0</v>
      </c>
      <c r="W69" s="264">
        <v>0</v>
      </c>
      <c r="X69" s="263">
        <v>0</v>
      </c>
      <c r="Y69" s="264">
        <v>0</v>
      </c>
      <c r="Z69" s="262">
        <v>0</v>
      </c>
      <c r="AA69" s="263">
        <v>0</v>
      </c>
      <c r="AB69" s="264">
        <v>0</v>
      </c>
      <c r="AC69" s="263">
        <v>0</v>
      </c>
      <c r="AD69" s="264">
        <v>0</v>
      </c>
      <c r="AE69" s="262">
        <v>0</v>
      </c>
    </row>
    <row r="70" spans="2:31">
      <c r="B70" s="261"/>
      <c r="C70" s="250"/>
      <c r="D70" s="255"/>
      <c r="E70" s="250" t="s">
        <v>516</v>
      </c>
      <c r="F70" s="262">
        <v>0</v>
      </c>
      <c r="G70" s="263">
        <v>0</v>
      </c>
      <c r="H70" s="264">
        <v>0</v>
      </c>
      <c r="I70" s="263">
        <v>0</v>
      </c>
      <c r="J70" s="266">
        <v>0</v>
      </c>
      <c r="K70" s="262">
        <v>0</v>
      </c>
      <c r="L70" s="263">
        <v>0</v>
      </c>
      <c r="M70" s="264">
        <v>0</v>
      </c>
      <c r="N70" s="263">
        <v>0</v>
      </c>
      <c r="O70" s="266">
        <v>0</v>
      </c>
      <c r="P70" s="262">
        <v>0</v>
      </c>
      <c r="Q70" s="263">
        <v>0</v>
      </c>
      <c r="R70" s="264">
        <v>0</v>
      </c>
      <c r="S70" s="263">
        <v>0</v>
      </c>
      <c r="T70" s="266">
        <v>0</v>
      </c>
      <c r="U70" s="265">
        <v>0</v>
      </c>
      <c r="V70" s="263">
        <v>0</v>
      </c>
      <c r="W70" s="264">
        <v>0</v>
      </c>
      <c r="X70" s="263">
        <v>0</v>
      </c>
      <c r="Y70" s="264">
        <v>0</v>
      </c>
      <c r="Z70" s="262">
        <v>0</v>
      </c>
      <c r="AA70" s="263">
        <v>0</v>
      </c>
      <c r="AB70" s="264">
        <v>0</v>
      </c>
      <c r="AC70" s="263">
        <v>0</v>
      </c>
      <c r="AD70" s="264">
        <v>0</v>
      </c>
      <c r="AE70" s="262">
        <v>0</v>
      </c>
    </row>
    <row r="71" spans="2:31" ht="13.5" thickBot="1">
      <c r="B71" s="246"/>
      <c r="C71" s="247"/>
      <c r="D71" s="247"/>
      <c r="E71" s="247"/>
      <c r="F71" s="272"/>
      <c r="G71" s="273"/>
      <c r="H71" s="274"/>
      <c r="I71" s="273"/>
      <c r="J71" s="275"/>
      <c r="K71" s="276"/>
      <c r="L71" s="273"/>
      <c r="M71" s="274"/>
      <c r="N71" s="273"/>
      <c r="O71" s="275"/>
      <c r="P71" s="276"/>
      <c r="Q71" s="273"/>
      <c r="R71" s="274"/>
      <c r="S71" s="273"/>
      <c r="T71" s="275"/>
      <c r="U71" s="277"/>
      <c r="V71" s="273"/>
      <c r="W71" s="274"/>
      <c r="X71" s="273"/>
      <c r="Y71" s="274"/>
      <c r="Z71" s="276"/>
      <c r="AA71" s="273"/>
      <c r="AB71" s="274"/>
      <c r="AC71" s="273"/>
      <c r="AD71" s="274"/>
      <c r="AE71" s="276"/>
    </row>
    <row r="72" spans="2:31">
      <c r="B72" s="278"/>
      <c r="C72" s="279" t="s">
        <v>530</v>
      </c>
      <c r="D72" s="279"/>
      <c r="E72" s="280"/>
      <c r="F72" s="281"/>
      <c r="G72" s="282"/>
      <c r="H72" s="283"/>
      <c r="I72" s="282"/>
      <c r="J72" s="284"/>
      <c r="K72" s="281"/>
      <c r="L72" s="282"/>
      <c r="M72" s="283"/>
      <c r="N72" s="282"/>
      <c r="O72" s="284"/>
      <c r="P72" s="281"/>
      <c r="Q72" s="282"/>
      <c r="R72" s="283"/>
      <c r="S72" s="282"/>
      <c r="T72" s="284"/>
      <c r="U72" s="285"/>
      <c r="V72" s="282"/>
      <c r="W72" s="283"/>
      <c r="X72" s="282"/>
      <c r="Y72" s="283"/>
      <c r="Z72" s="281"/>
      <c r="AA72" s="282"/>
      <c r="AB72" s="283"/>
      <c r="AC72" s="282"/>
      <c r="AD72" s="283"/>
      <c r="AE72" s="281"/>
    </row>
    <row r="73" spans="2:31">
      <c r="B73" s="261"/>
      <c r="C73" s="250"/>
      <c r="D73" s="255" t="s">
        <v>584</v>
      </c>
      <c r="E73" s="250"/>
      <c r="F73" s="267"/>
      <c r="G73" s="268"/>
      <c r="H73" s="269"/>
      <c r="I73" s="268"/>
      <c r="J73" s="270"/>
      <c r="K73" s="267"/>
      <c r="L73" s="268"/>
      <c r="M73" s="269"/>
      <c r="N73" s="268"/>
      <c r="O73" s="270"/>
      <c r="P73" s="267"/>
      <c r="Q73" s="268"/>
      <c r="R73" s="269"/>
      <c r="S73" s="268"/>
      <c r="T73" s="270"/>
      <c r="U73" s="271"/>
      <c r="V73" s="268"/>
      <c r="W73" s="269"/>
      <c r="X73" s="268"/>
      <c r="Y73" s="269"/>
      <c r="Z73" s="267"/>
      <c r="AA73" s="268"/>
      <c r="AB73" s="269"/>
      <c r="AC73" s="268"/>
      <c r="AD73" s="269"/>
      <c r="AE73" s="267"/>
    </row>
    <row r="74" spans="2:31">
      <c r="B74" s="261"/>
      <c r="C74" s="250"/>
      <c r="D74" s="250"/>
      <c r="E74" s="250" t="s">
        <v>531</v>
      </c>
      <c r="F74" s="262">
        <v>1048.5</v>
      </c>
      <c r="G74" s="263">
        <v>0</v>
      </c>
      <c r="H74" s="264">
        <v>1</v>
      </c>
      <c r="I74" s="263">
        <v>0</v>
      </c>
      <c r="J74" s="266">
        <v>0</v>
      </c>
      <c r="K74" s="262">
        <v>1047.5</v>
      </c>
      <c r="L74" s="263">
        <v>0</v>
      </c>
      <c r="M74" s="264">
        <v>0</v>
      </c>
      <c r="N74" s="263">
        <v>0</v>
      </c>
      <c r="O74" s="266">
        <v>2</v>
      </c>
      <c r="P74" s="262">
        <v>1049.5</v>
      </c>
      <c r="Q74" s="263">
        <v>0</v>
      </c>
      <c r="R74" s="264">
        <v>0</v>
      </c>
      <c r="S74" s="263">
        <v>0</v>
      </c>
      <c r="T74" s="266">
        <v>4.5</v>
      </c>
      <c r="U74" s="265">
        <v>1054</v>
      </c>
      <c r="V74" s="263">
        <v>0</v>
      </c>
      <c r="W74" s="264">
        <v>0</v>
      </c>
      <c r="X74" s="263">
        <v>0</v>
      </c>
      <c r="Y74" s="264">
        <v>0</v>
      </c>
      <c r="Z74" s="262">
        <v>1054</v>
      </c>
      <c r="AA74" s="263">
        <v>0</v>
      </c>
      <c r="AB74" s="264">
        <v>8.1</v>
      </c>
      <c r="AC74" s="263">
        <v>0</v>
      </c>
      <c r="AD74" s="264">
        <v>4.5</v>
      </c>
      <c r="AE74" s="262">
        <v>1050.4000000000001</v>
      </c>
    </row>
    <row r="75" spans="2:31">
      <c r="B75" s="261"/>
      <c r="C75" s="250"/>
      <c r="D75" s="255"/>
      <c r="E75" s="250" t="s">
        <v>532</v>
      </c>
      <c r="F75" s="262">
        <v>307.27</v>
      </c>
      <c r="G75" s="263">
        <v>0</v>
      </c>
      <c r="H75" s="264">
        <v>0</v>
      </c>
      <c r="I75" s="263">
        <v>0</v>
      </c>
      <c r="J75" s="266">
        <v>0</v>
      </c>
      <c r="K75" s="262">
        <v>307.27</v>
      </c>
      <c r="L75" s="263">
        <v>0</v>
      </c>
      <c r="M75" s="264">
        <v>0</v>
      </c>
      <c r="N75" s="263">
        <v>0</v>
      </c>
      <c r="O75" s="266">
        <v>0</v>
      </c>
      <c r="P75" s="262">
        <v>307.27</v>
      </c>
      <c r="Q75" s="263">
        <v>0</v>
      </c>
      <c r="R75" s="264">
        <v>0</v>
      </c>
      <c r="S75" s="263">
        <v>0</v>
      </c>
      <c r="T75" s="266">
        <v>0</v>
      </c>
      <c r="U75" s="265">
        <v>307.27</v>
      </c>
      <c r="V75" s="263">
        <v>0</v>
      </c>
      <c r="W75" s="264">
        <v>0</v>
      </c>
      <c r="X75" s="263">
        <v>0</v>
      </c>
      <c r="Y75" s="264">
        <v>1.73</v>
      </c>
      <c r="Z75" s="262">
        <v>309</v>
      </c>
      <c r="AA75" s="263">
        <v>0</v>
      </c>
      <c r="AB75" s="264">
        <v>0</v>
      </c>
      <c r="AC75" s="263">
        <v>0</v>
      </c>
      <c r="AD75" s="264">
        <v>0</v>
      </c>
      <c r="AE75" s="262">
        <v>309</v>
      </c>
    </row>
    <row r="76" spans="2:31">
      <c r="B76" s="261"/>
      <c r="C76" s="250"/>
      <c r="D76" s="255"/>
      <c r="E76" s="250" t="s">
        <v>533</v>
      </c>
      <c r="F76" s="262">
        <v>0</v>
      </c>
      <c r="G76" s="263">
        <v>0</v>
      </c>
      <c r="H76" s="264">
        <v>0</v>
      </c>
      <c r="I76" s="263">
        <v>0</v>
      </c>
      <c r="J76" s="266">
        <v>0</v>
      </c>
      <c r="K76" s="262">
        <v>0</v>
      </c>
      <c r="L76" s="263">
        <v>0</v>
      </c>
      <c r="M76" s="264">
        <v>0</v>
      </c>
      <c r="N76" s="263">
        <v>0</v>
      </c>
      <c r="O76" s="266">
        <v>0</v>
      </c>
      <c r="P76" s="262">
        <v>0</v>
      </c>
      <c r="Q76" s="263">
        <v>0</v>
      </c>
      <c r="R76" s="264">
        <v>0</v>
      </c>
      <c r="S76" s="263">
        <v>0</v>
      </c>
      <c r="T76" s="266">
        <v>0</v>
      </c>
      <c r="U76" s="265">
        <v>0</v>
      </c>
      <c r="V76" s="263">
        <v>0</v>
      </c>
      <c r="W76" s="264">
        <v>0</v>
      </c>
      <c r="X76" s="263">
        <v>0</v>
      </c>
      <c r="Y76" s="264">
        <v>0</v>
      </c>
      <c r="Z76" s="262">
        <v>0</v>
      </c>
      <c r="AA76" s="263">
        <v>0</v>
      </c>
      <c r="AB76" s="264">
        <v>0</v>
      </c>
      <c r="AC76" s="263">
        <v>0</v>
      </c>
      <c r="AD76" s="264">
        <v>0</v>
      </c>
      <c r="AE76" s="262">
        <v>0</v>
      </c>
    </row>
    <row r="77" spans="2:31">
      <c r="B77" s="261"/>
      <c r="C77" s="250"/>
      <c r="D77" s="255"/>
      <c r="E77" s="250" t="s">
        <v>534</v>
      </c>
      <c r="F77" s="262">
        <v>0</v>
      </c>
      <c r="G77" s="263">
        <v>0</v>
      </c>
      <c r="H77" s="264">
        <v>0</v>
      </c>
      <c r="I77" s="263">
        <v>0</v>
      </c>
      <c r="J77" s="266">
        <v>0</v>
      </c>
      <c r="K77" s="262">
        <v>0</v>
      </c>
      <c r="L77" s="263">
        <v>0</v>
      </c>
      <c r="M77" s="264">
        <v>0</v>
      </c>
      <c r="N77" s="263">
        <v>0</v>
      </c>
      <c r="O77" s="266">
        <v>0</v>
      </c>
      <c r="P77" s="262">
        <v>0</v>
      </c>
      <c r="Q77" s="263">
        <v>0</v>
      </c>
      <c r="R77" s="264">
        <v>0</v>
      </c>
      <c r="S77" s="263">
        <v>0</v>
      </c>
      <c r="T77" s="266">
        <v>0</v>
      </c>
      <c r="U77" s="265">
        <v>0</v>
      </c>
      <c r="V77" s="263">
        <v>0</v>
      </c>
      <c r="W77" s="264">
        <v>0</v>
      </c>
      <c r="X77" s="263">
        <v>0</v>
      </c>
      <c r="Y77" s="264">
        <v>0</v>
      </c>
      <c r="Z77" s="262">
        <v>0</v>
      </c>
      <c r="AA77" s="263">
        <v>0</v>
      </c>
      <c r="AB77" s="264">
        <v>0</v>
      </c>
      <c r="AC77" s="263">
        <v>0</v>
      </c>
      <c r="AD77" s="264">
        <v>0</v>
      </c>
      <c r="AE77" s="262">
        <v>0</v>
      </c>
    </row>
    <row r="78" spans="2:31">
      <c r="B78" s="261"/>
      <c r="C78" s="250"/>
      <c r="D78" s="255"/>
      <c r="E78" s="250"/>
      <c r="F78" s="267"/>
      <c r="G78" s="268"/>
      <c r="H78" s="269"/>
      <c r="I78" s="268"/>
      <c r="J78" s="270"/>
      <c r="K78" s="267"/>
      <c r="L78" s="268"/>
      <c r="M78" s="269"/>
      <c r="N78" s="268"/>
      <c r="O78" s="270"/>
      <c r="P78" s="267"/>
      <c r="Q78" s="268"/>
      <c r="R78" s="269"/>
      <c r="S78" s="268"/>
      <c r="T78" s="270"/>
      <c r="U78" s="271"/>
      <c r="V78" s="268"/>
      <c r="W78" s="269"/>
      <c r="X78" s="268"/>
      <c r="Y78" s="269"/>
      <c r="Z78" s="267"/>
      <c r="AA78" s="268"/>
      <c r="AB78" s="269"/>
      <c r="AC78" s="268"/>
      <c r="AD78" s="269"/>
      <c r="AE78" s="267"/>
    </row>
    <row r="79" spans="2:31">
      <c r="B79" s="261"/>
      <c r="C79" s="250"/>
      <c r="D79" s="255" t="s">
        <v>745</v>
      </c>
      <c r="E79" s="250"/>
      <c r="F79" s="267"/>
      <c r="G79" s="268"/>
      <c r="H79" s="269"/>
      <c r="I79" s="268"/>
      <c r="J79" s="270"/>
      <c r="K79" s="267"/>
      <c r="L79" s="268"/>
      <c r="M79" s="269"/>
      <c r="N79" s="268"/>
      <c r="O79" s="270"/>
      <c r="P79" s="267"/>
      <c r="Q79" s="268"/>
      <c r="R79" s="269"/>
      <c r="S79" s="268"/>
      <c r="T79" s="270"/>
      <c r="U79" s="271"/>
      <c r="V79" s="268"/>
      <c r="W79" s="269"/>
      <c r="X79" s="268"/>
      <c r="Y79" s="269"/>
      <c r="Z79" s="267"/>
      <c r="AA79" s="268"/>
      <c r="AB79" s="269"/>
      <c r="AC79" s="268"/>
      <c r="AD79" s="269"/>
      <c r="AE79" s="267"/>
    </row>
    <row r="80" spans="2:31">
      <c r="B80" s="261"/>
      <c r="C80" s="250"/>
      <c r="D80" s="250"/>
      <c r="E80" s="250" t="s">
        <v>535</v>
      </c>
      <c r="F80" s="262">
        <v>11968.818146532947</v>
      </c>
      <c r="G80" s="263">
        <v>0</v>
      </c>
      <c r="H80" s="264">
        <v>0</v>
      </c>
      <c r="I80" s="263">
        <v>556</v>
      </c>
      <c r="J80" s="266">
        <v>62.166666666666671</v>
      </c>
      <c r="K80" s="262">
        <v>12586.984813199613</v>
      </c>
      <c r="L80" s="263">
        <v>0</v>
      </c>
      <c r="M80" s="264">
        <v>0</v>
      </c>
      <c r="N80" s="263">
        <v>0</v>
      </c>
      <c r="O80" s="266">
        <v>0</v>
      </c>
      <c r="P80" s="262">
        <v>12586.984813199613</v>
      </c>
      <c r="Q80" s="263">
        <v>0</v>
      </c>
      <c r="R80" s="264">
        <v>56</v>
      </c>
      <c r="S80" s="263">
        <v>0</v>
      </c>
      <c r="T80" s="266">
        <v>50</v>
      </c>
      <c r="U80" s="265">
        <v>12580.984813199613</v>
      </c>
      <c r="V80" s="263">
        <v>0</v>
      </c>
      <c r="W80" s="264">
        <v>10.984813199613496</v>
      </c>
      <c r="X80" s="263">
        <v>0</v>
      </c>
      <c r="Y80" s="264">
        <v>11</v>
      </c>
      <c r="Z80" s="262">
        <v>12581</v>
      </c>
      <c r="AA80" s="263">
        <v>0</v>
      </c>
      <c r="AB80" s="264">
        <v>106</v>
      </c>
      <c r="AC80" s="263">
        <v>0</v>
      </c>
      <c r="AD80" s="264">
        <v>25</v>
      </c>
      <c r="AE80" s="262">
        <v>12500</v>
      </c>
    </row>
    <row r="81" spans="2:31">
      <c r="B81" s="261"/>
      <c r="C81" s="250"/>
      <c r="D81" s="250"/>
      <c r="E81" s="250" t="s">
        <v>536</v>
      </c>
      <c r="F81" s="262">
        <v>792</v>
      </c>
      <c r="G81" s="263">
        <v>0</v>
      </c>
      <c r="H81" s="264">
        <v>0</v>
      </c>
      <c r="I81" s="263">
        <v>0</v>
      </c>
      <c r="J81" s="266">
        <v>0</v>
      </c>
      <c r="K81" s="262">
        <v>792</v>
      </c>
      <c r="L81" s="263">
        <v>0</v>
      </c>
      <c r="M81" s="264">
        <v>0</v>
      </c>
      <c r="N81" s="263">
        <v>0</v>
      </c>
      <c r="O81" s="266">
        <v>0</v>
      </c>
      <c r="P81" s="262">
        <v>792</v>
      </c>
      <c r="Q81" s="263">
        <v>0</v>
      </c>
      <c r="R81" s="264">
        <v>81</v>
      </c>
      <c r="S81" s="263">
        <v>0</v>
      </c>
      <c r="T81" s="266">
        <v>0</v>
      </c>
      <c r="U81" s="265">
        <v>711</v>
      </c>
      <c r="V81" s="263">
        <v>0</v>
      </c>
      <c r="W81" s="264">
        <v>0</v>
      </c>
      <c r="X81" s="263">
        <v>0</v>
      </c>
      <c r="Y81" s="264">
        <v>0</v>
      </c>
      <c r="Z81" s="262">
        <v>711</v>
      </c>
      <c r="AA81" s="263">
        <v>0</v>
      </c>
      <c r="AB81" s="264">
        <v>0</v>
      </c>
      <c r="AC81" s="263">
        <v>0</v>
      </c>
      <c r="AD81" s="264">
        <v>0</v>
      </c>
      <c r="AE81" s="262">
        <v>711</v>
      </c>
    </row>
    <row r="82" spans="2:31">
      <c r="B82" s="261"/>
      <c r="C82" s="250"/>
      <c r="D82" s="255"/>
      <c r="E82" s="250" t="s">
        <v>537</v>
      </c>
      <c r="F82" s="262">
        <v>0</v>
      </c>
      <c r="G82" s="263">
        <v>0</v>
      </c>
      <c r="H82" s="264">
        <v>0</v>
      </c>
      <c r="I82" s="263">
        <v>0</v>
      </c>
      <c r="J82" s="266">
        <v>0</v>
      </c>
      <c r="K82" s="262">
        <v>0</v>
      </c>
      <c r="L82" s="263">
        <v>0</v>
      </c>
      <c r="M82" s="264">
        <v>0</v>
      </c>
      <c r="N82" s="263">
        <v>0</v>
      </c>
      <c r="O82" s="266">
        <v>0</v>
      </c>
      <c r="P82" s="262">
        <v>0</v>
      </c>
      <c r="Q82" s="263">
        <v>0</v>
      </c>
      <c r="R82" s="264">
        <v>0</v>
      </c>
      <c r="S82" s="263">
        <v>0</v>
      </c>
      <c r="T82" s="266">
        <v>0</v>
      </c>
      <c r="U82" s="265">
        <v>0</v>
      </c>
      <c r="V82" s="263">
        <v>0</v>
      </c>
      <c r="W82" s="264">
        <v>0</v>
      </c>
      <c r="X82" s="263">
        <v>0</v>
      </c>
      <c r="Y82" s="264">
        <v>0</v>
      </c>
      <c r="Z82" s="262">
        <v>0</v>
      </c>
      <c r="AA82" s="263">
        <v>0</v>
      </c>
      <c r="AB82" s="264">
        <v>0</v>
      </c>
      <c r="AC82" s="263">
        <v>0</v>
      </c>
      <c r="AD82" s="264">
        <v>0</v>
      </c>
      <c r="AE82" s="262">
        <v>0</v>
      </c>
    </row>
    <row r="83" spans="2:31">
      <c r="B83" s="261"/>
      <c r="C83" s="250"/>
      <c r="D83" s="255"/>
      <c r="E83" s="250" t="s">
        <v>538</v>
      </c>
      <c r="F83" s="262">
        <v>0</v>
      </c>
      <c r="G83" s="263">
        <v>0</v>
      </c>
      <c r="H83" s="264">
        <v>0</v>
      </c>
      <c r="I83" s="263">
        <v>0</v>
      </c>
      <c r="J83" s="266">
        <v>0</v>
      </c>
      <c r="K83" s="262">
        <v>0</v>
      </c>
      <c r="L83" s="263">
        <v>0</v>
      </c>
      <c r="M83" s="264">
        <v>0</v>
      </c>
      <c r="N83" s="263">
        <v>0</v>
      </c>
      <c r="O83" s="266">
        <v>0</v>
      </c>
      <c r="P83" s="262">
        <v>0</v>
      </c>
      <c r="Q83" s="263">
        <v>0</v>
      </c>
      <c r="R83" s="264">
        <v>0</v>
      </c>
      <c r="S83" s="263">
        <v>0</v>
      </c>
      <c r="T83" s="266">
        <v>0</v>
      </c>
      <c r="U83" s="265">
        <v>0</v>
      </c>
      <c r="V83" s="263">
        <v>0</v>
      </c>
      <c r="W83" s="264">
        <v>0</v>
      </c>
      <c r="X83" s="263">
        <v>0</v>
      </c>
      <c r="Y83" s="264">
        <v>0</v>
      </c>
      <c r="Z83" s="262">
        <v>0</v>
      </c>
      <c r="AA83" s="263">
        <v>0</v>
      </c>
      <c r="AB83" s="264">
        <v>0</v>
      </c>
      <c r="AC83" s="263">
        <v>0</v>
      </c>
      <c r="AD83" s="264">
        <v>0</v>
      </c>
      <c r="AE83" s="262">
        <v>0</v>
      </c>
    </row>
    <row r="84" spans="2:31">
      <c r="B84" s="261"/>
      <c r="C84" s="250"/>
      <c r="D84" s="250"/>
      <c r="E84" s="250"/>
      <c r="F84" s="267"/>
      <c r="G84" s="268"/>
      <c r="H84" s="269"/>
      <c r="I84" s="268"/>
      <c r="J84" s="270"/>
      <c r="K84" s="267"/>
      <c r="L84" s="268"/>
      <c r="M84" s="269"/>
      <c r="N84" s="268"/>
      <c r="O84" s="270"/>
      <c r="P84" s="267"/>
      <c r="Q84" s="268"/>
      <c r="R84" s="269"/>
      <c r="S84" s="268"/>
      <c r="T84" s="270"/>
      <c r="U84" s="271"/>
      <c r="V84" s="268"/>
      <c r="W84" s="269"/>
      <c r="X84" s="268"/>
      <c r="Y84" s="269"/>
      <c r="Z84" s="267"/>
      <c r="AA84" s="268"/>
      <c r="AB84" s="269"/>
      <c r="AC84" s="268"/>
      <c r="AD84" s="269"/>
      <c r="AE84" s="267"/>
    </row>
    <row r="85" spans="2:31">
      <c r="B85" s="248"/>
      <c r="C85" s="250"/>
      <c r="D85" s="255" t="s">
        <v>769</v>
      </c>
      <c r="E85" s="250"/>
      <c r="F85" s="267"/>
      <c r="G85" s="268"/>
      <c r="H85" s="269"/>
      <c r="I85" s="268"/>
      <c r="J85" s="270"/>
      <c r="K85" s="267"/>
      <c r="L85" s="268"/>
      <c r="M85" s="269"/>
      <c r="N85" s="268"/>
      <c r="O85" s="270"/>
      <c r="P85" s="267"/>
      <c r="Q85" s="268"/>
      <c r="R85" s="269"/>
      <c r="S85" s="268"/>
      <c r="T85" s="270"/>
      <c r="U85" s="271"/>
      <c r="V85" s="268"/>
      <c r="W85" s="269"/>
      <c r="X85" s="268"/>
      <c r="Y85" s="269"/>
      <c r="Z85" s="267"/>
      <c r="AA85" s="268"/>
      <c r="AB85" s="269"/>
      <c r="AC85" s="268"/>
      <c r="AD85" s="269"/>
      <c r="AE85" s="267"/>
    </row>
    <row r="86" spans="2:31">
      <c r="B86" s="248"/>
      <c r="C86" s="250"/>
      <c r="D86" s="255"/>
      <c r="E86" s="250" t="s">
        <v>417</v>
      </c>
      <c r="F86" s="262">
        <v>1504.8620296515498</v>
      </c>
      <c r="G86" s="263">
        <v>0</v>
      </c>
      <c r="H86" s="264">
        <v>0</v>
      </c>
      <c r="I86" s="263">
        <v>13.95</v>
      </c>
      <c r="J86" s="266">
        <v>7.7389999999999999</v>
      </c>
      <c r="K86" s="262">
        <v>1526.5510296515499</v>
      </c>
      <c r="L86" s="263">
        <v>0</v>
      </c>
      <c r="M86" s="264">
        <v>5</v>
      </c>
      <c r="N86" s="263">
        <v>2</v>
      </c>
      <c r="O86" s="266">
        <v>7</v>
      </c>
      <c r="P86" s="262">
        <v>1530.5510296515499</v>
      </c>
      <c r="Q86" s="263">
        <v>0</v>
      </c>
      <c r="R86" s="264">
        <v>8</v>
      </c>
      <c r="S86" s="263">
        <v>3.62</v>
      </c>
      <c r="T86" s="266">
        <v>10.8</v>
      </c>
      <c r="U86" s="265">
        <v>1536.97102965155</v>
      </c>
      <c r="V86" s="263">
        <v>0</v>
      </c>
      <c r="W86" s="264">
        <v>0</v>
      </c>
      <c r="X86" s="263">
        <v>0</v>
      </c>
      <c r="Y86" s="264">
        <v>24.028970348449931</v>
      </c>
      <c r="Z86" s="262">
        <v>1561</v>
      </c>
      <c r="AA86" s="263">
        <v>0</v>
      </c>
      <c r="AB86" s="264">
        <v>0</v>
      </c>
      <c r="AC86" s="263">
        <v>29.617000000000001</v>
      </c>
      <c r="AD86" s="264">
        <v>25.765999999999998</v>
      </c>
      <c r="AE86" s="262">
        <v>1616.383</v>
      </c>
    </row>
    <row r="87" spans="2:31">
      <c r="B87" s="248"/>
      <c r="C87" s="250"/>
      <c r="D87" s="255"/>
      <c r="E87" s="250" t="s">
        <v>418</v>
      </c>
      <c r="F87" s="262">
        <v>404.8</v>
      </c>
      <c r="G87" s="263">
        <v>0</v>
      </c>
      <c r="H87" s="264">
        <v>0</v>
      </c>
      <c r="I87" s="263">
        <v>0</v>
      </c>
      <c r="J87" s="266">
        <v>0</v>
      </c>
      <c r="K87" s="262">
        <v>404.8</v>
      </c>
      <c r="L87" s="263">
        <v>0</v>
      </c>
      <c r="M87" s="264">
        <v>1</v>
      </c>
      <c r="N87" s="263">
        <v>0</v>
      </c>
      <c r="O87" s="266">
        <v>0</v>
      </c>
      <c r="P87" s="262">
        <v>403.8</v>
      </c>
      <c r="Q87" s="263">
        <v>0</v>
      </c>
      <c r="R87" s="264">
        <v>2.8</v>
      </c>
      <c r="S87" s="263">
        <v>0</v>
      </c>
      <c r="T87" s="266">
        <v>0</v>
      </c>
      <c r="U87" s="265">
        <v>401</v>
      </c>
      <c r="V87" s="263">
        <v>0</v>
      </c>
      <c r="W87" s="264">
        <v>15</v>
      </c>
      <c r="X87" s="263">
        <v>0</v>
      </c>
      <c r="Y87" s="264">
        <v>0</v>
      </c>
      <c r="Z87" s="262">
        <v>386</v>
      </c>
      <c r="AA87" s="263">
        <v>0</v>
      </c>
      <c r="AB87" s="264">
        <v>21.866</v>
      </c>
      <c r="AC87" s="263">
        <v>0</v>
      </c>
      <c r="AD87" s="264">
        <v>0</v>
      </c>
      <c r="AE87" s="262">
        <v>364.13400000000001</v>
      </c>
    </row>
    <row r="88" spans="2:31">
      <c r="B88" s="248"/>
      <c r="C88" s="250"/>
      <c r="D88" s="255"/>
      <c r="E88" s="250" t="s">
        <v>419</v>
      </c>
      <c r="F88" s="262">
        <v>267</v>
      </c>
      <c r="G88" s="263">
        <v>0</v>
      </c>
      <c r="H88" s="264">
        <v>0</v>
      </c>
      <c r="I88" s="263">
        <v>0</v>
      </c>
      <c r="J88" s="266">
        <v>0</v>
      </c>
      <c r="K88" s="262">
        <v>267</v>
      </c>
      <c r="L88" s="263">
        <v>0</v>
      </c>
      <c r="M88" s="264">
        <v>0</v>
      </c>
      <c r="N88" s="263">
        <v>0</v>
      </c>
      <c r="O88" s="266">
        <v>0</v>
      </c>
      <c r="P88" s="262">
        <v>267</v>
      </c>
      <c r="Q88" s="263">
        <v>0</v>
      </c>
      <c r="R88" s="264">
        <v>6</v>
      </c>
      <c r="S88" s="263">
        <v>0</v>
      </c>
      <c r="T88" s="266">
        <v>0</v>
      </c>
      <c r="U88" s="265">
        <v>261</v>
      </c>
      <c r="V88" s="263">
        <v>0</v>
      </c>
      <c r="W88" s="264">
        <v>0</v>
      </c>
      <c r="X88" s="263">
        <v>0</v>
      </c>
      <c r="Y88" s="264">
        <v>0</v>
      </c>
      <c r="Z88" s="262">
        <v>261</v>
      </c>
      <c r="AA88" s="263">
        <v>0</v>
      </c>
      <c r="AB88" s="264">
        <v>0</v>
      </c>
      <c r="AC88" s="263">
        <v>0</v>
      </c>
      <c r="AD88" s="264">
        <v>0</v>
      </c>
      <c r="AE88" s="262">
        <v>261</v>
      </c>
    </row>
    <row r="89" spans="2:31">
      <c r="B89" s="248"/>
      <c r="C89" s="250"/>
      <c r="D89" s="255"/>
      <c r="E89" s="250" t="s">
        <v>543</v>
      </c>
      <c r="F89" s="262">
        <v>0</v>
      </c>
      <c r="G89" s="263">
        <v>0</v>
      </c>
      <c r="H89" s="264">
        <v>0</v>
      </c>
      <c r="I89" s="263">
        <v>0</v>
      </c>
      <c r="J89" s="266">
        <v>0</v>
      </c>
      <c r="K89" s="262">
        <v>0</v>
      </c>
      <c r="L89" s="263">
        <v>0</v>
      </c>
      <c r="M89" s="264">
        <v>0</v>
      </c>
      <c r="N89" s="263">
        <v>0</v>
      </c>
      <c r="O89" s="266">
        <v>0</v>
      </c>
      <c r="P89" s="262">
        <v>0</v>
      </c>
      <c r="Q89" s="263">
        <v>0</v>
      </c>
      <c r="R89" s="264">
        <v>0</v>
      </c>
      <c r="S89" s="263">
        <v>0</v>
      </c>
      <c r="T89" s="266">
        <v>0</v>
      </c>
      <c r="U89" s="265">
        <v>0</v>
      </c>
      <c r="V89" s="263">
        <v>0</v>
      </c>
      <c r="W89" s="264">
        <v>0</v>
      </c>
      <c r="X89" s="263">
        <v>0</v>
      </c>
      <c r="Y89" s="264">
        <v>0</v>
      </c>
      <c r="Z89" s="262">
        <v>0</v>
      </c>
      <c r="AA89" s="263">
        <v>0</v>
      </c>
      <c r="AB89" s="264">
        <v>0</v>
      </c>
      <c r="AC89" s="263">
        <v>0</v>
      </c>
      <c r="AD89" s="264">
        <v>0</v>
      </c>
      <c r="AE89" s="262">
        <v>0</v>
      </c>
    </row>
    <row r="90" spans="2:31">
      <c r="B90" s="248"/>
      <c r="C90" s="250"/>
      <c r="D90" s="255"/>
      <c r="E90" s="250" t="s">
        <v>429</v>
      </c>
      <c r="F90" s="262">
        <v>0</v>
      </c>
      <c r="G90" s="263">
        <v>0</v>
      </c>
      <c r="H90" s="264">
        <v>0</v>
      </c>
      <c r="I90" s="263">
        <v>0</v>
      </c>
      <c r="J90" s="266">
        <v>0</v>
      </c>
      <c r="K90" s="262">
        <v>0</v>
      </c>
      <c r="L90" s="263">
        <v>0</v>
      </c>
      <c r="M90" s="264">
        <v>0</v>
      </c>
      <c r="N90" s="263">
        <v>0</v>
      </c>
      <c r="O90" s="266">
        <v>0</v>
      </c>
      <c r="P90" s="262">
        <v>0</v>
      </c>
      <c r="Q90" s="263">
        <v>0</v>
      </c>
      <c r="R90" s="264">
        <v>0</v>
      </c>
      <c r="S90" s="263">
        <v>0</v>
      </c>
      <c r="T90" s="266">
        <v>0</v>
      </c>
      <c r="U90" s="265">
        <v>0</v>
      </c>
      <c r="V90" s="263">
        <v>0</v>
      </c>
      <c r="W90" s="264">
        <v>0</v>
      </c>
      <c r="X90" s="263">
        <v>0</v>
      </c>
      <c r="Y90" s="264">
        <v>0</v>
      </c>
      <c r="Z90" s="262">
        <v>0</v>
      </c>
      <c r="AA90" s="263">
        <v>0</v>
      </c>
      <c r="AB90" s="264">
        <v>0</v>
      </c>
      <c r="AC90" s="263">
        <v>0</v>
      </c>
      <c r="AD90" s="264">
        <v>0</v>
      </c>
      <c r="AE90" s="262">
        <v>0</v>
      </c>
    </row>
    <row r="91" spans="2:31">
      <c r="B91" s="248"/>
      <c r="C91" s="250"/>
      <c r="D91" s="255"/>
      <c r="E91" s="250" t="s">
        <v>430</v>
      </c>
      <c r="F91" s="262">
        <v>0</v>
      </c>
      <c r="G91" s="263">
        <v>0</v>
      </c>
      <c r="H91" s="264">
        <v>0</v>
      </c>
      <c r="I91" s="263">
        <v>0</v>
      </c>
      <c r="J91" s="266">
        <v>0</v>
      </c>
      <c r="K91" s="262">
        <v>0</v>
      </c>
      <c r="L91" s="263">
        <v>0</v>
      </c>
      <c r="M91" s="264">
        <v>0</v>
      </c>
      <c r="N91" s="263">
        <v>0</v>
      </c>
      <c r="O91" s="266">
        <v>0</v>
      </c>
      <c r="P91" s="262">
        <v>0</v>
      </c>
      <c r="Q91" s="263">
        <v>0</v>
      </c>
      <c r="R91" s="264">
        <v>0</v>
      </c>
      <c r="S91" s="263">
        <v>0</v>
      </c>
      <c r="T91" s="266">
        <v>0</v>
      </c>
      <c r="U91" s="265">
        <v>0</v>
      </c>
      <c r="V91" s="263">
        <v>0</v>
      </c>
      <c r="W91" s="264">
        <v>0</v>
      </c>
      <c r="X91" s="263">
        <v>0</v>
      </c>
      <c r="Y91" s="264">
        <v>0</v>
      </c>
      <c r="Z91" s="262">
        <v>0</v>
      </c>
      <c r="AA91" s="263">
        <v>0</v>
      </c>
      <c r="AB91" s="264">
        <v>0</v>
      </c>
      <c r="AC91" s="263">
        <v>0</v>
      </c>
      <c r="AD91" s="264">
        <v>0</v>
      </c>
      <c r="AE91" s="262">
        <v>0</v>
      </c>
    </row>
    <row r="92" spans="2:31">
      <c r="B92" s="248"/>
      <c r="C92" s="250"/>
      <c r="D92" s="250"/>
      <c r="E92" s="250"/>
      <c r="F92" s="267"/>
      <c r="G92" s="268"/>
      <c r="H92" s="269"/>
      <c r="I92" s="268"/>
      <c r="J92" s="270"/>
      <c r="K92" s="267"/>
      <c r="L92" s="268"/>
      <c r="M92" s="269"/>
      <c r="N92" s="268"/>
      <c r="O92" s="270"/>
      <c r="P92" s="267"/>
      <c r="Q92" s="268"/>
      <c r="R92" s="269"/>
      <c r="S92" s="268"/>
      <c r="T92" s="270"/>
      <c r="U92" s="271"/>
      <c r="V92" s="268"/>
      <c r="W92" s="269"/>
      <c r="X92" s="268"/>
      <c r="Y92" s="269"/>
      <c r="Z92" s="267"/>
      <c r="AA92" s="268"/>
      <c r="AB92" s="269"/>
      <c r="AC92" s="268"/>
      <c r="AD92" s="269"/>
      <c r="AE92" s="267"/>
    </row>
    <row r="93" spans="2:31">
      <c r="B93" s="248"/>
      <c r="C93" s="250"/>
      <c r="D93" s="255" t="s">
        <v>68</v>
      </c>
      <c r="E93" s="250"/>
      <c r="F93" s="267"/>
      <c r="G93" s="268"/>
      <c r="H93" s="269"/>
      <c r="I93" s="268"/>
      <c r="J93" s="270"/>
      <c r="K93" s="267"/>
      <c r="L93" s="268"/>
      <c r="M93" s="269"/>
      <c r="N93" s="268"/>
      <c r="O93" s="270"/>
      <c r="P93" s="267"/>
      <c r="Q93" s="268"/>
      <c r="R93" s="269"/>
      <c r="S93" s="268"/>
      <c r="T93" s="270"/>
      <c r="U93" s="271"/>
      <c r="V93" s="268"/>
      <c r="W93" s="269"/>
      <c r="X93" s="268"/>
      <c r="Y93" s="269"/>
      <c r="Z93" s="267"/>
      <c r="AA93" s="268"/>
      <c r="AB93" s="269"/>
      <c r="AC93" s="268"/>
      <c r="AD93" s="269"/>
      <c r="AE93" s="267"/>
    </row>
    <row r="94" spans="2:31">
      <c r="B94" s="248"/>
      <c r="C94" s="250"/>
      <c r="D94" s="250"/>
      <c r="E94" s="250" t="s">
        <v>389</v>
      </c>
      <c r="F94" s="262">
        <v>0</v>
      </c>
      <c r="G94" s="263">
        <v>0</v>
      </c>
      <c r="H94" s="264">
        <v>0</v>
      </c>
      <c r="I94" s="263">
        <v>0</v>
      </c>
      <c r="J94" s="266">
        <v>0</v>
      </c>
      <c r="K94" s="262">
        <v>0</v>
      </c>
      <c r="L94" s="263">
        <v>0</v>
      </c>
      <c r="M94" s="264">
        <v>0</v>
      </c>
      <c r="N94" s="263">
        <v>0</v>
      </c>
      <c r="O94" s="266">
        <v>0</v>
      </c>
      <c r="P94" s="262">
        <v>0</v>
      </c>
      <c r="Q94" s="263">
        <v>0</v>
      </c>
      <c r="R94" s="264">
        <v>0</v>
      </c>
      <c r="S94" s="263">
        <v>0</v>
      </c>
      <c r="T94" s="266">
        <v>0</v>
      </c>
      <c r="U94" s="265">
        <v>0</v>
      </c>
      <c r="V94" s="263">
        <v>0</v>
      </c>
      <c r="W94" s="264">
        <v>0</v>
      </c>
      <c r="X94" s="263">
        <v>0</v>
      </c>
      <c r="Y94" s="264">
        <v>0</v>
      </c>
      <c r="Z94" s="262">
        <v>0</v>
      </c>
      <c r="AA94" s="263">
        <v>0</v>
      </c>
      <c r="AB94" s="264">
        <v>0</v>
      </c>
      <c r="AC94" s="263">
        <v>0</v>
      </c>
      <c r="AD94" s="264">
        <v>0</v>
      </c>
      <c r="AE94" s="262">
        <v>0</v>
      </c>
    </row>
    <row r="95" spans="2:31">
      <c r="B95" s="248"/>
      <c r="C95" s="250"/>
      <c r="D95" s="255"/>
      <c r="E95" s="250"/>
      <c r="F95" s="267"/>
      <c r="G95" s="268"/>
      <c r="H95" s="269"/>
      <c r="I95" s="268"/>
      <c r="J95" s="270"/>
      <c r="K95" s="267"/>
      <c r="L95" s="268"/>
      <c r="M95" s="269"/>
      <c r="N95" s="268"/>
      <c r="O95" s="270"/>
      <c r="P95" s="267"/>
      <c r="Q95" s="268"/>
      <c r="R95" s="269"/>
      <c r="S95" s="268"/>
      <c r="T95" s="270"/>
      <c r="U95" s="271"/>
      <c r="V95" s="268"/>
      <c r="W95" s="269"/>
      <c r="X95" s="268"/>
      <c r="Y95" s="269"/>
      <c r="Z95" s="267"/>
      <c r="AA95" s="268"/>
      <c r="AB95" s="269"/>
      <c r="AC95" s="268"/>
      <c r="AD95" s="269"/>
      <c r="AE95" s="267"/>
    </row>
    <row r="96" spans="2:31">
      <c r="B96" s="248"/>
      <c r="C96" s="250"/>
      <c r="D96" s="255" t="s">
        <v>637</v>
      </c>
      <c r="E96" s="250"/>
      <c r="F96" s="267"/>
      <c r="G96" s="268"/>
      <c r="H96" s="269"/>
      <c r="I96" s="268"/>
      <c r="J96" s="270"/>
      <c r="K96" s="267"/>
      <c r="L96" s="268"/>
      <c r="M96" s="269"/>
      <c r="N96" s="268"/>
      <c r="O96" s="270"/>
      <c r="P96" s="267"/>
      <c r="Q96" s="268"/>
      <c r="R96" s="269"/>
      <c r="S96" s="268"/>
      <c r="T96" s="270"/>
      <c r="U96" s="271"/>
      <c r="V96" s="268"/>
      <c r="W96" s="269"/>
      <c r="X96" s="268"/>
      <c r="Y96" s="269"/>
      <c r="Z96" s="267"/>
      <c r="AA96" s="268"/>
      <c r="AB96" s="269"/>
      <c r="AC96" s="268"/>
      <c r="AD96" s="269"/>
      <c r="AE96" s="267"/>
    </row>
    <row r="97" spans="2:31">
      <c r="B97" s="248"/>
      <c r="C97" s="250"/>
      <c r="D97" s="255"/>
      <c r="E97" s="280" t="s">
        <v>390</v>
      </c>
      <c r="F97" s="262">
        <v>1455</v>
      </c>
      <c r="G97" s="263">
        <v>0</v>
      </c>
      <c r="H97" s="264">
        <v>6</v>
      </c>
      <c r="I97" s="263">
        <v>0</v>
      </c>
      <c r="J97" s="266">
        <v>17</v>
      </c>
      <c r="K97" s="262">
        <v>1466</v>
      </c>
      <c r="L97" s="263">
        <v>0</v>
      </c>
      <c r="M97" s="264">
        <v>22</v>
      </c>
      <c r="N97" s="263">
        <v>0</v>
      </c>
      <c r="O97" s="266">
        <v>0</v>
      </c>
      <c r="P97" s="262">
        <v>1444</v>
      </c>
      <c r="Q97" s="263">
        <v>0</v>
      </c>
      <c r="R97" s="264">
        <v>5</v>
      </c>
      <c r="S97" s="263">
        <v>0</v>
      </c>
      <c r="T97" s="266">
        <v>2</v>
      </c>
      <c r="U97" s="265">
        <v>1441</v>
      </c>
      <c r="V97" s="263">
        <v>0</v>
      </c>
      <c r="W97" s="264">
        <v>14</v>
      </c>
      <c r="X97" s="263">
        <v>0</v>
      </c>
      <c r="Y97" s="264">
        <v>0</v>
      </c>
      <c r="Z97" s="262">
        <v>1427</v>
      </c>
      <c r="AA97" s="263">
        <v>0</v>
      </c>
      <c r="AB97" s="264">
        <v>0</v>
      </c>
      <c r="AC97" s="263">
        <v>14</v>
      </c>
      <c r="AD97" s="264">
        <v>0</v>
      </c>
      <c r="AE97" s="262">
        <v>1441</v>
      </c>
    </row>
    <row r="98" spans="2:31">
      <c r="B98" s="248"/>
      <c r="C98" s="250"/>
      <c r="D98" s="255"/>
      <c r="E98" s="280" t="s">
        <v>391</v>
      </c>
      <c r="F98" s="262">
        <v>171</v>
      </c>
      <c r="G98" s="263">
        <v>0</v>
      </c>
      <c r="H98" s="264">
        <v>0</v>
      </c>
      <c r="I98" s="263">
        <v>0</v>
      </c>
      <c r="J98" s="266">
        <v>0</v>
      </c>
      <c r="K98" s="262">
        <v>171</v>
      </c>
      <c r="L98" s="263">
        <v>0</v>
      </c>
      <c r="M98" s="264">
        <v>18</v>
      </c>
      <c r="N98" s="263">
        <v>0</v>
      </c>
      <c r="O98" s="266">
        <v>0</v>
      </c>
      <c r="P98" s="262">
        <v>153</v>
      </c>
      <c r="Q98" s="263">
        <v>0</v>
      </c>
      <c r="R98" s="264">
        <v>0</v>
      </c>
      <c r="S98" s="263">
        <v>0</v>
      </c>
      <c r="T98" s="266">
        <v>0</v>
      </c>
      <c r="U98" s="265">
        <v>153</v>
      </c>
      <c r="V98" s="263">
        <v>0</v>
      </c>
      <c r="W98" s="264">
        <v>0</v>
      </c>
      <c r="X98" s="263">
        <v>0</v>
      </c>
      <c r="Y98" s="264">
        <v>5</v>
      </c>
      <c r="Z98" s="262">
        <v>158</v>
      </c>
      <c r="AA98" s="263">
        <v>0</v>
      </c>
      <c r="AB98" s="264">
        <v>2</v>
      </c>
      <c r="AC98" s="263">
        <v>0</v>
      </c>
      <c r="AD98" s="264">
        <v>2</v>
      </c>
      <c r="AE98" s="262">
        <v>158</v>
      </c>
    </row>
    <row r="99" spans="2:31">
      <c r="B99" s="248"/>
      <c r="C99" s="250"/>
      <c r="D99" s="255"/>
      <c r="E99" s="280" t="s">
        <v>392</v>
      </c>
      <c r="F99" s="262">
        <v>62</v>
      </c>
      <c r="G99" s="263">
        <v>0</v>
      </c>
      <c r="H99" s="264">
        <v>0</v>
      </c>
      <c r="I99" s="263">
        <v>0</v>
      </c>
      <c r="J99" s="266">
        <v>0</v>
      </c>
      <c r="K99" s="262">
        <v>62</v>
      </c>
      <c r="L99" s="263">
        <v>0</v>
      </c>
      <c r="M99" s="264">
        <v>0</v>
      </c>
      <c r="N99" s="263">
        <v>0</v>
      </c>
      <c r="O99" s="266">
        <v>0</v>
      </c>
      <c r="P99" s="262">
        <v>62</v>
      </c>
      <c r="Q99" s="263">
        <v>0</v>
      </c>
      <c r="R99" s="264">
        <v>0</v>
      </c>
      <c r="S99" s="263">
        <v>0</v>
      </c>
      <c r="T99" s="266">
        <v>1</v>
      </c>
      <c r="U99" s="265">
        <v>63</v>
      </c>
      <c r="V99" s="263">
        <v>0</v>
      </c>
      <c r="W99" s="264">
        <v>0</v>
      </c>
      <c r="X99" s="263">
        <v>0</v>
      </c>
      <c r="Y99" s="264">
        <v>0</v>
      </c>
      <c r="Z99" s="262">
        <v>63</v>
      </c>
      <c r="AA99" s="263">
        <v>0</v>
      </c>
      <c r="AB99" s="264">
        <v>0</v>
      </c>
      <c r="AC99" s="263">
        <v>0</v>
      </c>
      <c r="AD99" s="264">
        <v>0</v>
      </c>
      <c r="AE99" s="262">
        <v>63</v>
      </c>
    </row>
    <row r="100" spans="2:31">
      <c r="B100" s="248"/>
      <c r="C100" s="250"/>
      <c r="D100" s="255"/>
      <c r="E100" s="280" t="s">
        <v>393</v>
      </c>
      <c r="F100" s="262">
        <v>106</v>
      </c>
      <c r="G100" s="263">
        <v>0</v>
      </c>
      <c r="H100" s="264">
        <v>0</v>
      </c>
      <c r="I100" s="263">
        <v>0</v>
      </c>
      <c r="J100" s="266">
        <v>0</v>
      </c>
      <c r="K100" s="262">
        <v>106</v>
      </c>
      <c r="L100" s="263">
        <v>0</v>
      </c>
      <c r="M100" s="264">
        <v>0</v>
      </c>
      <c r="N100" s="263">
        <v>0</v>
      </c>
      <c r="O100" s="266">
        <v>0</v>
      </c>
      <c r="P100" s="262">
        <v>106</v>
      </c>
      <c r="Q100" s="263">
        <v>0</v>
      </c>
      <c r="R100" s="264">
        <v>0</v>
      </c>
      <c r="S100" s="263">
        <v>0</v>
      </c>
      <c r="T100" s="266">
        <v>0</v>
      </c>
      <c r="U100" s="265">
        <v>106</v>
      </c>
      <c r="V100" s="263">
        <v>0</v>
      </c>
      <c r="W100" s="264">
        <v>0</v>
      </c>
      <c r="X100" s="263">
        <v>0</v>
      </c>
      <c r="Y100" s="264">
        <v>0</v>
      </c>
      <c r="Z100" s="262">
        <v>106</v>
      </c>
      <c r="AA100" s="263">
        <v>0</v>
      </c>
      <c r="AB100" s="264">
        <v>0</v>
      </c>
      <c r="AC100" s="263">
        <v>0</v>
      </c>
      <c r="AD100" s="264">
        <v>0</v>
      </c>
      <c r="AE100" s="262">
        <v>106</v>
      </c>
    </row>
    <row r="101" spans="2:31">
      <c r="B101" s="248"/>
      <c r="C101" s="250"/>
      <c r="D101" s="255"/>
      <c r="E101" s="280" t="s">
        <v>394</v>
      </c>
      <c r="F101" s="262">
        <v>6</v>
      </c>
      <c r="G101" s="263">
        <v>0</v>
      </c>
      <c r="H101" s="264">
        <v>0</v>
      </c>
      <c r="I101" s="263">
        <v>0</v>
      </c>
      <c r="J101" s="266">
        <v>0</v>
      </c>
      <c r="K101" s="262">
        <v>6</v>
      </c>
      <c r="L101" s="263">
        <v>0</v>
      </c>
      <c r="M101" s="264">
        <v>0</v>
      </c>
      <c r="N101" s="263">
        <v>0</v>
      </c>
      <c r="O101" s="266">
        <v>0</v>
      </c>
      <c r="P101" s="262">
        <v>6</v>
      </c>
      <c r="Q101" s="263">
        <v>0</v>
      </c>
      <c r="R101" s="264">
        <v>0</v>
      </c>
      <c r="S101" s="263">
        <v>0</v>
      </c>
      <c r="T101" s="266">
        <v>0</v>
      </c>
      <c r="U101" s="265">
        <v>6</v>
      </c>
      <c r="V101" s="263">
        <v>0</v>
      </c>
      <c r="W101" s="264">
        <v>1</v>
      </c>
      <c r="X101" s="263">
        <v>0</v>
      </c>
      <c r="Y101" s="264">
        <v>1</v>
      </c>
      <c r="Z101" s="262">
        <v>6</v>
      </c>
      <c r="AA101" s="263">
        <v>0</v>
      </c>
      <c r="AB101" s="264">
        <v>0</v>
      </c>
      <c r="AC101" s="263">
        <v>0</v>
      </c>
      <c r="AD101" s="264">
        <v>0</v>
      </c>
      <c r="AE101" s="262">
        <v>6</v>
      </c>
    </row>
    <row r="102" spans="2:31">
      <c r="B102" s="248"/>
      <c r="C102" s="250"/>
      <c r="D102" s="255"/>
      <c r="E102" s="280" t="s">
        <v>395</v>
      </c>
      <c r="F102" s="262">
        <v>91</v>
      </c>
      <c r="G102" s="263">
        <v>0</v>
      </c>
      <c r="H102" s="264">
        <v>7</v>
      </c>
      <c r="I102" s="263">
        <v>0</v>
      </c>
      <c r="J102" s="266">
        <v>0</v>
      </c>
      <c r="K102" s="262">
        <v>84</v>
      </c>
      <c r="L102" s="263">
        <v>0</v>
      </c>
      <c r="M102" s="264">
        <v>1</v>
      </c>
      <c r="N102" s="263">
        <v>0</v>
      </c>
      <c r="O102" s="266">
        <v>0</v>
      </c>
      <c r="P102" s="262">
        <v>83</v>
      </c>
      <c r="Q102" s="263">
        <v>0</v>
      </c>
      <c r="R102" s="264">
        <v>2</v>
      </c>
      <c r="S102" s="263">
        <v>0</v>
      </c>
      <c r="T102" s="266">
        <v>12</v>
      </c>
      <c r="U102" s="265">
        <v>93</v>
      </c>
      <c r="V102" s="263">
        <v>0</v>
      </c>
      <c r="W102" s="264">
        <v>18</v>
      </c>
      <c r="X102" s="263">
        <v>0</v>
      </c>
      <c r="Y102" s="264">
        <v>0</v>
      </c>
      <c r="Z102" s="262">
        <v>75</v>
      </c>
      <c r="AA102" s="263">
        <v>0</v>
      </c>
      <c r="AB102" s="264">
        <v>0</v>
      </c>
      <c r="AC102" s="263">
        <v>0</v>
      </c>
      <c r="AD102" s="264">
        <v>0</v>
      </c>
      <c r="AE102" s="262">
        <v>75</v>
      </c>
    </row>
    <row r="103" spans="2:31">
      <c r="B103" s="248"/>
      <c r="C103" s="250"/>
      <c r="D103" s="255"/>
      <c r="E103" s="280" t="s">
        <v>396</v>
      </c>
      <c r="F103" s="262">
        <v>0</v>
      </c>
      <c r="G103" s="263">
        <v>0</v>
      </c>
      <c r="H103" s="264">
        <v>0</v>
      </c>
      <c r="I103" s="263">
        <v>0</v>
      </c>
      <c r="J103" s="266">
        <v>0</v>
      </c>
      <c r="K103" s="262">
        <v>0</v>
      </c>
      <c r="L103" s="263">
        <v>0</v>
      </c>
      <c r="M103" s="264">
        <v>0</v>
      </c>
      <c r="N103" s="263">
        <v>0</v>
      </c>
      <c r="O103" s="266">
        <v>0</v>
      </c>
      <c r="P103" s="262">
        <v>0</v>
      </c>
      <c r="Q103" s="263">
        <v>0</v>
      </c>
      <c r="R103" s="264">
        <v>0</v>
      </c>
      <c r="S103" s="263">
        <v>0</v>
      </c>
      <c r="T103" s="266">
        <v>0</v>
      </c>
      <c r="U103" s="265">
        <v>0</v>
      </c>
      <c r="V103" s="263">
        <v>0</v>
      </c>
      <c r="W103" s="264">
        <v>0</v>
      </c>
      <c r="X103" s="263">
        <v>0</v>
      </c>
      <c r="Y103" s="264">
        <v>0</v>
      </c>
      <c r="Z103" s="262">
        <v>0</v>
      </c>
      <c r="AA103" s="263">
        <v>0</v>
      </c>
      <c r="AB103" s="264">
        <v>0</v>
      </c>
      <c r="AC103" s="263">
        <v>0</v>
      </c>
      <c r="AD103" s="264">
        <v>0</v>
      </c>
      <c r="AE103" s="262">
        <v>0</v>
      </c>
    </row>
    <row r="104" spans="2:31">
      <c r="B104" s="248"/>
      <c r="C104" s="250"/>
      <c r="D104" s="255"/>
      <c r="E104" s="280" t="s">
        <v>397</v>
      </c>
      <c r="F104" s="262">
        <v>0</v>
      </c>
      <c r="G104" s="263">
        <v>0</v>
      </c>
      <c r="H104" s="264">
        <v>0</v>
      </c>
      <c r="I104" s="263">
        <v>0</v>
      </c>
      <c r="J104" s="266">
        <v>0</v>
      </c>
      <c r="K104" s="262">
        <v>0</v>
      </c>
      <c r="L104" s="263">
        <v>0</v>
      </c>
      <c r="M104" s="264">
        <v>0</v>
      </c>
      <c r="N104" s="263">
        <v>0</v>
      </c>
      <c r="O104" s="266">
        <v>0</v>
      </c>
      <c r="P104" s="262">
        <v>0</v>
      </c>
      <c r="Q104" s="263">
        <v>0</v>
      </c>
      <c r="R104" s="264">
        <v>0</v>
      </c>
      <c r="S104" s="263">
        <v>0</v>
      </c>
      <c r="T104" s="266">
        <v>0</v>
      </c>
      <c r="U104" s="265">
        <v>0</v>
      </c>
      <c r="V104" s="263">
        <v>0</v>
      </c>
      <c r="W104" s="264">
        <v>0</v>
      </c>
      <c r="X104" s="263">
        <v>0</v>
      </c>
      <c r="Y104" s="264">
        <v>0</v>
      </c>
      <c r="Z104" s="262">
        <v>0</v>
      </c>
      <c r="AA104" s="263">
        <v>0</v>
      </c>
      <c r="AB104" s="264">
        <v>0</v>
      </c>
      <c r="AC104" s="263">
        <v>0</v>
      </c>
      <c r="AD104" s="264">
        <v>0</v>
      </c>
      <c r="AE104" s="262">
        <v>0</v>
      </c>
    </row>
    <row r="105" spans="2:31">
      <c r="B105" s="248"/>
      <c r="C105" s="250"/>
      <c r="D105" s="255"/>
      <c r="E105" s="250"/>
      <c r="F105" s="267"/>
      <c r="G105" s="268"/>
      <c r="H105" s="269"/>
      <c r="I105" s="268"/>
      <c r="J105" s="270"/>
      <c r="K105" s="267"/>
      <c r="L105" s="268"/>
      <c r="M105" s="269"/>
      <c r="N105" s="268"/>
      <c r="O105" s="270"/>
      <c r="P105" s="267"/>
      <c r="Q105" s="268"/>
      <c r="R105" s="269"/>
      <c r="S105" s="268"/>
      <c r="T105" s="270"/>
      <c r="U105" s="271"/>
      <c r="V105" s="268"/>
      <c r="W105" s="269"/>
      <c r="X105" s="268"/>
      <c r="Y105" s="269"/>
      <c r="Z105" s="267"/>
      <c r="AA105" s="268"/>
      <c r="AB105" s="269"/>
      <c r="AC105" s="268"/>
      <c r="AD105" s="269"/>
      <c r="AE105" s="267"/>
    </row>
    <row r="106" spans="2:31">
      <c r="B106" s="248"/>
      <c r="C106" s="250"/>
      <c r="D106" s="255" t="s">
        <v>512</v>
      </c>
      <c r="E106" s="250"/>
      <c r="F106" s="267"/>
      <c r="G106" s="268"/>
      <c r="H106" s="269"/>
      <c r="I106" s="268"/>
      <c r="J106" s="270"/>
      <c r="K106" s="267"/>
      <c r="L106" s="268"/>
      <c r="M106" s="269"/>
      <c r="N106" s="268"/>
      <c r="O106" s="270"/>
      <c r="P106" s="267"/>
      <c r="Q106" s="268"/>
      <c r="R106" s="269"/>
      <c r="S106" s="268"/>
      <c r="T106" s="270"/>
      <c r="U106" s="271"/>
      <c r="V106" s="268"/>
      <c r="W106" s="269"/>
      <c r="X106" s="268"/>
      <c r="Y106" s="269"/>
      <c r="Z106" s="267"/>
      <c r="AA106" s="268"/>
      <c r="AB106" s="269"/>
      <c r="AC106" s="268"/>
      <c r="AD106" s="269"/>
      <c r="AE106" s="267"/>
    </row>
    <row r="107" spans="2:31">
      <c r="B107" s="248"/>
      <c r="C107" s="250"/>
      <c r="D107" s="250"/>
      <c r="E107" s="280" t="s">
        <v>398</v>
      </c>
      <c r="F107" s="262">
        <v>0</v>
      </c>
      <c r="G107" s="263">
        <v>0</v>
      </c>
      <c r="H107" s="264">
        <v>0</v>
      </c>
      <c r="I107" s="263">
        <v>0</v>
      </c>
      <c r="J107" s="266">
        <v>0</v>
      </c>
      <c r="K107" s="262">
        <v>0</v>
      </c>
      <c r="L107" s="263">
        <v>0</v>
      </c>
      <c r="M107" s="264">
        <v>0</v>
      </c>
      <c r="N107" s="263">
        <v>0</v>
      </c>
      <c r="O107" s="266">
        <v>0</v>
      </c>
      <c r="P107" s="262">
        <v>0</v>
      </c>
      <c r="Q107" s="263">
        <v>0</v>
      </c>
      <c r="R107" s="264">
        <v>0</v>
      </c>
      <c r="S107" s="263">
        <v>0</v>
      </c>
      <c r="T107" s="266">
        <v>0</v>
      </c>
      <c r="U107" s="265">
        <v>0</v>
      </c>
      <c r="V107" s="263">
        <v>0</v>
      </c>
      <c r="W107" s="264">
        <v>0</v>
      </c>
      <c r="X107" s="263">
        <v>0</v>
      </c>
      <c r="Y107" s="264">
        <v>0</v>
      </c>
      <c r="Z107" s="262">
        <v>0</v>
      </c>
      <c r="AA107" s="263">
        <v>0</v>
      </c>
      <c r="AB107" s="264">
        <v>0</v>
      </c>
      <c r="AC107" s="263">
        <v>0</v>
      </c>
      <c r="AD107" s="264">
        <v>0</v>
      </c>
      <c r="AE107" s="262">
        <v>0</v>
      </c>
    </row>
    <row r="108" spans="2:31">
      <c r="B108" s="248"/>
      <c r="C108" s="250"/>
      <c r="D108" s="250"/>
      <c r="E108" s="280" t="s">
        <v>399</v>
      </c>
      <c r="F108" s="262">
        <v>697</v>
      </c>
      <c r="G108" s="263">
        <v>4</v>
      </c>
      <c r="H108" s="264">
        <v>6</v>
      </c>
      <c r="I108" s="263">
        <v>4</v>
      </c>
      <c r="J108" s="266">
        <v>5</v>
      </c>
      <c r="K108" s="262">
        <v>696</v>
      </c>
      <c r="L108" s="263">
        <v>0</v>
      </c>
      <c r="M108" s="264">
        <v>0</v>
      </c>
      <c r="N108" s="263">
        <v>0</v>
      </c>
      <c r="O108" s="266">
        <v>2</v>
      </c>
      <c r="P108" s="262">
        <v>698</v>
      </c>
      <c r="Q108" s="263">
        <v>0</v>
      </c>
      <c r="R108" s="264">
        <v>0</v>
      </c>
      <c r="S108" s="263">
        <v>1</v>
      </c>
      <c r="T108" s="266">
        <v>1</v>
      </c>
      <c r="U108" s="265">
        <v>700</v>
      </c>
      <c r="V108" s="263">
        <v>0</v>
      </c>
      <c r="W108" s="264">
        <v>7</v>
      </c>
      <c r="X108" s="263">
        <v>0</v>
      </c>
      <c r="Y108" s="264">
        <v>3</v>
      </c>
      <c r="Z108" s="262">
        <v>696</v>
      </c>
      <c r="AA108" s="263">
        <v>0</v>
      </c>
      <c r="AB108" s="264">
        <v>6</v>
      </c>
      <c r="AC108" s="263">
        <v>0</v>
      </c>
      <c r="AD108" s="264">
        <v>6</v>
      </c>
      <c r="AE108" s="262">
        <v>696</v>
      </c>
    </row>
    <row r="109" spans="2:31">
      <c r="B109" s="248"/>
      <c r="C109" s="250"/>
      <c r="D109" s="250"/>
      <c r="E109" s="250" t="s">
        <v>400</v>
      </c>
      <c r="F109" s="262">
        <v>638</v>
      </c>
      <c r="G109" s="263">
        <v>0</v>
      </c>
      <c r="H109" s="264">
        <v>0</v>
      </c>
      <c r="I109" s="263">
        <v>0</v>
      </c>
      <c r="J109" s="266">
        <v>0</v>
      </c>
      <c r="K109" s="262">
        <v>638</v>
      </c>
      <c r="L109" s="263">
        <v>0</v>
      </c>
      <c r="M109" s="264">
        <v>0</v>
      </c>
      <c r="N109" s="263">
        <v>0</v>
      </c>
      <c r="O109" s="266">
        <v>0</v>
      </c>
      <c r="P109" s="262">
        <v>638</v>
      </c>
      <c r="Q109" s="263">
        <v>0</v>
      </c>
      <c r="R109" s="264">
        <v>1</v>
      </c>
      <c r="S109" s="263">
        <v>0</v>
      </c>
      <c r="T109" s="266">
        <v>0</v>
      </c>
      <c r="U109" s="265">
        <v>637</v>
      </c>
      <c r="V109" s="263">
        <v>0</v>
      </c>
      <c r="W109" s="264">
        <v>0</v>
      </c>
      <c r="X109" s="263">
        <v>0</v>
      </c>
      <c r="Y109" s="264">
        <v>0</v>
      </c>
      <c r="Z109" s="262">
        <v>637</v>
      </c>
      <c r="AA109" s="263">
        <v>0</v>
      </c>
      <c r="AB109" s="264">
        <v>0</v>
      </c>
      <c r="AC109" s="263">
        <v>0</v>
      </c>
      <c r="AD109" s="264">
        <v>0</v>
      </c>
      <c r="AE109" s="262">
        <v>637</v>
      </c>
    </row>
    <row r="110" spans="2:31">
      <c r="B110" s="248"/>
      <c r="C110" s="250"/>
      <c r="D110" s="250"/>
      <c r="E110" s="280" t="s">
        <v>595</v>
      </c>
      <c r="F110" s="262">
        <v>0</v>
      </c>
      <c r="G110" s="263">
        <v>0</v>
      </c>
      <c r="H110" s="264">
        <v>0</v>
      </c>
      <c r="I110" s="263">
        <v>0</v>
      </c>
      <c r="J110" s="266">
        <v>0</v>
      </c>
      <c r="K110" s="262">
        <v>0</v>
      </c>
      <c r="L110" s="263">
        <v>0</v>
      </c>
      <c r="M110" s="264">
        <v>0</v>
      </c>
      <c r="N110" s="263">
        <v>0</v>
      </c>
      <c r="O110" s="266">
        <v>0</v>
      </c>
      <c r="P110" s="262">
        <v>0</v>
      </c>
      <c r="Q110" s="263">
        <v>0</v>
      </c>
      <c r="R110" s="264">
        <v>0</v>
      </c>
      <c r="S110" s="263">
        <v>0</v>
      </c>
      <c r="T110" s="266">
        <v>0</v>
      </c>
      <c r="U110" s="265">
        <v>0</v>
      </c>
      <c r="V110" s="263">
        <v>0</v>
      </c>
      <c r="W110" s="264">
        <v>0</v>
      </c>
      <c r="X110" s="263">
        <v>0</v>
      </c>
      <c r="Y110" s="264">
        <v>0</v>
      </c>
      <c r="Z110" s="262">
        <v>0</v>
      </c>
      <c r="AA110" s="263">
        <v>0</v>
      </c>
      <c r="AB110" s="264">
        <v>0</v>
      </c>
      <c r="AC110" s="263">
        <v>0</v>
      </c>
      <c r="AD110" s="264">
        <v>0</v>
      </c>
      <c r="AE110" s="262">
        <v>0</v>
      </c>
    </row>
    <row r="111" spans="2:31">
      <c r="B111" s="248"/>
      <c r="C111" s="250"/>
      <c r="D111" s="255"/>
      <c r="E111" s="250" t="s">
        <v>596</v>
      </c>
      <c r="F111" s="262">
        <v>0</v>
      </c>
      <c r="G111" s="263">
        <v>0</v>
      </c>
      <c r="H111" s="264">
        <v>0</v>
      </c>
      <c r="I111" s="263">
        <v>0</v>
      </c>
      <c r="J111" s="266">
        <v>0</v>
      </c>
      <c r="K111" s="262">
        <v>0</v>
      </c>
      <c r="L111" s="263">
        <v>0</v>
      </c>
      <c r="M111" s="264">
        <v>0</v>
      </c>
      <c r="N111" s="263">
        <v>0</v>
      </c>
      <c r="O111" s="266">
        <v>0</v>
      </c>
      <c r="P111" s="262">
        <v>0</v>
      </c>
      <c r="Q111" s="263">
        <v>0</v>
      </c>
      <c r="R111" s="264">
        <v>0</v>
      </c>
      <c r="S111" s="263">
        <v>0</v>
      </c>
      <c r="T111" s="266">
        <v>0</v>
      </c>
      <c r="U111" s="265">
        <v>0</v>
      </c>
      <c r="V111" s="263">
        <v>0</v>
      </c>
      <c r="W111" s="264">
        <v>0</v>
      </c>
      <c r="X111" s="263">
        <v>0</v>
      </c>
      <c r="Y111" s="264">
        <v>0</v>
      </c>
      <c r="Z111" s="262">
        <v>0</v>
      </c>
      <c r="AA111" s="263">
        <v>0</v>
      </c>
      <c r="AB111" s="264">
        <v>0</v>
      </c>
      <c r="AC111" s="263">
        <v>0</v>
      </c>
      <c r="AD111" s="264">
        <v>0</v>
      </c>
      <c r="AE111" s="262">
        <v>0</v>
      </c>
    </row>
    <row r="112" spans="2:31" ht="13.5" thickBot="1">
      <c r="B112" s="246"/>
      <c r="C112" s="247"/>
      <c r="D112" s="247"/>
      <c r="E112" s="247"/>
      <c r="F112" s="272"/>
      <c r="G112" s="273"/>
      <c r="H112" s="274"/>
      <c r="I112" s="273"/>
      <c r="J112" s="275"/>
      <c r="K112" s="276"/>
      <c r="L112" s="273"/>
      <c r="M112" s="274"/>
      <c r="N112" s="273"/>
      <c r="O112" s="275"/>
      <c r="P112" s="276"/>
      <c r="Q112" s="273"/>
      <c r="R112" s="274"/>
      <c r="S112" s="273"/>
      <c r="T112" s="275"/>
      <c r="U112" s="277"/>
      <c r="V112" s="273"/>
      <c r="W112" s="274"/>
      <c r="X112" s="273"/>
      <c r="Y112" s="274"/>
      <c r="Z112" s="276"/>
      <c r="AA112" s="273"/>
      <c r="AB112" s="274"/>
      <c r="AC112" s="273"/>
      <c r="AD112" s="274"/>
      <c r="AE112" s="276"/>
    </row>
    <row r="113" spans="2:31">
      <c r="B113" s="278"/>
      <c r="C113" s="279" t="s">
        <v>597</v>
      </c>
      <c r="D113" s="279"/>
      <c r="E113" s="280"/>
      <c r="F113" s="267"/>
      <c r="G113" s="268"/>
      <c r="H113" s="269"/>
      <c r="I113" s="268"/>
      <c r="J113" s="270"/>
      <c r="K113" s="267"/>
      <c r="L113" s="268"/>
      <c r="M113" s="269"/>
      <c r="N113" s="268"/>
      <c r="O113" s="270"/>
      <c r="P113" s="267"/>
      <c r="Q113" s="268"/>
      <c r="R113" s="269"/>
      <c r="S113" s="268"/>
      <c r="T113" s="270"/>
      <c r="U113" s="271"/>
      <c r="V113" s="268"/>
      <c r="W113" s="269"/>
      <c r="X113" s="268"/>
      <c r="Y113" s="269"/>
      <c r="Z113" s="267"/>
      <c r="AA113" s="268"/>
      <c r="AB113" s="269"/>
      <c r="AC113" s="268"/>
      <c r="AD113" s="269"/>
      <c r="AE113" s="267"/>
    </row>
    <row r="114" spans="2:31">
      <c r="B114" s="248"/>
      <c r="C114" s="250"/>
      <c r="D114" s="255" t="s">
        <v>584</v>
      </c>
      <c r="E114" s="250"/>
      <c r="F114" s="267"/>
      <c r="G114" s="268"/>
      <c r="H114" s="269"/>
      <c r="I114" s="268"/>
      <c r="J114" s="270"/>
      <c r="K114" s="267"/>
      <c r="L114" s="268"/>
      <c r="M114" s="269"/>
      <c r="N114" s="268"/>
      <c r="O114" s="270"/>
      <c r="P114" s="267"/>
      <c r="Q114" s="268"/>
      <c r="R114" s="269"/>
      <c r="S114" s="268"/>
      <c r="T114" s="270"/>
      <c r="U114" s="271"/>
      <c r="V114" s="268"/>
      <c r="W114" s="269"/>
      <c r="X114" s="268"/>
      <c r="Y114" s="269"/>
      <c r="Z114" s="267"/>
      <c r="AA114" s="268"/>
      <c r="AB114" s="269"/>
      <c r="AC114" s="268"/>
      <c r="AD114" s="269"/>
      <c r="AE114" s="267"/>
    </row>
    <row r="115" spans="2:31">
      <c r="B115" s="248"/>
      <c r="C115" s="250"/>
      <c r="D115" s="255"/>
      <c r="E115" s="250" t="s">
        <v>598</v>
      </c>
      <c r="F115" s="262">
        <v>15</v>
      </c>
      <c r="G115" s="263">
        <v>0</v>
      </c>
      <c r="H115" s="264">
        <v>0</v>
      </c>
      <c r="I115" s="263">
        <v>0</v>
      </c>
      <c r="J115" s="266">
        <v>17</v>
      </c>
      <c r="K115" s="262">
        <v>32</v>
      </c>
      <c r="L115" s="263">
        <v>0</v>
      </c>
      <c r="M115" s="264">
        <v>0</v>
      </c>
      <c r="N115" s="263">
        <v>0</v>
      </c>
      <c r="O115" s="266">
        <v>0</v>
      </c>
      <c r="P115" s="262">
        <v>32</v>
      </c>
      <c r="Q115" s="263">
        <v>0</v>
      </c>
      <c r="R115" s="264">
        <v>0</v>
      </c>
      <c r="S115" s="263">
        <v>0</v>
      </c>
      <c r="T115" s="266">
        <v>0</v>
      </c>
      <c r="U115" s="265">
        <v>32</v>
      </c>
      <c r="V115" s="263">
        <v>0</v>
      </c>
      <c r="W115" s="264">
        <v>0</v>
      </c>
      <c r="X115" s="263">
        <v>0</v>
      </c>
      <c r="Y115" s="264">
        <v>0</v>
      </c>
      <c r="Z115" s="262">
        <v>32</v>
      </c>
      <c r="AA115" s="263">
        <v>0</v>
      </c>
      <c r="AB115" s="264">
        <v>0</v>
      </c>
      <c r="AC115" s="263">
        <v>0</v>
      </c>
      <c r="AD115" s="264">
        <v>0</v>
      </c>
      <c r="AE115" s="262">
        <v>32</v>
      </c>
    </row>
    <row r="116" spans="2:31">
      <c r="B116" s="248"/>
      <c r="C116" s="250"/>
      <c r="D116" s="255"/>
      <c r="E116" s="250" t="s">
        <v>599</v>
      </c>
      <c r="F116" s="262">
        <v>1496</v>
      </c>
      <c r="G116" s="263">
        <v>0</v>
      </c>
      <c r="H116" s="264">
        <v>0</v>
      </c>
      <c r="I116" s="263">
        <v>0</v>
      </c>
      <c r="J116" s="266">
        <v>0</v>
      </c>
      <c r="K116" s="262">
        <v>1496</v>
      </c>
      <c r="L116" s="263">
        <v>0</v>
      </c>
      <c r="M116" s="264">
        <v>2.1</v>
      </c>
      <c r="N116" s="263">
        <v>0.6</v>
      </c>
      <c r="O116" s="266">
        <v>1.5</v>
      </c>
      <c r="P116" s="262">
        <v>1496</v>
      </c>
      <c r="Q116" s="263">
        <v>0</v>
      </c>
      <c r="R116" s="264">
        <v>0</v>
      </c>
      <c r="S116" s="263">
        <v>0</v>
      </c>
      <c r="T116" s="266">
        <v>0</v>
      </c>
      <c r="U116" s="265">
        <v>1496</v>
      </c>
      <c r="V116" s="263">
        <v>0</v>
      </c>
      <c r="W116" s="264">
        <v>0</v>
      </c>
      <c r="X116" s="263">
        <v>54</v>
      </c>
      <c r="Y116" s="264">
        <v>0</v>
      </c>
      <c r="Z116" s="262">
        <v>1550</v>
      </c>
      <c r="AA116" s="263">
        <v>0</v>
      </c>
      <c r="AB116" s="264">
        <v>13.7</v>
      </c>
      <c r="AC116" s="263">
        <v>0</v>
      </c>
      <c r="AD116" s="264">
        <v>10.5</v>
      </c>
      <c r="AE116" s="262">
        <v>1546.8</v>
      </c>
    </row>
    <row r="117" spans="2:31">
      <c r="B117" s="248"/>
      <c r="C117" s="250"/>
      <c r="D117" s="255"/>
      <c r="E117" s="280"/>
      <c r="F117" s="267"/>
      <c r="G117" s="268"/>
      <c r="H117" s="269"/>
      <c r="I117" s="268"/>
      <c r="J117" s="270"/>
      <c r="K117" s="267"/>
      <c r="L117" s="268"/>
      <c r="M117" s="269"/>
      <c r="N117" s="268"/>
      <c r="O117" s="270"/>
      <c r="P117" s="267"/>
      <c r="Q117" s="268"/>
      <c r="R117" s="269"/>
      <c r="S117" s="268"/>
      <c r="T117" s="270"/>
      <c r="U117" s="271"/>
      <c r="V117" s="268"/>
      <c r="W117" s="269"/>
      <c r="X117" s="268"/>
      <c r="Y117" s="269"/>
      <c r="Z117" s="267"/>
      <c r="AA117" s="268"/>
      <c r="AB117" s="269"/>
      <c r="AC117" s="268"/>
      <c r="AD117" s="269"/>
      <c r="AE117" s="267"/>
    </row>
    <row r="118" spans="2:31">
      <c r="B118" s="248"/>
      <c r="C118" s="250"/>
      <c r="D118" s="255" t="s">
        <v>745</v>
      </c>
      <c r="E118" s="250"/>
      <c r="F118" s="267"/>
      <c r="G118" s="268"/>
      <c r="H118" s="269"/>
      <c r="I118" s="268"/>
      <c r="J118" s="270"/>
      <c r="K118" s="267"/>
      <c r="L118" s="268"/>
      <c r="M118" s="269"/>
      <c r="N118" s="268"/>
      <c r="O118" s="270"/>
      <c r="P118" s="267"/>
      <c r="Q118" s="268"/>
      <c r="R118" s="269"/>
      <c r="S118" s="268"/>
      <c r="T118" s="270"/>
      <c r="U118" s="271"/>
      <c r="V118" s="268"/>
      <c r="W118" s="269"/>
      <c r="X118" s="268"/>
      <c r="Y118" s="269"/>
      <c r="Z118" s="267"/>
      <c r="AA118" s="268"/>
      <c r="AB118" s="269"/>
      <c r="AC118" s="268"/>
      <c r="AD118" s="269"/>
      <c r="AE118" s="267"/>
    </row>
    <row r="119" spans="2:31">
      <c r="B119" s="248"/>
      <c r="C119" s="250"/>
      <c r="D119" s="255"/>
      <c r="E119" s="250" t="s">
        <v>600</v>
      </c>
      <c r="F119" s="262">
        <v>18.981438355083164</v>
      </c>
      <c r="G119" s="263">
        <v>0</v>
      </c>
      <c r="H119" s="264">
        <v>0</v>
      </c>
      <c r="I119" s="263">
        <v>0</v>
      </c>
      <c r="J119" s="266">
        <v>43</v>
      </c>
      <c r="K119" s="262">
        <v>61.981438355083164</v>
      </c>
      <c r="L119" s="263">
        <v>0</v>
      </c>
      <c r="M119" s="264">
        <v>0</v>
      </c>
      <c r="N119" s="263">
        <v>0</v>
      </c>
      <c r="O119" s="266">
        <v>0</v>
      </c>
      <c r="P119" s="262">
        <v>61.981438355083164</v>
      </c>
      <c r="Q119" s="263">
        <v>0</v>
      </c>
      <c r="R119" s="264">
        <v>0</v>
      </c>
      <c r="S119" s="263">
        <v>0</v>
      </c>
      <c r="T119" s="266">
        <v>1</v>
      </c>
      <c r="U119" s="265">
        <v>62.981438355083164</v>
      </c>
      <c r="V119" s="263">
        <v>0</v>
      </c>
      <c r="W119" s="264">
        <v>10.981438355083162</v>
      </c>
      <c r="X119" s="263">
        <v>0</v>
      </c>
      <c r="Y119" s="264">
        <v>0</v>
      </c>
      <c r="Z119" s="262">
        <v>52</v>
      </c>
      <c r="AA119" s="263">
        <v>0</v>
      </c>
      <c r="AB119" s="264">
        <v>0</v>
      </c>
      <c r="AC119" s="263">
        <v>0</v>
      </c>
      <c r="AD119" s="264">
        <v>0</v>
      </c>
      <c r="AE119" s="262">
        <v>52</v>
      </c>
    </row>
    <row r="120" spans="2:31">
      <c r="B120" s="248"/>
      <c r="C120" s="250"/>
      <c r="D120" s="255"/>
      <c r="E120" s="250" t="s">
        <v>601</v>
      </c>
      <c r="F120" s="262">
        <v>3144</v>
      </c>
      <c r="G120" s="263">
        <v>0</v>
      </c>
      <c r="H120" s="264">
        <v>0</v>
      </c>
      <c r="I120" s="263">
        <v>0</v>
      </c>
      <c r="J120" s="266">
        <v>0</v>
      </c>
      <c r="K120" s="262">
        <v>3144</v>
      </c>
      <c r="L120" s="263">
        <v>0</v>
      </c>
      <c r="M120" s="264">
        <v>0</v>
      </c>
      <c r="N120" s="263">
        <v>0</v>
      </c>
      <c r="O120" s="266">
        <v>0</v>
      </c>
      <c r="P120" s="262">
        <v>3144</v>
      </c>
      <c r="Q120" s="263">
        <v>0</v>
      </c>
      <c r="R120" s="264">
        <v>12</v>
      </c>
      <c r="S120" s="263">
        <v>0</v>
      </c>
      <c r="T120" s="266">
        <v>0</v>
      </c>
      <c r="U120" s="265">
        <v>3132</v>
      </c>
      <c r="V120" s="263">
        <v>0</v>
      </c>
      <c r="W120" s="264">
        <v>0</v>
      </c>
      <c r="X120" s="263">
        <v>0</v>
      </c>
      <c r="Y120" s="264">
        <v>5</v>
      </c>
      <c r="Z120" s="262">
        <v>3137</v>
      </c>
      <c r="AA120" s="263">
        <v>0</v>
      </c>
      <c r="AB120" s="264">
        <v>84</v>
      </c>
      <c r="AC120" s="263">
        <v>0</v>
      </c>
      <c r="AD120" s="264">
        <v>72</v>
      </c>
      <c r="AE120" s="262">
        <v>3125</v>
      </c>
    </row>
    <row r="121" spans="2:31">
      <c r="B121" s="248"/>
      <c r="C121" s="250"/>
      <c r="D121" s="255"/>
      <c r="E121" s="280" t="s">
        <v>442</v>
      </c>
      <c r="F121" s="262">
        <v>6274</v>
      </c>
      <c r="G121" s="263">
        <v>0</v>
      </c>
      <c r="H121" s="264">
        <v>0</v>
      </c>
      <c r="I121" s="263">
        <v>0</v>
      </c>
      <c r="J121" s="266">
        <v>0</v>
      </c>
      <c r="K121" s="262">
        <v>6274</v>
      </c>
      <c r="L121" s="263">
        <v>0</v>
      </c>
      <c r="M121" s="264">
        <v>0</v>
      </c>
      <c r="N121" s="263">
        <v>0</v>
      </c>
      <c r="O121" s="266">
        <v>0</v>
      </c>
      <c r="P121" s="262">
        <v>6274</v>
      </c>
      <c r="Q121" s="263">
        <v>0</v>
      </c>
      <c r="R121" s="264">
        <v>0</v>
      </c>
      <c r="S121" s="263">
        <v>0</v>
      </c>
      <c r="T121" s="266">
        <v>0</v>
      </c>
      <c r="U121" s="265">
        <v>6274</v>
      </c>
      <c r="V121" s="263">
        <v>0</v>
      </c>
      <c r="W121" s="264">
        <v>0</v>
      </c>
      <c r="X121" s="263">
        <v>0</v>
      </c>
      <c r="Y121" s="264">
        <v>0</v>
      </c>
      <c r="Z121" s="262">
        <v>6274</v>
      </c>
      <c r="AA121" s="263">
        <v>0</v>
      </c>
      <c r="AB121" s="264">
        <v>168</v>
      </c>
      <c r="AC121" s="263">
        <v>0</v>
      </c>
      <c r="AD121" s="264">
        <v>120</v>
      </c>
      <c r="AE121" s="262">
        <v>6226</v>
      </c>
    </row>
    <row r="122" spans="2:31">
      <c r="B122" s="248"/>
      <c r="C122" s="250"/>
      <c r="D122" s="250"/>
      <c r="E122" s="250"/>
      <c r="F122" s="267"/>
      <c r="G122" s="268"/>
      <c r="H122" s="269"/>
      <c r="I122" s="268"/>
      <c r="J122" s="270"/>
      <c r="K122" s="267"/>
      <c r="L122" s="268"/>
      <c r="M122" s="269"/>
      <c r="N122" s="268"/>
      <c r="O122" s="270"/>
      <c r="P122" s="267"/>
      <c r="Q122" s="268"/>
      <c r="R122" s="269"/>
      <c r="S122" s="268"/>
      <c r="T122" s="270"/>
      <c r="U122" s="271"/>
      <c r="V122" s="268"/>
      <c r="W122" s="269"/>
      <c r="X122" s="268"/>
      <c r="Y122" s="269"/>
      <c r="Z122" s="267"/>
      <c r="AA122" s="268"/>
      <c r="AB122" s="269"/>
      <c r="AC122" s="268"/>
      <c r="AD122" s="269"/>
      <c r="AE122" s="267"/>
    </row>
    <row r="123" spans="2:31">
      <c r="B123" s="248"/>
      <c r="C123" s="250"/>
      <c r="D123" s="255" t="s">
        <v>769</v>
      </c>
      <c r="E123" s="250"/>
      <c r="F123" s="267"/>
      <c r="G123" s="268"/>
      <c r="H123" s="269"/>
      <c r="I123" s="268"/>
      <c r="J123" s="270"/>
      <c r="K123" s="267"/>
      <c r="L123" s="268"/>
      <c r="M123" s="269"/>
      <c r="N123" s="268"/>
      <c r="O123" s="270"/>
      <c r="P123" s="267"/>
      <c r="Q123" s="268"/>
      <c r="R123" s="269"/>
      <c r="S123" s="268"/>
      <c r="T123" s="270"/>
      <c r="U123" s="271"/>
      <c r="V123" s="268"/>
      <c r="W123" s="269"/>
      <c r="X123" s="268"/>
      <c r="Y123" s="269"/>
      <c r="Z123" s="267"/>
      <c r="AA123" s="268"/>
      <c r="AB123" s="269"/>
      <c r="AC123" s="268"/>
      <c r="AD123" s="269"/>
      <c r="AE123" s="267"/>
    </row>
    <row r="124" spans="2:31">
      <c r="B124" s="248"/>
      <c r="C124" s="250"/>
      <c r="D124" s="250"/>
      <c r="E124" s="250" t="s">
        <v>710</v>
      </c>
      <c r="F124" s="262">
        <v>179.9</v>
      </c>
      <c r="G124" s="263">
        <v>0</v>
      </c>
      <c r="H124" s="264">
        <v>0</v>
      </c>
      <c r="I124" s="263">
        <v>0</v>
      </c>
      <c r="J124" s="266">
        <v>0.15</v>
      </c>
      <c r="K124" s="262">
        <v>180.05</v>
      </c>
      <c r="L124" s="263">
        <v>0</v>
      </c>
      <c r="M124" s="264">
        <v>6</v>
      </c>
      <c r="N124" s="263">
        <v>0</v>
      </c>
      <c r="O124" s="266">
        <v>6</v>
      </c>
      <c r="P124" s="262">
        <v>180.05</v>
      </c>
      <c r="Q124" s="263">
        <v>0</v>
      </c>
      <c r="R124" s="264">
        <v>5.3</v>
      </c>
      <c r="S124" s="263">
        <v>0</v>
      </c>
      <c r="T124" s="266">
        <v>5.3</v>
      </c>
      <c r="U124" s="265">
        <v>180.05</v>
      </c>
      <c r="V124" s="263">
        <v>0</v>
      </c>
      <c r="W124" s="264">
        <v>0</v>
      </c>
      <c r="X124" s="263">
        <v>1.45</v>
      </c>
      <c r="Y124" s="264">
        <v>1.5</v>
      </c>
      <c r="Z124" s="262">
        <v>183</v>
      </c>
      <c r="AA124" s="263">
        <v>0</v>
      </c>
      <c r="AB124" s="264">
        <v>0</v>
      </c>
      <c r="AC124" s="263">
        <v>25</v>
      </c>
      <c r="AD124" s="264">
        <v>4.88</v>
      </c>
      <c r="AE124" s="262">
        <v>212.88</v>
      </c>
    </row>
    <row r="125" spans="2:31">
      <c r="B125" s="248"/>
      <c r="C125" s="250"/>
      <c r="D125" s="250"/>
      <c r="E125" s="250" t="s">
        <v>709</v>
      </c>
      <c r="F125" s="262">
        <v>169.5</v>
      </c>
      <c r="G125" s="263">
        <v>0</v>
      </c>
      <c r="H125" s="264">
        <v>0</v>
      </c>
      <c r="I125" s="263">
        <v>0</v>
      </c>
      <c r="J125" s="266">
        <v>0</v>
      </c>
      <c r="K125" s="262">
        <v>169.5</v>
      </c>
      <c r="L125" s="263">
        <v>0</v>
      </c>
      <c r="M125" s="264">
        <v>0</v>
      </c>
      <c r="N125" s="263">
        <v>0</v>
      </c>
      <c r="O125" s="266">
        <v>0</v>
      </c>
      <c r="P125" s="262">
        <v>169.5</v>
      </c>
      <c r="Q125" s="263">
        <v>0</v>
      </c>
      <c r="R125" s="264">
        <v>0</v>
      </c>
      <c r="S125" s="263">
        <v>0</v>
      </c>
      <c r="T125" s="266">
        <v>0</v>
      </c>
      <c r="U125" s="265">
        <v>169.5</v>
      </c>
      <c r="V125" s="263">
        <v>0</v>
      </c>
      <c r="W125" s="264">
        <v>1.5</v>
      </c>
      <c r="X125" s="263">
        <v>0</v>
      </c>
      <c r="Y125" s="264">
        <v>0</v>
      </c>
      <c r="Z125" s="262">
        <v>168</v>
      </c>
      <c r="AA125" s="263">
        <v>0</v>
      </c>
      <c r="AB125" s="264">
        <v>1.68</v>
      </c>
      <c r="AC125" s="263">
        <v>0</v>
      </c>
      <c r="AD125" s="264">
        <v>0</v>
      </c>
      <c r="AE125" s="262">
        <v>166.32</v>
      </c>
    </row>
    <row r="126" spans="2:31">
      <c r="B126" s="248"/>
      <c r="C126" s="250"/>
      <c r="D126" s="250"/>
      <c r="E126" s="250" t="s">
        <v>673</v>
      </c>
      <c r="F126" s="262">
        <v>5</v>
      </c>
      <c r="G126" s="263">
        <v>0</v>
      </c>
      <c r="H126" s="264">
        <v>0</v>
      </c>
      <c r="I126" s="263">
        <v>0</v>
      </c>
      <c r="J126" s="266">
        <v>0</v>
      </c>
      <c r="K126" s="262">
        <v>5</v>
      </c>
      <c r="L126" s="263">
        <v>0</v>
      </c>
      <c r="M126" s="264">
        <v>0</v>
      </c>
      <c r="N126" s="263">
        <v>0</v>
      </c>
      <c r="O126" s="266">
        <v>0</v>
      </c>
      <c r="P126" s="262">
        <v>5</v>
      </c>
      <c r="Q126" s="263">
        <v>0</v>
      </c>
      <c r="R126" s="264">
        <v>0</v>
      </c>
      <c r="S126" s="263">
        <v>0</v>
      </c>
      <c r="T126" s="266">
        <v>0</v>
      </c>
      <c r="U126" s="265">
        <v>5</v>
      </c>
      <c r="V126" s="263">
        <v>0</v>
      </c>
      <c r="W126" s="264">
        <v>0</v>
      </c>
      <c r="X126" s="263">
        <v>0</v>
      </c>
      <c r="Y126" s="264">
        <v>0</v>
      </c>
      <c r="Z126" s="262">
        <v>5</v>
      </c>
      <c r="AA126" s="263">
        <v>0</v>
      </c>
      <c r="AB126" s="264">
        <v>0</v>
      </c>
      <c r="AC126" s="263">
        <v>0</v>
      </c>
      <c r="AD126" s="264">
        <v>0</v>
      </c>
      <c r="AE126" s="262">
        <v>5</v>
      </c>
    </row>
    <row r="127" spans="2:31">
      <c r="B127" s="248"/>
      <c r="C127" s="250"/>
      <c r="D127" s="250"/>
      <c r="E127" s="250"/>
      <c r="F127" s="267"/>
      <c r="G127" s="268"/>
      <c r="H127" s="269"/>
      <c r="I127" s="268"/>
      <c r="J127" s="270"/>
      <c r="K127" s="267"/>
      <c r="L127" s="268"/>
      <c r="M127" s="269"/>
      <c r="N127" s="268"/>
      <c r="O127" s="270"/>
      <c r="P127" s="267"/>
      <c r="Q127" s="268"/>
      <c r="R127" s="269"/>
      <c r="S127" s="268"/>
      <c r="T127" s="270"/>
      <c r="U127" s="271"/>
      <c r="V127" s="268"/>
      <c r="W127" s="269"/>
      <c r="X127" s="268"/>
      <c r="Y127" s="269"/>
      <c r="Z127" s="267"/>
      <c r="AA127" s="268"/>
      <c r="AB127" s="269"/>
      <c r="AC127" s="268"/>
      <c r="AD127" s="269"/>
      <c r="AE127" s="267"/>
    </row>
    <row r="128" spans="2:31">
      <c r="B128" s="248"/>
      <c r="C128" s="250"/>
      <c r="D128" s="255" t="s">
        <v>68</v>
      </c>
      <c r="E128" s="250"/>
      <c r="F128" s="267"/>
      <c r="G128" s="268"/>
      <c r="H128" s="269"/>
      <c r="I128" s="268"/>
      <c r="J128" s="270"/>
      <c r="K128" s="267"/>
      <c r="L128" s="268"/>
      <c r="M128" s="269"/>
      <c r="N128" s="268"/>
      <c r="O128" s="270"/>
      <c r="P128" s="267"/>
      <c r="Q128" s="268"/>
      <c r="R128" s="269"/>
      <c r="S128" s="268"/>
      <c r="T128" s="270"/>
      <c r="U128" s="271"/>
      <c r="V128" s="268"/>
      <c r="W128" s="269"/>
      <c r="X128" s="268"/>
      <c r="Y128" s="269"/>
      <c r="Z128" s="267"/>
      <c r="AA128" s="268"/>
      <c r="AB128" s="269"/>
      <c r="AC128" s="268"/>
      <c r="AD128" s="269"/>
      <c r="AE128" s="267"/>
    </row>
    <row r="129" spans="2:31">
      <c r="B129" s="248"/>
      <c r="C129" s="250"/>
      <c r="D129" s="250"/>
      <c r="E129" s="280" t="s">
        <v>674</v>
      </c>
      <c r="F129" s="262">
        <v>0</v>
      </c>
      <c r="G129" s="263">
        <v>0</v>
      </c>
      <c r="H129" s="264">
        <v>0</v>
      </c>
      <c r="I129" s="263">
        <v>0</v>
      </c>
      <c r="J129" s="266">
        <v>0</v>
      </c>
      <c r="K129" s="262">
        <v>0</v>
      </c>
      <c r="L129" s="263">
        <v>0</v>
      </c>
      <c r="M129" s="264">
        <v>0</v>
      </c>
      <c r="N129" s="263">
        <v>0</v>
      </c>
      <c r="O129" s="266">
        <v>0</v>
      </c>
      <c r="P129" s="262">
        <v>0</v>
      </c>
      <c r="Q129" s="263">
        <v>0</v>
      </c>
      <c r="R129" s="264">
        <v>0</v>
      </c>
      <c r="S129" s="263">
        <v>0</v>
      </c>
      <c r="T129" s="266">
        <v>0</v>
      </c>
      <c r="U129" s="265">
        <v>0</v>
      </c>
      <c r="V129" s="263">
        <v>0</v>
      </c>
      <c r="W129" s="264">
        <v>0</v>
      </c>
      <c r="X129" s="263">
        <v>0</v>
      </c>
      <c r="Y129" s="264">
        <v>0</v>
      </c>
      <c r="Z129" s="262">
        <v>0</v>
      </c>
      <c r="AA129" s="263">
        <v>0</v>
      </c>
      <c r="AB129" s="264">
        <v>0</v>
      </c>
      <c r="AC129" s="263">
        <v>0</v>
      </c>
      <c r="AD129" s="264">
        <v>0</v>
      </c>
      <c r="AE129" s="262">
        <v>0</v>
      </c>
    </row>
    <row r="130" spans="2:31">
      <c r="B130" s="248"/>
      <c r="C130" s="250"/>
      <c r="D130" s="250"/>
      <c r="E130" s="250"/>
      <c r="F130" s="267"/>
      <c r="G130" s="268"/>
      <c r="H130" s="269"/>
      <c r="I130" s="268"/>
      <c r="J130" s="270"/>
      <c r="K130" s="267"/>
      <c r="L130" s="268"/>
      <c r="M130" s="269"/>
      <c r="N130" s="268"/>
      <c r="O130" s="270"/>
      <c r="P130" s="267"/>
      <c r="Q130" s="268"/>
      <c r="R130" s="269"/>
      <c r="S130" s="268"/>
      <c r="T130" s="270"/>
      <c r="U130" s="271"/>
      <c r="V130" s="268"/>
      <c r="W130" s="269"/>
      <c r="X130" s="268"/>
      <c r="Y130" s="269"/>
      <c r="Z130" s="267"/>
      <c r="AA130" s="268"/>
      <c r="AB130" s="269"/>
      <c r="AC130" s="268"/>
      <c r="AD130" s="269"/>
      <c r="AE130" s="267"/>
    </row>
    <row r="131" spans="2:31">
      <c r="B131" s="248"/>
      <c r="C131" s="250"/>
      <c r="D131" s="255" t="s">
        <v>637</v>
      </c>
      <c r="E131" s="250"/>
      <c r="F131" s="267"/>
      <c r="G131" s="268"/>
      <c r="H131" s="269"/>
      <c r="I131" s="268"/>
      <c r="J131" s="270"/>
      <c r="K131" s="267"/>
      <c r="L131" s="268"/>
      <c r="M131" s="269"/>
      <c r="N131" s="268"/>
      <c r="O131" s="270"/>
      <c r="P131" s="267"/>
      <c r="Q131" s="268"/>
      <c r="R131" s="269"/>
      <c r="S131" s="268"/>
      <c r="T131" s="270"/>
      <c r="U131" s="271"/>
      <c r="V131" s="268"/>
      <c r="W131" s="269"/>
      <c r="X131" s="268"/>
      <c r="Y131" s="269"/>
      <c r="Z131" s="267"/>
      <c r="AA131" s="268"/>
      <c r="AB131" s="269"/>
      <c r="AC131" s="268"/>
      <c r="AD131" s="269"/>
      <c r="AE131" s="267"/>
    </row>
    <row r="132" spans="2:31">
      <c r="B132" s="248"/>
      <c r="C132" s="250"/>
      <c r="D132" s="250"/>
      <c r="E132" s="250" t="s">
        <v>675</v>
      </c>
      <c r="F132" s="262">
        <v>189</v>
      </c>
      <c r="G132" s="263">
        <v>0</v>
      </c>
      <c r="H132" s="264">
        <v>0</v>
      </c>
      <c r="I132" s="263">
        <v>0</v>
      </c>
      <c r="J132" s="266">
        <v>0</v>
      </c>
      <c r="K132" s="262">
        <v>189</v>
      </c>
      <c r="L132" s="263">
        <v>15</v>
      </c>
      <c r="M132" s="264">
        <v>0</v>
      </c>
      <c r="N132" s="263">
        <v>15</v>
      </c>
      <c r="O132" s="266">
        <v>0</v>
      </c>
      <c r="P132" s="262">
        <v>189</v>
      </c>
      <c r="Q132" s="263">
        <v>0</v>
      </c>
      <c r="R132" s="264">
        <v>17</v>
      </c>
      <c r="S132" s="263">
        <v>0</v>
      </c>
      <c r="T132" s="266">
        <v>0</v>
      </c>
      <c r="U132" s="265">
        <v>172</v>
      </c>
      <c r="V132" s="263">
        <v>0</v>
      </c>
      <c r="W132" s="264">
        <v>0</v>
      </c>
      <c r="X132" s="263">
        <v>0</v>
      </c>
      <c r="Y132" s="264">
        <v>1</v>
      </c>
      <c r="Z132" s="262">
        <v>173</v>
      </c>
      <c r="AA132" s="263">
        <v>0</v>
      </c>
      <c r="AB132" s="264">
        <v>1</v>
      </c>
      <c r="AC132" s="263">
        <v>2</v>
      </c>
      <c r="AD132" s="264">
        <v>1</v>
      </c>
      <c r="AE132" s="262">
        <v>175</v>
      </c>
    </row>
    <row r="133" spans="2:31">
      <c r="B133" s="248"/>
      <c r="C133" s="250"/>
      <c r="D133" s="250"/>
      <c r="E133" s="250" t="s">
        <v>676</v>
      </c>
      <c r="F133" s="262">
        <v>1186</v>
      </c>
      <c r="G133" s="263">
        <v>0</v>
      </c>
      <c r="H133" s="264">
        <v>6</v>
      </c>
      <c r="I133" s="263">
        <v>0</v>
      </c>
      <c r="J133" s="266">
        <v>2</v>
      </c>
      <c r="K133" s="262">
        <v>1182</v>
      </c>
      <c r="L133" s="263">
        <v>0</v>
      </c>
      <c r="M133" s="264">
        <v>2</v>
      </c>
      <c r="N133" s="263">
        <v>0</v>
      </c>
      <c r="O133" s="266">
        <v>2</v>
      </c>
      <c r="P133" s="262">
        <v>1182</v>
      </c>
      <c r="Q133" s="263">
        <v>0</v>
      </c>
      <c r="R133" s="264">
        <v>64</v>
      </c>
      <c r="S133" s="263">
        <v>0</v>
      </c>
      <c r="T133" s="266">
        <v>17</v>
      </c>
      <c r="U133" s="265">
        <v>1135</v>
      </c>
      <c r="V133" s="263">
        <v>0</v>
      </c>
      <c r="W133" s="264">
        <v>125</v>
      </c>
      <c r="X133" s="263">
        <v>0</v>
      </c>
      <c r="Y133" s="264">
        <v>0</v>
      </c>
      <c r="Z133" s="262">
        <v>1010</v>
      </c>
      <c r="AA133" s="263">
        <v>0</v>
      </c>
      <c r="AB133" s="264">
        <v>0</v>
      </c>
      <c r="AC133" s="263">
        <v>0</v>
      </c>
      <c r="AD133" s="264">
        <v>0</v>
      </c>
      <c r="AE133" s="262">
        <v>1010</v>
      </c>
    </row>
    <row r="134" spans="2:31">
      <c r="B134" s="248"/>
      <c r="C134" s="250"/>
      <c r="D134" s="250"/>
      <c r="E134" s="250"/>
      <c r="F134" s="267"/>
      <c r="G134" s="268"/>
      <c r="H134" s="269"/>
      <c r="I134" s="268"/>
      <c r="J134" s="270"/>
      <c r="K134" s="267"/>
      <c r="L134" s="268"/>
      <c r="M134" s="269"/>
      <c r="N134" s="268"/>
      <c r="O134" s="270"/>
      <c r="P134" s="267"/>
      <c r="Q134" s="268"/>
      <c r="R134" s="269"/>
      <c r="S134" s="268"/>
      <c r="T134" s="270"/>
      <c r="U134" s="271"/>
      <c r="V134" s="268"/>
      <c r="W134" s="269"/>
      <c r="X134" s="268"/>
      <c r="Y134" s="269"/>
      <c r="Z134" s="267"/>
      <c r="AA134" s="268"/>
      <c r="AB134" s="269"/>
      <c r="AC134" s="268"/>
      <c r="AD134" s="269"/>
      <c r="AE134" s="267"/>
    </row>
    <row r="135" spans="2:31">
      <c r="B135" s="248"/>
      <c r="C135" s="250"/>
      <c r="D135" s="255" t="s">
        <v>512</v>
      </c>
      <c r="E135" s="250"/>
      <c r="F135" s="267"/>
      <c r="G135" s="268"/>
      <c r="H135" s="269"/>
      <c r="I135" s="268"/>
      <c r="J135" s="270"/>
      <c r="K135" s="267"/>
      <c r="L135" s="268"/>
      <c r="M135" s="269"/>
      <c r="N135" s="268"/>
      <c r="O135" s="270"/>
      <c r="P135" s="267"/>
      <c r="Q135" s="268"/>
      <c r="R135" s="269"/>
      <c r="S135" s="268"/>
      <c r="T135" s="270"/>
      <c r="U135" s="271"/>
      <c r="V135" s="268"/>
      <c r="W135" s="269"/>
      <c r="X135" s="268"/>
      <c r="Y135" s="269"/>
      <c r="Z135" s="267"/>
      <c r="AA135" s="268"/>
      <c r="AB135" s="269"/>
      <c r="AC135" s="268"/>
      <c r="AD135" s="269"/>
      <c r="AE135" s="267"/>
    </row>
    <row r="136" spans="2:31">
      <c r="B136" s="248"/>
      <c r="C136" s="250"/>
      <c r="D136" s="250"/>
      <c r="E136" s="280" t="s">
        <v>677</v>
      </c>
      <c r="F136" s="262">
        <v>150</v>
      </c>
      <c r="G136" s="263">
        <v>0</v>
      </c>
      <c r="H136" s="264">
        <v>1</v>
      </c>
      <c r="I136" s="263">
        <v>0</v>
      </c>
      <c r="J136" s="266">
        <v>1</v>
      </c>
      <c r="K136" s="262">
        <v>150</v>
      </c>
      <c r="L136" s="263">
        <v>0</v>
      </c>
      <c r="M136" s="264">
        <v>2</v>
      </c>
      <c r="N136" s="263">
        <v>0</v>
      </c>
      <c r="O136" s="266">
        <v>3</v>
      </c>
      <c r="P136" s="262">
        <v>151</v>
      </c>
      <c r="Q136" s="263">
        <v>0</v>
      </c>
      <c r="R136" s="264">
        <v>0</v>
      </c>
      <c r="S136" s="263">
        <v>2</v>
      </c>
      <c r="T136" s="266">
        <v>0</v>
      </c>
      <c r="U136" s="265">
        <v>153</v>
      </c>
      <c r="V136" s="263">
        <v>2</v>
      </c>
      <c r="W136" s="264">
        <v>0</v>
      </c>
      <c r="X136" s="263">
        <v>1</v>
      </c>
      <c r="Y136" s="264">
        <v>1</v>
      </c>
      <c r="Z136" s="262">
        <v>153</v>
      </c>
      <c r="AA136" s="263">
        <v>0</v>
      </c>
      <c r="AB136" s="264">
        <v>0</v>
      </c>
      <c r="AC136" s="263">
        <v>0</v>
      </c>
      <c r="AD136" s="264">
        <v>0</v>
      </c>
      <c r="AE136" s="262">
        <v>153</v>
      </c>
    </row>
    <row r="137" spans="2:31">
      <c r="B137" s="248"/>
      <c r="C137" s="250"/>
      <c r="D137" s="250"/>
      <c r="E137" s="280" t="s">
        <v>678</v>
      </c>
      <c r="F137" s="262">
        <v>142</v>
      </c>
      <c r="G137" s="263">
        <v>0</v>
      </c>
      <c r="H137" s="264">
        <v>0</v>
      </c>
      <c r="I137" s="263">
        <v>0</v>
      </c>
      <c r="J137" s="266">
        <v>0</v>
      </c>
      <c r="K137" s="262">
        <v>142</v>
      </c>
      <c r="L137" s="263">
        <v>0</v>
      </c>
      <c r="M137" s="264">
        <v>0</v>
      </c>
      <c r="N137" s="263">
        <v>0</v>
      </c>
      <c r="O137" s="266">
        <v>0</v>
      </c>
      <c r="P137" s="262">
        <v>142</v>
      </c>
      <c r="Q137" s="263">
        <v>0</v>
      </c>
      <c r="R137" s="264">
        <v>0</v>
      </c>
      <c r="S137" s="263">
        <v>0</v>
      </c>
      <c r="T137" s="266">
        <v>0</v>
      </c>
      <c r="U137" s="265">
        <v>142</v>
      </c>
      <c r="V137" s="263">
        <v>0</v>
      </c>
      <c r="W137" s="264">
        <v>0</v>
      </c>
      <c r="X137" s="263">
        <v>0</v>
      </c>
      <c r="Y137" s="264">
        <v>0</v>
      </c>
      <c r="Z137" s="262">
        <v>142</v>
      </c>
      <c r="AA137" s="263">
        <v>0</v>
      </c>
      <c r="AB137" s="264">
        <v>0</v>
      </c>
      <c r="AC137" s="263">
        <v>0</v>
      </c>
      <c r="AD137" s="264">
        <v>0</v>
      </c>
      <c r="AE137" s="262">
        <v>142</v>
      </c>
    </row>
    <row r="138" spans="2:31" ht="13.5" thickBot="1">
      <c r="B138" s="246"/>
      <c r="C138" s="247"/>
      <c r="D138" s="247"/>
      <c r="E138" s="247"/>
      <c r="F138" s="272"/>
      <c r="G138" s="273"/>
      <c r="H138" s="274"/>
      <c r="I138" s="273"/>
      <c r="J138" s="275"/>
      <c r="K138" s="276"/>
      <c r="L138" s="273"/>
      <c r="M138" s="274"/>
      <c r="N138" s="273"/>
      <c r="O138" s="275"/>
      <c r="P138" s="276"/>
      <c r="Q138" s="273"/>
      <c r="R138" s="274"/>
      <c r="S138" s="273"/>
      <c r="T138" s="275"/>
      <c r="U138" s="277"/>
      <c r="V138" s="273"/>
      <c r="W138" s="274"/>
      <c r="X138" s="273"/>
      <c r="Y138" s="274"/>
      <c r="Z138" s="276"/>
      <c r="AA138" s="273"/>
      <c r="AB138" s="274"/>
      <c r="AC138" s="273"/>
      <c r="AD138" s="274"/>
      <c r="AE138" s="276"/>
    </row>
    <row r="139" spans="2:31">
      <c r="B139" s="278"/>
      <c r="C139" s="279" t="s">
        <v>683</v>
      </c>
      <c r="D139" s="279"/>
      <c r="E139" s="280"/>
      <c r="F139" s="267"/>
      <c r="G139" s="268"/>
      <c r="H139" s="269"/>
      <c r="I139" s="268"/>
      <c r="J139" s="270"/>
      <c r="K139" s="267"/>
      <c r="L139" s="268"/>
      <c r="M139" s="269"/>
      <c r="N139" s="268"/>
      <c r="O139" s="270"/>
      <c r="P139" s="267"/>
      <c r="Q139" s="268"/>
      <c r="R139" s="269"/>
      <c r="S139" s="268"/>
      <c r="T139" s="270"/>
      <c r="U139" s="271"/>
      <c r="V139" s="268"/>
      <c r="W139" s="269"/>
      <c r="X139" s="268"/>
      <c r="Y139" s="269"/>
      <c r="Z139" s="267"/>
      <c r="AA139" s="268"/>
      <c r="AB139" s="269"/>
      <c r="AC139" s="268"/>
      <c r="AD139" s="269"/>
      <c r="AE139" s="267"/>
    </row>
    <row r="140" spans="2:31">
      <c r="B140" s="248"/>
      <c r="C140" s="250"/>
      <c r="D140" s="255" t="s">
        <v>684</v>
      </c>
      <c r="E140" s="250"/>
      <c r="F140" s="267"/>
      <c r="G140" s="268"/>
      <c r="H140" s="269"/>
      <c r="I140" s="268"/>
      <c r="J140" s="270"/>
      <c r="K140" s="267"/>
      <c r="L140" s="268"/>
      <c r="M140" s="269"/>
      <c r="N140" s="268"/>
      <c r="O140" s="270"/>
      <c r="P140" s="267"/>
      <c r="Q140" s="268"/>
      <c r="R140" s="269"/>
      <c r="S140" s="268"/>
      <c r="T140" s="270"/>
      <c r="U140" s="271"/>
      <c r="V140" s="268"/>
      <c r="W140" s="269"/>
      <c r="X140" s="268"/>
      <c r="Y140" s="269"/>
      <c r="Z140" s="267"/>
      <c r="AA140" s="268"/>
      <c r="AB140" s="269"/>
      <c r="AC140" s="268"/>
      <c r="AD140" s="269"/>
      <c r="AE140" s="267"/>
    </row>
    <row r="141" spans="2:31">
      <c r="B141" s="248"/>
      <c r="C141" s="250"/>
      <c r="D141" s="250"/>
      <c r="E141" s="280" t="s">
        <v>685</v>
      </c>
      <c r="F141" s="262">
        <v>0</v>
      </c>
      <c r="G141" s="263">
        <v>0</v>
      </c>
      <c r="H141" s="264">
        <v>0</v>
      </c>
      <c r="I141" s="263">
        <v>0</v>
      </c>
      <c r="J141" s="266">
        <v>0</v>
      </c>
      <c r="K141" s="262">
        <v>0</v>
      </c>
      <c r="L141" s="263">
        <v>0</v>
      </c>
      <c r="M141" s="264">
        <v>0</v>
      </c>
      <c r="N141" s="263">
        <v>0</v>
      </c>
      <c r="O141" s="266">
        <v>0</v>
      </c>
      <c r="P141" s="262">
        <v>0</v>
      </c>
      <c r="Q141" s="263">
        <v>0</v>
      </c>
      <c r="R141" s="264">
        <v>0</v>
      </c>
      <c r="S141" s="263">
        <v>0</v>
      </c>
      <c r="T141" s="266">
        <v>0</v>
      </c>
      <c r="U141" s="265">
        <v>0</v>
      </c>
      <c r="V141" s="263">
        <v>0</v>
      </c>
      <c r="W141" s="264">
        <v>0</v>
      </c>
      <c r="X141" s="263">
        <v>0</v>
      </c>
      <c r="Y141" s="264">
        <v>0</v>
      </c>
      <c r="Z141" s="262">
        <v>0</v>
      </c>
      <c r="AA141" s="263">
        <v>0</v>
      </c>
      <c r="AB141" s="264">
        <v>0</v>
      </c>
      <c r="AC141" s="263">
        <v>0</v>
      </c>
      <c r="AD141" s="264">
        <v>0</v>
      </c>
      <c r="AE141" s="262">
        <v>0</v>
      </c>
    </row>
    <row r="142" spans="2:31">
      <c r="B142" s="248"/>
      <c r="C142" s="250"/>
      <c r="D142" s="250"/>
      <c r="E142" s="280" t="s">
        <v>854</v>
      </c>
      <c r="F142" s="262">
        <v>448</v>
      </c>
      <c r="G142" s="263">
        <v>0</v>
      </c>
      <c r="H142" s="264">
        <v>0</v>
      </c>
      <c r="I142" s="263">
        <v>0</v>
      </c>
      <c r="J142" s="266">
        <v>0</v>
      </c>
      <c r="K142" s="262">
        <v>448</v>
      </c>
      <c r="L142" s="263">
        <v>0</v>
      </c>
      <c r="M142" s="264">
        <v>0</v>
      </c>
      <c r="N142" s="263">
        <v>0</v>
      </c>
      <c r="O142" s="266">
        <v>0</v>
      </c>
      <c r="P142" s="262">
        <v>448</v>
      </c>
      <c r="Q142" s="263">
        <v>0</v>
      </c>
      <c r="R142" s="264">
        <v>0</v>
      </c>
      <c r="S142" s="263">
        <v>0</v>
      </c>
      <c r="T142" s="266">
        <v>1</v>
      </c>
      <c r="U142" s="265">
        <v>449</v>
      </c>
      <c r="V142" s="263">
        <v>0</v>
      </c>
      <c r="W142" s="264">
        <v>0</v>
      </c>
      <c r="X142" s="263">
        <v>0</v>
      </c>
      <c r="Y142" s="264">
        <v>0</v>
      </c>
      <c r="Z142" s="262">
        <v>449</v>
      </c>
      <c r="AA142" s="263">
        <v>0</v>
      </c>
      <c r="AB142" s="264">
        <v>0</v>
      </c>
      <c r="AC142" s="263">
        <v>0</v>
      </c>
      <c r="AD142" s="264">
        <v>0</v>
      </c>
      <c r="AE142" s="262">
        <v>449</v>
      </c>
    </row>
    <row r="143" spans="2:31">
      <c r="B143" s="248"/>
      <c r="C143" s="280"/>
      <c r="D143" s="255"/>
      <c r="E143" s="250"/>
      <c r="F143" s="267"/>
      <c r="G143" s="268"/>
      <c r="H143" s="269"/>
      <c r="I143" s="268"/>
      <c r="J143" s="270"/>
      <c r="K143" s="267"/>
      <c r="L143" s="268"/>
      <c r="M143" s="269"/>
      <c r="N143" s="268"/>
      <c r="O143" s="270"/>
      <c r="P143" s="267"/>
      <c r="Q143" s="268"/>
      <c r="R143" s="269"/>
      <c r="S143" s="268"/>
      <c r="T143" s="270"/>
      <c r="U143" s="271"/>
      <c r="V143" s="268"/>
      <c r="W143" s="269"/>
      <c r="X143" s="268"/>
      <c r="Y143" s="269"/>
      <c r="Z143" s="267"/>
      <c r="AA143" s="268"/>
      <c r="AB143" s="269"/>
      <c r="AC143" s="268"/>
      <c r="AD143" s="269"/>
      <c r="AE143" s="267"/>
    </row>
    <row r="144" spans="2:31">
      <c r="B144" s="248"/>
      <c r="C144" s="250"/>
      <c r="D144" s="255" t="s">
        <v>855</v>
      </c>
      <c r="E144" s="250"/>
      <c r="F144" s="267"/>
      <c r="G144" s="268"/>
      <c r="H144" s="269"/>
      <c r="I144" s="268"/>
      <c r="J144" s="270"/>
      <c r="K144" s="267"/>
      <c r="L144" s="268"/>
      <c r="M144" s="269"/>
      <c r="N144" s="268"/>
      <c r="O144" s="270"/>
      <c r="P144" s="267"/>
      <c r="Q144" s="268"/>
      <c r="R144" s="269"/>
      <c r="S144" s="268"/>
      <c r="T144" s="270"/>
      <c r="U144" s="271"/>
      <c r="V144" s="268"/>
      <c r="W144" s="269"/>
      <c r="X144" s="268"/>
      <c r="Y144" s="269"/>
      <c r="Z144" s="267"/>
      <c r="AA144" s="268"/>
      <c r="AB144" s="269"/>
      <c r="AC144" s="268"/>
      <c r="AD144" s="269"/>
      <c r="AE144" s="267"/>
    </row>
    <row r="145" spans="2:31">
      <c r="B145" s="248"/>
      <c r="C145" s="250"/>
      <c r="D145" s="250"/>
      <c r="E145" s="280" t="s">
        <v>687</v>
      </c>
      <c r="F145" s="262">
        <v>589</v>
      </c>
      <c r="G145" s="263">
        <v>0</v>
      </c>
      <c r="H145" s="264">
        <v>0</v>
      </c>
      <c r="I145" s="263">
        <v>0</v>
      </c>
      <c r="J145" s="266">
        <v>0</v>
      </c>
      <c r="K145" s="262">
        <v>589</v>
      </c>
      <c r="L145" s="263">
        <v>0</v>
      </c>
      <c r="M145" s="264">
        <v>0</v>
      </c>
      <c r="N145" s="263">
        <v>0</v>
      </c>
      <c r="O145" s="266">
        <v>0</v>
      </c>
      <c r="P145" s="262">
        <v>589</v>
      </c>
      <c r="Q145" s="263">
        <v>0</v>
      </c>
      <c r="R145" s="264">
        <v>0</v>
      </c>
      <c r="S145" s="263">
        <v>0</v>
      </c>
      <c r="T145" s="266">
        <v>16</v>
      </c>
      <c r="U145" s="265">
        <v>605</v>
      </c>
      <c r="V145" s="263">
        <v>0</v>
      </c>
      <c r="W145" s="264">
        <v>0</v>
      </c>
      <c r="X145" s="263">
        <v>0</v>
      </c>
      <c r="Y145" s="264">
        <v>0</v>
      </c>
      <c r="Z145" s="262">
        <v>605</v>
      </c>
      <c r="AA145" s="263">
        <v>0</v>
      </c>
      <c r="AB145" s="264">
        <v>0</v>
      </c>
      <c r="AC145" s="263">
        <v>45</v>
      </c>
      <c r="AD145" s="264">
        <v>0</v>
      </c>
      <c r="AE145" s="262">
        <v>650</v>
      </c>
    </row>
    <row r="146" spans="2:31">
      <c r="B146" s="248"/>
      <c r="C146" s="250"/>
      <c r="D146" s="250"/>
      <c r="E146" s="280" t="s">
        <v>688</v>
      </c>
      <c r="F146" s="262">
        <v>1083</v>
      </c>
      <c r="G146" s="263">
        <v>0</v>
      </c>
      <c r="H146" s="264">
        <v>0</v>
      </c>
      <c r="I146" s="263">
        <v>0</v>
      </c>
      <c r="J146" s="266">
        <v>0</v>
      </c>
      <c r="K146" s="262">
        <v>1083</v>
      </c>
      <c r="L146" s="263">
        <v>0</v>
      </c>
      <c r="M146" s="264">
        <v>0</v>
      </c>
      <c r="N146" s="263">
        <v>0</v>
      </c>
      <c r="O146" s="266">
        <v>0</v>
      </c>
      <c r="P146" s="262">
        <v>1083</v>
      </c>
      <c r="Q146" s="263">
        <v>0</v>
      </c>
      <c r="R146" s="264">
        <v>0</v>
      </c>
      <c r="S146" s="263">
        <v>0</v>
      </c>
      <c r="T146" s="266">
        <v>0</v>
      </c>
      <c r="U146" s="265">
        <v>1083</v>
      </c>
      <c r="V146" s="263">
        <v>0</v>
      </c>
      <c r="W146" s="264">
        <v>6</v>
      </c>
      <c r="X146" s="263">
        <v>0</v>
      </c>
      <c r="Y146" s="264">
        <v>0</v>
      </c>
      <c r="Z146" s="262">
        <v>1077</v>
      </c>
      <c r="AA146" s="263">
        <v>0</v>
      </c>
      <c r="AB146" s="264">
        <v>0</v>
      </c>
      <c r="AC146" s="263">
        <v>0</v>
      </c>
      <c r="AD146" s="264">
        <v>0</v>
      </c>
      <c r="AE146" s="262">
        <v>1077</v>
      </c>
    </row>
    <row r="147" spans="2:31" ht="13.5" thickBot="1">
      <c r="B147" s="246"/>
      <c r="C147" s="247"/>
      <c r="D147" s="247"/>
      <c r="E147" s="247"/>
      <c r="F147" s="272"/>
      <c r="G147" s="273"/>
      <c r="H147" s="274"/>
      <c r="I147" s="273"/>
      <c r="J147" s="275"/>
      <c r="K147" s="276"/>
      <c r="L147" s="273"/>
      <c r="M147" s="274"/>
      <c r="N147" s="273"/>
      <c r="O147" s="275"/>
      <c r="P147" s="276"/>
      <c r="Q147" s="273"/>
      <c r="R147" s="274"/>
      <c r="S147" s="273"/>
      <c r="T147" s="275"/>
      <c r="U147" s="286"/>
      <c r="V147" s="273"/>
      <c r="W147" s="274"/>
      <c r="X147" s="273"/>
      <c r="Y147" s="274"/>
      <c r="Z147" s="276"/>
      <c r="AA147" s="273"/>
      <c r="AB147" s="274"/>
      <c r="AC147" s="273"/>
      <c r="AD147" s="274"/>
      <c r="AE147" s="276"/>
    </row>
  </sheetData>
  <mergeCells count="17">
    <mergeCell ref="F7:F9"/>
    <mergeCell ref="B7:E9"/>
    <mergeCell ref="AC8:AD8"/>
    <mergeCell ref="AA7:AE7"/>
    <mergeCell ref="G8:H8"/>
    <mergeCell ref="I8:J8"/>
    <mergeCell ref="L8:M8"/>
    <mergeCell ref="AA8:AB8"/>
    <mergeCell ref="G7:K7"/>
    <mergeCell ref="L7:P7"/>
    <mergeCell ref="Q7:U7"/>
    <mergeCell ref="V7:Z7"/>
    <mergeCell ref="N8:O8"/>
    <mergeCell ref="Q8:R8"/>
    <mergeCell ref="S8:T8"/>
    <mergeCell ref="V8:W8"/>
    <mergeCell ref="X8:Y8"/>
  </mergeCells>
  <phoneticPr fontId="0" type="noConversion"/>
  <hyperlinks>
    <hyperlink ref="G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1DFFF"/>
  </sheetPr>
  <dimension ref="A1:T144"/>
  <sheetViews>
    <sheetView zoomScale="80" zoomScaleNormal="80" zoomScalePageLayoutView="85" workbookViewId="0"/>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485" t="s">
        <v>858</v>
      </c>
      <c r="F1" s="241" t="s">
        <v>216</v>
      </c>
    </row>
    <row r="3" spans="1:20">
      <c r="A3" s="485" t="s">
        <v>66</v>
      </c>
    </row>
    <row r="6" spans="1:20" s="1223" customFormat="1" ht="15.75" customHeight="1">
      <c r="A6" s="1354"/>
      <c r="B6" s="1382" t="s">
        <v>67</v>
      </c>
      <c r="C6" s="302"/>
      <c r="D6" s="1123"/>
      <c r="E6" s="1123"/>
      <c r="F6" s="1123"/>
      <c r="G6" s="1123"/>
      <c r="H6" s="1123"/>
      <c r="I6" s="1123"/>
      <c r="J6" s="1123"/>
      <c r="K6" s="1123"/>
      <c r="L6" s="1123"/>
      <c r="M6" s="1123"/>
      <c r="N6" s="1123"/>
      <c r="O6" s="1369"/>
      <c r="P6" s="1369"/>
      <c r="Q6" s="1369"/>
      <c r="R6" s="1357"/>
      <c r="S6" s="1123"/>
      <c r="T6" s="1123"/>
    </row>
    <row r="7" spans="1:20" ht="13.5" thickBot="1">
      <c r="A7" s="242"/>
      <c r="B7" s="242"/>
      <c r="C7" s="298"/>
      <c r="D7" s="242"/>
      <c r="E7" s="242"/>
      <c r="F7" s="242"/>
      <c r="G7" s="242"/>
      <c r="H7" s="242"/>
      <c r="I7" s="242"/>
      <c r="J7" s="242"/>
      <c r="K7" s="242"/>
      <c r="L7" s="242"/>
      <c r="M7" s="242"/>
      <c r="N7" s="242"/>
      <c r="O7" s="242"/>
      <c r="P7" s="242"/>
      <c r="Q7" s="242"/>
      <c r="R7" s="243"/>
      <c r="S7" s="242"/>
      <c r="T7" s="242"/>
    </row>
    <row r="8" spans="1:20" ht="15.75" customHeight="1">
      <c r="A8" s="242"/>
      <c r="B8" s="1896" t="s">
        <v>67</v>
      </c>
      <c r="C8" s="1900" t="s">
        <v>31</v>
      </c>
      <c r="D8" s="508" t="s">
        <v>116</v>
      </c>
      <c r="E8" s="509"/>
      <c r="F8" s="509"/>
      <c r="G8" s="509"/>
      <c r="H8" s="299"/>
      <c r="I8" s="509" t="s">
        <v>117</v>
      </c>
      <c r="J8" s="300"/>
      <c r="K8" s="300"/>
      <c r="L8" s="300"/>
      <c r="M8" s="299"/>
      <c r="N8" s="242"/>
      <c r="O8" s="510" t="s">
        <v>116</v>
      </c>
      <c r="P8" s="511"/>
      <c r="Q8" s="512"/>
      <c r="R8" s="243"/>
      <c r="S8" s="510" t="s">
        <v>117</v>
      </c>
      <c r="T8" s="512"/>
    </row>
    <row r="9" spans="1:20" ht="25.5">
      <c r="A9" s="242"/>
      <c r="B9" s="1897"/>
      <c r="C9" s="1901"/>
      <c r="D9" s="513" t="s">
        <v>32</v>
      </c>
      <c r="E9" s="514" t="s">
        <v>33</v>
      </c>
      <c r="F9" s="514" t="s">
        <v>29</v>
      </c>
      <c r="G9" s="514" t="s">
        <v>34</v>
      </c>
      <c r="H9" s="515" t="s">
        <v>35</v>
      </c>
      <c r="I9" s="516" t="s">
        <v>118</v>
      </c>
      <c r="J9" s="514" t="s">
        <v>136</v>
      </c>
      <c r="K9" s="514" t="s">
        <v>137</v>
      </c>
      <c r="L9" s="514" t="s">
        <v>138</v>
      </c>
      <c r="M9" s="515" t="s">
        <v>139</v>
      </c>
      <c r="N9" s="242"/>
      <c r="O9" s="517" t="s">
        <v>126</v>
      </c>
      <c r="P9" s="518" t="s">
        <v>127</v>
      </c>
      <c r="Q9" s="519" t="s">
        <v>246</v>
      </c>
      <c r="R9" s="243"/>
      <c r="S9" s="517" t="s">
        <v>127</v>
      </c>
      <c r="T9" s="519" t="s">
        <v>128</v>
      </c>
    </row>
    <row r="10" spans="1:20" s="1223" customFormat="1" ht="15.75" customHeight="1">
      <c r="A10" s="1354"/>
      <c r="B10" s="1368" t="s">
        <v>185</v>
      </c>
      <c r="C10" s="1356" t="s">
        <v>14</v>
      </c>
      <c r="D10" s="1099">
        <v>38.426038944430175</v>
      </c>
      <c r="E10" s="1100">
        <v>55.69259182868781</v>
      </c>
      <c r="F10" s="1100">
        <v>49.759269125714141</v>
      </c>
      <c r="G10" s="1100">
        <v>33.220266811242979</v>
      </c>
      <c r="H10" s="1101">
        <v>23.042104788233342</v>
      </c>
      <c r="I10" s="1100">
        <v>22.228642679511978</v>
      </c>
      <c r="J10" s="1102">
        <v>24.461244934269942</v>
      </c>
      <c r="K10" s="1102">
        <v>27.058255321612496</v>
      </c>
      <c r="L10" s="1102">
        <v>28.504107053351579</v>
      </c>
      <c r="M10" s="1101">
        <v>37.593790806977935</v>
      </c>
      <c r="N10" s="1369"/>
      <c r="O10" s="1104">
        <v>143.87789989883214</v>
      </c>
      <c r="P10" s="1105">
        <v>56.262371599476324</v>
      </c>
      <c r="Q10" s="1106">
        <v>200.14027149830846</v>
      </c>
      <c r="R10" s="1357"/>
      <c r="S10" s="1104">
        <v>139.84604079572392</v>
      </c>
      <c r="T10" s="1106">
        <v>-0.30125986265135118</v>
      </c>
    </row>
    <row r="11" spans="1:20" s="1223" customFormat="1" ht="15.75" customHeight="1">
      <c r="A11" s="1354"/>
      <c r="B11" s="1368" t="s">
        <v>186</v>
      </c>
      <c r="C11" s="1356" t="s">
        <v>14</v>
      </c>
      <c r="D11" s="1108">
        <v>29.955820643934121</v>
      </c>
      <c r="E11" s="1109">
        <v>47.788722773984993</v>
      </c>
      <c r="F11" s="1109">
        <v>49.423677405427178</v>
      </c>
      <c r="G11" s="1109">
        <v>23.015715224654759</v>
      </c>
      <c r="H11" s="1110">
        <v>15.862633345729508</v>
      </c>
      <c r="I11" s="1109">
        <v>17.418779216396857</v>
      </c>
      <c r="J11" s="1111">
        <v>16.91268603998893</v>
      </c>
      <c r="K11" s="1111">
        <v>19.171952583679715</v>
      </c>
      <c r="L11" s="1111">
        <v>22.366801788493959</v>
      </c>
      <c r="M11" s="1110">
        <v>26.742808210434699</v>
      </c>
      <c r="N11" s="1369"/>
      <c r="O11" s="1104">
        <v>127.1682208233463</v>
      </c>
      <c r="P11" s="1105">
        <v>38.878348570384269</v>
      </c>
      <c r="Q11" s="1106">
        <v>166.04656939373058</v>
      </c>
      <c r="R11" s="1357"/>
      <c r="S11" s="1104">
        <v>102.61302783899416</v>
      </c>
      <c r="T11" s="1106">
        <v>-0.38202259634959662</v>
      </c>
    </row>
    <row r="12" spans="1:20" s="1223" customFormat="1" ht="15.75" customHeight="1">
      <c r="A12" s="1354"/>
      <c r="B12" s="1368" t="s">
        <v>666</v>
      </c>
      <c r="C12" s="1356" t="s">
        <v>14</v>
      </c>
      <c r="D12" s="1112">
        <v>8.4702183004960538</v>
      </c>
      <c r="E12" s="1113">
        <v>7.9038690547028168</v>
      </c>
      <c r="F12" s="1113">
        <v>0.33559172028696338</v>
      </c>
      <c r="G12" s="1113">
        <v>10.20455158658822</v>
      </c>
      <c r="H12" s="1114">
        <v>7.179471442503834</v>
      </c>
      <c r="I12" s="1115">
        <v>4.8098634631151214</v>
      </c>
      <c r="J12" s="1113">
        <v>7.5485588942810118</v>
      </c>
      <c r="K12" s="1113">
        <v>7.8863027379327804</v>
      </c>
      <c r="L12" s="1113">
        <v>6.1373052648576198</v>
      </c>
      <c r="M12" s="1114">
        <v>10.850982596543236</v>
      </c>
      <c r="N12" s="1369"/>
      <c r="O12" s="1104">
        <v>16.709679075485834</v>
      </c>
      <c r="P12" s="1105">
        <v>17.384023029092056</v>
      </c>
      <c r="Q12" s="1106">
        <v>34.093702104577886</v>
      </c>
      <c r="R12" s="1357"/>
      <c r="S12" s="1104">
        <v>37.233012956729766</v>
      </c>
      <c r="T12" s="1106">
        <v>9.2078907785445599E-2</v>
      </c>
    </row>
    <row r="13" spans="1:20" s="1223" customFormat="1" ht="15.75" customHeight="1">
      <c r="A13" s="1354"/>
      <c r="B13" s="1368" t="s">
        <v>188</v>
      </c>
      <c r="C13" s="1356" t="s">
        <v>14</v>
      </c>
      <c r="D13" s="1108">
        <v>7.4987479833711568</v>
      </c>
      <c r="E13" s="1109">
        <v>11.452793348750376</v>
      </c>
      <c r="F13" s="1109">
        <v>11.650031274572823</v>
      </c>
      <c r="G13" s="1109">
        <v>8.4227160046749869</v>
      </c>
      <c r="H13" s="1110">
        <v>8.8424535486577103</v>
      </c>
      <c r="I13" s="1109">
        <v>8.6106175325311103</v>
      </c>
      <c r="J13" s="1111">
        <v>8.6205507062049378</v>
      </c>
      <c r="K13" s="1111">
        <v>8.708820344423378</v>
      </c>
      <c r="L13" s="1111">
        <v>8.7358374154946432</v>
      </c>
      <c r="M13" s="1110">
        <v>8.6966220009896702</v>
      </c>
      <c r="N13" s="1369"/>
      <c r="O13" s="1104">
        <v>30.601572606694354</v>
      </c>
      <c r="P13" s="1105">
        <v>17.265169553332697</v>
      </c>
      <c r="Q13" s="1106">
        <v>47.866742160027052</v>
      </c>
      <c r="R13" s="1357"/>
      <c r="S13" s="1104">
        <v>43.37244799964374</v>
      </c>
      <c r="T13" s="1106">
        <v>-9.3891791201458533E-2</v>
      </c>
    </row>
    <row r="14" spans="1:20" s="1223" customFormat="1" ht="15.75" customHeight="1" thickBot="1">
      <c r="A14" s="1354"/>
      <c r="B14" s="1370" t="s">
        <v>424</v>
      </c>
      <c r="C14" s="1361" t="s">
        <v>14</v>
      </c>
      <c r="D14" s="1116">
        <v>0.97147031712489706</v>
      </c>
      <c r="E14" s="1117">
        <v>-3.5489242940475592</v>
      </c>
      <c r="F14" s="1117">
        <v>-11.31443955428586</v>
      </c>
      <c r="G14" s="1117">
        <v>1.7818355819132332</v>
      </c>
      <c r="H14" s="1118">
        <v>-1.6629821061538763</v>
      </c>
      <c r="I14" s="1119">
        <v>-3.8007540694159889</v>
      </c>
      <c r="J14" s="1117">
        <v>-1.071991811923926</v>
      </c>
      <c r="K14" s="1117">
        <v>-0.82251760649059769</v>
      </c>
      <c r="L14" s="1117">
        <v>-2.5985321506370234</v>
      </c>
      <c r="M14" s="1118">
        <v>2.1543605955535661</v>
      </c>
      <c r="N14" s="1369"/>
      <c r="O14" s="1120">
        <v>-13.891893531208522</v>
      </c>
      <c r="P14" s="1121">
        <v>0.1188534757593569</v>
      </c>
      <c r="Q14" s="1122">
        <v>-13.773040055449165</v>
      </c>
      <c r="R14" s="1357"/>
      <c r="S14" s="1120">
        <v>-6.1394350429139699</v>
      </c>
      <c r="T14" s="1122">
        <v>-0.55424256241199532</v>
      </c>
    </row>
    <row r="15" spans="1:20">
      <c r="A15" s="242"/>
      <c r="B15" s="242"/>
      <c r="C15" s="298"/>
      <c r="D15" s="1103"/>
      <c r="E15" s="1103"/>
      <c r="F15" s="1103"/>
      <c r="G15" s="1103"/>
      <c r="H15" s="1103"/>
      <c r="I15" s="1103"/>
      <c r="J15" s="1103"/>
      <c r="K15" s="1103"/>
      <c r="L15" s="1103"/>
      <c r="M15" s="1103"/>
      <c r="N15" s="1103"/>
      <c r="O15" s="1103"/>
      <c r="P15" s="1103"/>
      <c r="Q15" s="1103"/>
      <c r="R15" s="1107"/>
      <c r="S15" s="1103"/>
      <c r="T15" s="1103"/>
    </row>
    <row r="16" spans="1:20" s="1223" customFormat="1" ht="15.75" customHeight="1">
      <c r="A16" s="1354"/>
      <c r="B16" s="1382" t="s">
        <v>425</v>
      </c>
      <c r="C16" s="302"/>
      <c r="D16" s="1123"/>
      <c r="E16" s="1123"/>
      <c r="F16" s="1123"/>
      <c r="G16" s="1123"/>
      <c r="H16" s="1123"/>
      <c r="I16" s="1123"/>
      <c r="J16" s="1123"/>
      <c r="K16" s="1123"/>
      <c r="L16" s="1123"/>
      <c r="M16" s="1123"/>
      <c r="N16" s="1123"/>
      <c r="O16" s="1369"/>
      <c r="P16" s="1369"/>
      <c r="Q16" s="1369"/>
      <c r="R16" s="1357"/>
      <c r="S16" s="1123"/>
      <c r="T16" s="1123"/>
    </row>
    <row r="17" spans="1:20" ht="13.5" thickBot="1">
      <c r="A17" s="242"/>
      <c r="B17" s="507"/>
      <c r="C17" s="298"/>
      <c r="D17" s="1123"/>
      <c r="E17" s="1123"/>
      <c r="F17" s="1123"/>
      <c r="G17" s="1123"/>
      <c r="H17" s="1123"/>
      <c r="I17" s="1123"/>
      <c r="J17" s="1123"/>
      <c r="K17" s="1123"/>
      <c r="L17" s="1123"/>
      <c r="M17" s="1123"/>
      <c r="N17" s="1107"/>
      <c r="O17" s="1107"/>
      <c r="P17" s="1107"/>
      <c r="Q17" s="1107"/>
      <c r="R17" s="1107"/>
      <c r="S17" s="1107"/>
      <c r="T17" s="1107"/>
    </row>
    <row r="18" spans="1:20" ht="15.75" customHeight="1">
      <c r="A18" s="242"/>
      <c r="B18" s="1896" t="s">
        <v>425</v>
      </c>
      <c r="C18" s="1900" t="s">
        <v>31</v>
      </c>
      <c r="D18" s="1124" t="s">
        <v>116</v>
      </c>
      <c r="E18" s="1125"/>
      <c r="F18" s="1125"/>
      <c r="G18" s="1125"/>
      <c r="H18" s="1126"/>
      <c r="I18" s="1125" t="s">
        <v>117</v>
      </c>
      <c r="J18" s="1127"/>
      <c r="K18" s="1127"/>
      <c r="L18" s="1127"/>
      <c r="M18" s="1126"/>
      <c r="N18" s="1107"/>
      <c r="O18" s="1107"/>
      <c r="P18" s="1107"/>
      <c r="Q18" s="1107"/>
      <c r="R18" s="1107"/>
      <c r="S18" s="1107"/>
      <c r="T18" s="1107"/>
    </row>
    <row r="19" spans="1:20" ht="26.25" customHeight="1">
      <c r="A19" s="242"/>
      <c r="B19" s="1897"/>
      <c r="C19" s="1901"/>
      <c r="D19" s="1128" t="s">
        <v>32</v>
      </c>
      <c r="E19" s="1129" t="s">
        <v>33</v>
      </c>
      <c r="F19" s="1129" t="s">
        <v>29</v>
      </c>
      <c r="G19" s="1129" t="s">
        <v>34</v>
      </c>
      <c r="H19" s="1130" t="s">
        <v>35</v>
      </c>
      <c r="I19" s="1131" t="s">
        <v>118</v>
      </c>
      <c r="J19" s="1129" t="s">
        <v>136</v>
      </c>
      <c r="K19" s="1129" t="s">
        <v>137</v>
      </c>
      <c r="L19" s="1129" t="s">
        <v>138</v>
      </c>
      <c r="M19" s="1130" t="s">
        <v>139</v>
      </c>
      <c r="N19" s="1107"/>
      <c r="O19" s="1107"/>
      <c r="P19" s="1107"/>
      <c r="Q19" s="1107"/>
      <c r="R19" s="1107"/>
      <c r="S19" s="1107"/>
      <c r="T19" s="1107"/>
    </row>
    <row r="20" spans="1:20">
      <c r="A20" s="242"/>
      <c r="B20" s="522"/>
      <c r="C20" s="303"/>
      <c r="D20" s="1132"/>
      <c r="E20" s="1133"/>
      <c r="F20" s="1133"/>
      <c r="G20" s="1133"/>
      <c r="H20" s="1134"/>
      <c r="I20" s="1133"/>
      <c r="J20" s="1133"/>
      <c r="K20" s="1133"/>
      <c r="L20" s="1133"/>
      <c r="M20" s="1134"/>
      <c r="N20" s="1107"/>
      <c r="O20" s="1107"/>
      <c r="P20" s="1107"/>
      <c r="Q20" s="1107"/>
      <c r="R20" s="1107"/>
      <c r="S20" s="1107"/>
      <c r="T20" s="1107"/>
    </row>
    <row r="21" spans="1:20" ht="15.75" customHeight="1">
      <c r="A21" s="242"/>
      <c r="B21" s="1355" t="s">
        <v>426</v>
      </c>
      <c r="C21" s="520" t="s">
        <v>244</v>
      </c>
      <c r="D21" s="1135">
        <v>4744.8999999999996</v>
      </c>
      <c r="E21" s="1109">
        <v>4555.9119999999994</v>
      </c>
      <c r="F21" s="1109">
        <v>4689.463999999999</v>
      </c>
      <c r="G21" s="1109">
        <v>4695.1739999999991</v>
      </c>
      <c r="H21" s="1110">
        <v>4726.9849636547406</v>
      </c>
      <c r="I21" s="1109">
        <v>4769.994004969346</v>
      </c>
      <c r="J21" s="1111">
        <v>4813.4034848089632</v>
      </c>
      <c r="K21" s="1111">
        <v>4857.3389143601644</v>
      </c>
      <c r="L21" s="1111">
        <v>4901.473423687311</v>
      </c>
      <c r="M21" s="1110">
        <v>4946.1089318640297</v>
      </c>
      <c r="N21" s="1107"/>
      <c r="O21" s="1107"/>
      <c r="P21" s="1107"/>
      <c r="Q21" s="1107"/>
      <c r="R21" s="1107"/>
      <c r="S21" s="1107"/>
      <c r="T21" s="1107"/>
    </row>
    <row r="22" spans="1:20" ht="15.75" customHeight="1">
      <c r="A22" s="242"/>
      <c r="B22" s="1355" t="s">
        <v>589</v>
      </c>
      <c r="C22" s="520" t="s">
        <v>244</v>
      </c>
      <c r="D22" s="1108">
        <v>0</v>
      </c>
      <c r="E22" s="1109">
        <v>-188.988</v>
      </c>
      <c r="F22" s="1109">
        <v>133.55199999999999</v>
      </c>
      <c r="G22" s="1109">
        <v>5.7099999999999973</v>
      </c>
      <c r="H22" s="1110">
        <v>31.810963654741904</v>
      </c>
      <c r="I22" s="1109">
        <v>43.009041314605369</v>
      </c>
      <c r="J22" s="1111">
        <v>43.409479839617021</v>
      </c>
      <c r="K22" s="1111">
        <v>43.935429551200926</v>
      </c>
      <c r="L22" s="1111">
        <v>44.134509327146489</v>
      </c>
      <c r="M22" s="1110">
        <v>44.635508176718744</v>
      </c>
      <c r="N22" s="1107"/>
      <c r="O22" s="1107"/>
      <c r="P22" s="1107"/>
      <c r="Q22" s="1107"/>
      <c r="R22" s="1107"/>
      <c r="S22" s="1107"/>
      <c r="T22" s="1107"/>
    </row>
    <row r="23" spans="1:20" ht="15.75" customHeight="1">
      <c r="A23" s="242"/>
      <c r="B23" s="1371" t="s">
        <v>586</v>
      </c>
      <c r="C23" s="520" t="s">
        <v>244</v>
      </c>
      <c r="D23" s="1136">
        <v>0</v>
      </c>
      <c r="E23" s="1137">
        <v>46.698</v>
      </c>
      <c r="F23" s="1137">
        <v>43.978000000000002</v>
      </c>
      <c r="G23" s="1137">
        <v>32.951999999999998</v>
      </c>
      <c r="H23" s="1138">
        <v>28.952963654741904</v>
      </c>
      <c r="I23" s="1137">
        <v>28.151041314605369</v>
      </c>
      <c r="J23" s="1139">
        <v>27.751479839617019</v>
      </c>
      <c r="K23" s="1139">
        <v>31.377429551200922</v>
      </c>
      <c r="L23" s="1139">
        <v>36.776509327146485</v>
      </c>
      <c r="M23" s="1138">
        <v>43.977508176718743</v>
      </c>
      <c r="N23" s="1107"/>
      <c r="O23" s="1107"/>
      <c r="P23" s="1107"/>
      <c r="Q23" s="1107"/>
      <c r="R23" s="1107"/>
      <c r="S23" s="1107"/>
      <c r="T23" s="1107"/>
    </row>
    <row r="24" spans="1:20" ht="15.75" customHeight="1">
      <c r="A24" s="242"/>
      <c r="B24" s="1371" t="s">
        <v>587</v>
      </c>
      <c r="C24" s="520" t="s">
        <v>244</v>
      </c>
      <c r="D24" s="1136">
        <v>0</v>
      </c>
      <c r="E24" s="1137">
        <v>-16.486000000000001</v>
      </c>
      <c r="F24" s="1137">
        <v>-16.725999999999999</v>
      </c>
      <c r="G24" s="1137">
        <v>-15.242000000000001</v>
      </c>
      <c r="H24" s="1138">
        <v>-15.242000000000001</v>
      </c>
      <c r="I24" s="1137">
        <v>-15.242000000000001</v>
      </c>
      <c r="J24" s="1139">
        <v>-15.242000000000001</v>
      </c>
      <c r="K24" s="1139">
        <v>-15.242000000000001</v>
      </c>
      <c r="L24" s="1139">
        <v>-15.242000000000001</v>
      </c>
      <c r="M24" s="1138">
        <v>-15.242000000000001</v>
      </c>
      <c r="N24" s="1107"/>
      <c r="O24" s="1107"/>
      <c r="P24" s="1107"/>
      <c r="Q24" s="1107"/>
      <c r="R24" s="1107"/>
      <c r="S24" s="1107"/>
      <c r="T24" s="1107"/>
    </row>
    <row r="25" spans="1:20" ht="15.75" customHeight="1">
      <c r="A25" s="242"/>
      <c r="B25" s="1371" t="s">
        <v>590</v>
      </c>
      <c r="C25" s="520" t="s">
        <v>244</v>
      </c>
      <c r="D25" s="1136">
        <v>0</v>
      </c>
      <c r="E25" s="1137">
        <v>-219.2</v>
      </c>
      <c r="F25" s="1137">
        <v>106.3</v>
      </c>
      <c r="G25" s="1137">
        <v>-12</v>
      </c>
      <c r="H25" s="1138">
        <v>18.100000000000001</v>
      </c>
      <c r="I25" s="1137">
        <v>30.1</v>
      </c>
      <c r="J25" s="1139">
        <v>30.9</v>
      </c>
      <c r="K25" s="1139">
        <v>27.8</v>
      </c>
      <c r="L25" s="1139">
        <v>22.6</v>
      </c>
      <c r="M25" s="1138">
        <v>15.9</v>
      </c>
      <c r="N25" s="1107"/>
      <c r="O25" s="1107"/>
      <c r="P25" s="1107"/>
      <c r="Q25" s="1107"/>
      <c r="R25" s="1107"/>
      <c r="S25" s="1107"/>
      <c r="T25" s="1107"/>
    </row>
    <row r="26" spans="1:20" ht="15.75" customHeight="1">
      <c r="A26" s="242"/>
      <c r="B26" s="1358"/>
      <c r="C26" s="304"/>
      <c r="D26" s="1140"/>
      <c r="E26" s="1141"/>
      <c r="F26" s="1141"/>
      <c r="G26" s="1141"/>
      <c r="H26" s="1142"/>
      <c r="I26" s="1141"/>
      <c r="J26" s="1141"/>
      <c r="K26" s="1141"/>
      <c r="L26" s="1141"/>
      <c r="M26" s="1142"/>
      <c r="N26" s="1107"/>
      <c r="O26" s="1107"/>
      <c r="P26" s="1107"/>
      <c r="Q26" s="1107"/>
      <c r="R26" s="1107"/>
      <c r="S26" s="1107"/>
      <c r="T26" s="1107"/>
    </row>
    <row r="27" spans="1:20" ht="15.75" customHeight="1">
      <c r="A27" s="242"/>
      <c r="B27" s="1355" t="s">
        <v>431</v>
      </c>
      <c r="C27" s="520" t="s">
        <v>51</v>
      </c>
      <c r="D27" s="1135">
        <v>26627</v>
      </c>
      <c r="E27" s="1109">
        <v>25800</v>
      </c>
      <c r="F27" s="1109">
        <v>25602</v>
      </c>
      <c r="G27" s="1109">
        <v>25400</v>
      </c>
      <c r="H27" s="1110">
        <v>24649</v>
      </c>
      <c r="I27" s="1109">
        <v>24320</v>
      </c>
      <c r="J27" s="1111">
        <v>24206</v>
      </c>
      <c r="K27" s="1111">
        <v>24321</v>
      </c>
      <c r="L27" s="1111">
        <v>24463</v>
      </c>
      <c r="M27" s="1110">
        <v>24655</v>
      </c>
      <c r="N27" s="1107"/>
      <c r="O27" s="1107"/>
      <c r="P27" s="1107"/>
      <c r="Q27" s="1107"/>
      <c r="R27" s="1107"/>
      <c r="S27" s="1107"/>
      <c r="T27" s="1107"/>
    </row>
    <row r="28" spans="1:20" ht="15.75" customHeight="1">
      <c r="A28" s="242"/>
      <c r="B28" s="1359" t="s">
        <v>428</v>
      </c>
      <c r="C28" s="520" t="s">
        <v>51</v>
      </c>
      <c r="D28" s="1108">
        <v>357</v>
      </c>
      <c r="E28" s="1109">
        <v>-827</v>
      </c>
      <c r="F28" s="1109">
        <v>-198</v>
      </c>
      <c r="G28" s="1109">
        <v>-202</v>
      </c>
      <c r="H28" s="1110">
        <v>-751</v>
      </c>
      <c r="I28" s="1109">
        <v>-329</v>
      </c>
      <c r="J28" s="1111">
        <v>-114</v>
      </c>
      <c r="K28" s="1111">
        <v>115</v>
      </c>
      <c r="L28" s="1111">
        <v>142</v>
      </c>
      <c r="M28" s="1110">
        <v>192</v>
      </c>
      <c r="N28" s="1107"/>
      <c r="O28" s="1107"/>
      <c r="P28" s="1107"/>
      <c r="Q28" s="1107"/>
      <c r="R28" s="1107"/>
      <c r="S28" s="1107"/>
      <c r="T28" s="1107"/>
    </row>
    <row r="29" spans="1:20" ht="15.75" customHeight="1">
      <c r="A29" s="242"/>
      <c r="B29" s="1372" t="s">
        <v>667</v>
      </c>
      <c r="C29" s="520" t="s">
        <v>51</v>
      </c>
      <c r="D29" s="1136">
        <v>357</v>
      </c>
      <c r="E29" s="1137">
        <v>-827</v>
      </c>
      <c r="F29" s="1137">
        <v>-198</v>
      </c>
      <c r="G29" s="1137">
        <v>-202</v>
      </c>
      <c r="H29" s="1138">
        <v>42</v>
      </c>
      <c r="I29" s="1137">
        <v>62</v>
      </c>
      <c r="J29" s="1139">
        <v>82</v>
      </c>
      <c r="K29" s="1139">
        <v>88</v>
      </c>
      <c r="L29" s="1139">
        <v>91</v>
      </c>
      <c r="M29" s="1138">
        <v>92</v>
      </c>
      <c r="N29" s="1107"/>
      <c r="O29" s="1107"/>
      <c r="P29" s="1107"/>
      <c r="Q29" s="1107"/>
      <c r="R29" s="1107"/>
      <c r="S29" s="1107"/>
      <c r="T29" s="1107"/>
    </row>
    <row r="30" spans="1:20" ht="15.75" customHeight="1">
      <c r="A30" s="242"/>
      <c r="B30" s="1372" t="s">
        <v>668</v>
      </c>
      <c r="C30" s="520" t="s">
        <v>51</v>
      </c>
      <c r="D30" s="1136">
        <v>0</v>
      </c>
      <c r="E30" s="1137">
        <v>0</v>
      </c>
      <c r="F30" s="1137">
        <v>0</v>
      </c>
      <c r="G30" s="1137">
        <v>0</v>
      </c>
      <c r="H30" s="1138">
        <v>-431</v>
      </c>
      <c r="I30" s="1137">
        <v>-461</v>
      </c>
      <c r="J30" s="1139">
        <v>-418</v>
      </c>
      <c r="K30" s="1139">
        <v>-434</v>
      </c>
      <c r="L30" s="1139">
        <v>-447</v>
      </c>
      <c r="M30" s="1138">
        <v>-455</v>
      </c>
      <c r="N30" s="1107"/>
      <c r="O30" s="1107"/>
      <c r="P30" s="1107"/>
      <c r="Q30" s="1107"/>
      <c r="R30" s="1107"/>
      <c r="S30" s="1107"/>
      <c r="T30" s="1107"/>
    </row>
    <row r="31" spans="1:20" ht="15.75" customHeight="1">
      <c r="A31" s="242"/>
      <c r="B31" s="1372" t="s">
        <v>669</v>
      </c>
      <c r="C31" s="520" t="s">
        <v>51</v>
      </c>
      <c r="D31" s="1136">
        <v>0</v>
      </c>
      <c r="E31" s="1137">
        <v>0</v>
      </c>
      <c r="F31" s="1137">
        <v>0</v>
      </c>
      <c r="G31" s="1137">
        <v>0</v>
      </c>
      <c r="H31" s="1138">
        <v>0</v>
      </c>
      <c r="I31" s="1137">
        <v>0</v>
      </c>
      <c r="J31" s="1139">
        <v>0</v>
      </c>
      <c r="K31" s="1139">
        <v>0</v>
      </c>
      <c r="L31" s="1139">
        <v>0</v>
      </c>
      <c r="M31" s="1138">
        <v>0</v>
      </c>
      <c r="N31" s="1107"/>
      <c r="O31" s="1107"/>
      <c r="P31" s="1107"/>
      <c r="Q31" s="1107"/>
      <c r="R31" s="1107"/>
      <c r="S31" s="1107"/>
      <c r="T31" s="1107"/>
    </row>
    <row r="32" spans="1:20" ht="15.75" customHeight="1">
      <c r="A32" s="242"/>
      <c r="B32" s="1372" t="s">
        <v>591</v>
      </c>
      <c r="C32" s="520" t="s">
        <v>51</v>
      </c>
      <c r="D32" s="1136">
        <v>0</v>
      </c>
      <c r="E32" s="1137">
        <v>0</v>
      </c>
      <c r="F32" s="1137">
        <v>0</v>
      </c>
      <c r="G32" s="1137">
        <v>0</v>
      </c>
      <c r="H32" s="1138">
        <v>0</v>
      </c>
      <c r="I32" s="1137">
        <v>0</v>
      </c>
      <c r="J32" s="1139">
        <v>0</v>
      </c>
      <c r="K32" s="1139">
        <v>0</v>
      </c>
      <c r="L32" s="1139">
        <v>0</v>
      </c>
      <c r="M32" s="1138">
        <v>0</v>
      </c>
      <c r="N32" s="1107"/>
      <c r="O32" s="1107"/>
      <c r="P32" s="1107"/>
      <c r="Q32" s="1107"/>
      <c r="R32" s="1107"/>
      <c r="S32" s="1107"/>
      <c r="T32" s="1107"/>
    </row>
    <row r="33" spans="1:20" ht="15.75" customHeight="1">
      <c r="A33" s="242"/>
      <c r="B33" s="1372" t="s">
        <v>592</v>
      </c>
      <c r="C33" s="520" t="s">
        <v>51</v>
      </c>
      <c r="D33" s="1136">
        <v>0</v>
      </c>
      <c r="E33" s="1137">
        <v>0</v>
      </c>
      <c r="F33" s="1137">
        <v>0</v>
      </c>
      <c r="G33" s="1137">
        <v>0</v>
      </c>
      <c r="H33" s="1138">
        <v>37</v>
      </c>
      <c r="I33" s="1137">
        <v>-188</v>
      </c>
      <c r="J33" s="1139">
        <v>-216</v>
      </c>
      <c r="K33" s="1139">
        <v>-98</v>
      </c>
      <c r="L33" s="1139">
        <v>-62</v>
      </c>
      <c r="M33" s="1138">
        <v>11</v>
      </c>
      <c r="N33" s="1107"/>
      <c r="O33" s="1107"/>
      <c r="P33" s="1107"/>
      <c r="Q33" s="1107"/>
      <c r="R33" s="1107"/>
      <c r="S33" s="1107"/>
      <c r="T33" s="1107"/>
    </row>
    <row r="34" spans="1:20" ht="15.75" customHeight="1">
      <c r="A34" s="242"/>
      <c r="B34" s="1372" t="s">
        <v>593</v>
      </c>
      <c r="C34" s="520" t="s">
        <v>51</v>
      </c>
      <c r="D34" s="1136">
        <v>0</v>
      </c>
      <c r="E34" s="1137">
        <v>0</v>
      </c>
      <c r="F34" s="1137">
        <v>0</v>
      </c>
      <c r="G34" s="1137">
        <v>0</v>
      </c>
      <c r="H34" s="1138">
        <v>-399</v>
      </c>
      <c r="I34" s="1137">
        <v>258</v>
      </c>
      <c r="J34" s="1139">
        <v>438</v>
      </c>
      <c r="K34" s="1139">
        <v>559</v>
      </c>
      <c r="L34" s="1139">
        <v>560</v>
      </c>
      <c r="M34" s="1138">
        <v>544</v>
      </c>
      <c r="N34" s="1107"/>
      <c r="O34" s="1107"/>
      <c r="P34" s="1107"/>
      <c r="Q34" s="1107"/>
      <c r="R34" s="1107"/>
      <c r="S34" s="1107"/>
      <c r="T34" s="1107"/>
    </row>
    <row r="35" spans="1:20" ht="15.75" customHeight="1">
      <c r="A35" s="242"/>
      <c r="B35" s="1358"/>
      <c r="C35" s="304"/>
      <c r="D35" s="1143"/>
      <c r="E35" s="1144"/>
      <c r="F35" s="1144"/>
      <c r="G35" s="1144"/>
      <c r="H35" s="1145"/>
      <c r="I35" s="1144"/>
      <c r="J35" s="1144"/>
      <c r="K35" s="1144"/>
      <c r="L35" s="1144"/>
      <c r="M35" s="1145"/>
      <c r="N35" s="1107"/>
      <c r="O35" s="1107"/>
      <c r="P35" s="1107"/>
      <c r="Q35" s="1107"/>
      <c r="R35" s="1107"/>
      <c r="S35" s="1107"/>
      <c r="T35" s="1107"/>
    </row>
    <row r="36" spans="1:20" ht="15.75" customHeight="1">
      <c r="A36" s="242"/>
      <c r="B36" s="1355" t="s">
        <v>431</v>
      </c>
      <c r="C36" s="520"/>
      <c r="D36" s="1146"/>
      <c r="E36" s="1147"/>
      <c r="F36" s="1147"/>
      <c r="G36" s="1147"/>
      <c r="H36" s="1148"/>
      <c r="I36" s="1147"/>
      <c r="J36" s="1147"/>
      <c r="K36" s="1147"/>
      <c r="L36" s="1147"/>
      <c r="M36" s="1148"/>
      <c r="N36" s="1107"/>
      <c r="O36" s="1107"/>
      <c r="P36" s="1107"/>
      <c r="Q36" s="1107"/>
      <c r="R36" s="1107"/>
      <c r="S36" s="1107"/>
      <c r="T36" s="1107"/>
    </row>
    <row r="37" spans="1:20" ht="15.75" customHeight="1">
      <c r="A37" s="242"/>
      <c r="B37" s="1371" t="s">
        <v>240</v>
      </c>
      <c r="C37" s="520" t="s">
        <v>51</v>
      </c>
      <c r="D37" s="1136">
        <v>17531</v>
      </c>
      <c r="E37" s="1137">
        <v>17021</v>
      </c>
      <c r="F37" s="1137">
        <v>16989</v>
      </c>
      <c r="G37" s="1137">
        <v>17029</v>
      </c>
      <c r="H37" s="1138">
        <v>16703</v>
      </c>
      <c r="I37" s="1137">
        <v>16516</v>
      </c>
      <c r="J37" s="1139">
        <v>16455</v>
      </c>
      <c r="K37" s="1139">
        <v>16496</v>
      </c>
      <c r="L37" s="1139">
        <v>16583</v>
      </c>
      <c r="M37" s="1138">
        <v>16719</v>
      </c>
      <c r="N37" s="1107"/>
      <c r="O37" s="1107"/>
      <c r="P37" s="1107"/>
      <c r="Q37" s="1107"/>
      <c r="R37" s="1107"/>
      <c r="S37" s="1107"/>
      <c r="T37" s="1107"/>
    </row>
    <row r="38" spans="1:20" ht="15.75" customHeight="1">
      <c r="A38" s="242"/>
      <c r="B38" s="1371" t="s">
        <v>239</v>
      </c>
      <c r="C38" s="520" t="s">
        <v>51</v>
      </c>
      <c r="D38" s="1136">
        <v>7608</v>
      </c>
      <c r="E38" s="1137">
        <v>7273</v>
      </c>
      <c r="F38" s="1137">
        <v>7191</v>
      </c>
      <c r="G38" s="1137">
        <v>6979</v>
      </c>
      <c r="H38" s="1138">
        <v>6567</v>
      </c>
      <c r="I38" s="1137">
        <v>6425</v>
      </c>
      <c r="J38" s="1139">
        <v>6372</v>
      </c>
      <c r="K38" s="1139">
        <v>6446</v>
      </c>
      <c r="L38" s="1139">
        <v>6501</v>
      </c>
      <c r="M38" s="1138">
        <v>6557</v>
      </c>
      <c r="N38" s="1107"/>
      <c r="O38" s="1107"/>
      <c r="P38" s="1107"/>
      <c r="Q38" s="1107"/>
      <c r="R38" s="1107"/>
      <c r="S38" s="1107"/>
      <c r="T38" s="1107"/>
    </row>
    <row r="39" spans="1:20" ht="15.75" customHeight="1">
      <c r="A39" s="242"/>
      <c r="B39" s="1371" t="s">
        <v>594</v>
      </c>
      <c r="C39" s="520" t="s">
        <v>51</v>
      </c>
      <c r="D39" s="1136">
        <v>1488</v>
      </c>
      <c r="E39" s="1137">
        <v>1506</v>
      </c>
      <c r="F39" s="1137">
        <v>1422</v>
      </c>
      <c r="G39" s="1137">
        <v>1379</v>
      </c>
      <c r="H39" s="1138">
        <v>1379</v>
      </c>
      <c r="I39" s="1137">
        <v>1379</v>
      </c>
      <c r="J39" s="1139">
        <v>1379</v>
      </c>
      <c r="K39" s="1139">
        <v>1379</v>
      </c>
      <c r="L39" s="1139">
        <v>1379</v>
      </c>
      <c r="M39" s="1138">
        <v>1379</v>
      </c>
      <c r="N39" s="1107"/>
      <c r="O39" s="1107"/>
      <c r="P39" s="1107"/>
      <c r="Q39" s="1107"/>
      <c r="R39" s="1107"/>
      <c r="S39" s="1107"/>
      <c r="T39" s="1107"/>
    </row>
    <row r="40" spans="1:20" ht="15.75" customHeight="1">
      <c r="A40" s="242"/>
      <c r="B40" s="1355" t="s">
        <v>588</v>
      </c>
      <c r="C40" s="520" t="s">
        <v>51</v>
      </c>
      <c r="D40" s="1112">
        <v>26627</v>
      </c>
      <c r="E40" s="1115">
        <v>25800</v>
      </c>
      <c r="F40" s="1115">
        <v>25602</v>
      </c>
      <c r="G40" s="1115">
        <v>25387</v>
      </c>
      <c r="H40" s="1114">
        <v>24649</v>
      </c>
      <c r="I40" s="1115">
        <v>24320</v>
      </c>
      <c r="J40" s="1113">
        <v>24206</v>
      </c>
      <c r="K40" s="1113">
        <v>24321</v>
      </c>
      <c r="L40" s="1113">
        <v>24463</v>
      </c>
      <c r="M40" s="1114">
        <v>24655</v>
      </c>
      <c r="N40" s="1107"/>
      <c r="O40" s="1107"/>
      <c r="P40" s="1107"/>
      <c r="Q40" s="1107"/>
      <c r="R40" s="1107"/>
      <c r="S40" s="1107"/>
      <c r="T40" s="1107"/>
    </row>
    <row r="41" spans="1:20" ht="15.75" customHeight="1">
      <c r="A41" s="242"/>
      <c r="B41" s="1359"/>
      <c r="C41" s="520"/>
      <c r="D41" s="1140"/>
      <c r="E41" s="1141"/>
      <c r="F41" s="1141"/>
      <c r="G41" s="1141"/>
      <c r="H41" s="1142"/>
      <c r="I41" s="1141"/>
      <c r="J41" s="1141"/>
      <c r="K41" s="1141"/>
      <c r="L41" s="1141"/>
      <c r="M41" s="1142"/>
      <c r="N41" s="1107"/>
      <c r="O41" s="1107"/>
      <c r="P41" s="1107"/>
      <c r="Q41" s="1107"/>
      <c r="R41" s="1107"/>
      <c r="S41" s="1107"/>
      <c r="T41" s="1107"/>
    </row>
    <row r="42" spans="1:20" ht="15.75" customHeight="1">
      <c r="A42" s="242"/>
      <c r="B42" s="1359" t="s">
        <v>706</v>
      </c>
      <c r="C42" s="520"/>
      <c r="D42" s="1146"/>
      <c r="E42" s="1147"/>
      <c r="F42" s="1147"/>
      <c r="G42" s="1147"/>
      <c r="H42" s="1148"/>
      <c r="I42" s="1147"/>
      <c r="J42" s="1147"/>
      <c r="K42" s="1147"/>
      <c r="L42" s="1147"/>
      <c r="M42" s="1148"/>
      <c r="N42" s="1107"/>
      <c r="O42" s="1107"/>
      <c r="P42" s="1107"/>
      <c r="Q42" s="1107"/>
      <c r="R42" s="1107"/>
      <c r="S42" s="1107"/>
      <c r="T42" s="1107"/>
    </row>
    <row r="43" spans="1:20" ht="15.75" customHeight="1">
      <c r="A43" s="242"/>
      <c r="B43" s="1371" t="s">
        <v>240</v>
      </c>
      <c r="C43" s="520" t="s">
        <v>707</v>
      </c>
      <c r="D43" s="1136">
        <v>0</v>
      </c>
      <c r="E43" s="1137">
        <v>0</v>
      </c>
      <c r="F43" s="1137">
        <v>0</v>
      </c>
      <c r="G43" s="1137">
        <v>0</v>
      </c>
      <c r="H43" s="1138">
        <v>0</v>
      </c>
      <c r="I43" s="1137">
        <v>0</v>
      </c>
      <c r="J43" s="1139">
        <v>0</v>
      </c>
      <c r="K43" s="1139">
        <v>0</v>
      </c>
      <c r="L43" s="1139">
        <v>0</v>
      </c>
      <c r="M43" s="1138">
        <v>0</v>
      </c>
      <c r="N43" s="1107"/>
      <c r="O43" s="1107"/>
      <c r="P43" s="1107"/>
      <c r="Q43" s="1107"/>
      <c r="R43" s="1107"/>
      <c r="S43" s="1107"/>
      <c r="T43" s="1107"/>
    </row>
    <row r="44" spans="1:20" ht="15.75" customHeight="1">
      <c r="A44" s="242"/>
      <c r="B44" s="1371" t="s">
        <v>239</v>
      </c>
      <c r="C44" s="520" t="s">
        <v>707</v>
      </c>
      <c r="D44" s="1136">
        <v>0</v>
      </c>
      <c r="E44" s="1137">
        <v>0</v>
      </c>
      <c r="F44" s="1137">
        <v>0</v>
      </c>
      <c r="G44" s="1137">
        <v>0</v>
      </c>
      <c r="H44" s="1138">
        <v>0</v>
      </c>
      <c r="I44" s="1137">
        <v>0</v>
      </c>
      <c r="J44" s="1139">
        <v>0</v>
      </c>
      <c r="K44" s="1139">
        <v>0</v>
      </c>
      <c r="L44" s="1139">
        <v>0</v>
      </c>
      <c r="M44" s="1138">
        <v>0</v>
      </c>
      <c r="N44" s="1107"/>
      <c r="O44" s="1107"/>
      <c r="P44" s="1107"/>
      <c r="Q44" s="1107"/>
      <c r="R44" s="1107"/>
      <c r="S44" s="1107"/>
      <c r="T44" s="1107"/>
    </row>
    <row r="45" spans="1:20" ht="15.75" customHeight="1">
      <c r="A45" s="242"/>
      <c r="B45" s="1371" t="s">
        <v>594</v>
      </c>
      <c r="C45" s="520" t="s">
        <v>707</v>
      </c>
      <c r="D45" s="1136">
        <v>0</v>
      </c>
      <c r="E45" s="1137">
        <v>0</v>
      </c>
      <c r="F45" s="1137">
        <v>0</v>
      </c>
      <c r="G45" s="1137">
        <v>0</v>
      </c>
      <c r="H45" s="1138">
        <v>0</v>
      </c>
      <c r="I45" s="1137">
        <v>0</v>
      </c>
      <c r="J45" s="1139">
        <v>0</v>
      </c>
      <c r="K45" s="1139">
        <v>0</v>
      </c>
      <c r="L45" s="1139">
        <v>0</v>
      </c>
      <c r="M45" s="1138">
        <v>0</v>
      </c>
      <c r="N45" s="1107"/>
      <c r="O45" s="1107"/>
      <c r="P45" s="1107"/>
      <c r="Q45" s="1107"/>
      <c r="R45" s="1107"/>
      <c r="S45" s="1107"/>
      <c r="T45" s="1107"/>
    </row>
    <row r="46" spans="1:20" ht="15.75" customHeight="1" thickBot="1">
      <c r="A46" s="242"/>
      <c r="B46" s="1360" t="s">
        <v>708</v>
      </c>
      <c r="C46" s="521" t="s">
        <v>707</v>
      </c>
      <c r="D46" s="1116">
        <v>0</v>
      </c>
      <c r="E46" s="1119">
        <v>0</v>
      </c>
      <c r="F46" s="1119">
        <v>0</v>
      </c>
      <c r="G46" s="1119">
        <v>0</v>
      </c>
      <c r="H46" s="1118">
        <v>0</v>
      </c>
      <c r="I46" s="1119">
        <v>0</v>
      </c>
      <c r="J46" s="1117">
        <v>0</v>
      </c>
      <c r="K46" s="1117">
        <v>0</v>
      </c>
      <c r="L46" s="1117">
        <v>0</v>
      </c>
      <c r="M46" s="1118">
        <v>0</v>
      </c>
      <c r="N46" s="1149"/>
      <c r="O46" s="1107"/>
      <c r="P46" s="1107"/>
      <c r="Q46" s="1107"/>
      <c r="R46" s="1107"/>
      <c r="S46" s="1107"/>
      <c r="T46" s="1107"/>
    </row>
    <row r="47" spans="1:20">
      <c r="A47" s="243"/>
      <c r="B47" s="243"/>
      <c r="C47" s="243"/>
      <c r="D47" s="1107"/>
      <c r="E47" s="1107"/>
      <c r="F47" s="1107"/>
      <c r="G47" s="1107"/>
      <c r="H47" s="1107"/>
      <c r="I47" s="1107"/>
      <c r="J47" s="1107"/>
      <c r="K47" s="1107"/>
      <c r="L47" s="1107"/>
      <c r="M47" s="1107"/>
      <c r="N47" s="1107"/>
      <c r="O47" s="1107"/>
      <c r="P47" s="1107"/>
      <c r="Q47" s="1107"/>
      <c r="R47" s="1107"/>
      <c r="S47" s="1107"/>
      <c r="T47" s="1107"/>
    </row>
    <row r="48" spans="1:20">
      <c r="A48" s="242"/>
      <c r="B48" s="242"/>
      <c r="C48" s="298"/>
      <c r="D48" s="1123"/>
      <c r="E48" s="1123"/>
      <c r="F48" s="1123"/>
      <c r="G48" s="1123"/>
      <c r="H48" s="1123"/>
      <c r="I48" s="1123"/>
      <c r="J48" s="1123"/>
      <c r="K48" s="1123"/>
      <c r="L48" s="1123"/>
      <c r="M48" s="1123"/>
      <c r="N48" s="1107"/>
      <c r="O48" s="1107"/>
      <c r="P48" s="1107"/>
      <c r="Q48" s="1107"/>
      <c r="R48" s="1107"/>
      <c r="S48" s="1107"/>
      <c r="T48" s="1107"/>
    </row>
    <row r="49" spans="1:20" s="1223" customFormat="1" ht="15.75" customHeight="1">
      <c r="A49" s="1354"/>
      <c r="B49" s="1382" t="s">
        <v>443</v>
      </c>
      <c r="C49" s="302"/>
      <c r="D49" s="1123"/>
      <c r="E49" s="1123"/>
      <c r="F49" s="1123"/>
      <c r="G49" s="1123"/>
      <c r="H49" s="1123"/>
      <c r="I49" s="1123"/>
      <c r="J49" s="1123"/>
      <c r="K49" s="1123"/>
      <c r="L49" s="1123"/>
      <c r="M49" s="1123"/>
      <c r="N49" s="1123"/>
      <c r="O49" s="1369"/>
      <c r="P49" s="1369"/>
      <c r="Q49" s="1369"/>
      <c r="R49" s="1357"/>
      <c r="S49" s="1123"/>
      <c r="T49" s="1123"/>
    </row>
    <row r="50" spans="1:20" ht="13.5" thickBot="1">
      <c r="A50" s="242"/>
      <c r="B50" s="507"/>
      <c r="C50" s="298"/>
      <c r="D50" s="1123"/>
      <c r="E50" s="1123"/>
      <c r="F50" s="1123"/>
      <c r="G50" s="1123"/>
      <c r="H50" s="1123"/>
      <c r="I50" s="1123"/>
      <c r="J50" s="1123"/>
      <c r="K50" s="1123"/>
      <c r="L50" s="1123"/>
      <c r="M50" s="1123"/>
      <c r="N50" s="1107"/>
      <c r="O50" s="1107"/>
      <c r="P50" s="1107"/>
      <c r="Q50" s="1107"/>
      <c r="R50" s="1107"/>
      <c r="S50" s="1107"/>
      <c r="T50" s="1107"/>
    </row>
    <row r="51" spans="1:20" ht="15.75" customHeight="1">
      <c r="A51" s="242"/>
      <c r="B51" s="1896" t="s">
        <v>443</v>
      </c>
      <c r="C51" s="1900" t="s">
        <v>31</v>
      </c>
      <c r="D51" s="1124" t="s">
        <v>116</v>
      </c>
      <c r="E51" s="1125"/>
      <c r="F51" s="1125"/>
      <c r="G51" s="1125"/>
      <c r="H51" s="1126"/>
      <c r="I51" s="1125" t="s">
        <v>117</v>
      </c>
      <c r="J51" s="1127"/>
      <c r="K51" s="1127"/>
      <c r="L51" s="1127"/>
      <c r="M51" s="1126"/>
      <c r="N51" s="1107"/>
      <c r="O51" s="1107"/>
      <c r="P51" s="1107"/>
      <c r="Q51" s="1107"/>
      <c r="R51" s="1107"/>
      <c r="S51" s="1107"/>
      <c r="T51" s="1107"/>
    </row>
    <row r="52" spans="1:20" ht="26.25" customHeight="1">
      <c r="A52" s="242"/>
      <c r="B52" s="1897"/>
      <c r="C52" s="1901"/>
      <c r="D52" s="1128" t="s">
        <v>32</v>
      </c>
      <c r="E52" s="1129" t="s">
        <v>33</v>
      </c>
      <c r="F52" s="1129" t="s">
        <v>29</v>
      </c>
      <c r="G52" s="1129" t="s">
        <v>34</v>
      </c>
      <c r="H52" s="1130" t="s">
        <v>35</v>
      </c>
      <c r="I52" s="1131" t="s">
        <v>118</v>
      </c>
      <c r="J52" s="1129" t="s">
        <v>136</v>
      </c>
      <c r="K52" s="1129" t="s">
        <v>137</v>
      </c>
      <c r="L52" s="1129" t="s">
        <v>138</v>
      </c>
      <c r="M52" s="1130" t="s">
        <v>139</v>
      </c>
      <c r="N52" s="1107"/>
      <c r="O52" s="1107"/>
      <c r="P52" s="1107"/>
      <c r="Q52" s="1107"/>
      <c r="R52" s="1107"/>
      <c r="S52" s="1107"/>
      <c r="T52" s="1107"/>
    </row>
    <row r="53" spans="1:20" ht="15.75" customHeight="1">
      <c r="A53" s="242"/>
      <c r="B53" s="1373" t="s">
        <v>444</v>
      </c>
      <c r="C53" s="523"/>
      <c r="D53" s="1150"/>
      <c r="E53" s="1151"/>
      <c r="F53" s="1151"/>
      <c r="G53" s="1151"/>
      <c r="H53" s="1152"/>
      <c r="I53" s="1141"/>
      <c r="J53" s="1141"/>
      <c r="K53" s="1141"/>
      <c r="L53" s="1141"/>
      <c r="M53" s="1142"/>
      <c r="N53" s="1153"/>
      <c r="O53" s="1107"/>
      <c r="P53" s="1107"/>
      <c r="Q53" s="1107"/>
      <c r="R53" s="1107"/>
      <c r="S53" s="1107"/>
      <c r="T53" s="1107"/>
    </row>
    <row r="54" spans="1:20" ht="15.75" customHeight="1">
      <c r="A54" s="242"/>
      <c r="B54" s="1358" t="s">
        <v>519</v>
      </c>
      <c r="C54" s="524"/>
      <c r="D54" s="1154"/>
      <c r="E54" s="1155"/>
      <c r="F54" s="1155"/>
      <c r="G54" s="1155"/>
      <c r="H54" s="1156"/>
      <c r="I54" s="1144"/>
      <c r="J54" s="1144"/>
      <c r="K54" s="1144"/>
      <c r="L54" s="1144"/>
      <c r="M54" s="1145"/>
      <c r="N54" s="1153"/>
      <c r="O54" s="1107"/>
      <c r="P54" s="1107"/>
      <c r="Q54" s="1107"/>
      <c r="R54" s="1107"/>
      <c r="S54" s="1107"/>
      <c r="T54" s="1107"/>
    </row>
    <row r="55" spans="1:20" ht="15.75" customHeight="1">
      <c r="A55" s="242"/>
      <c r="B55" s="1374" t="s">
        <v>520</v>
      </c>
      <c r="C55" s="524" t="s">
        <v>521</v>
      </c>
      <c r="D55" s="1136">
        <v>3</v>
      </c>
      <c r="E55" s="1137">
        <v>13</v>
      </c>
      <c r="F55" s="1137">
        <v>17</v>
      </c>
      <c r="G55" s="1137">
        <v>17</v>
      </c>
      <c r="H55" s="1138">
        <v>17</v>
      </c>
      <c r="I55" s="1137">
        <v>17</v>
      </c>
      <c r="J55" s="1139">
        <v>17</v>
      </c>
      <c r="K55" s="1139">
        <v>17</v>
      </c>
      <c r="L55" s="1139">
        <v>17</v>
      </c>
      <c r="M55" s="1138">
        <v>17</v>
      </c>
      <c r="N55" s="1107"/>
      <c r="O55" s="1107"/>
      <c r="P55" s="1107"/>
      <c r="Q55" s="1107"/>
      <c r="R55" s="1107"/>
      <c r="S55" s="1107"/>
      <c r="T55" s="1107"/>
    </row>
    <row r="56" spans="1:20" ht="15.75" customHeight="1">
      <c r="A56" s="242"/>
      <c r="B56" s="1374" t="s">
        <v>522</v>
      </c>
      <c r="C56" s="524" t="s">
        <v>521</v>
      </c>
      <c r="D56" s="1136">
        <v>22399</v>
      </c>
      <c r="E56" s="1137">
        <v>23273</v>
      </c>
      <c r="F56" s="1137">
        <v>21895</v>
      </c>
      <c r="G56" s="1137">
        <v>19880</v>
      </c>
      <c r="H56" s="1138">
        <v>10920</v>
      </c>
      <c r="I56" s="1137">
        <v>14000</v>
      </c>
      <c r="J56" s="1139">
        <v>13800</v>
      </c>
      <c r="K56" s="1139">
        <v>15600</v>
      </c>
      <c r="L56" s="1139">
        <v>18300</v>
      </c>
      <c r="M56" s="1138">
        <v>21900</v>
      </c>
      <c r="N56" s="1107"/>
      <c r="O56" s="1107"/>
      <c r="P56" s="1107"/>
      <c r="Q56" s="1107"/>
      <c r="R56" s="1107"/>
      <c r="S56" s="1107"/>
      <c r="T56" s="1107"/>
    </row>
    <row r="57" spans="1:20" ht="15.75" customHeight="1">
      <c r="A57" s="242"/>
      <c r="B57" s="1374" t="s">
        <v>850</v>
      </c>
      <c r="C57" s="524" t="s">
        <v>521</v>
      </c>
      <c r="D57" s="1136">
        <v>6218</v>
      </c>
      <c r="E57" s="1137">
        <v>8212</v>
      </c>
      <c r="F57" s="1137">
        <v>8333</v>
      </c>
      <c r="G57" s="1137">
        <v>7588</v>
      </c>
      <c r="H57" s="1138">
        <v>7588</v>
      </c>
      <c r="I57" s="1137">
        <v>7588</v>
      </c>
      <c r="J57" s="1139">
        <v>7588</v>
      </c>
      <c r="K57" s="1139">
        <v>7588</v>
      </c>
      <c r="L57" s="1139">
        <v>7588</v>
      </c>
      <c r="M57" s="1138">
        <v>7588</v>
      </c>
      <c r="N57" s="1107"/>
      <c r="O57" s="1107"/>
      <c r="P57" s="1107"/>
      <c r="Q57" s="1107"/>
      <c r="R57" s="1107"/>
      <c r="S57" s="1107"/>
      <c r="T57" s="1107"/>
    </row>
    <row r="58" spans="1:20" ht="15.75" customHeight="1">
      <c r="A58" s="242"/>
      <c r="B58" s="1358" t="s">
        <v>682</v>
      </c>
      <c r="C58" s="524"/>
      <c r="D58" s="1154"/>
      <c r="E58" s="1155"/>
      <c r="F58" s="1155"/>
      <c r="G58" s="1155"/>
      <c r="H58" s="1156"/>
      <c r="I58" s="1144"/>
      <c r="J58" s="1144"/>
      <c r="K58" s="1144"/>
      <c r="L58" s="1144"/>
      <c r="M58" s="1145"/>
      <c r="N58" s="1153"/>
      <c r="O58" s="1107"/>
      <c r="P58" s="1107"/>
      <c r="Q58" s="1107"/>
      <c r="R58" s="1107"/>
      <c r="S58" s="1107"/>
      <c r="T58" s="1107"/>
    </row>
    <row r="59" spans="1:20" ht="15.75" customHeight="1">
      <c r="A59" s="242"/>
      <c r="B59" s="1374" t="s">
        <v>520</v>
      </c>
      <c r="C59" s="524" t="s">
        <v>521</v>
      </c>
      <c r="D59" s="1136">
        <v>1</v>
      </c>
      <c r="E59" s="1137">
        <v>8</v>
      </c>
      <c r="F59" s="1137">
        <v>6</v>
      </c>
      <c r="G59" s="1137">
        <v>6</v>
      </c>
      <c r="H59" s="1138">
        <v>6</v>
      </c>
      <c r="I59" s="1137">
        <v>6</v>
      </c>
      <c r="J59" s="1139">
        <v>6</v>
      </c>
      <c r="K59" s="1139">
        <v>6</v>
      </c>
      <c r="L59" s="1139">
        <v>6</v>
      </c>
      <c r="M59" s="1138">
        <v>6</v>
      </c>
      <c r="N59" s="1107"/>
      <c r="O59" s="1107"/>
      <c r="P59" s="1107"/>
      <c r="Q59" s="1107"/>
      <c r="R59" s="1107"/>
      <c r="S59" s="1107"/>
      <c r="T59" s="1107"/>
    </row>
    <row r="60" spans="1:20" ht="15.75" customHeight="1">
      <c r="A60" s="242"/>
      <c r="B60" s="1374" t="s">
        <v>522</v>
      </c>
      <c r="C60" s="524" t="s">
        <v>521</v>
      </c>
      <c r="D60" s="1136">
        <v>24</v>
      </c>
      <c r="E60" s="1137">
        <v>53</v>
      </c>
      <c r="F60" s="1137">
        <v>71</v>
      </c>
      <c r="G60" s="1137">
        <v>62.992952214286589</v>
      </c>
      <c r="H60" s="1138">
        <v>41.48714316042463</v>
      </c>
      <c r="I60" s="1137">
        <v>52.520657302683901</v>
      </c>
      <c r="J60" s="1139">
        <v>52.739919808509683</v>
      </c>
      <c r="K60" s="1139">
        <v>64.714775600461081</v>
      </c>
      <c r="L60" s="1139">
        <v>65.254663573242837</v>
      </c>
      <c r="M60" s="1138">
        <v>65.754088359370883</v>
      </c>
      <c r="N60" s="1107"/>
      <c r="O60" s="1107"/>
      <c r="P60" s="1107"/>
      <c r="Q60" s="1107"/>
      <c r="R60" s="1107"/>
      <c r="S60" s="1107"/>
      <c r="T60" s="1107"/>
    </row>
    <row r="61" spans="1:20" ht="15.75" customHeight="1">
      <c r="A61" s="242"/>
      <c r="B61" s="1374" t="s">
        <v>850</v>
      </c>
      <c r="C61" s="524" t="s">
        <v>521</v>
      </c>
      <c r="D61" s="1136">
        <v>41</v>
      </c>
      <c r="E61" s="1137">
        <v>29</v>
      </c>
      <c r="F61" s="1137">
        <v>30</v>
      </c>
      <c r="G61" s="1137">
        <v>33</v>
      </c>
      <c r="H61" s="1138">
        <v>33</v>
      </c>
      <c r="I61" s="1137">
        <v>33</v>
      </c>
      <c r="J61" s="1139">
        <v>33</v>
      </c>
      <c r="K61" s="1139">
        <v>33</v>
      </c>
      <c r="L61" s="1139">
        <v>33</v>
      </c>
      <c r="M61" s="1138">
        <v>33</v>
      </c>
      <c r="N61" s="1107"/>
      <c r="O61" s="1107"/>
      <c r="P61" s="1107"/>
      <c r="Q61" s="1107"/>
      <c r="R61" s="1107"/>
      <c r="S61" s="1107"/>
      <c r="T61" s="1107"/>
    </row>
    <row r="62" spans="1:20" ht="15.75" customHeight="1">
      <c r="A62" s="242"/>
      <c r="B62" s="1358" t="s">
        <v>849</v>
      </c>
      <c r="C62" s="524"/>
      <c r="D62" s="1154"/>
      <c r="E62" s="1155"/>
      <c r="F62" s="1155"/>
      <c r="G62" s="1155"/>
      <c r="H62" s="1156"/>
      <c r="I62" s="1144"/>
      <c r="J62" s="1144"/>
      <c r="K62" s="1144"/>
      <c r="L62" s="1144"/>
      <c r="M62" s="1145"/>
      <c r="N62" s="1153"/>
      <c r="O62" s="1107"/>
      <c r="P62" s="1107"/>
      <c r="Q62" s="1107"/>
      <c r="R62" s="1107"/>
      <c r="S62" s="1107"/>
      <c r="T62" s="1107"/>
    </row>
    <row r="63" spans="1:20" ht="15.75" customHeight="1">
      <c r="A63" s="242"/>
      <c r="B63" s="1374" t="s">
        <v>520</v>
      </c>
      <c r="C63" s="524" t="s">
        <v>521</v>
      </c>
      <c r="D63" s="1136">
        <v>0</v>
      </c>
      <c r="E63" s="1137">
        <v>0</v>
      </c>
      <c r="F63" s="1137">
        <v>0</v>
      </c>
      <c r="G63" s="1137">
        <v>0</v>
      </c>
      <c r="H63" s="1138">
        <v>2</v>
      </c>
      <c r="I63" s="1137">
        <v>0</v>
      </c>
      <c r="J63" s="1139">
        <v>0</v>
      </c>
      <c r="K63" s="1139">
        <v>1</v>
      </c>
      <c r="L63" s="1139">
        <v>0</v>
      </c>
      <c r="M63" s="1138">
        <v>0</v>
      </c>
      <c r="N63" s="1107"/>
      <c r="O63" s="1107"/>
      <c r="P63" s="1107"/>
      <c r="Q63" s="1107"/>
      <c r="R63" s="1107"/>
      <c r="S63" s="1107"/>
      <c r="T63" s="1107"/>
    </row>
    <row r="64" spans="1:20" ht="15.75" customHeight="1">
      <c r="A64" s="242"/>
      <c r="B64" s="1374" t="s">
        <v>522</v>
      </c>
      <c r="C64" s="524" t="s">
        <v>521</v>
      </c>
      <c r="D64" s="1136">
        <v>0</v>
      </c>
      <c r="E64" s="1137">
        <v>2</v>
      </c>
      <c r="F64" s="1137">
        <v>0</v>
      </c>
      <c r="G64" s="1137">
        <v>0</v>
      </c>
      <c r="H64" s="1138">
        <v>0</v>
      </c>
      <c r="I64" s="1137">
        <v>0</v>
      </c>
      <c r="J64" s="1139">
        <v>0</v>
      </c>
      <c r="K64" s="1139">
        <v>0</v>
      </c>
      <c r="L64" s="1139">
        <v>0</v>
      </c>
      <c r="M64" s="1138">
        <v>0</v>
      </c>
      <c r="N64" s="1107"/>
      <c r="O64" s="1107"/>
      <c r="P64" s="1107"/>
      <c r="Q64" s="1107"/>
      <c r="R64" s="1107"/>
      <c r="S64" s="1107"/>
      <c r="T64" s="1107"/>
    </row>
    <row r="65" spans="1:20" ht="15.75" customHeight="1">
      <c r="A65" s="242"/>
      <c r="B65" s="1374" t="s">
        <v>850</v>
      </c>
      <c r="C65" s="524" t="s">
        <v>521</v>
      </c>
      <c r="D65" s="1136">
        <v>6</v>
      </c>
      <c r="E65" s="1137">
        <v>2</v>
      </c>
      <c r="F65" s="1137">
        <v>0</v>
      </c>
      <c r="G65" s="1137">
        <v>0</v>
      </c>
      <c r="H65" s="1138">
        <v>0</v>
      </c>
      <c r="I65" s="1137">
        <v>0</v>
      </c>
      <c r="J65" s="1139">
        <v>0</v>
      </c>
      <c r="K65" s="1139">
        <v>0</v>
      </c>
      <c r="L65" s="1139">
        <v>0</v>
      </c>
      <c r="M65" s="1138">
        <v>0</v>
      </c>
      <c r="N65" s="1107"/>
      <c r="O65" s="1107"/>
      <c r="P65" s="1107"/>
      <c r="Q65" s="1107"/>
      <c r="R65" s="1107"/>
      <c r="S65" s="1107"/>
      <c r="T65" s="1107"/>
    </row>
    <row r="66" spans="1:20" ht="15.75" customHeight="1">
      <c r="A66" s="242"/>
      <c r="B66" s="1358" t="s">
        <v>852</v>
      </c>
      <c r="C66" s="524"/>
      <c r="D66" s="1154"/>
      <c r="E66" s="1155"/>
      <c r="F66" s="1155"/>
      <c r="G66" s="1155"/>
      <c r="H66" s="1156"/>
      <c r="I66" s="1144"/>
      <c r="J66" s="1144"/>
      <c r="K66" s="1144"/>
      <c r="L66" s="1144"/>
      <c r="M66" s="1145"/>
      <c r="N66" s="1153"/>
      <c r="O66" s="1107"/>
      <c r="P66" s="1107"/>
      <c r="Q66" s="1107"/>
      <c r="R66" s="1107"/>
      <c r="S66" s="1107"/>
      <c r="T66" s="1107"/>
    </row>
    <row r="67" spans="1:20" ht="15.75" customHeight="1">
      <c r="A67" s="242"/>
      <c r="B67" s="1374" t="s">
        <v>520</v>
      </c>
      <c r="C67" s="524" t="s">
        <v>521</v>
      </c>
      <c r="D67" s="1157">
        <v>0</v>
      </c>
      <c r="E67" s="1158">
        <v>0</v>
      </c>
      <c r="F67" s="1158">
        <v>0</v>
      </c>
      <c r="G67" s="1158">
        <v>0</v>
      </c>
      <c r="H67" s="1159">
        <v>0</v>
      </c>
      <c r="I67" s="1158">
        <v>0</v>
      </c>
      <c r="J67" s="1160">
        <v>0</v>
      </c>
      <c r="K67" s="1160">
        <v>0</v>
      </c>
      <c r="L67" s="1160">
        <v>0</v>
      </c>
      <c r="M67" s="1159">
        <v>0</v>
      </c>
      <c r="N67" s="1107"/>
      <c r="O67" s="1107"/>
      <c r="P67" s="1107"/>
      <c r="Q67" s="1107"/>
      <c r="R67" s="1107"/>
      <c r="S67" s="1107"/>
      <c r="T67" s="1107"/>
    </row>
    <row r="68" spans="1:20" ht="15.75" customHeight="1">
      <c r="A68" s="242"/>
      <c r="B68" s="1374" t="s">
        <v>522</v>
      </c>
      <c r="C68" s="524" t="s">
        <v>521</v>
      </c>
      <c r="D68" s="1157">
        <v>0</v>
      </c>
      <c r="E68" s="1158">
        <v>0</v>
      </c>
      <c r="F68" s="1158">
        <v>0</v>
      </c>
      <c r="G68" s="1158">
        <v>0</v>
      </c>
      <c r="H68" s="1159">
        <v>0</v>
      </c>
      <c r="I68" s="1158">
        <v>0</v>
      </c>
      <c r="J68" s="1160">
        <v>0</v>
      </c>
      <c r="K68" s="1160">
        <v>0</v>
      </c>
      <c r="L68" s="1160">
        <v>0</v>
      </c>
      <c r="M68" s="1159">
        <v>0</v>
      </c>
      <c r="N68" s="1107"/>
      <c r="O68" s="1107"/>
      <c r="P68" s="1107"/>
      <c r="Q68" s="1107"/>
      <c r="R68" s="1107"/>
      <c r="S68" s="1107"/>
      <c r="T68" s="1107"/>
    </row>
    <row r="69" spans="1:20" ht="15.75" customHeight="1">
      <c r="A69" s="242"/>
      <c r="B69" s="1374" t="s">
        <v>850</v>
      </c>
      <c r="C69" s="524" t="s">
        <v>521</v>
      </c>
      <c r="D69" s="1136">
        <v>0</v>
      </c>
      <c r="E69" s="1137">
        <v>0</v>
      </c>
      <c r="F69" s="1137">
        <v>0</v>
      </c>
      <c r="G69" s="1137">
        <v>0</v>
      </c>
      <c r="H69" s="1138">
        <v>0</v>
      </c>
      <c r="I69" s="1137">
        <v>0</v>
      </c>
      <c r="J69" s="1139">
        <v>0</v>
      </c>
      <c r="K69" s="1139">
        <v>0</v>
      </c>
      <c r="L69" s="1139">
        <v>0</v>
      </c>
      <c r="M69" s="1138">
        <v>0</v>
      </c>
      <c r="N69" s="1107"/>
      <c r="O69" s="1107"/>
      <c r="P69" s="1107"/>
      <c r="Q69" s="1107"/>
      <c r="R69" s="1107"/>
      <c r="S69" s="1107"/>
      <c r="T69" s="1107"/>
    </row>
    <row r="70" spans="1:20" ht="15.75" customHeight="1">
      <c r="A70" s="242"/>
      <c r="B70" s="1355" t="s">
        <v>853</v>
      </c>
      <c r="C70" s="524" t="s">
        <v>521</v>
      </c>
      <c r="D70" s="1112">
        <v>22427</v>
      </c>
      <c r="E70" s="1113">
        <v>23349</v>
      </c>
      <c r="F70" s="1113">
        <v>21989</v>
      </c>
      <c r="G70" s="1113">
        <v>19965.992952214288</v>
      </c>
      <c r="H70" s="1114">
        <v>10986.487143160424</v>
      </c>
      <c r="I70" s="1115">
        <v>14075.520657302684</v>
      </c>
      <c r="J70" s="1113">
        <v>13875.73991980851</v>
      </c>
      <c r="K70" s="1113">
        <v>15688.714775600462</v>
      </c>
      <c r="L70" s="1113">
        <v>18388.254663573243</v>
      </c>
      <c r="M70" s="1114">
        <v>21988.754088359372</v>
      </c>
      <c r="N70" s="1161"/>
      <c r="O70" s="1107"/>
      <c r="P70" s="1107"/>
      <c r="Q70" s="1107"/>
      <c r="R70" s="1107"/>
      <c r="S70" s="1107"/>
      <c r="T70" s="1107"/>
    </row>
    <row r="71" spans="1:20" ht="15.75" customHeight="1" thickBot="1">
      <c r="A71" s="242"/>
      <c r="B71" s="1362" t="s">
        <v>856</v>
      </c>
      <c r="C71" s="525" t="s">
        <v>521</v>
      </c>
      <c r="D71" s="1116">
        <v>6265</v>
      </c>
      <c r="E71" s="1117">
        <v>8243</v>
      </c>
      <c r="F71" s="1117">
        <v>8363</v>
      </c>
      <c r="G71" s="1117">
        <v>7621</v>
      </c>
      <c r="H71" s="1118">
        <v>7621</v>
      </c>
      <c r="I71" s="1119">
        <v>7621</v>
      </c>
      <c r="J71" s="1117">
        <v>7621</v>
      </c>
      <c r="K71" s="1117">
        <v>7621</v>
      </c>
      <c r="L71" s="1117">
        <v>7621</v>
      </c>
      <c r="M71" s="1118">
        <v>7621</v>
      </c>
      <c r="N71" s="1161"/>
      <c r="O71" s="1107"/>
      <c r="P71" s="1107"/>
      <c r="Q71" s="1107"/>
      <c r="R71" s="1107"/>
      <c r="S71" s="1107"/>
      <c r="T71" s="1107"/>
    </row>
    <row r="72" spans="1:20">
      <c r="A72" s="242"/>
      <c r="B72" s="526"/>
      <c r="C72" s="309"/>
      <c r="D72" s="1107"/>
      <c r="E72" s="1107"/>
      <c r="F72" s="1107"/>
      <c r="G72" s="1107"/>
      <c r="H72" s="1107"/>
      <c r="I72" s="1107"/>
      <c r="J72" s="1107"/>
      <c r="K72" s="1107"/>
      <c r="L72" s="1107"/>
      <c r="M72" s="1107"/>
      <c r="N72" s="1107"/>
      <c r="O72" s="1107"/>
      <c r="P72" s="1107"/>
      <c r="Q72" s="1107"/>
      <c r="R72" s="1107"/>
      <c r="S72" s="1107"/>
      <c r="T72" s="1107"/>
    </row>
    <row r="73" spans="1:20">
      <c r="A73" s="242"/>
      <c r="B73" s="527"/>
      <c r="C73" s="528"/>
      <c r="D73" s="1162"/>
      <c r="E73" s="1162"/>
      <c r="F73" s="1162"/>
      <c r="G73" s="1162"/>
      <c r="H73" s="1162"/>
      <c r="I73" s="1162"/>
      <c r="J73" s="1162"/>
      <c r="K73" s="1162"/>
      <c r="L73" s="1162"/>
      <c r="M73" s="1162"/>
      <c r="N73" s="1107"/>
      <c r="O73" s="1162"/>
      <c r="P73" s="1162"/>
      <c r="Q73" s="1162"/>
      <c r="R73" s="1107"/>
      <c r="S73" s="1162"/>
      <c r="T73" s="1162"/>
    </row>
    <row r="74" spans="1:20" s="1223" customFormat="1" ht="15.75" customHeight="1">
      <c r="A74" s="1354"/>
      <c r="B74" s="1382" t="s">
        <v>857</v>
      </c>
      <c r="C74" s="302"/>
      <c r="D74" s="1123"/>
      <c r="E74" s="1123"/>
      <c r="F74" s="1123"/>
      <c r="G74" s="1123"/>
      <c r="H74" s="1123"/>
      <c r="I74" s="1123"/>
      <c r="J74" s="1123"/>
      <c r="K74" s="1123"/>
      <c r="L74" s="1123"/>
      <c r="M74" s="1123"/>
      <c r="N74" s="1123"/>
      <c r="O74" s="1369"/>
      <c r="P74" s="1369"/>
      <c r="Q74" s="1369"/>
      <c r="R74" s="1357"/>
      <c r="S74" s="1123"/>
      <c r="T74" s="1123"/>
    </row>
    <row r="75" spans="1:20" ht="13.5" thickBot="1">
      <c r="A75" s="242"/>
      <c r="B75" s="507"/>
      <c r="C75" s="528"/>
      <c r="D75" s="1162"/>
      <c r="E75" s="1162"/>
      <c r="F75" s="1162"/>
      <c r="G75" s="1162"/>
      <c r="H75" s="1162"/>
      <c r="I75" s="1162"/>
      <c r="J75" s="1162"/>
      <c r="K75" s="1162"/>
      <c r="L75" s="1162"/>
      <c r="M75" s="1162"/>
      <c r="N75" s="1107"/>
      <c r="O75" s="1162"/>
      <c r="P75" s="1162"/>
      <c r="Q75" s="1162"/>
      <c r="R75" s="1107"/>
      <c r="S75" s="1162"/>
      <c r="T75" s="1162"/>
    </row>
    <row r="76" spans="1:20" ht="15.75" customHeight="1">
      <c r="A76" s="242"/>
      <c r="B76" s="1896" t="s">
        <v>857</v>
      </c>
      <c r="C76" s="1900" t="s">
        <v>31</v>
      </c>
      <c r="D76" s="1124" t="s">
        <v>116</v>
      </c>
      <c r="E76" s="1125"/>
      <c r="F76" s="1125"/>
      <c r="G76" s="1125"/>
      <c r="H76" s="1126"/>
      <c r="I76" s="1125" t="s">
        <v>117</v>
      </c>
      <c r="J76" s="1127"/>
      <c r="K76" s="1127"/>
      <c r="L76" s="1127"/>
      <c r="M76" s="1126"/>
      <c r="N76" s="1107"/>
      <c r="O76" s="1163" t="s">
        <v>116</v>
      </c>
      <c r="P76" s="1164"/>
      <c r="Q76" s="1165"/>
      <c r="R76" s="1107"/>
      <c r="S76" s="1163" t="s">
        <v>117</v>
      </c>
      <c r="T76" s="1165"/>
    </row>
    <row r="77" spans="1:20" ht="25.5">
      <c r="A77" s="242"/>
      <c r="B77" s="1897"/>
      <c r="C77" s="1901"/>
      <c r="D77" s="1128" t="s">
        <v>32</v>
      </c>
      <c r="E77" s="1129" t="s">
        <v>33</v>
      </c>
      <c r="F77" s="1129" t="s">
        <v>29</v>
      </c>
      <c r="G77" s="1129" t="s">
        <v>34</v>
      </c>
      <c r="H77" s="1130" t="s">
        <v>35</v>
      </c>
      <c r="I77" s="1131" t="s">
        <v>118</v>
      </c>
      <c r="J77" s="1129" t="s">
        <v>136</v>
      </c>
      <c r="K77" s="1129" t="s">
        <v>137</v>
      </c>
      <c r="L77" s="1129" t="s">
        <v>138</v>
      </c>
      <c r="M77" s="1130" t="s">
        <v>139</v>
      </c>
      <c r="N77" s="1107"/>
      <c r="O77" s="1166" t="s">
        <v>126</v>
      </c>
      <c r="P77" s="1167" t="s">
        <v>127</v>
      </c>
      <c r="Q77" s="1168" t="s">
        <v>246</v>
      </c>
      <c r="R77" s="1107"/>
      <c r="S77" s="1166" t="s">
        <v>127</v>
      </c>
      <c r="T77" s="1168" t="s">
        <v>128</v>
      </c>
    </row>
    <row r="78" spans="1:20" ht="15.75" customHeight="1">
      <c r="A78" s="242"/>
      <c r="B78" s="1375" t="s">
        <v>862</v>
      </c>
      <c r="C78" s="529"/>
      <c r="D78" s="1150"/>
      <c r="E78" s="1151"/>
      <c r="F78" s="1151"/>
      <c r="G78" s="1151"/>
      <c r="H78" s="1152"/>
      <c r="I78" s="1141"/>
      <c r="J78" s="1141"/>
      <c r="K78" s="1141"/>
      <c r="L78" s="1141"/>
      <c r="M78" s="1142"/>
      <c r="N78" s="1107"/>
      <c r="O78" s="1140"/>
      <c r="P78" s="1141"/>
      <c r="Q78" s="1142"/>
      <c r="R78" s="1107"/>
      <c r="S78" s="1140"/>
      <c r="T78" s="1142"/>
    </row>
    <row r="79" spans="1:20" ht="15.75" customHeight="1">
      <c r="A79" s="242"/>
      <c r="B79" s="1376" t="s">
        <v>671</v>
      </c>
      <c r="C79" s="311"/>
      <c r="D79" s="1132"/>
      <c r="E79" s="1133"/>
      <c r="F79" s="1133"/>
      <c r="G79" s="1133"/>
      <c r="H79" s="1134"/>
      <c r="I79" s="1133"/>
      <c r="J79" s="1133"/>
      <c r="K79" s="1133"/>
      <c r="L79" s="1133"/>
      <c r="M79" s="1134"/>
      <c r="N79" s="1107"/>
      <c r="O79" s="1169"/>
      <c r="P79" s="1170"/>
      <c r="Q79" s="1171"/>
      <c r="R79" s="1107"/>
      <c r="S79" s="1132"/>
      <c r="T79" s="1134"/>
    </row>
    <row r="80" spans="1:20" ht="15.75" customHeight="1">
      <c r="A80" s="242"/>
      <c r="B80" s="1377" t="s">
        <v>863</v>
      </c>
      <c r="C80" s="524" t="s">
        <v>14</v>
      </c>
      <c r="D80" s="1136">
        <v>20.595027417191432</v>
      </c>
      <c r="E80" s="1137">
        <v>37.834300961737185</v>
      </c>
      <c r="F80" s="1137">
        <v>31.199367178730903</v>
      </c>
      <c r="G80" s="1137">
        <v>20.596795790882734</v>
      </c>
      <c r="H80" s="1138">
        <v>11.351092598773578</v>
      </c>
      <c r="I80" s="1137">
        <v>14.452921703729682</v>
      </c>
      <c r="J80" s="1139">
        <v>14.23412296267572</v>
      </c>
      <c r="K80" s="1139">
        <v>16.19994012669698</v>
      </c>
      <c r="L80" s="1139">
        <v>18.980553573820728</v>
      </c>
      <c r="M80" s="1138">
        <v>22.768565575082629</v>
      </c>
      <c r="N80" s="1107"/>
      <c r="O80" s="1104">
        <v>89.628695557659512</v>
      </c>
      <c r="P80" s="1105">
        <v>31.947888389656313</v>
      </c>
      <c r="Q80" s="1106">
        <v>121.57658394731583</v>
      </c>
      <c r="R80" s="1107"/>
      <c r="S80" s="1104">
        <v>86.636103942005747</v>
      </c>
      <c r="T80" s="1106">
        <v>-0.28739481626207919</v>
      </c>
    </row>
    <row r="81" spans="1:20" ht="15.75" customHeight="1">
      <c r="A81" s="242"/>
      <c r="B81" s="1377" t="s">
        <v>864</v>
      </c>
      <c r="C81" s="524" t="s">
        <v>14</v>
      </c>
      <c r="D81" s="1136">
        <v>1.4338704848091439</v>
      </c>
      <c r="E81" s="1137">
        <v>2.2021014907876348</v>
      </c>
      <c r="F81" s="1137">
        <v>1.0474207650999923</v>
      </c>
      <c r="G81" s="1137">
        <v>8.9889227849944628</v>
      </c>
      <c r="H81" s="1138">
        <v>8.3454867302639144</v>
      </c>
      <c r="I81" s="1137">
        <v>5.1848297422349043</v>
      </c>
      <c r="J81" s="1139">
        <v>6.7297448061725529</v>
      </c>
      <c r="K81" s="1139">
        <v>7.684050175802577</v>
      </c>
      <c r="L81" s="1139">
        <v>6.3708384237795661</v>
      </c>
      <c r="M81" s="1138">
        <v>9.7973708048724948</v>
      </c>
      <c r="N81" s="1107"/>
      <c r="O81" s="1104">
        <v>4.683392740696771</v>
      </c>
      <c r="P81" s="1105">
        <v>17.334409515258379</v>
      </c>
      <c r="Q81" s="1106">
        <v>22.017802255955147</v>
      </c>
      <c r="R81" s="1107"/>
      <c r="S81" s="1104">
        <v>35.766833952862093</v>
      </c>
      <c r="T81" s="1106">
        <v>0.62445068481747545</v>
      </c>
    </row>
    <row r="82" spans="1:20" ht="15.75" customHeight="1">
      <c r="A82" s="242"/>
      <c r="B82" s="1367" t="s">
        <v>865</v>
      </c>
      <c r="C82" s="524" t="s">
        <v>14</v>
      </c>
      <c r="D82" s="1104">
        <v>22.028897902000576</v>
      </c>
      <c r="E82" s="1172">
        <v>40.036402452524818</v>
      </c>
      <c r="F82" s="1172">
        <v>32.246787943830896</v>
      </c>
      <c r="G82" s="1172">
        <v>29.585718575877195</v>
      </c>
      <c r="H82" s="1106">
        <v>19.69657932903749</v>
      </c>
      <c r="I82" s="1172">
        <v>19.637751445964586</v>
      </c>
      <c r="J82" s="1105">
        <v>20.963867768848274</v>
      </c>
      <c r="K82" s="1105">
        <v>23.883990302499555</v>
      </c>
      <c r="L82" s="1105">
        <v>25.351391997600295</v>
      </c>
      <c r="M82" s="1106">
        <v>32.565936379955126</v>
      </c>
      <c r="N82" s="1107"/>
      <c r="O82" s="1104">
        <v>94.312088298356286</v>
      </c>
      <c r="P82" s="1105">
        <v>49.282297904914685</v>
      </c>
      <c r="Q82" s="1106">
        <v>143.59438620327097</v>
      </c>
      <c r="R82" s="1107"/>
      <c r="S82" s="1104">
        <v>122.40293789486785</v>
      </c>
      <c r="T82" s="1106">
        <v>-0.14757852913835151</v>
      </c>
    </row>
    <row r="83" spans="1:20" ht="15.75" customHeight="1">
      <c r="A83" s="242"/>
      <c r="B83" s="1376" t="s">
        <v>672</v>
      </c>
      <c r="C83" s="312"/>
      <c r="D83" s="1173"/>
      <c r="E83" s="1174"/>
      <c r="F83" s="1174"/>
      <c r="G83" s="1174"/>
      <c r="H83" s="1175"/>
      <c r="I83" s="1174"/>
      <c r="J83" s="1174"/>
      <c r="K83" s="1174"/>
      <c r="L83" s="1174"/>
      <c r="M83" s="1175"/>
      <c r="N83" s="1107"/>
      <c r="O83" s="1176"/>
      <c r="P83" s="1174"/>
      <c r="Q83" s="1175"/>
      <c r="R83" s="1107"/>
      <c r="S83" s="1173"/>
      <c r="T83" s="1175"/>
    </row>
    <row r="84" spans="1:20" ht="15.75" customHeight="1">
      <c r="A84" s="242"/>
      <c r="B84" s="1377" t="s">
        <v>863</v>
      </c>
      <c r="C84" s="524" t="s">
        <v>14</v>
      </c>
      <c r="D84" s="1136">
        <v>8.330135447331136</v>
      </c>
      <c r="E84" s="1137">
        <v>11.045369063521743</v>
      </c>
      <c r="F84" s="1137">
        <v>6.7135490442317458</v>
      </c>
      <c r="G84" s="1137">
        <v>1.2119243908090052</v>
      </c>
      <c r="H84" s="1138">
        <v>0.70827559327859901</v>
      </c>
      <c r="I84" s="1137">
        <v>0.86737111833111058</v>
      </c>
      <c r="J84" s="1139">
        <v>0.85001834551967037</v>
      </c>
      <c r="K84" s="1139">
        <v>0.96214070850747269</v>
      </c>
      <c r="L84" s="1139">
        <v>1.1290102168002305</v>
      </c>
      <c r="M84" s="1138">
        <v>1.3681943626233313</v>
      </c>
      <c r="N84" s="1107"/>
      <c r="O84" s="1104">
        <v>26.089053555084625</v>
      </c>
      <c r="P84" s="1105">
        <v>1.9201999840876041</v>
      </c>
      <c r="Q84" s="1106">
        <v>28.009253539172231</v>
      </c>
      <c r="R84" s="1107"/>
      <c r="S84" s="1104">
        <v>5.1767347517818152</v>
      </c>
      <c r="T84" s="1106">
        <v>-0.81517769673719032</v>
      </c>
    </row>
    <row r="85" spans="1:20" ht="15.75" customHeight="1">
      <c r="A85" s="242"/>
      <c r="B85" s="1377" t="s">
        <v>864</v>
      </c>
      <c r="C85" s="524" t="s">
        <v>14</v>
      </c>
      <c r="D85" s="1136">
        <v>2.8490955874720831</v>
      </c>
      <c r="E85" s="1137">
        <v>4.5602907461661335</v>
      </c>
      <c r="F85" s="1137">
        <v>7.9800739044726114</v>
      </c>
      <c r="G85" s="1137">
        <v>1.973477208740229</v>
      </c>
      <c r="H85" s="1138">
        <v>2.1159440908114577</v>
      </c>
      <c r="I85" s="1137">
        <v>1.7235201152162836</v>
      </c>
      <c r="J85" s="1139">
        <v>2.6473588199019971</v>
      </c>
      <c r="K85" s="1139">
        <v>1.8096989544000628</v>
      </c>
      <c r="L85" s="1139">
        <v>2.0237048389510526</v>
      </c>
      <c r="M85" s="1138">
        <v>3.6596600643994752</v>
      </c>
      <c r="N85" s="1107"/>
      <c r="O85" s="1104">
        <v>15.389460238110829</v>
      </c>
      <c r="P85" s="1105">
        <v>4.0894212995516863</v>
      </c>
      <c r="Q85" s="1106">
        <v>19.478881537662513</v>
      </c>
      <c r="R85" s="1107"/>
      <c r="S85" s="1104">
        <v>11.863942792868871</v>
      </c>
      <c r="T85" s="1106">
        <v>-0.39093305896799674</v>
      </c>
    </row>
    <row r="86" spans="1:20" ht="15.75" customHeight="1">
      <c r="A86" s="242"/>
      <c r="B86" s="1367" t="s">
        <v>866</v>
      </c>
      <c r="C86" s="524" t="s">
        <v>14</v>
      </c>
      <c r="D86" s="1104">
        <v>11.17923103480322</v>
      </c>
      <c r="E86" s="1172">
        <v>15.605659809687877</v>
      </c>
      <c r="F86" s="1172">
        <v>14.693622948704357</v>
      </c>
      <c r="G86" s="1172">
        <v>3.185401599549234</v>
      </c>
      <c r="H86" s="1106">
        <v>2.8242196840900569</v>
      </c>
      <c r="I86" s="1172">
        <v>2.5908912335473939</v>
      </c>
      <c r="J86" s="1105">
        <v>3.4973771654216677</v>
      </c>
      <c r="K86" s="1105">
        <v>2.7718396629075355</v>
      </c>
      <c r="L86" s="1105">
        <v>3.1527150557512833</v>
      </c>
      <c r="M86" s="1106">
        <v>5.027854427022806</v>
      </c>
      <c r="N86" s="1107"/>
      <c r="O86" s="1104">
        <v>41.478513793195454</v>
      </c>
      <c r="P86" s="1105">
        <v>6.0096212836392908</v>
      </c>
      <c r="Q86" s="1106">
        <v>47.488135076834737</v>
      </c>
      <c r="R86" s="1107"/>
      <c r="S86" s="1104">
        <v>17.040677544650684</v>
      </c>
      <c r="T86" s="1106">
        <v>-0.64115925973763233</v>
      </c>
    </row>
    <row r="87" spans="1:20" ht="15.75" customHeight="1">
      <c r="A87" s="242"/>
      <c r="B87" s="1376" t="s">
        <v>845</v>
      </c>
      <c r="C87" s="312"/>
      <c r="D87" s="1173"/>
      <c r="E87" s="1174"/>
      <c r="F87" s="1174"/>
      <c r="G87" s="1174"/>
      <c r="H87" s="1175"/>
      <c r="I87" s="1174"/>
      <c r="J87" s="1174"/>
      <c r="K87" s="1174"/>
      <c r="L87" s="1174"/>
      <c r="M87" s="1175"/>
      <c r="N87" s="1107"/>
      <c r="O87" s="1173"/>
      <c r="P87" s="1174"/>
      <c r="Q87" s="1175"/>
      <c r="R87" s="1107"/>
      <c r="S87" s="1173"/>
      <c r="T87" s="1175"/>
    </row>
    <row r="88" spans="1:20" ht="15.75" customHeight="1">
      <c r="A88" s="242"/>
      <c r="B88" s="1377" t="s">
        <v>863</v>
      </c>
      <c r="C88" s="524" t="s">
        <v>14</v>
      </c>
      <c r="D88" s="1136">
        <v>0.25964676797355279</v>
      </c>
      <c r="E88" s="1137">
        <v>0</v>
      </c>
      <c r="F88" s="1137">
        <v>5.270547250998029E-2</v>
      </c>
      <c r="G88" s="1137">
        <v>0.44914663581655295</v>
      </c>
      <c r="H88" s="1138">
        <v>0.52130577510579346</v>
      </c>
      <c r="I88" s="1137">
        <v>0</v>
      </c>
      <c r="J88" s="1139">
        <v>0</v>
      </c>
      <c r="K88" s="1139">
        <v>0.40242535620540476</v>
      </c>
      <c r="L88" s="1139">
        <v>0</v>
      </c>
      <c r="M88" s="1138">
        <v>0</v>
      </c>
      <c r="N88" s="1107"/>
      <c r="O88" s="1104">
        <v>0.31235224048353311</v>
      </c>
      <c r="P88" s="1105">
        <v>0.97045241092234646</v>
      </c>
      <c r="Q88" s="1106">
        <v>1.2828046514058795</v>
      </c>
      <c r="R88" s="1107"/>
      <c r="S88" s="1104">
        <v>0.40242535620540476</v>
      </c>
      <c r="T88" s="1106">
        <v>-0.68629256546242645</v>
      </c>
    </row>
    <row r="89" spans="1:20" ht="15.75" customHeight="1">
      <c r="A89" s="242"/>
      <c r="B89" s="1377" t="s">
        <v>864</v>
      </c>
      <c r="C89" s="524" t="s">
        <v>14</v>
      </c>
      <c r="D89" s="1136">
        <v>4.9104426124715959</v>
      </c>
      <c r="E89" s="1137">
        <v>2.2113284084370353E-4</v>
      </c>
      <c r="F89" s="1137">
        <v>2.7656303238399524</v>
      </c>
      <c r="G89" s="1137">
        <v>0</v>
      </c>
      <c r="H89" s="1138">
        <v>0</v>
      </c>
      <c r="I89" s="1137">
        <v>0</v>
      </c>
      <c r="J89" s="1139">
        <v>0</v>
      </c>
      <c r="K89" s="1139">
        <v>0</v>
      </c>
      <c r="L89" s="1139">
        <v>0</v>
      </c>
      <c r="M89" s="1138">
        <v>0</v>
      </c>
      <c r="N89" s="1107"/>
      <c r="O89" s="1104">
        <v>7.6762940691523927</v>
      </c>
      <c r="P89" s="1105">
        <v>0</v>
      </c>
      <c r="Q89" s="1106">
        <v>7.6762940691523927</v>
      </c>
      <c r="R89" s="1107"/>
      <c r="S89" s="1104">
        <v>0</v>
      </c>
      <c r="T89" s="1106">
        <v>-1</v>
      </c>
    </row>
    <row r="90" spans="1:20" ht="15.75" customHeight="1">
      <c r="A90" s="242"/>
      <c r="B90" s="1367" t="s">
        <v>867</v>
      </c>
      <c r="C90" s="524" t="s">
        <v>14</v>
      </c>
      <c r="D90" s="1104">
        <v>5.1700893804451482</v>
      </c>
      <c r="E90" s="1172">
        <v>2.2113284084370353E-4</v>
      </c>
      <c r="F90" s="1172">
        <v>2.8183357963499329</v>
      </c>
      <c r="G90" s="1172">
        <v>0.44914663581655295</v>
      </c>
      <c r="H90" s="1106">
        <v>0.52130577510579346</v>
      </c>
      <c r="I90" s="1172">
        <v>0</v>
      </c>
      <c r="J90" s="1105">
        <v>0</v>
      </c>
      <c r="K90" s="1105">
        <v>0.40242535620540476</v>
      </c>
      <c r="L90" s="1105">
        <v>0</v>
      </c>
      <c r="M90" s="1106">
        <v>0</v>
      </c>
      <c r="N90" s="1107"/>
      <c r="O90" s="1104">
        <v>7.988646309635925</v>
      </c>
      <c r="P90" s="1105">
        <v>0.97045241092234646</v>
      </c>
      <c r="Q90" s="1106">
        <v>8.9590987205582699</v>
      </c>
      <c r="R90" s="1107"/>
      <c r="S90" s="1104">
        <v>0.40242535620540476</v>
      </c>
      <c r="T90" s="1106">
        <v>-0.9550819375076236</v>
      </c>
    </row>
    <row r="91" spans="1:20" ht="15.75" customHeight="1">
      <c r="A91" s="242"/>
      <c r="B91" s="1376" t="s">
        <v>846</v>
      </c>
      <c r="C91" s="312"/>
      <c r="D91" s="1173"/>
      <c r="E91" s="1174"/>
      <c r="F91" s="1174"/>
      <c r="G91" s="1174"/>
      <c r="H91" s="1175"/>
      <c r="I91" s="1174"/>
      <c r="J91" s="1174"/>
      <c r="K91" s="1174"/>
      <c r="L91" s="1174"/>
      <c r="M91" s="1175"/>
      <c r="N91" s="1107"/>
      <c r="O91" s="1173"/>
      <c r="P91" s="1174"/>
      <c r="Q91" s="1175"/>
      <c r="R91" s="1107"/>
      <c r="S91" s="1173"/>
      <c r="T91" s="1175"/>
    </row>
    <row r="92" spans="1:20" ht="15.75" customHeight="1">
      <c r="A92" s="242"/>
      <c r="B92" s="1377" t="s">
        <v>863</v>
      </c>
      <c r="C92" s="524" t="s">
        <v>14</v>
      </c>
      <c r="D92" s="1136">
        <v>0</v>
      </c>
      <c r="E92" s="1137">
        <v>0</v>
      </c>
      <c r="F92" s="1137">
        <v>3.890764277761599E-5</v>
      </c>
      <c r="G92" s="1137">
        <v>0</v>
      </c>
      <c r="H92" s="1138">
        <v>0</v>
      </c>
      <c r="I92" s="1137">
        <v>0</v>
      </c>
      <c r="J92" s="1139">
        <v>0</v>
      </c>
      <c r="K92" s="1139">
        <v>0</v>
      </c>
      <c r="L92" s="1139">
        <v>0</v>
      </c>
      <c r="M92" s="1138">
        <v>0</v>
      </c>
      <c r="N92" s="1107"/>
      <c r="O92" s="1104">
        <v>3.890764277761599E-5</v>
      </c>
      <c r="P92" s="1105">
        <v>0</v>
      </c>
      <c r="Q92" s="1106">
        <v>3.890764277761599E-5</v>
      </c>
      <c r="R92" s="1107"/>
      <c r="S92" s="1104">
        <v>0</v>
      </c>
      <c r="T92" s="1106">
        <v>-1</v>
      </c>
    </row>
    <row r="93" spans="1:20" ht="15.75" customHeight="1">
      <c r="A93" s="242"/>
      <c r="B93" s="1377" t="s">
        <v>864</v>
      </c>
      <c r="C93" s="524" t="s">
        <v>14</v>
      </c>
      <c r="D93" s="1136">
        <v>4.7820627181228349E-2</v>
      </c>
      <c r="E93" s="1137">
        <v>5.030843363427142E-2</v>
      </c>
      <c r="F93" s="1137">
        <v>4.8352918617763517E-4</v>
      </c>
      <c r="G93" s="1137">
        <v>0</v>
      </c>
      <c r="H93" s="1138">
        <v>0</v>
      </c>
      <c r="I93" s="1137">
        <v>0</v>
      </c>
      <c r="J93" s="1139">
        <v>0</v>
      </c>
      <c r="K93" s="1139">
        <v>0</v>
      </c>
      <c r="L93" s="1139">
        <v>0</v>
      </c>
      <c r="M93" s="1138">
        <v>0</v>
      </c>
      <c r="N93" s="1107"/>
      <c r="O93" s="1104">
        <v>9.8612590001677408E-2</v>
      </c>
      <c r="P93" s="1105">
        <v>0</v>
      </c>
      <c r="Q93" s="1106">
        <v>9.8612590001677408E-2</v>
      </c>
      <c r="R93" s="1107"/>
      <c r="S93" s="1104">
        <v>0</v>
      </c>
      <c r="T93" s="1106">
        <v>-1</v>
      </c>
    </row>
    <row r="94" spans="1:20" ht="15.75" customHeight="1">
      <c r="A94" s="242"/>
      <c r="B94" s="1367" t="s">
        <v>700</v>
      </c>
      <c r="C94" s="524" t="s">
        <v>14</v>
      </c>
      <c r="D94" s="1104">
        <v>4.7820627181228349E-2</v>
      </c>
      <c r="E94" s="1172">
        <v>5.030843363427142E-2</v>
      </c>
      <c r="F94" s="1172">
        <v>5.2243682895525116E-4</v>
      </c>
      <c r="G94" s="1172">
        <v>0</v>
      </c>
      <c r="H94" s="1106">
        <v>0</v>
      </c>
      <c r="I94" s="1172">
        <v>0</v>
      </c>
      <c r="J94" s="1105">
        <v>0</v>
      </c>
      <c r="K94" s="1105">
        <v>0</v>
      </c>
      <c r="L94" s="1105">
        <v>0</v>
      </c>
      <c r="M94" s="1106">
        <v>0</v>
      </c>
      <c r="N94" s="1107"/>
      <c r="O94" s="1104">
        <v>9.8651497644455022E-2</v>
      </c>
      <c r="P94" s="1105">
        <v>0</v>
      </c>
      <c r="Q94" s="1106">
        <v>9.8651497644455022E-2</v>
      </c>
      <c r="R94" s="1107"/>
      <c r="S94" s="1104">
        <v>0</v>
      </c>
      <c r="T94" s="1106">
        <v>-1</v>
      </c>
    </row>
    <row r="95" spans="1:20" ht="15.75" customHeight="1">
      <c r="A95" s="242"/>
      <c r="B95" s="1359"/>
      <c r="C95" s="524"/>
      <c r="D95" s="1173"/>
      <c r="E95" s="1174"/>
      <c r="F95" s="1174"/>
      <c r="G95" s="1174"/>
      <c r="H95" s="1175"/>
      <c r="I95" s="1174"/>
      <c r="J95" s="1174"/>
      <c r="K95" s="1174"/>
      <c r="L95" s="1174"/>
      <c r="M95" s="1175"/>
      <c r="N95" s="1107"/>
      <c r="O95" s="1173"/>
      <c r="P95" s="1174"/>
      <c r="Q95" s="1175"/>
      <c r="R95" s="1107"/>
      <c r="S95" s="1173"/>
      <c r="T95" s="1175"/>
    </row>
    <row r="96" spans="1:20" ht="15.75" customHeight="1">
      <c r="A96" s="242"/>
      <c r="B96" s="1359" t="s">
        <v>701</v>
      </c>
      <c r="C96" s="524" t="s">
        <v>14</v>
      </c>
      <c r="D96" s="1177"/>
      <c r="E96" s="1178"/>
      <c r="F96" s="1178"/>
      <c r="G96" s="1137">
        <v>0</v>
      </c>
      <c r="H96" s="1138">
        <v>0</v>
      </c>
      <c r="I96" s="1137">
        <v>0</v>
      </c>
      <c r="J96" s="1139">
        <v>0</v>
      </c>
      <c r="K96" s="1139">
        <v>0</v>
      </c>
      <c r="L96" s="1139">
        <v>0</v>
      </c>
      <c r="M96" s="1138">
        <v>0</v>
      </c>
      <c r="N96" s="1107"/>
      <c r="O96" s="1104">
        <v>0</v>
      </c>
      <c r="P96" s="1105">
        <v>0</v>
      </c>
      <c r="Q96" s="1106">
        <v>0</v>
      </c>
      <c r="R96" s="1107"/>
      <c r="S96" s="1104">
        <v>0</v>
      </c>
      <c r="T96" s="1106" t="s">
        <v>1020</v>
      </c>
    </row>
    <row r="97" spans="1:20" ht="15.75" customHeight="1">
      <c r="A97" s="242"/>
      <c r="B97" s="1359" t="s">
        <v>702</v>
      </c>
      <c r="C97" s="524" t="s">
        <v>14</v>
      </c>
      <c r="D97" s="1112">
        <v>38.426038944430175</v>
      </c>
      <c r="E97" s="1115">
        <v>55.69259182868781</v>
      </c>
      <c r="F97" s="1115">
        <v>49.759269125714141</v>
      </c>
      <c r="G97" s="1115">
        <v>33.220266811242979</v>
      </c>
      <c r="H97" s="1114">
        <v>23.042104788233342</v>
      </c>
      <c r="I97" s="1115">
        <v>22.228642679511978</v>
      </c>
      <c r="J97" s="1113">
        <v>24.461244934269942</v>
      </c>
      <c r="K97" s="1113">
        <v>27.058255321612496</v>
      </c>
      <c r="L97" s="1113">
        <v>28.504107053351579</v>
      </c>
      <c r="M97" s="1114">
        <v>37.593790806977935</v>
      </c>
      <c r="N97" s="1149"/>
      <c r="O97" s="1112">
        <v>143.87789989883214</v>
      </c>
      <c r="P97" s="1113">
        <v>56.262371599476324</v>
      </c>
      <c r="Q97" s="1114">
        <v>200.14027149830846</v>
      </c>
      <c r="R97" s="1149"/>
      <c r="S97" s="1112">
        <v>139.84604079572392</v>
      </c>
      <c r="T97" s="1114">
        <v>-0.30125986265135118</v>
      </c>
    </row>
    <row r="98" spans="1:20" ht="15.75" customHeight="1">
      <c r="A98" s="242"/>
      <c r="B98" s="1359"/>
      <c r="C98" s="524"/>
      <c r="D98" s="1173"/>
      <c r="E98" s="1174"/>
      <c r="F98" s="1174"/>
      <c r="G98" s="1174"/>
      <c r="H98" s="1175"/>
      <c r="I98" s="1174"/>
      <c r="J98" s="1174"/>
      <c r="K98" s="1174"/>
      <c r="L98" s="1174"/>
      <c r="M98" s="1175"/>
      <c r="N98" s="1107"/>
      <c r="O98" s="1173"/>
      <c r="P98" s="1174"/>
      <c r="Q98" s="1175"/>
      <c r="R98" s="1107"/>
      <c r="S98" s="1173"/>
      <c r="T98" s="1175"/>
    </row>
    <row r="99" spans="1:20" ht="15.75" customHeight="1">
      <c r="A99" s="242"/>
      <c r="B99" s="1359" t="s">
        <v>751</v>
      </c>
      <c r="C99" s="520" t="s">
        <v>14</v>
      </c>
      <c r="D99" s="1177"/>
      <c r="E99" s="1178"/>
      <c r="F99" s="1178"/>
      <c r="G99" s="1137">
        <v>0</v>
      </c>
      <c r="H99" s="1138">
        <v>0</v>
      </c>
      <c r="I99" s="1137">
        <v>0</v>
      </c>
      <c r="J99" s="1139">
        <v>0</v>
      </c>
      <c r="K99" s="1139">
        <v>0</v>
      </c>
      <c r="L99" s="1139">
        <v>0</v>
      </c>
      <c r="M99" s="1138">
        <v>0</v>
      </c>
      <c r="N99" s="1107"/>
      <c r="O99" s="1104">
        <v>0</v>
      </c>
      <c r="P99" s="1105">
        <v>0</v>
      </c>
      <c r="Q99" s="1106">
        <v>0</v>
      </c>
      <c r="R99" s="1107"/>
      <c r="S99" s="1104">
        <v>0</v>
      </c>
      <c r="T99" s="1106" t="s">
        <v>1020</v>
      </c>
    </row>
    <row r="100" spans="1:20" ht="15.75" customHeight="1" thickBot="1">
      <c r="A100" s="242"/>
      <c r="B100" s="1360" t="s">
        <v>752</v>
      </c>
      <c r="C100" s="525" t="s">
        <v>14</v>
      </c>
      <c r="D100" s="1179"/>
      <c r="E100" s="1180"/>
      <c r="F100" s="1180"/>
      <c r="G100" s="1181">
        <v>0</v>
      </c>
      <c r="H100" s="1182">
        <v>0</v>
      </c>
      <c r="I100" s="1181">
        <v>0</v>
      </c>
      <c r="J100" s="1183">
        <v>0</v>
      </c>
      <c r="K100" s="1183">
        <v>0</v>
      </c>
      <c r="L100" s="1183">
        <v>0</v>
      </c>
      <c r="M100" s="1182">
        <v>0</v>
      </c>
      <c r="N100" s="1107"/>
      <c r="O100" s="1120">
        <v>0</v>
      </c>
      <c r="P100" s="1121">
        <v>0</v>
      </c>
      <c r="Q100" s="1122">
        <v>0</v>
      </c>
      <c r="R100" s="1107"/>
      <c r="S100" s="1120">
        <v>0</v>
      </c>
      <c r="T100" s="1122" t="s">
        <v>1020</v>
      </c>
    </row>
    <row r="101" spans="1:20">
      <c r="A101" s="242"/>
      <c r="B101" s="242"/>
      <c r="C101" s="242"/>
      <c r="D101" s="1103"/>
      <c r="E101" s="1103"/>
      <c r="F101" s="1103"/>
      <c r="G101" s="1103"/>
      <c r="H101" s="1103"/>
      <c r="I101" s="1103"/>
      <c r="J101" s="1103"/>
      <c r="K101" s="1103"/>
      <c r="L101" s="1103"/>
      <c r="M101" s="1103"/>
      <c r="N101" s="1103"/>
      <c r="O101" s="1103"/>
      <c r="P101" s="1103"/>
      <c r="Q101" s="1103"/>
      <c r="R101" s="1103"/>
      <c r="S101" s="1103"/>
      <c r="T101" s="1103"/>
    </row>
    <row r="102" spans="1:20">
      <c r="A102" s="242"/>
      <c r="B102" s="242"/>
      <c r="C102" s="298"/>
      <c r="D102" s="1123"/>
      <c r="E102" s="1123"/>
      <c r="F102" s="1123"/>
      <c r="G102" s="1123"/>
      <c r="H102" s="1123"/>
      <c r="I102" s="1123"/>
      <c r="J102" s="1123"/>
      <c r="K102" s="1123"/>
      <c r="L102" s="1123"/>
      <c r="M102" s="1123"/>
      <c r="N102" s="1107"/>
      <c r="O102" s="1123"/>
      <c r="P102" s="1123"/>
      <c r="Q102" s="1123"/>
      <c r="R102" s="1107"/>
      <c r="S102" s="1123"/>
      <c r="T102" s="1123"/>
    </row>
    <row r="103" spans="1:20" s="1223" customFormat="1" ht="15.75" customHeight="1">
      <c r="A103" s="1354"/>
      <c r="B103" s="1382" t="s">
        <v>140</v>
      </c>
      <c r="C103" s="302"/>
      <c r="D103" s="1123"/>
      <c r="E103" s="1123"/>
      <c r="F103" s="1123"/>
      <c r="G103" s="1123"/>
      <c r="H103" s="1123"/>
      <c r="I103" s="1123"/>
      <c r="J103" s="1123"/>
      <c r="K103" s="1123"/>
      <c r="L103" s="1123"/>
      <c r="M103" s="1123"/>
      <c r="N103" s="1123"/>
      <c r="O103" s="1369"/>
      <c r="P103" s="1369"/>
      <c r="Q103" s="1369"/>
      <c r="R103" s="1357"/>
      <c r="S103" s="1123"/>
      <c r="T103" s="1123"/>
    </row>
    <row r="104" spans="1:20" ht="13.5" thickBot="1">
      <c r="A104" s="242"/>
      <c r="B104" s="507"/>
      <c r="C104" s="528"/>
      <c r="D104" s="1162"/>
      <c r="E104" s="1162"/>
      <c r="F104" s="1162"/>
      <c r="G104" s="1162"/>
      <c r="H104" s="1162"/>
      <c r="I104" s="1162"/>
      <c r="J104" s="1162"/>
      <c r="K104" s="1162"/>
      <c r="L104" s="1162"/>
      <c r="M104" s="1162"/>
      <c r="N104" s="1107"/>
      <c r="O104" s="1162"/>
      <c r="P104" s="1162"/>
      <c r="Q104" s="1162"/>
      <c r="R104" s="1107"/>
      <c r="S104" s="1162"/>
      <c r="T104" s="1162"/>
    </row>
    <row r="105" spans="1:20" ht="15.75" customHeight="1">
      <c r="A105" s="242"/>
      <c r="B105" s="1896" t="s">
        <v>140</v>
      </c>
      <c r="C105" s="1900" t="s">
        <v>31</v>
      </c>
      <c r="D105" s="1124" t="s">
        <v>116</v>
      </c>
      <c r="E105" s="1125"/>
      <c r="F105" s="1125"/>
      <c r="G105" s="1125"/>
      <c r="H105" s="1126"/>
      <c r="I105" s="1125" t="s">
        <v>117</v>
      </c>
      <c r="J105" s="1127"/>
      <c r="K105" s="1127"/>
      <c r="L105" s="1127"/>
      <c r="M105" s="1126"/>
      <c r="N105" s="1107"/>
      <c r="O105" s="1163" t="s">
        <v>116</v>
      </c>
      <c r="P105" s="1164"/>
      <c r="Q105" s="1165"/>
      <c r="R105" s="1107"/>
      <c r="S105" s="1163" t="s">
        <v>117</v>
      </c>
      <c r="T105" s="1165"/>
    </row>
    <row r="106" spans="1:20" ht="25.5">
      <c r="A106" s="242"/>
      <c r="B106" s="1897"/>
      <c r="C106" s="1901"/>
      <c r="D106" s="1128" t="s">
        <v>32</v>
      </c>
      <c r="E106" s="1129" t="s">
        <v>33</v>
      </c>
      <c r="F106" s="1129" t="s">
        <v>29</v>
      </c>
      <c r="G106" s="1129" t="s">
        <v>34</v>
      </c>
      <c r="H106" s="1130" t="s">
        <v>35</v>
      </c>
      <c r="I106" s="1131" t="s">
        <v>118</v>
      </c>
      <c r="J106" s="1129" t="s">
        <v>136</v>
      </c>
      <c r="K106" s="1129" t="s">
        <v>137</v>
      </c>
      <c r="L106" s="1129" t="s">
        <v>138</v>
      </c>
      <c r="M106" s="1130" t="s">
        <v>139</v>
      </c>
      <c r="N106" s="1107"/>
      <c r="O106" s="1166" t="s">
        <v>126</v>
      </c>
      <c r="P106" s="1167" t="s">
        <v>127</v>
      </c>
      <c r="Q106" s="1168" t="s">
        <v>246</v>
      </c>
      <c r="R106" s="1107"/>
      <c r="S106" s="1166" t="s">
        <v>127</v>
      </c>
      <c r="T106" s="1168" t="s">
        <v>128</v>
      </c>
    </row>
    <row r="107" spans="1:20" ht="15.75" customHeight="1">
      <c r="A107" s="242"/>
      <c r="B107" s="1378" t="s">
        <v>141</v>
      </c>
      <c r="C107" s="311"/>
      <c r="D107" s="1132"/>
      <c r="E107" s="1133"/>
      <c r="F107" s="1133"/>
      <c r="G107" s="1133"/>
      <c r="H107" s="1134"/>
      <c r="I107" s="1133"/>
      <c r="J107" s="1133"/>
      <c r="K107" s="1133"/>
      <c r="L107" s="1133"/>
      <c r="M107" s="1134"/>
      <c r="N107" s="1107"/>
      <c r="O107" s="1169"/>
      <c r="P107" s="1170"/>
      <c r="Q107" s="1171"/>
      <c r="R107" s="1107"/>
      <c r="S107" s="1132"/>
      <c r="T107" s="1134"/>
    </row>
    <row r="108" spans="1:20" ht="15.75" customHeight="1">
      <c r="A108" s="242"/>
      <c r="B108" s="1379" t="s">
        <v>863</v>
      </c>
      <c r="C108" s="524" t="s">
        <v>14</v>
      </c>
      <c r="D108" s="1136">
        <v>15.772060156885155</v>
      </c>
      <c r="E108" s="1137">
        <v>33.79843161198567</v>
      </c>
      <c r="F108" s="1137">
        <v>35.553995982514643</v>
      </c>
      <c r="G108" s="1137">
        <v>19.624646200758654</v>
      </c>
      <c r="H108" s="1138">
        <v>10.900562912045583</v>
      </c>
      <c r="I108" s="1137">
        <v>13.621856530842274</v>
      </c>
      <c r="J108" s="1139">
        <v>13.292992166817235</v>
      </c>
      <c r="K108" s="1139">
        <v>14.951223304686021</v>
      </c>
      <c r="L108" s="1139">
        <v>17.470737500005487</v>
      </c>
      <c r="M108" s="1138">
        <v>20.830093684667446</v>
      </c>
      <c r="N108" s="1107"/>
      <c r="O108" s="1104">
        <v>85.124487751385459</v>
      </c>
      <c r="P108" s="1105">
        <v>30.525209112804237</v>
      </c>
      <c r="Q108" s="1106">
        <v>115.64969686418971</v>
      </c>
      <c r="R108" s="1107"/>
      <c r="S108" s="1104">
        <v>80.166903187018463</v>
      </c>
      <c r="T108" s="1106">
        <v>-0.30681268208458484</v>
      </c>
    </row>
    <row r="109" spans="1:20" ht="15.75" customHeight="1">
      <c r="A109" s="242"/>
      <c r="B109" s="1379" t="s">
        <v>142</v>
      </c>
      <c r="C109" s="524" t="s">
        <v>14</v>
      </c>
      <c r="D109" s="1136">
        <v>1.18032059290747</v>
      </c>
      <c r="E109" s="1137">
        <v>1.3498687297470289</v>
      </c>
      <c r="F109" s="1137">
        <v>0.53585969511481191</v>
      </c>
      <c r="G109" s="1137">
        <v>1.0332940686954539</v>
      </c>
      <c r="H109" s="1138">
        <v>2.4858627269697382</v>
      </c>
      <c r="I109" s="1137">
        <v>1.664324161497821</v>
      </c>
      <c r="J109" s="1139">
        <v>1.6587342388903066</v>
      </c>
      <c r="K109" s="1139">
        <v>1.9131410269982572</v>
      </c>
      <c r="L109" s="1139">
        <v>2.2001204010758126</v>
      </c>
      <c r="M109" s="1138">
        <v>2.4757849263958747</v>
      </c>
      <c r="N109" s="1107"/>
      <c r="O109" s="1104">
        <v>3.0660490177693105</v>
      </c>
      <c r="P109" s="1105">
        <v>3.5191567956651921</v>
      </c>
      <c r="Q109" s="1106">
        <v>6.5852058134345022</v>
      </c>
      <c r="R109" s="1107"/>
      <c r="S109" s="1104">
        <v>9.9121047548580723</v>
      </c>
      <c r="T109" s="1106">
        <v>0.50520804294929578</v>
      </c>
    </row>
    <row r="110" spans="1:20" ht="15.75" customHeight="1">
      <c r="A110" s="242"/>
      <c r="B110" s="1380" t="s">
        <v>865</v>
      </c>
      <c r="C110" s="524" t="s">
        <v>14</v>
      </c>
      <c r="D110" s="1104">
        <v>16.952380749792624</v>
      </c>
      <c r="E110" s="1172">
        <v>35.1483003417327</v>
      </c>
      <c r="F110" s="1172">
        <v>36.089855677629451</v>
      </c>
      <c r="G110" s="1172">
        <v>20.657940269454109</v>
      </c>
      <c r="H110" s="1106">
        <v>13.386425639015322</v>
      </c>
      <c r="I110" s="1172">
        <v>15.286180692340096</v>
      </c>
      <c r="J110" s="1105">
        <v>14.951726405707543</v>
      </c>
      <c r="K110" s="1105">
        <v>16.864364331684278</v>
      </c>
      <c r="L110" s="1105">
        <v>19.670857901081298</v>
      </c>
      <c r="M110" s="1106">
        <v>23.305878611063321</v>
      </c>
      <c r="N110" s="1107"/>
      <c r="O110" s="1104">
        <v>88.190536769154775</v>
      </c>
      <c r="P110" s="1105">
        <v>34.04436590846943</v>
      </c>
      <c r="Q110" s="1106">
        <v>122.23490267762421</v>
      </c>
      <c r="R110" s="1107"/>
      <c r="S110" s="1104">
        <v>90.07900794187654</v>
      </c>
      <c r="T110" s="1106">
        <v>-0.2630663912790433</v>
      </c>
    </row>
    <row r="111" spans="1:20" ht="15.75" customHeight="1">
      <c r="A111" s="242"/>
      <c r="B111" s="1378" t="s">
        <v>877</v>
      </c>
      <c r="C111" s="312"/>
      <c r="D111" s="1173"/>
      <c r="E111" s="1174"/>
      <c r="F111" s="1174"/>
      <c r="G111" s="1174"/>
      <c r="H111" s="1175"/>
      <c r="I111" s="1174"/>
      <c r="J111" s="1174"/>
      <c r="K111" s="1174"/>
      <c r="L111" s="1174"/>
      <c r="M111" s="1175"/>
      <c r="N111" s="1107"/>
      <c r="O111" s="1176"/>
      <c r="P111" s="1174"/>
      <c r="Q111" s="1175"/>
      <c r="R111" s="1107"/>
      <c r="S111" s="1173"/>
      <c r="T111" s="1175"/>
    </row>
    <row r="112" spans="1:20" ht="15.75" customHeight="1">
      <c r="A112" s="242"/>
      <c r="B112" s="1379" t="s">
        <v>863</v>
      </c>
      <c r="C112" s="524" t="s">
        <v>14</v>
      </c>
      <c r="D112" s="1136">
        <v>6.3785148934269058</v>
      </c>
      <c r="E112" s="1137">
        <v>9.8108668583574179</v>
      </c>
      <c r="F112" s="1137">
        <v>7.6500909176014043</v>
      </c>
      <c r="G112" s="1137">
        <v>1.3235070931529838</v>
      </c>
      <c r="H112" s="1138">
        <v>0.69452659081332013</v>
      </c>
      <c r="I112" s="1137">
        <v>1.251485732675562</v>
      </c>
      <c r="J112" s="1139">
        <v>1.0828062136924006</v>
      </c>
      <c r="K112" s="1139">
        <v>0.90045585325354138</v>
      </c>
      <c r="L112" s="1139">
        <v>1.5311742633137031</v>
      </c>
      <c r="M112" s="1138">
        <v>2.1262199324559163</v>
      </c>
      <c r="N112" s="1107"/>
      <c r="O112" s="1104">
        <v>23.839472669385728</v>
      </c>
      <c r="P112" s="1105">
        <v>2.018033683966304</v>
      </c>
      <c r="Q112" s="1106">
        <v>25.857506353352033</v>
      </c>
      <c r="R112" s="1107"/>
      <c r="S112" s="1104">
        <v>6.8921419953911229</v>
      </c>
      <c r="T112" s="1106">
        <v>-0.73345681902935456</v>
      </c>
    </row>
    <row r="113" spans="1:20" ht="15.75" customHeight="1">
      <c r="A113" s="242"/>
      <c r="B113" s="1379" t="s">
        <v>142</v>
      </c>
      <c r="C113" s="524" t="s">
        <v>14</v>
      </c>
      <c r="D113" s="1136">
        <v>2.345292848051558</v>
      </c>
      <c r="E113" s="1137">
        <v>2.7987488098096032</v>
      </c>
      <c r="F113" s="1137">
        <v>4.1784533842165317</v>
      </c>
      <c r="G113" s="1137">
        <v>0.59622500785396837</v>
      </c>
      <c r="H113" s="1138">
        <v>1.2668494764425136</v>
      </c>
      <c r="I113" s="1137">
        <v>0.88111279138119913</v>
      </c>
      <c r="J113" s="1139">
        <v>0.87815342058898582</v>
      </c>
      <c r="K113" s="1139">
        <v>1.0128393672343714</v>
      </c>
      <c r="L113" s="1139">
        <v>1.1647696240989591</v>
      </c>
      <c r="M113" s="1138">
        <v>1.3107096669154628</v>
      </c>
      <c r="N113" s="1107"/>
      <c r="O113" s="1104">
        <v>9.3224950420776924</v>
      </c>
      <c r="P113" s="1105">
        <v>1.8630744842964819</v>
      </c>
      <c r="Q113" s="1106">
        <v>11.185569526374174</v>
      </c>
      <c r="R113" s="1107"/>
      <c r="S113" s="1104">
        <v>5.2475848702189776</v>
      </c>
      <c r="T113" s="1106">
        <v>-0.53086118164606377</v>
      </c>
    </row>
    <row r="114" spans="1:20" ht="15.75" customHeight="1">
      <c r="A114" s="242"/>
      <c r="B114" s="1380" t="s">
        <v>866</v>
      </c>
      <c r="C114" s="524" t="s">
        <v>14</v>
      </c>
      <c r="D114" s="1104">
        <v>8.7238077414784634</v>
      </c>
      <c r="E114" s="1172">
        <v>12.60961566816702</v>
      </c>
      <c r="F114" s="1172">
        <v>11.828544301817935</v>
      </c>
      <c r="G114" s="1172">
        <v>1.9197321010069521</v>
      </c>
      <c r="H114" s="1106">
        <v>1.9613760672558338</v>
      </c>
      <c r="I114" s="1172">
        <v>2.1325985240567613</v>
      </c>
      <c r="J114" s="1105">
        <v>1.9609596342813864</v>
      </c>
      <c r="K114" s="1105">
        <v>1.9132952204879128</v>
      </c>
      <c r="L114" s="1105">
        <v>2.6959438874126622</v>
      </c>
      <c r="M114" s="1106">
        <v>3.4369295993713793</v>
      </c>
      <c r="N114" s="1107"/>
      <c r="O114" s="1104">
        <v>33.161967711463419</v>
      </c>
      <c r="P114" s="1105">
        <v>3.8811081682627862</v>
      </c>
      <c r="Q114" s="1106">
        <v>37.043075879726203</v>
      </c>
      <c r="R114" s="1107"/>
      <c r="S114" s="1104">
        <v>12.139726865610101</v>
      </c>
      <c r="T114" s="1106">
        <v>-0.67228080883385244</v>
      </c>
    </row>
    <row r="115" spans="1:20" ht="15.75" customHeight="1">
      <c r="A115" s="242"/>
      <c r="B115" s="1378" t="s">
        <v>714</v>
      </c>
      <c r="C115" s="312"/>
      <c r="D115" s="1173"/>
      <c r="E115" s="1174"/>
      <c r="F115" s="1174"/>
      <c r="G115" s="1174"/>
      <c r="H115" s="1175"/>
      <c r="I115" s="1174"/>
      <c r="J115" s="1174"/>
      <c r="K115" s="1174"/>
      <c r="L115" s="1174"/>
      <c r="M115" s="1175"/>
      <c r="N115" s="1107"/>
      <c r="O115" s="1173"/>
      <c r="P115" s="1174"/>
      <c r="Q115" s="1175"/>
      <c r="R115" s="1107"/>
      <c r="S115" s="1173"/>
      <c r="T115" s="1175"/>
    </row>
    <row r="116" spans="1:20" ht="15.75" customHeight="1">
      <c r="A116" s="242"/>
      <c r="B116" s="1379" t="s">
        <v>863</v>
      </c>
      <c r="C116" s="524" t="s">
        <v>14</v>
      </c>
      <c r="D116" s="1136">
        <v>0.19880365795599947</v>
      </c>
      <c r="E116" s="1137">
        <v>0</v>
      </c>
      <c r="F116" s="1137">
        <v>6.0293399200937757E-2</v>
      </c>
      <c r="G116" s="1137">
        <v>0.43804285419369648</v>
      </c>
      <c r="H116" s="1138">
        <v>0.51483163945835209</v>
      </c>
      <c r="I116" s="1137">
        <v>0</v>
      </c>
      <c r="J116" s="1139">
        <v>0</v>
      </c>
      <c r="K116" s="1139">
        <v>0.39429303150752476</v>
      </c>
      <c r="L116" s="1139">
        <v>0</v>
      </c>
      <c r="M116" s="1138">
        <v>0</v>
      </c>
      <c r="N116" s="1107"/>
      <c r="O116" s="1104">
        <v>0.2590970571569372</v>
      </c>
      <c r="P116" s="1105">
        <v>0.95287449365204857</v>
      </c>
      <c r="Q116" s="1106">
        <v>1.2119715508089857</v>
      </c>
      <c r="R116" s="1107"/>
      <c r="S116" s="1104">
        <v>0.39429303150752476</v>
      </c>
      <c r="T116" s="1106">
        <v>-0.67466808008460599</v>
      </c>
    </row>
    <row r="117" spans="1:20" ht="15.75" customHeight="1">
      <c r="A117" s="242"/>
      <c r="B117" s="1379" t="s">
        <v>142</v>
      </c>
      <c r="C117" s="524" t="s">
        <v>14</v>
      </c>
      <c r="D117" s="1136">
        <v>4.0414704032537072</v>
      </c>
      <c r="E117" s="1137">
        <v>0</v>
      </c>
      <c r="F117" s="1137">
        <v>1.4449510997272597</v>
      </c>
      <c r="G117" s="1137">
        <v>0</v>
      </c>
      <c r="H117" s="1138">
        <v>0</v>
      </c>
      <c r="I117" s="1137">
        <v>0</v>
      </c>
      <c r="J117" s="1139">
        <v>0</v>
      </c>
      <c r="K117" s="1139">
        <v>0</v>
      </c>
      <c r="L117" s="1139">
        <v>0</v>
      </c>
      <c r="M117" s="1138">
        <v>0</v>
      </c>
      <c r="N117" s="1107"/>
      <c r="O117" s="1104">
        <v>5.4864215029809671</v>
      </c>
      <c r="P117" s="1105">
        <v>0</v>
      </c>
      <c r="Q117" s="1106">
        <v>5.4864215029809671</v>
      </c>
      <c r="R117" s="1107"/>
      <c r="S117" s="1104">
        <v>0</v>
      </c>
      <c r="T117" s="1106">
        <v>-1</v>
      </c>
    </row>
    <row r="118" spans="1:20" ht="15.75" customHeight="1">
      <c r="A118" s="242"/>
      <c r="B118" s="1380" t="s">
        <v>867</v>
      </c>
      <c r="C118" s="524" t="s">
        <v>14</v>
      </c>
      <c r="D118" s="1104">
        <v>4.240274061209707</v>
      </c>
      <c r="E118" s="1172">
        <v>0</v>
      </c>
      <c r="F118" s="1172">
        <v>1.5052444989281974</v>
      </c>
      <c r="G118" s="1172">
        <v>0.43804285419369648</v>
      </c>
      <c r="H118" s="1106">
        <v>0.51483163945835209</v>
      </c>
      <c r="I118" s="1172">
        <v>0</v>
      </c>
      <c r="J118" s="1105">
        <v>0</v>
      </c>
      <c r="K118" s="1105">
        <v>0.39429303150752476</v>
      </c>
      <c r="L118" s="1105">
        <v>0</v>
      </c>
      <c r="M118" s="1106">
        <v>0</v>
      </c>
      <c r="N118" s="1107"/>
      <c r="O118" s="1104">
        <v>5.7455185601379046</v>
      </c>
      <c r="P118" s="1105">
        <v>0.95287449365204857</v>
      </c>
      <c r="Q118" s="1106">
        <v>6.6983930537899532</v>
      </c>
      <c r="R118" s="1107"/>
      <c r="S118" s="1104">
        <v>0.39429303150752476</v>
      </c>
      <c r="T118" s="1106">
        <v>-0.94113617574525077</v>
      </c>
    </row>
    <row r="119" spans="1:20" ht="15.75" customHeight="1">
      <c r="A119" s="242"/>
      <c r="B119" s="1378" t="s">
        <v>605</v>
      </c>
      <c r="C119" s="312"/>
      <c r="D119" s="1173"/>
      <c r="E119" s="1174"/>
      <c r="F119" s="1174"/>
      <c r="G119" s="1174"/>
      <c r="H119" s="1175"/>
      <c r="I119" s="1174"/>
      <c r="J119" s="1174"/>
      <c r="K119" s="1174"/>
      <c r="L119" s="1174"/>
      <c r="M119" s="1175"/>
      <c r="N119" s="1107"/>
      <c r="O119" s="1173"/>
      <c r="P119" s="1174"/>
      <c r="Q119" s="1175"/>
      <c r="R119" s="1107"/>
      <c r="S119" s="1173"/>
      <c r="T119" s="1175"/>
    </row>
    <row r="120" spans="1:20" ht="15.75" customHeight="1">
      <c r="A120" s="242"/>
      <c r="B120" s="1379" t="s">
        <v>863</v>
      </c>
      <c r="C120" s="524" t="s">
        <v>14</v>
      </c>
      <c r="D120" s="1136">
        <v>0</v>
      </c>
      <c r="E120" s="1137">
        <v>0</v>
      </c>
      <c r="F120" s="1137">
        <v>5.1622446416587984E-6</v>
      </c>
      <c r="G120" s="1137">
        <v>0</v>
      </c>
      <c r="H120" s="1138">
        <v>0</v>
      </c>
      <c r="I120" s="1137">
        <v>0</v>
      </c>
      <c r="J120" s="1139">
        <v>0</v>
      </c>
      <c r="K120" s="1139">
        <v>0</v>
      </c>
      <c r="L120" s="1139">
        <v>0</v>
      </c>
      <c r="M120" s="1138">
        <v>0</v>
      </c>
      <c r="N120" s="1107"/>
      <c r="O120" s="1104">
        <v>5.1622446416587984E-6</v>
      </c>
      <c r="P120" s="1105">
        <v>0</v>
      </c>
      <c r="Q120" s="1106">
        <v>5.1622446416587984E-6</v>
      </c>
      <c r="R120" s="1107"/>
      <c r="S120" s="1104">
        <v>0</v>
      </c>
      <c r="T120" s="1106">
        <v>-1</v>
      </c>
    </row>
    <row r="121" spans="1:20" ht="15.75" customHeight="1">
      <c r="A121" s="242"/>
      <c r="B121" s="1379" t="s">
        <v>142</v>
      </c>
      <c r="C121" s="524" t="s">
        <v>14</v>
      </c>
      <c r="D121" s="1136">
        <v>3.9358091453325618E-2</v>
      </c>
      <c r="E121" s="1137">
        <v>3.0806764085277865E-2</v>
      </c>
      <c r="F121" s="1137">
        <v>2.7764806951641664E-5</v>
      </c>
      <c r="G121" s="1137">
        <v>0</v>
      </c>
      <c r="H121" s="1138">
        <v>0</v>
      </c>
      <c r="I121" s="1137">
        <v>0</v>
      </c>
      <c r="J121" s="1139">
        <v>0</v>
      </c>
      <c r="K121" s="1139">
        <v>0</v>
      </c>
      <c r="L121" s="1139">
        <v>0</v>
      </c>
      <c r="M121" s="1138">
        <v>0</v>
      </c>
      <c r="N121" s="1107"/>
      <c r="O121" s="1104">
        <v>7.0192620345555123E-2</v>
      </c>
      <c r="P121" s="1105">
        <v>0</v>
      </c>
      <c r="Q121" s="1106">
        <v>7.0192620345555123E-2</v>
      </c>
      <c r="R121" s="1107"/>
      <c r="S121" s="1104">
        <v>0</v>
      </c>
      <c r="T121" s="1106">
        <v>-1</v>
      </c>
    </row>
    <row r="122" spans="1:20" ht="15.75" customHeight="1">
      <c r="A122" s="242"/>
      <c r="B122" s="1380" t="s">
        <v>700</v>
      </c>
      <c r="C122" s="524" t="s">
        <v>14</v>
      </c>
      <c r="D122" s="1104">
        <v>3.9358091453325618E-2</v>
      </c>
      <c r="E122" s="1172">
        <v>3.0806764085277865E-2</v>
      </c>
      <c r="F122" s="1172">
        <v>3.2927051593300465E-5</v>
      </c>
      <c r="G122" s="1172">
        <v>0</v>
      </c>
      <c r="H122" s="1106">
        <v>0</v>
      </c>
      <c r="I122" s="1172">
        <v>0</v>
      </c>
      <c r="J122" s="1105">
        <v>0</v>
      </c>
      <c r="K122" s="1105">
        <v>0</v>
      </c>
      <c r="L122" s="1105">
        <v>0</v>
      </c>
      <c r="M122" s="1106">
        <v>0</v>
      </c>
      <c r="N122" s="1107"/>
      <c r="O122" s="1104">
        <v>7.0197782590196781E-2</v>
      </c>
      <c r="P122" s="1105">
        <v>0</v>
      </c>
      <c r="Q122" s="1106">
        <v>7.0197782590196781E-2</v>
      </c>
      <c r="R122" s="1107"/>
      <c r="S122" s="1104">
        <v>0</v>
      </c>
      <c r="T122" s="1106">
        <v>-1</v>
      </c>
    </row>
    <row r="123" spans="1:20" ht="15.75" customHeight="1">
      <c r="A123" s="242"/>
      <c r="B123" s="1367"/>
      <c r="C123" s="524"/>
      <c r="D123" s="1173"/>
      <c r="E123" s="1174"/>
      <c r="F123" s="1174"/>
      <c r="G123" s="1174"/>
      <c r="H123" s="1175"/>
      <c r="I123" s="1174"/>
      <c r="J123" s="1174"/>
      <c r="K123" s="1174"/>
      <c r="L123" s="1174"/>
      <c r="M123" s="1175"/>
      <c r="N123" s="1107"/>
      <c r="O123" s="1173"/>
      <c r="P123" s="1174"/>
      <c r="Q123" s="1175"/>
      <c r="R123" s="1107"/>
      <c r="S123" s="1173"/>
      <c r="T123" s="1175"/>
    </row>
    <row r="124" spans="1:20" ht="15.75" customHeight="1">
      <c r="A124" s="242"/>
      <c r="B124" s="1378" t="s">
        <v>455</v>
      </c>
      <c r="C124" s="520" t="s">
        <v>14</v>
      </c>
      <c r="D124" s="1115">
        <v>29.955820643934121</v>
      </c>
      <c r="E124" s="1115">
        <v>47.788722773984993</v>
      </c>
      <c r="F124" s="1115">
        <v>49.423677405427178</v>
      </c>
      <c r="G124" s="1115">
        <v>23.015715224654759</v>
      </c>
      <c r="H124" s="1114">
        <v>15.862633345729508</v>
      </c>
      <c r="I124" s="1115">
        <v>17.418779216396857</v>
      </c>
      <c r="J124" s="1113">
        <v>16.91268603998893</v>
      </c>
      <c r="K124" s="1113">
        <v>19.171952583679715</v>
      </c>
      <c r="L124" s="1113">
        <v>22.366801788493959</v>
      </c>
      <c r="M124" s="1114">
        <v>26.742808210434699</v>
      </c>
      <c r="N124" s="1149"/>
      <c r="O124" s="1112">
        <v>127.1682208233463</v>
      </c>
      <c r="P124" s="1113">
        <v>38.878348570384269</v>
      </c>
      <c r="Q124" s="1114">
        <v>166.04656939373058</v>
      </c>
      <c r="R124" s="1149"/>
      <c r="S124" s="1112">
        <v>102.61302783899416</v>
      </c>
      <c r="T124" s="1114">
        <v>-0.38202259634959662</v>
      </c>
    </row>
    <row r="125" spans="1:20" ht="15.75" customHeight="1">
      <c r="A125" s="242"/>
      <c r="B125" s="1378" t="s">
        <v>456</v>
      </c>
      <c r="C125" s="520" t="s">
        <v>14</v>
      </c>
      <c r="D125" s="1136">
        <v>7.4987479833711568</v>
      </c>
      <c r="E125" s="1137">
        <v>11.452793348750376</v>
      </c>
      <c r="F125" s="1137">
        <v>11.650031274572823</v>
      </c>
      <c r="G125" s="1137">
        <v>8.4227160046749869</v>
      </c>
      <c r="H125" s="1138">
        <v>8.8424535486577103</v>
      </c>
      <c r="I125" s="1137">
        <v>8.6106175325311103</v>
      </c>
      <c r="J125" s="1139">
        <v>8.6205507062049378</v>
      </c>
      <c r="K125" s="1139">
        <v>8.708820344423378</v>
      </c>
      <c r="L125" s="1139">
        <v>8.7358374154946432</v>
      </c>
      <c r="M125" s="1138">
        <v>8.6966220009896702</v>
      </c>
      <c r="N125" s="1149"/>
      <c r="O125" s="1112">
        <v>30.601572606694354</v>
      </c>
      <c r="P125" s="1113">
        <v>17.265169553332697</v>
      </c>
      <c r="Q125" s="1114">
        <v>47.866742160027052</v>
      </c>
      <c r="R125" s="1149"/>
      <c r="S125" s="1112">
        <v>43.37244799964374</v>
      </c>
      <c r="T125" s="1114">
        <v>-9.3891791201458533E-2</v>
      </c>
    </row>
    <row r="126" spans="1:20" ht="15.75" customHeight="1">
      <c r="A126" s="242"/>
      <c r="B126" s="1378" t="s">
        <v>457</v>
      </c>
      <c r="C126" s="520" t="s">
        <v>14</v>
      </c>
      <c r="D126" s="1112">
        <v>37.454568627305278</v>
      </c>
      <c r="E126" s="1115">
        <v>59.241516122735369</v>
      </c>
      <c r="F126" s="1115">
        <v>61.073708680000003</v>
      </c>
      <c r="G126" s="1115">
        <v>31.438431229329744</v>
      </c>
      <c r="H126" s="1114">
        <v>24.705086894387218</v>
      </c>
      <c r="I126" s="1115">
        <v>26.029396748927965</v>
      </c>
      <c r="J126" s="1113">
        <v>25.533236746193868</v>
      </c>
      <c r="K126" s="1113">
        <v>27.880772928103092</v>
      </c>
      <c r="L126" s="1113">
        <v>31.102639203988602</v>
      </c>
      <c r="M126" s="1114">
        <v>35.439430211424366</v>
      </c>
      <c r="N126" s="1149"/>
      <c r="O126" s="1112">
        <v>157.76979343004066</v>
      </c>
      <c r="P126" s="1113">
        <v>56.143518123716959</v>
      </c>
      <c r="Q126" s="1114">
        <v>213.91331155375764</v>
      </c>
      <c r="R126" s="1149"/>
      <c r="S126" s="1112">
        <v>145.98547583863791</v>
      </c>
      <c r="T126" s="1114">
        <v>-0.31754842754631041</v>
      </c>
    </row>
    <row r="127" spans="1:20" ht="15.75" customHeight="1">
      <c r="A127" s="242"/>
      <c r="B127" s="1378"/>
      <c r="C127" s="304"/>
      <c r="D127" s="1169"/>
      <c r="E127" s="1170"/>
      <c r="F127" s="1170"/>
      <c r="G127" s="1170"/>
      <c r="H127" s="1171"/>
      <c r="I127" s="1170"/>
      <c r="J127" s="1170"/>
      <c r="K127" s="1170"/>
      <c r="L127" s="1170"/>
      <c r="M127" s="1171"/>
      <c r="N127" s="1107"/>
      <c r="O127" s="1173"/>
      <c r="P127" s="1174"/>
      <c r="Q127" s="1175"/>
      <c r="R127" s="1107"/>
      <c r="S127" s="1173"/>
      <c r="T127" s="1175"/>
    </row>
    <row r="128" spans="1:20" ht="15.75" customHeight="1" thickBot="1">
      <c r="A128" s="242"/>
      <c r="B128" s="1381" t="s">
        <v>490</v>
      </c>
      <c r="C128" s="521" t="s">
        <v>14</v>
      </c>
      <c r="D128" s="1119">
        <v>0.97147031712489706</v>
      </c>
      <c r="E128" s="1119">
        <v>-3.5489242940475592</v>
      </c>
      <c r="F128" s="1119">
        <v>-11.314439554285862</v>
      </c>
      <c r="G128" s="1119">
        <v>1.781835581913235</v>
      </c>
      <c r="H128" s="1118">
        <v>-1.6629821061538763</v>
      </c>
      <c r="I128" s="1119">
        <v>-3.8007540694159871</v>
      </c>
      <c r="J128" s="1117">
        <v>-1.071991811923926</v>
      </c>
      <c r="K128" s="1117">
        <v>-0.82251760649059591</v>
      </c>
      <c r="L128" s="1117">
        <v>-2.5985321506370234</v>
      </c>
      <c r="M128" s="1118">
        <v>2.1543605955535696</v>
      </c>
      <c r="N128" s="1149"/>
      <c r="O128" s="1116">
        <v>-13.891893531208524</v>
      </c>
      <c r="P128" s="1117">
        <v>0.11885347575935867</v>
      </c>
      <c r="Q128" s="1118">
        <v>-13.773040055449165</v>
      </c>
      <c r="R128" s="1149"/>
      <c r="S128" s="1116">
        <v>-6.1394350429139628</v>
      </c>
      <c r="T128" s="1118">
        <v>-0.55424256241199588</v>
      </c>
    </row>
    <row r="129" spans="1:20">
      <c r="A129" s="242"/>
      <c r="B129" s="242"/>
      <c r="C129" s="298"/>
      <c r="D129" s="1123"/>
      <c r="E129" s="1123"/>
      <c r="F129" s="1123"/>
      <c r="G129" s="1123"/>
      <c r="H129" s="1123"/>
      <c r="I129" s="1123"/>
      <c r="J129" s="1123"/>
      <c r="K129" s="1123"/>
      <c r="L129" s="1123"/>
      <c r="M129" s="1123"/>
      <c r="N129" s="1123"/>
      <c r="O129" s="1123"/>
      <c r="P129" s="1123"/>
      <c r="Q129" s="1123"/>
      <c r="R129" s="1123"/>
      <c r="S129" s="1123"/>
      <c r="T129" s="1123"/>
    </row>
    <row r="130" spans="1:20" ht="13.5" thickBot="1">
      <c r="A130" s="242"/>
      <c r="B130" s="242"/>
      <c r="C130" s="298"/>
      <c r="D130" s="1123"/>
      <c r="E130" s="1123"/>
      <c r="F130" s="1123"/>
      <c r="G130" s="1123"/>
      <c r="H130" s="1123"/>
      <c r="I130" s="1123"/>
      <c r="J130" s="1123"/>
      <c r="K130" s="1123"/>
      <c r="L130" s="1123"/>
      <c r="M130" s="1123"/>
      <c r="N130" s="1123"/>
      <c r="O130" s="1123"/>
      <c r="P130" s="1123"/>
      <c r="Q130" s="1123"/>
      <c r="R130" s="1123"/>
      <c r="S130" s="1123"/>
      <c r="T130" s="1123"/>
    </row>
    <row r="131" spans="1:20">
      <c r="A131" s="242"/>
      <c r="B131" s="1898"/>
      <c r="C131" s="1900" t="s">
        <v>31</v>
      </c>
      <c r="D131" s="1124" t="s">
        <v>116</v>
      </c>
      <c r="E131" s="1125"/>
      <c r="F131" s="1125"/>
      <c r="G131" s="1125"/>
      <c r="H131" s="1126"/>
      <c r="I131" s="1125" t="s">
        <v>117</v>
      </c>
      <c r="J131" s="1127"/>
      <c r="K131" s="1127"/>
      <c r="L131" s="1127"/>
      <c r="M131" s="1126"/>
      <c r="N131" s="1107"/>
      <c r="O131" s="1163" t="s">
        <v>116</v>
      </c>
      <c r="P131" s="1164"/>
      <c r="Q131" s="1165"/>
      <c r="R131" s="1107"/>
      <c r="S131" s="1163" t="s">
        <v>117</v>
      </c>
      <c r="T131" s="1165"/>
    </row>
    <row r="132" spans="1:20" ht="25.5">
      <c r="A132" s="242"/>
      <c r="B132" s="1899"/>
      <c r="C132" s="1901"/>
      <c r="D132" s="1128" t="s">
        <v>32</v>
      </c>
      <c r="E132" s="1129" t="s">
        <v>33</v>
      </c>
      <c r="F132" s="1129" t="s">
        <v>29</v>
      </c>
      <c r="G132" s="1129" t="s">
        <v>34</v>
      </c>
      <c r="H132" s="1130" t="s">
        <v>35</v>
      </c>
      <c r="I132" s="1131" t="s">
        <v>118</v>
      </c>
      <c r="J132" s="1129" t="s">
        <v>136</v>
      </c>
      <c r="K132" s="1129" t="s">
        <v>137</v>
      </c>
      <c r="L132" s="1129" t="s">
        <v>138</v>
      </c>
      <c r="M132" s="1130" t="s">
        <v>139</v>
      </c>
      <c r="N132" s="1107"/>
      <c r="O132" s="1166" t="s">
        <v>126</v>
      </c>
      <c r="P132" s="1167" t="s">
        <v>127</v>
      </c>
      <c r="Q132" s="1168" t="s">
        <v>246</v>
      </c>
      <c r="R132" s="1107"/>
      <c r="S132" s="1166" t="s">
        <v>127</v>
      </c>
      <c r="T132" s="1168" t="s">
        <v>128</v>
      </c>
    </row>
    <row r="133" spans="1:20" s="1223" customFormat="1" ht="15.75" customHeight="1">
      <c r="A133" s="1354"/>
      <c r="B133" s="1363" t="s">
        <v>491</v>
      </c>
      <c r="C133" s="1364" t="s">
        <v>14</v>
      </c>
      <c r="D133" s="1099">
        <v>0.25354989190167387</v>
      </c>
      <c r="E133" s="1100">
        <v>0.85223276104060597</v>
      </c>
      <c r="F133" s="1100">
        <v>0.51156106998518036</v>
      </c>
      <c r="G133" s="1100">
        <v>7.9556287162990085</v>
      </c>
      <c r="H133" s="1101">
        <v>5.8596240032941758</v>
      </c>
      <c r="I133" s="1100">
        <v>3.5205055807370833</v>
      </c>
      <c r="J133" s="1102">
        <v>5.0710105672822463</v>
      </c>
      <c r="K133" s="1102">
        <v>5.7709091488043196</v>
      </c>
      <c r="L133" s="1102">
        <v>4.1707180227037535</v>
      </c>
      <c r="M133" s="1101">
        <v>7.3215858784766201</v>
      </c>
      <c r="N133" s="1123"/>
      <c r="O133" s="1184">
        <v>1.6173437229274601</v>
      </c>
      <c r="P133" s="1185">
        <v>13.815252719593184</v>
      </c>
      <c r="Q133" s="1186">
        <v>15.432596442520644</v>
      </c>
      <c r="R133" s="1357"/>
      <c r="S133" s="1184">
        <v>25.854729198004023</v>
      </c>
      <c r="T133" s="1186">
        <v>0.67533242343898847</v>
      </c>
    </row>
    <row r="134" spans="1:20" s="1223" customFormat="1" ht="15.75" customHeight="1">
      <c r="A134" s="1354"/>
      <c r="B134" s="1363" t="s">
        <v>361</v>
      </c>
      <c r="C134" s="1364" t="s">
        <v>14</v>
      </c>
      <c r="D134" s="1108">
        <v>0.50380273942052511</v>
      </c>
      <c r="E134" s="1109">
        <v>1.7615419363565303</v>
      </c>
      <c r="F134" s="1109">
        <v>3.8016205202560798</v>
      </c>
      <c r="G134" s="1109">
        <v>1.3772522008862607</v>
      </c>
      <c r="H134" s="1110">
        <v>0.84909461436894418</v>
      </c>
      <c r="I134" s="1109">
        <v>0.84240732383508443</v>
      </c>
      <c r="J134" s="1111">
        <v>1.7692053993130112</v>
      </c>
      <c r="K134" s="1111">
        <v>0.79685958716569139</v>
      </c>
      <c r="L134" s="1111">
        <v>0.85893521485209345</v>
      </c>
      <c r="M134" s="1110">
        <v>2.3489503974840122</v>
      </c>
      <c r="N134" s="1123"/>
      <c r="O134" s="1104">
        <v>6.0669651960331352</v>
      </c>
      <c r="P134" s="1105">
        <v>2.2263468152552051</v>
      </c>
      <c r="Q134" s="1106">
        <v>8.2933120112883394</v>
      </c>
      <c r="R134" s="1357"/>
      <c r="S134" s="1104">
        <v>6.6163579226498923</v>
      </c>
      <c r="T134" s="1106">
        <v>-0.20220559486437767</v>
      </c>
    </row>
    <row r="135" spans="1:20" s="1223" customFormat="1" ht="15.75" customHeight="1">
      <c r="A135" s="1354"/>
      <c r="B135" s="1363" t="s">
        <v>495</v>
      </c>
      <c r="C135" s="1364" t="s">
        <v>14</v>
      </c>
      <c r="D135" s="1108">
        <v>0.86897220921788865</v>
      </c>
      <c r="E135" s="1109">
        <v>2.2113284084370353E-4</v>
      </c>
      <c r="F135" s="1109">
        <v>1.3206792241126928</v>
      </c>
      <c r="G135" s="1109">
        <v>0</v>
      </c>
      <c r="H135" s="1110">
        <v>0</v>
      </c>
      <c r="I135" s="1109">
        <v>0</v>
      </c>
      <c r="J135" s="1111">
        <v>0</v>
      </c>
      <c r="K135" s="1111">
        <v>0</v>
      </c>
      <c r="L135" s="1111">
        <v>0</v>
      </c>
      <c r="M135" s="1110">
        <v>0</v>
      </c>
      <c r="N135" s="1123"/>
      <c r="O135" s="1104">
        <v>2.1898725661714251</v>
      </c>
      <c r="P135" s="1105">
        <v>0</v>
      </c>
      <c r="Q135" s="1106">
        <v>2.1898725661714251</v>
      </c>
      <c r="R135" s="1357"/>
      <c r="S135" s="1104">
        <v>0</v>
      </c>
      <c r="T135" s="1106">
        <v>-1</v>
      </c>
    </row>
    <row r="136" spans="1:20" s="1223" customFormat="1" ht="15.75" customHeight="1" thickBot="1">
      <c r="A136" s="1354"/>
      <c r="B136" s="1365" t="s">
        <v>496</v>
      </c>
      <c r="C136" s="1366" t="s">
        <v>14</v>
      </c>
      <c r="D136" s="1187">
        <v>8.4625357279027313E-3</v>
      </c>
      <c r="E136" s="1188">
        <v>1.9501669548993555E-2</v>
      </c>
      <c r="F136" s="1188">
        <v>4.5576437922599349E-4</v>
      </c>
      <c r="G136" s="1188">
        <v>0</v>
      </c>
      <c r="H136" s="1189">
        <v>0</v>
      </c>
      <c r="I136" s="1188">
        <v>0</v>
      </c>
      <c r="J136" s="1190">
        <v>0</v>
      </c>
      <c r="K136" s="1190">
        <v>0</v>
      </c>
      <c r="L136" s="1190">
        <v>0</v>
      </c>
      <c r="M136" s="1189">
        <v>0</v>
      </c>
      <c r="N136" s="1123"/>
      <c r="O136" s="1120">
        <v>2.8419969656122278E-2</v>
      </c>
      <c r="P136" s="1121">
        <v>0</v>
      </c>
      <c r="Q136" s="1122">
        <v>2.8419969656122278E-2</v>
      </c>
      <c r="R136" s="1357"/>
      <c r="S136" s="1120">
        <v>0</v>
      </c>
      <c r="T136" s="1122">
        <v>-1</v>
      </c>
    </row>
    <row r="137" spans="1:20">
      <c r="A137" s="313"/>
      <c r="B137" s="531"/>
      <c r="C137" s="314"/>
      <c r="D137" s="305"/>
      <c r="E137" s="305"/>
      <c r="F137" s="305"/>
      <c r="G137" s="305"/>
      <c r="H137" s="305"/>
      <c r="I137" s="305"/>
      <c r="J137" s="305"/>
      <c r="K137" s="305"/>
      <c r="L137" s="305"/>
      <c r="M137" s="305"/>
      <c r="N137" s="305"/>
      <c r="O137" s="302"/>
      <c r="P137" s="302"/>
      <c r="Q137" s="302"/>
      <c r="R137" s="302"/>
      <c r="S137" s="302"/>
      <c r="T137" s="302"/>
    </row>
    <row r="138" spans="1:20">
      <c r="A138" s="242"/>
      <c r="B138" s="242"/>
      <c r="C138" s="298"/>
      <c r="D138" s="302"/>
      <c r="E138" s="302"/>
      <c r="F138" s="302"/>
      <c r="G138" s="302"/>
      <c r="H138" s="302"/>
      <c r="I138" s="302"/>
      <c r="J138" s="302"/>
      <c r="K138" s="302"/>
      <c r="L138" s="302"/>
      <c r="M138" s="302"/>
      <c r="N138" s="302"/>
      <c r="O138" s="302"/>
      <c r="P138" s="302"/>
      <c r="Q138" s="302"/>
      <c r="R138" s="302"/>
      <c r="S138" s="302"/>
      <c r="T138" s="302"/>
    </row>
    <row r="139" spans="1:20">
      <c r="A139" s="242"/>
      <c r="B139" s="242"/>
      <c r="C139" s="298"/>
      <c r="D139" s="302"/>
      <c r="E139" s="302"/>
      <c r="F139" s="302"/>
      <c r="G139" s="302"/>
      <c r="H139" s="302"/>
      <c r="I139" s="302"/>
      <c r="J139" s="302"/>
      <c r="K139" s="302"/>
      <c r="L139" s="302"/>
      <c r="M139" s="302"/>
      <c r="N139" s="302"/>
      <c r="O139" s="302"/>
      <c r="P139" s="302"/>
      <c r="Q139" s="302"/>
      <c r="R139" s="302"/>
      <c r="S139" s="302"/>
      <c r="T139" s="302"/>
    </row>
    <row r="140" spans="1:20">
      <c r="A140" s="242"/>
      <c r="B140" s="242"/>
      <c r="C140" s="298"/>
      <c r="D140" s="302"/>
      <c r="E140" s="302"/>
      <c r="F140" s="302"/>
      <c r="G140" s="302"/>
      <c r="H140" s="302"/>
      <c r="I140" s="302"/>
      <c r="J140" s="302"/>
      <c r="K140" s="302"/>
      <c r="L140" s="302"/>
      <c r="M140" s="302"/>
      <c r="N140" s="302"/>
      <c r="O140" s="302"/>
      <c r="P140" s="302"/>
      <c r="Q140" s="302"/>
      <c r="R140" s="302"/>
      <c r="S140" s="302"/>
      <c r="T140" s="302"/>
    </row>
    <row r="141" spans="1:20">
      <c r="A141" s="242"/>
      <c r="B141" s="242"/>
      <c r="C141" s="298"/>
      <c r="D141" s="302"/>
      <c r="E141" s="302"/>
      <c r="F141" s="302"/>
      <c r="G141" s="302"/>
      <c r="H141" s="302"/>
      <c r="I141" s="302"/>
      <c r="J141" s="302"/>
      <c r="K141" s="302"/>
      <c r="L141" s="302"/>
      <c r="M141" s="302"/>
      <c r="N141" s="302"/>
      <c r="O141" s="302"/>
      <c r="P141" s="302"/>
      <c r="Q141" s="302"/>
      <c r="R141" s="302"/>
      <c r="S141" s="302"/>
      <c r="T141" s="302"/>
    </row>
    <row r="142" spans="1:20">
      <c r="A142" s="242"/>
      <c r="B142" s="242"/>
      <c r="C142" s="298"/>
      <c r="D142" s="302"/>
      <c r="E142" s="302"/>
      <c r="F142" s="302"/>
      <c r="G142" s="302"/>
      <c r="H142" s="302"/>
      <c r="I142" s="302"/>
      <c r="J142" s="302"/>
      <c r="K142" s="302"/>
      <c r="L142" s="302"/>
      <c r="M142" s="302"/>
      <c r="N142" s="302"/>
      <c r="O142" s="302"/>
      <c r="P142" s="302"/>
      <c r="Q142" s="302"/>
      <c r="R142" s="302"/>
      <c r="S142" s="302"/>
      <c r="T142" s="302"/>
    </row>
    <row r="143" spans="1:20">
      <c r="A143" s="242"/>
      <c r="B143" s="242"/>
      <c r="C143" s="298"/>
      <c r="D143" s="302"/>
      <c r="E143" s="302"/>
      <c r="F143" s="302"/>
      <c r="G143" s="302"/>
      <c r="H143" s="302"/>
      <c r="I143" s="302"/>
      <c r="J143" s="302"/>
      <c r="K143" s="302"/>
      <c r="L143" s="302"/>
      <c r="M143" s="302"/>
      <c r="N143" s="302"/>
      <c r="O143" s="302"/>
      <c r="P143" s="302"/>
      <c r="Q143" s="302"/>
      <c r="R143" s="302"/>
      <c r="S143" s="302"/>
      <c r="T143" s="302"/>
    </row>
    <row r="144" spans="1:20">
      <c r="A144" s="242"/>
      <c r="B144" s="242"/>
      <c r="C144" s="298"/>
      <c r="D144" s="302"/>
      <c r="E144" s="302"/>
      <c r="F144" s="302"/>
      <c r="G144" s="302"/>
      <c r="H144" s="302"/>
      <c r="I144" s="302"/>
      <c r="J144" s="302"/>
      <c r="K144" s="302"/>
      <c r="L144" s="302"/>
      <c r="M144" s="302"/>
      <c r="N144" s="302"/>
      <c r="O144" s="302"/>
      <c r="P144" s="302"/>
      <c r="Q144" s="302"/>
      <c r="R144" s="302"/>
      <c r="S144" s="302"/>
      <c r="T144" s="302"/>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1DFFF"/>
    <pageSetUpPr fitToPage="1"/>
  </sheetPr>
  <dimension ref="A1:AD267"/>
  <sheetViews>
    <sheetView zoomScale="80" zoomScaleNormal="80" zoomScaleSheetLayoutView="85" workbookViewId="0"/>
  </sheetViews>
  <sheetFormatPr defaultColWidth="10.28515625" defaultRowHeight="12.75"/>
  <cols>
    <col min="1" max="1" width="3.7109375" style="621" customWidth="1"/>
    <col min="2" max="2" width="105.28515625" style="621" customWidth="1"/>
    <col min="3" max="3" width="7.42578125" style="622" customWidth="1"/>
    <col min="4" max="8" width="10" style="623" customWidth="1"/>
    <col min="9" max="13" width="10.28515625" style="623" customWidth="1"/>
    <col min="14" max="14" width="3.140625" style="623" customWidth="1"/>
    <col min="15" max="17" width="10.28515625" style="623" customWidth="1"/>
    <col min="18" max="18" width="3.140625" style="623" customWidth="1"/>
    <col min="19" max="19" width="10.28515625" style="623" customWidth="1"/>
    <col min="20" max="20" width="13" style="623" customWidth="1"/>
    <col min="21" max="16384" width="10.28515625" style="621"/>
  </cols>
  <sheetData>
    <row r="1" spans="1:30" s="612" customFormat="1" ht="26.25">
      <c r="A1" s="606" t="s">
        <v>858</v>
      </c>
      <c r="B1" s="607"/>
      <c r="C1" s="608"/>
      <c r="D1" s="609"/>
      <c r="E1" s="609"/>
      <c r="F1" s="609"/>
      <c r="G1" s="609"/>
      <c r="H1" s="609"/>
      <c r="I1" s="609"/>
      <c r="J1" s="610"/>
      <c r="K1" s="611"/>
      <c r="L1" s="611"/>
      <c r="M1" s="610"/>
      <c r="N1" s="610"/>
      <c r="O1" s="611"/>
      <c r="P1" s="610"/>
      <c r="Q1" s="610"/>
      <c r="R1" s="610"/>
      <c r="S1" s="610"/>
      <c r="T1" s="610"/>
      <c r="Y1" s="613"/>
      <c r="Z1" s="613"/>
      <c r="AA1" s="613"/>
      <c r="AB1" s="613"/>
      <c r="AC1" s="613"/>
      <c r="AD1" s="613"/>
    </row>
    <row r="2" spans="1:30" s="612" customFormat="1" ht="18">
      <c r="A2" s="614"/>
      <c r="C2" s="615"/>
      <c r="D2" s="610"/>
      <c r="E2" s="610"/>
      <c r="F2" s="610"/>
      <c r="G2" s="610"/>
      <c r="H2" s="610"/>
      <c r="I2" s="610"/>
      <c r="J2" s="610"/>
      <c r="K2" s="610"/>
      <c r="L2" s="610"/>
      <c r="M2" s="610"/>
      <c r="N2" s="610"/>
      <c r="O2" s="610"/>
      <c r="P2" s="610"/>
      <c r="Q2" s="610"/>
      <c r="R2" s="610"/>
      <c r="S2" s="610"/>
      <c r="T2" s="610"/>
      <c r="Y2" s="613"/>
      <c r="Z2" s="613"/>
      <c r="AA2" s="613"/>
      <c r="AB2" s="613"/>
      <c r="AC2" s="613"/>
      <c r="AD2" s="613"/>
    </row>
    <row r="3" spans="1:30" s="617" customFormat="1" ht="18.75" thickBot="1">
      <c r="A3" s="616" t="s">
        <v>255</v>
      </c>
      <c r="C3" s="618"/>
      <c r="D3" s="619"/>
      <c r="E3" s="619"/>
      <c r="F3" s="619"/>
      <c r="G3" s="619"/>
      <c r="H3" s="619"/>
      <c r="I3" s="619"/>
      <c r="J3" s="619"/>
      <c r="K3" s="619"/>
      <c r="L3" s="619"/>
      <c r="M3" s="619"/>
      <c r="N3" s="619"/>
      <c r="O3" s="619"/>
      <c r="P3" s="619"/>
      <c r="Q3" s="619"/>
      <c r="R3" s="619"/>
      <c r="S3" s="619"/>
      <c r="T3" s="619"/>
      <c r="Y3" s="620"/>
      <c r="Z3" s="620"/>
      <c r="AA3" s="620"/>
      <c r="AB3" s="620"/>
      <c r="AC3" s="620"/>
      <c r="AD3" s="620"/>
    </row>
    <row r="4" spans="1:30">
      <c r="R4" s="624"/>
    </row>
    <row r="5" spans="1:30">
      <c r="D5" s="621"/>
      <c r="E5" s="621"/>
      <c r="F5" s="621"/>
      <c r="G5" s="621"/>
      <c r="H5" s="621"/>
      <c r="I5" s="621"/>
      <c r="J5" s="621"/>
      <c r="K5" s="621"/>
      <c r="L5" s="621"/>
      <c r="M5" s="621"/>
      <c r="N5" s="621"/>
      <c r="O5" s="621"/>
      <c r="P5" s="621"/>
      <c r="Q5" s="621"/>
      <c r="R5" s="624"/>
      <c r="S5" s="621"/>
      <c r="T5" s="621"/>
    </row>
    <row r="6" spans="1:30">
      <c r="B6" s="625" t="s">
        <v>256</v>
      </c>
      <c r="D6" s="621"/>
      <c r="E6" s="621"/>
      <c r="F6" s="621"/>
      <c r="G6" s="621"/>
      <c r="H6" s="621"/>
      <c r="I6" s="621"/>
      <c r="J6" s="621"/>
      <c r="K6" s="621"/>
      <c r="L6" s="621"/>
      <c r="M6" s="621"/>
      <c r="N6" s="621"/>
      <c r="O6" s="621"/>
      <c r="P6" s="621"/>
      <c r="Q6" s="621"/>
      <c r="R6" s="624"/>
      <c r="S6" s="621"/>
      <c r="T6" s="621"/>
    </row>
    <row r="7" spans="1:30" ht="13.5" thickBot="1">
      <c r="D7" s="621"/>
      <c r="E7" s="621"/>
      <c r="F7" s="621"/>
      <c r="G7" s="621"/>
      <c r="H7" s="621"/>
      <c r="I7" s="621"/>
      <c r="J7" s="621"/>
      <c r="K7" s="621"/>
      <c r="L7" s="621"/>
      <c r="M7" s="621"/>
      <c r="N7" s="621"/>
      <c r="O7" s="621"/>
      <c r="P7" s="621"/>
      <c r="Q7" s="621"/>
      <c r="R7" s="624"/>
      <c r="S7" s="621"/>
      <c r="T7" s="621"/>
    </row>
    <row r="8" spans="1:30">
      <c r="B8" s="626"/>
      <c r="C8" s="1904" t="s">
        <v>31</v>
      </c>
      <c r="D8" s="627" t="s">
        <v>116</v>
      </c>
      <c r="E8" s="628"/>
      <c r="F8" s="628"/>
      <c r="G8" s="628"/>
      <c r="H8" s="629"/>
      <c r="I8" s="628" t="s">
        <v>117</v>
      </c>
      <c r="J8" s="630"/>
      <c r="K8" s="630"/>
      <c r="L8" s="630"/>
      <c r="M8" s="629"/>
      <c r="N8" s="621"/>
      <c r="O8" s="631" t="s">
        <v>116</v>
      </c>
      <c r="P8" s="632"/>
      <c r="Q8" s="633"/>
      <c r="R8" s="624"/>
      <c r="S8" s="631" t="s">
        <v>117</v>
      </c>
      <c r="T8" s="633"/>
    </row>
    <row r="9" spans="1:30">
      <c r="B9" s="634"/>
      <c r="C9" s="1905"/>
      <c r="D9" s="635" t="s">
        <v>32</v>
      </c>
      <c r="E9" s="636" t="s">
        <v>33</v>
      </c>
      <c r="F9" s="636" t="s">
        <v>29</v>
      </c>
      <c r="G9" s="636" t="s">
        <v>34</v>
      </c>
      <c r="H9" s="637" t="s">
        <v>35</v>
      </c>
      <c r="I9" s="638" t="s">
        <v>118</v>
      </c>
      <c r="J9" s="636" t="s">
        <v>136</v>
      </c>
      <c r="K9" s="636" t="s">
        <v>137</v>
      </c>
      <c r="L9" s="636" t="s">
        <v>138</v>
      </c>
      <c r="M9" s="637" t="s">
        <v>139</v>
      </c>
      <c r="N9" s="621"/>
      <c r="O9" s="639" t="s">
        <v>126</v>
      </c>
      <c r="P9" s="640" t="s">
        <v>127</v>
      </c>
      <c r="Q9" s="641" t="s">
        <v>246</v>
      </c>
      <c r="R9" s="624"/>
      <c r="S9" s="639" t="s">
        <v>127</v>
      </c>
      <c r="T9" s="641" t="s">
        <v>128</v>
      </c>
    </row>
    <row r="10" spans="1:30">
      <c r="B10" s="642" t="s">
        <v>257</v>
      </c>
      <c r="C10" s="643" t="s">
        <v>14</v>
      </c>
      <c r="D10" s="644">
        <f t="shared" ref="D10:M10" si="0">SUM(D178,D217,D240)</f>
        <v>0</v>
      </c>
      <c r="E10" s="644">
        <f t="shared" si="0"/>
        <v>0</v>
      </c>
      <c r="F10" s="644">
        <f t="shared" si="0"/>
        <v>0</v>
      </c>
      <c r="G10" s="644">
        <f t="shared" si="0"/>
        <v>0</v>
      </c>
      <c r="H10" s="645">
        <f t="shared" si="0"/>
        <v>0</v>
      </c>
      <c r="I10" s="644">
        <f t="shared" si="0"/>
        <v>0</v>
      </c>
      <c r="J10" s="646">
        <f t="shared" si="0"/>
        <v>0</v>
      </c>
      <c r="K10" s="646">
        <f t="shared" si="0"/>
        <v>0</v>
      </c>
      <c r="L10" s="646">
        <f t="shared" si="0"/>
        <v>0</v>
      </c>
      <c r="M10" s="645">
        <f t="shared" si="0"/>
        <v>0</v>
      </c>
      <c r="N10" s="621"/>
      <c r="O10" s="647">
        <f t="shared" ref="O10:O15" si="1">SUM(D10:G10)</f>
        <v>0</v>
      </c>
      <c r="P10" s="648">
        <f t="shared" ref="P10:P15" si="2">SUM(H10)</f>
        <v>0</v>
      </c>
      <c r="Q10" s="649">
        <f t="shared" ref="Q10:Q15" si="3">SUM(D10:H10)</f>
        <v>0</v>
      </c>
      <c r="R10" s="624"/>
      <c r="S10" s="647">
        <f t="shared" ref="S10:S15" si="4">SUM(I10:M10)</f>
        <v>0</v>
      </c>
      <c r="T10" s="650" t="str">
        <f t="shared" ref="T10:T15" si="5">IF(Q10&lt;&gt;0,(S10-Q10)/Q10,"0")</f>
        <v>0</v>
      </c>
    </row>
    <row r="11" spans="1:30">
      <c r="B11" s="642" t="s">
        <v>258</v>
      </c>
      <c r="C11" s="643" t="s">
        <v>14</v>
      </c>
      <c r="D11" s="651">
        <f t="shared" ref="D11:M11" si="6">D240</f>
        <v>0</v>
      </c>
      <c r="E11" s="644">
        <f t="shared" si="6"/>
        <v>0</v>
      </c>
      <c r="F11" s="644">
        <f t="shared" si="6"/>
        <v>0</v>
      </c>
      <c r="G11" s="644">
        <f t="shared" si="6"/>
        <v>0</v>
      </c>
      <c r="H11" s="645">
        <f t="shared" si="6"/>
        <v>0</v>
      </c>
      <c r="I11" s="644">
        <f t="shared" si="6"/>
        <v>0</v>
      </c>
      <c r="J11" s="646">
        <f t="shared" si="6"/>
        <v>0</v>
      </c>
      <c r="K11" s="646">
        <f t="shared" si="6"/>
        <v>0</v>
      </c>
      <c r="L11" s="646">
        <f t="shared" si="6"/>
        <v>0</v>
      </c>
      <c r="M11" s="645">
        <f t="shared" si="6"/>
        <v>0</v>
      </c>
      <c r="N11" s="621"/>
      <c r="O11" s="647">
        <f t="shared" si="1"/>
        <v>0</v>
      </c>
      <c r="P11" s="648">
        <f t="shared" si="2"/>
        <v>0</v>
      </c>
      <c r="Q11" s="649">
        <f t="shared" si="3"/>
        <v>0</v>
      </c>
      <c r="R11" s="624"/>
      <c r="S11" s="647">
        <f t="shared" si="4"/>
        <v>0</v>
      </c>
      <c r="T11" s="650" t="str">
        <f t="shared" si="5"/>
        <v>0</v>
      </c>
    </row>
    <row r="12" spans="1:30">
      <c r="B12" s="652" t="s">
        <v>259</v>
      </c>
      <c r="C12" s="643" t="s">
        <v>14</v>
      </c>
      <c r="D12" s="651">
        <f t="shared" ref="D12:M12" si="7">D263</f>
        <v>0</v>
      </c>
      <c r="E12" s="644">
        <f t="shared" si="7"/>
        <v>0</v>
      </c>
      <c r="F12" s="644">
        <f t="shared" si="7"/>
        <v>0</v>
      </c>
      <c r="G12" s="644">
        <f t="shared" si="7"/>
        <v>0</v>
      </c>
      <c r="H12" s="645">
        <f t="shared" si="7"/>
        <v>0</v>
      </c>
      <c r="I12" s="644">
        <f t="shared" si="7"/>
        <v>0</v>
      </c>
      <c r="J12" s="646">
        <f t="shared" si="7"/>
        <v>0</v>
      </c>
      <c r="K12" s="646">
        <f t="shared" si="7"/>
        <v>0</v>
      </c>
      <c r="L12" s="646">
        <f t="shared" si="7"/>
        <v>0</v>
      </c>
      <c r="M12" s="645">
        <f t="shared" si="7"/>
        <v>0</v>
      </c>
      <c r="N12" s="621"/>
      <c r="O12" s="647">
        <f t="shared" si="1"/>
        <v>0</v>
      </c>
      <c r="P12" s="648">
        <f t="shared" si="2"/>
        <v>0</v>
      </c>
      <c r="Q12" s="649">
        <f t="shared" si="3"/>
        <v>0</v>
      </c>
      <c r="R12" s="624"/>
      <c r="S12" s="647">
        <f t="shared" si="4"/>
        <v>0</v>
      </c>
      <c r="T12" s="650" t="str">
        <f t="shared" si="5"/>
        <v>0</v>
      </c>
    </row>
    <row r="13" spans="1:30">
      <c r="B13" s="642" t="s">
        <v>260</v>
      </c>
      <c r="C13" s="643" t="s">
        <v>14</v>
      </c>
      <c r="D13" s="653">
        <f t="shared" ref="D13:M13" si="8">D11-D12</f>
        <v>0</v>
      </c>
      <c r="E13" s="654">
        <f t="shared" si="8"/>
        <v>0</v>
      </c>
      <c r="F13" s="654">
        <f t="shared" si="8"/>
        <v>0</v>
      </c>
      <c r="G13" s="654">
        <f t="shared" si="8"/>
        <v>0</v>
      </c>
      <c r="H13" s="655">
        <f t="shared" si="8"/>
        <v>0</v>
      </c>
      <c r="I13" s="656">
        <f t="shared" si="8"/>
        <v>0</v>
      </c>
      <c r="J13" s="654">
        <f t="shared" si="8"/>
        <v>0</v>
      </c>
      <c r="K13" s="654">
        <f t="shared" si="8"/>
        <v>0</v>
      </c>
      <c r="L13" s="654">
        <f t="shared" si="8"/>
        <v>0</v>
      </c>
      <c r="M13" s="655">
        <f t="shared" si="8"/>
        <v>0</v>
      </c>
      <c r="N13" s="621"/>
      <c r="O13" s="647">
        <f t="shared" si="1"/>
        <v>0</v>
      </c>
      <c r="P13" s="648">
        <f t="shared" si="2"/>
        <v>0</v>
      </c>
      <c r="Q13" s="649">
        <f t="shared" si="3"/>
        <v>0</v>
      </c>
      <c r="R13" s="624"/>
      <c r="S13" s="647">
        <f t="shared" si="4"/>
        <v>0</v>
      </c>
      <c r="T13" s="650" t="str">
        <f t="shared" si="5"/>
        <v>0</v>
      </c>
    </row>
    <row r="14" spans="1:30">
      <c r="B14" s="642" t="s">
        <v>261</v>
      </c>
      <c r="C14" s="643" t="s">
        <v>14</v>
      </c>
      <c r="D14" s="657"/>
      <c r="E14" s="657"/>
      <c r="F14" s="657"/>
      <c r="G14" s="657"/>
      <c r="H14" s="657"/>
      <c r="I14" s="657"/>
      <c r="J14" s="657"/>
      <c r="K14" s="657"/>
      <c r="L14" s="657"/>
      <c r="M14" s="657"/>
      <c r="N14" s="621"/>
      <c r="O14" s="647">
        <f t="shared" si="1"/>
        <v>0</v>
      </c>
      <c r="P14" s="648">
        <f t="shared" si="2"/>
        <v>0</v>
      </c>
      <c r="Q14" s="649">
        <f t="shared" si="3"/>
        <v>0</v>
      </c>
      <c r="R14" s="624"/>
      <c r="S14" s="647">
        <f t="shared" si="4"/>
        <v>0</v>
      </c>
      <c r="T14" s="650" t="str">
        <f t="shared" si="5"/>
        <v>0</v>
      </c>
    </row>
    <row r="15" spans="1:30">
      <c r="B15" s="642" t="s">
        <v>262</v>
      </c>
      <c r="C15" s="643" t="s">
        <v>14</v>
      </c>
      <c r="D15" s="658">
        <f t="shared" ref="D15:M15" si="9">D13+D14</f>
        <v>0</v>
      </c>
      <c r="E15" s="659">
        <f t="shared" si="9"/>
        <v>0</v>
      </c>
      <c r="F15" s="659">
        <f t="shared" si="9"/>
        <v>0</v>
      </c>
      <c r="G15" s="659">
        <f t="shared" si="9"/>
        <v>0</v>
      </c>
      <c r="H15" s="660">
        <f t="shared" si="9"/>
        <v>0</v>
      </c>
      <c r="I15" s="659">
        <f t="shared" si="9"/>
        <v>0</v>
      </c>
      <c r="J15" s="661">
        <f t="shared" si="9"/>
        <v>0</v>
      </c>
      <c r="K15" s="661">
        <f t="shared" si="9"/>
        <v>0</v>
      </c>
      <c r="L15" s="661">
        <f t="shared" si="9"/>
        <v>0</v>
      </c>
      <c r="M15" s="660">
        <f t="shared" si="9"/>
        <v>0</v>
      </c>
      <c r="N15" s="621"/>
      <c r="O15" s="647">
        <f t="shared" si="1"/>
        <v>0</v>
      </c>
      <c r="P15" s="648">
        <f t="shared" si="2"/>
        <v>0</v>
      </c>
      <c r="Q15" s="649">
        <f t="shared" si="3"/>
        <v>0</v>
      </c>
      <c r="R15" s="624"/>
      <c r="S15" s="647">
        <f t="shared" si="4"/>
        <v>0</v>
      </c>
      <c r="T15" s="650" t="str">
        <f t="shared" si="5"/>
        <v>0</v>
      </c>
    </row>
    <row r="16" spans="1:30" ht="13.5" thickBot="1">
      <c r="B16" s="662" t="s">
        <v>619</v>
      </c>
      <c r="C16" s="663"/>
      <c r="D16" s="664" t="str">
        <f t="shared" ref="D16:M16" si="10">IF(D13-SUM(D31,D35,D39,D43)=0,"OK","ERROR")</f>
        <v>OK</v>
      </c>
      <c r="E16" s="665" t="str">
        <f t="shared" si="10"/>
        <v>OK</v>
      </c>
      <c r="F16" s="665" t="str">
        <f t="shared" si="10"/>
        <v>OK</v>
      </c>
      <c r="G16" s="665" t="str">
        <f t="shared" si="10"/>
        <v>OK</v>
      </c>
      <c r="H16" s="666" t="str">
        <f t="shared" si="10"/>
        <v>OK</v>
      </c>
      <c r="I16" s="665" t="str">
        <f t="shared" si="10"/>
        <v>OK</v>
      </c>
      <c r="J16" s="667" t="str">
        <f t="shared" si="10"/>
        <v>OK</v>
      </c>
      <c r="K16" s="667" t="str">
        <f t="shared" si="10"/>
        <v>OK</v>
      </c>
      <c r="L16" s="667" t="str">
        <f t="shared" si="10"/>
        <v>OK</v>
      </c>
      <c r="M16" s="666" t="str">
        <f t="shared" si="10"/>
        <v>OK</v>
      </c>
      <c r="N16" s="621"/>
      <c r="O16" s="668"/>
      <c r="P16" s="669"/>
      <c r="Q16" s="670"/>
      <c r="R16" s="624"/>
      <c r="S16" s="668"/>
      <c r="T16" s="671"/>
    </row>
    <row r="17" spans="2:20" ht="13.5" thickBot="1">
      <c r="D17" s="621"/>
      <c r="E17" s="621"/>
      <c r="F17" s="621"/>
      <c r="G17" s="621"/>
      <c r="H17" s="621"/>
      <c r="I17" s="621"/>
      <c r="J17" s="621"/>
      <c r="K17" s="621"/>
      <c r="L17" s="621"/>
      <c r="M17" s="621"/>
      <c r="N17" s="621"/>
      <c r="O17" s="621"/>
      <c r="P17" s="621"/>
      <c r="Q17" s="621"/>
      <c r="R17" s="624"/>
      <c r="S17" s="621"/>
      <c r="T17" s="621"/>
    </row>
    <row r="18" spans="2:20">
      <c r="B18" s="626"/>
      <c r="C18" s="1904" t="s">
        <v>31</v>
      </c>
      <c r="D18" s="627" t="s">
        <v>116</v>
      </c>
      <c r="E18" s="628"/>
      <c r="F18" s="628"/>
      <c r="G18" s="628"/>
      <c r="H18" s="629"/>
      <c r="I18" s="628" t="s">
        <v>117</v>
      </c>
      <c r="J18" s="630"/>
      <c r="K18" s="630"/>
      <c r="L18" s="630"/>
      <c r="M18" s="629"/>
      <c r="N18" s="621"/>
      <c r="O18" s="631" t="s">
        <v>116</v>
      </c>
      <c r="P18" s="632"/>
      <c r="Q18" s="633"/>
      <c r="R18" s="624"/>
      <c r="S18" s="631" t="s">
        <v>117</v>
      </c>
      <c r="T18" s="633"/>
    </row>
    <row r="19" spans="2:20">
      <c r="B19" s="634"/>
      <c r="C19" s="1905"/>
      <c r="D19" s="635" t="s">
        <v>32</v>
      </c>
      <c r="E19" s="636" t="s">
        <v>33</v>
      </c>
      <c r="F19" s="636" t="s">
        <v>29</v>
      </c>
      <c r="G19" s="636" t="s">
        <v>34</v>
      </c>
      <c r="H19" s="637" t="s">
        <v>35</v>
      </c>
      <c r="I19" s="638" t="s">
        <v>118</v>
      </c>
      <c r="J19" s="636" t="s">
        <v>136</v>
      </c>
      <c r="K19" s="636" t="s">
        <v>137</v>
      </c>
      <c r="L19" s="636" t="s">
        <v>138</v>
      </c>
      <c r="M19" s="637" t="s">
        <v>139</v>
      </c>
      <c r="N19" s="621"/>
      <c r="O19" s="639" t="s">
        <v>126</v>
      </c>
      <c r="P19" s="640" t="s">
        <v>127</v>
      </c>
      <c r="Q19" s="641" t="s">
        <v>246</v>
      </c>
      <c r="R19" s="624"/>
      <c r="S19" s="639" t="s">
        <v>127</v>
      </c>
      <c r="T19" s="641" t="s">
        <v>128</v>
      </c>
    </row>
    <row r="20" spans="2:20">
      <c r="B20" s="642" t="s">
        <v>263</v>
      </c>
      <c r="C20" s="643" t="s">
        <v>14</v>
      </c>
      <c r="D20" s="657"/>
      <c r="E20" s="672"/>
      <c r="F20" s="672"/>
      <c r="G20" s="672"/>
      <c r="H20" s="673"/>
      <c r="I20" s="672"/>
      <c r="J20" s="674"/>
      <c r="K20" s="674"/>
      <c r="L20" s="674"/>
      <c r="M20" s="673"/>
      <c r="N20" s="621"/>
      <c r="O20" s="647">
        <f>SUM(D20:G20)</f>
        <v>0</v>
      </c>
      <c r="P20" s="648">
        <f>SUM(H20)</f>
        <v>0</v>
      </c>
      <c r="Q20" s="649">
        <f>SUM(D20:H20)</f>
        <v>0</v>
      </c>
      <c r="R20" s="624"/>
      <c r="S20" s="647">
        <f>SUM(I20:M20)</f>
        <v>0</v>
      </c>
      <c r="T20" s="650" t="str">
        <f>IF(Q20&lt;&gt;0,(S20-Q20)/Q20,"0")</f>
        <v>0</v>
      </c>
    </row>
    <row r="21" spans="2:20">
      <c r="B21" s="642" t="s">
        <v>264</v>
      </c>
      <c r="C21" s="643" t="s">
        <v>14</v>
      </c>
      <c r="D21" s="657"/>
      <c r="E21" s="672"/>
      <c r="F21" s="672"/>
      <c r="G21" s="672"/>
      <c r="H21" s="673"/>
      <c r="I21" s="672"/>
      <c r="J21" s="674"/>
      <c r="K21" s="674"/>
      <c r="L21" s="674"/>
      <c r="M21" s="673"/>
      <c r="N21" s="621"/>
      <c r="O21" s="647">
        <f>SUM(D21:G21)</f>
        <v>0</v>
      </c>
      <c r="P21" s="648">
        <f>SUM(H21)</f>
        <v>0</v>
      </c>
      <c r="Q21" s="649">
        <f>SUM(D21:H21)</f>
        <v>0</v>
      </c>
      <c r="R21" s="624"/>
      <c r="S21" s="647">
        <f>SUM(I21:M21)</f>
        <v>0</v>
      </c>
      <c r="T21" s="650" t="str">
        <f>IF(Q21&lt;&gt;0,(S21-Q21)/Q21,"0")</f>
        <v>0</v>
      </c>
    </row>
    <row r="22" spans="2:20" ht="13.5" thickBot="1">
      <c r="B22" s="662" t="s">
        <v>246</v>
      </c>
      <c r="C22" s="663" t="s">
        <v>14</v>
      </c>
      <c r="D22" s="675">
        <f t="shared" ref="D22:M22" si="11">D20+D21</f>
        <v>0</v>
      </c>
      <c r="E22" s="676">
        <f t="shared" si="11"/>
        <v>0</v>
      </c>
      <c r="F22" s="676">
        <f t="shared" si="11"/>
        <v>0</v>
      </c>
      <c r="G22" s="676">
        <f t="shared" si="11"/>
        <v>0</v>
      </c>
      <c r="H22" s="677">
        <f t="shared" si="11"/>
        <v>0</v>
      </c>
      <c r="I22" s="676">
        <f t="shared" si="11"/>
        <v>0</v>
      </c>
      <c r="J22" s="678">
        <f t="shared" si="11"/>
        <v>0</v>
      </c>
      <c r="K22" s="678">
        <f t="shared" si="11"/>
        <v>0</v>
      </c>
      <c r="L22" s="678">
        <f t="shared" si="11"/>
        <v>0</v>
      </c>
      <c r="M22" s="677">
        <f t="shared" si="11"/>
        <v>0</v>
      </c>
      <c r="N22" s="621"/>
      <c r="O22" s="679">
        <f>SUM(D22:G22)</f>
        <v>0</v>
      </c>
      <c r="P22" s="680">
        <f>SUM(H22)</f>
        <v>0</v>
      </c>
      <c r="Q22" s="681">
        <f>SUM(D22:H22)</f>
        <v>0</v>
      </c>
      <c r="R22" s="624"/>
      <c r="S22" s="679">
        <f>SUM(I22:M22)</f>
        <v>0</v>
      </c>
      <c r="T22" s="682" t="str">
        <f>IF(Q22&lt;&gt;0,(S22-Q22)/Q22,"0")</f>
        <v>0</v>
      </c>
    </row>
    <row r="23" spans="2:20">
      <c r="D23" s="621"/>
      <c r="E23" s="621"/>
      <c r="F23" s="621"/>
      <c r="G23" s="621"/>
      <c r="H23" s="621"/>
      <c r="I23" s="621"/>
      <c r="J23" s="621"/>
      <c r="K23" s="621"/>
      <c r="L23" s="621"/>
      <c r="M23" s="621"/>
      <c r="N23" s="621"/>
      <c r="O23" s="621"/>
      <c r="P23" s="621"/>
      <c r="Q23" s="621"/>
      <c r="R23" s="624"/>
      <c r="S23" s="621"/>
      <c r="T23" s="621"/>
    </row>
    <row r="24" spans="2:20">
      <c r="B24" s="683" t="s">
        <v>265</v>
      </c>
      <c r="C24" s="684"/>
      <c r="D24" s="685"/>
      <c r="E24" s="685"/>
      <c r="F24" s="685"/>
      <c r="G24" s="685"/>
      <c r="H24" s="685"/>
      <c r="I24" s="685"/>
      <c r="J24" s="685"/>
      <c r="K24" s="685"/>
      <c r="L24" s="685"/>
      <c r="M24" s="685"/>
      <c r="N24" s="624"/>
      <c r="O24" s="685"/>
      <c r="P24" s="685"/>
      <c r="Q24" s="685"/>
      <c r="R24" s="624"/>
      <c r="S24" s="685"/>
      <c r="T24" s="685"/>
    </row>
    <row r="25" spans="2:20" ht="13.5" thickBot="1">
      <c r="B25" s="683"/>
      <c r="C25" s="684"/>
      <c r="D25" s="685"/>
      <c r="E25" s="685"/>
      <c r="F25" s="685"/>
      <c r="G25" s="685"/>
      <c r="H25" s="685"/>
      <c r="I25" s="685"/>
      <c r="J25" s="685"/>
      <c r="K25" s="685"/>
      <c r="L25" s="685"/>
      <c r="M25" s="685"/>
      <c r="N25" s="624"/>
      <c r="O25" s="685"/>
      <c r="P25" s="685"/>
      <c r="Q25" s="685"/>
      <c r="R25" s="624"/>
      <c r="S25" s="685"/>
      <c r="T25" s="685"/>
    </row>
    <row r="26" spans="2:20">
      <c r="B26" s="1902" t="s">
        <v>266</v>
      </c>
      <c r="C26" s="1904" t="s">
        <v>31</v>
      </c>
      <c r="D26" s="627" t="s">
        <v>116</v>
      </c>
      <c r="E26" s="628"/>
      <c r="F26" s="628"/>
      <c r="G26" s="628"/>
      <c r="H26" s="629"/>
      <c r="I26" s="628" t="s">
        <v>117</v>
      </c>
      <c r="J26" s="630"/>
      <c r="K26" s="630"/>
      <c r="L26" s="630"/>
      <c r="M26" s="629"/>
      <c r="N26" s="624"/>
      <c r="O26" s="631" t="s">
        <v>116</v>
      </c>
      <c r="P26" s="632"/>
      <c r="Q26" s="633"/>
      <c r="R26" s="624"/>
      <c r="S26" s="631" t="s">
        <v>117</v>
      </c>
      <c r="T26" s="633"/>
    </row>
    <row r="27" spans="2:20">
      <c r="B27" s="1903"/>
      <c r="C27" s="1905"/>
      <c r="D27" s="635" t="s">
        <v>32</v>
      </c>
      <c r="E27" s="636" t="s">
        <v>33</v>
      </c>
      <c r="F27" s="636" t="s">
        <v>29</v>
      </c>
      <c r="G27" s="636" t="s">
        <v>34</v>
      </c>
      <c r="H27" s="637" t="s">
        <v>35</v>
      </c>
      <c r="I27" s="638" t="s">
        <v>118</v>
      </c>
      <c r="J27" s="636" t="s">
        <v>136</v>
      </c>
      <c r="K27" s="636" t="s">
        <v>137</v>
      </c>
      <c r="L27" s="636" t="s">
        <v>138</v>
      </c>
      <c r="M27" s="637" t="s">
        <v>139</v>
      </c>
      <c r="N27" s="624"/>
      <c r="O27" s="639" t="s">
        <v>126</v>
      </c>
      <c r="P27" s="640" t="s">
        <v>127</v>
      </c>
      <c r="Q27" s="641" t="s">
        <v>246</v>
      </c>
      <c r="R27" s="624"/>
      <c r="S27" s="639" t="s">
        <v>127</v>
      </c>
      <c r="T27" s="641" t="s">
        <v>128</v>
      </c>
    </row>
    <row r="28" spans="2:20">
      <c r="B28" s="686" t="s">
        <v>141</v>
      </c>
      <c r="C28" s="687"/>
      <c r="D28" s="688"/>
      <c r="E28" s="689"/>
      <c r="F28" s="689"/>
      <c r="G28" s="689"/>
      <c r="H28" s="690"/>
      <c r="I28" s="689"/>
      <c r="J28" s="689"/>
      <c r="K28" s="689"/>
      <c r="L28" s="689"/>
      <c r="M28" s="690"/>
      <c r="N28" s="624"/>
      <c r="O28" s="691"/>
      <c r="P28" s="692"/>
      <c r="Q28" s="693"/>
      <c r="R28" s="624"/>
      <c r="S28" s="688"/>
      <c r="T28" s="690"/>
    </row>
    <row r="29" spans="2:20">
      <c r="B29" s="694" t="s">
        <v>267</v>
      </c>
      <c r="C29" s="695" t="s">
        <v>14</v>
      </c>
      <c r="D29" s="696"/>
      <c r="E29" s="697"/>
      <c r="F29" s="697"/>
      <c r="G29" s="697"/>
      <c r="H29" s="698"/>
      <c r="I29" s="699">
        <f t="shared" ref="I29:M30" si="12">I225-I248</f>
        <v>0</v>
      </c>
      <c r="J29" s="700">
        <f t="shared" si="12"/>
        <v>0</v>
      </c>
      <c r="K29" s="700">
        <f t="shared" si="12"/>
        <v>0</v>
      </c>
      <c r="L29" s="700">
        <f t="shared" si="12"/>
        <v>0</v>
      </c>
      <c r="M29" s="701">
        <f t="shared" si="12"/>
        <v>0</v>
      </c>
      <c r="N29" s="624"/>
      <c r="O29" s="668"/>
      <c r="P29" s="669"/>
      <c r="Q29" s="670"/>
      <c r="R29" s="624"/>
      <c r="S29" s="668"/>
      <c r="T29" s="671"/>
    </row>
    <row r="30" spans="2:20">
      <c r="B30" s="694" t="s">
        <v>268</v>
      </c>
      <c r="C30" s="695" t="s">
        <v>14</v>
      </c>
      <c r="D30" s="696"/>
      <c r="E30" s="697"/>
      <c r="F30" s="697"/>
      <c r="G30" s="697"/>
      <c r="H30" s="698"/>
      <c r="I30" s="699">
        <f t="shared" si="12"/>
        <v>0</v>
      </c>
      <c r="J30" s="700">
        <f t="shared" si="12"/>
        <v>0</v>
      </c>
      <c r="K30" s="700">
        <f t="shared" si="12"/>
        <v>0</v>
      </c>
      <c r="L30" s="700">
        <f t="shared" si="12"/>
        <v>0</v>
      </c>
      <c r="M30" s="701">
        <f t="shared" si="12"/>
        <v>0</v>
      </c>
      <c r="N30" s="624"/>
      <c r="O30" s="668"/>
      <c r="P30" s="669"/>
      <c r="Q30" s="670"/>
      <c r="R30" s="624"/>
      <c r="S30" s="668"/>
      <c r="T30" s="671"/>
    </row>
    <row r="31" spans="2:20">
      <c r="B31" s="702" t="s">
        <v>865</v>
      </c>
      <c r="C31" s="695" t="s">
        <v>14</v>
      </c>
      <c r="D31" s="647">
        <f>D227-D250</f>
        <v>0</v>
      </c>
      <c r="E31" s="703">
        <f>E227-E250</f>
        <v>0</v>
      </c>
      <c r="F31" s="703">
        <f>F227-F250</f>
        <v>0</v>
      </c>
      <c r="G31" s="703">
        <f>G227-G250</f>
        <v>0</v>
      </c>
      <c r="H31" s="649">
        <f>H227-H250</f>
        <v>0</v>
      </c>
      <c r="I31" s="703">
        <f>SUM(I29:I30)</f>
        <v>0</v>
      </c>
      <c r="J31" s="648">
        <f>SUM(J29:J30)</f>
        <v>0</v>
      </c>
      <c r="K31" s="648">
        <f>SUM(K29:K30)</f>
        <v>0</v>
      </c>
      <c r="L31" s="648">
        <f>SUM(L29:L30)</f>
        <v>0</v>
      </c>
      <c r="M31" s="649">
        <f>SUM(M29:M30)</f>
        <v>0</v>
      </c>
      <c r="N31" s="624"/>
      <c r="O31" s="647">
        <f>SUM(D31:G31)</f>
        <v>0</v>
      </c>
      <c r="P31" s="648">
        <f>SUM(H31)</f>
        <v>0</v>
      </c>
      <c r="Q31" s="649">
        <f>SUM(D31:H31)</f>
        <v>0</v>
      </c>
      <c r="R31" s="624"/>
      <c r="S31" s="647">
        <f>SUM(I31:M31)</f>
        <v>0</v>
      </c>
      <c r="T31" s="650" t="str">
        <f>IF(Q31&lt;&gt;0,(S31-Q31)/Q31,"0")</f>
        <v>0</v>
      </c>
    </row>
    <row r="32" spans="2:20">
      <c r="B32" s="686" t="s">
        <v>877</v>
      </c>
      <c r="C32" s="704"/>
      <c r="D32" s="705"/>
      <c r="E32" s="706"/>
      <c r="F32" s="706"/>
      <c r="G32" s="706"/>
      <c r="H32" s="707"/>
      <c r="I32" s="706"/>
      <c r="J32" s="706"/>
      <c r="K32" s="706"/>
      <c r="L32" s="706"/>
      <c r="M32" s="707"/>
      <c r="N32" s="624"/>
      <c r="O32" s="708"/>
      <c r="P32" s="706"/>
      <c r="Q32" s="707"/>
      <c r="R32" s="624"/>
      <c r="S32" s="705"/>
      <c r="T32" s="707"/>
    </row>
    <row r="33" spans="2:20">
      <c r="B33" s="694" t="s">
        <v>269</v>
      </c>
      <c r="C33" s="695" t="s">
        <v>14</v>
      </c>
      <c r="D33" s="696"/>
      <c r="E33" s="697"/>
      <c r="F33" s="697"/>
      <c r="G33" s="697"/>
      <c r="H33" s="698"/>
      <c r="I33" s="699">
        <f t="shared" ref="I33:M34" si="13">I229-I252</f>
        <v>0</v>
      </c>
      <c r="J33" s="700">
        <f t="shared" si="13"/>
        <v>0</v>
      </c>
      <c r="K33" s="700">
        <f t="shared" si="13"/>
        <v>0</v>
      </c>
      <c r="L33" s="700">
        <f t="shared" si="13"/>
        <v>0</v>
      </c>
      <c r="M33" s="701">
        <f t="shared" si="13"/>
        <v>0</v>
      </c>
      <c r="N33" s="624"/>
      <c r="O33" s="668"/>
      <c r="P33" s="669"/>
      <c r="Q33" s="670"/>
      <c r="R33" s="624"/>
      <c r="S33" s="668"/>
      <c r="T33" s="671"/>
    </row>
    <row r="34" spans="2:20">
      <c r="B34" s="694" t="s">
        <v>270</v>
      </c>
      <c r="C34" s="695" t="s">
        <v>14</v>
      </c>
      <c r="D34" s="696"/>
      <c r="E34" s="697"/>
      <c r="F34" s="697"/>
      <c r="G34" s="697"/>
      <c r="H34" s="698"/>
      <c r="I34" s="699">
        <f t="shared" si="13"/>
        <v>0</v>
      </c>
      <c r="J34" s="700">
        <f t="shared" si="13"/>
        <v>0</v>
      </c>
      <c r="K34" s="700">
        <f t="shared" si="13"/>
        <v>0</v>
      </c>
      <c r="L34" s="700">
        <f t="shared" si="13"/>
        <v>0</v>
      </c>
      <c r="M34" s="701">
        <f t="shared" si="13"/>
        <v>0</v>
      </c>
      <c r="N34" s="624"/>
      <c r="O34" s="668"/>
      <c r="P34" s="669"/>
      <c r="Q34" s="670"/>
      <c r="R34" s="624"/>
      <c r="S34" s="668"/>
      <c r="T34" s="671"/>
    </row>
    <row r="35" spans="2:20">
      <c r="B35" s="702" t="s">
        <v>866</v>
      </c>
      <c r="C35" s="695" t="s">
        <v>14</v>
      </c>
      <c r="D35" s="647">
        <f>D231-D254</f>
        <v>0</v>
      </c>
      <c r="E35" s="703">
        <f>E231-E254</f>
        <v>0</v>
      </c>
      <c r="F35" s="703">
        <f>F231-F254</f>
        <v>0</v>
      </c>
      <c r="G35" s="703">
        <f>G231-G254</f>
        <v>0</v>
      </c>
      <c r="H35" s="649">
        <f>H231-H254</f>
        <v>0</v>
      </c>
      <c r="I35" s="703">
        <f>SUM(I33:I34)</f>
        <v>0</v>
      </c>
      <c r="J35" s="648">
        <f>SUM(J33:J34)</f>
        <v>0</v>
      </c>
      <c r="K35" s="648">
        <f>SUM(K33:K34)</f>
        <v>0</v>
      </c>
      <c r="L35" s="648">
        <f>SUM(L33:L34)</f>
        <v>0</v>
      </c>
      <c r="M35" s="649">
        <f>SUM(M33:M34)</f>
        <v>0</v>
      </c>
      <c r="N35" s="624"/>
      <c r="O35" s="647">
        <f>SUM(D35:G35)</f>
        <v>0</v>
      </c>
      <c r="P35" s="648">
        <f>SUM(H35)</f>
        <v>0</v>
      </c>
      <c r="Q35" s="649">
        <f>SUM(D35:H35)</f>
        <v>0</v>
      </c>
      <c r="R35" s="624"/>
      <c r="S35" s="647">
        <f>SUM(I35:M35)</f>
        <v>0</v>
      </c>
      <c r="T35" s="650" t="str">
        <f>IF(Q35&lt;&gt;0,(S35-Q35)/Q35,"0")</f>
        <v>0</v>
      </c>
    </row>
    <row r="36" spans="2:20">
      <c r="B36" s="686" t="s">
        <v>714</v>
      </c>
      <c r="C36" s="704"/>
      <c r="D36" s="705"/>
      <c r="E36" s="706"/>
      <c r="F36" s="706"/>
      <c r="G36" s="706"/>
      <c r="H36" s="707"/>
      <c r="I36" s="706"/>
      <c r="J36" s="706"/>
      <c r="K36" s="706"/>
      <c r="L36" s="706"/>
      <c r="M36" s="707"/>
      <c r="N36" s="624"/>
      <c r="O36" s="705"/>
      <c r="P36" s="706"/>
      <c r="Q36" s="707"/>
      <c r="R36" s="624"/>
      <c r="S36" s="705"/>
      <c r="T36" s="707"/>
    </row>
    <row r="37" spans="2:20">
      <c r="B37" s="694" t="s">
        <v>271</v>
      </c>
      <c r="C37" s="695" t="s">
        <v>14</v>
      </c>
      <c r="D37" s="696"/>
      <c r="E37" s="697"/>
      <c r="F37" s="697"/>
      <c r="G37" s="697"/>
      <c r="H37" s="698"/>
      <c r="I37" s="699">
        <f t="shared" ref="I37:M38" si="14">I233-I256</f>
        <v>0</v>
      </c>
      <c r="J37" s="700">
        <f t="shared" si="14"/>
        <v>0</v>
      </c>
      <c r="K37" s="700">
        <f t="shared" si="14"/>
        <v>0</v>
      </c>
      <c r="L37" s="700">
        <f t="shared" si="14"/>
        <v>0</v>
      </c>
      <c r="M37" s="701">
        <f t="shared" si="14"/>
        <v>0</v>
      </c>
      <c r="N37" s="624"/>
      <c r="O37" s="668"/>
      <c r="P37" s="669"/>
      <c r="Q37" s="670"/>
      <c r="R37" s="624"/>
      <c r="S37" s="668"/>
      <c r="T37" s="671"/>
    </row>
    <row r="38" spans="2:20">
      <c r="B38" s="694" t="s">
        <v>272</v>
      </c>
      <c r="C38" s="695" t="s">
        <v>14</v>
      </c>
      <c r="D38" s="696"/>
      <c r="E38" s="697"/>
      <c r="F38" s="697"/>
      <c r="G38" s="697"/>
      <c r="H38" s="698"/>
      <c r="I38" s="699">
        <f t="shared" si="14"/>
        <v>0</v>
      </c>
      <c r="J38" s="700">
        <f t="shared" si="14"/>
        <v>0</v>
      </c>
      <c r="K38" s="700">
        <f t="shared" si="14"/>
        <v>0</v>
      </c>
      <c r="L38" s="700">
        <f t="shared" si="14"/>
        <v>0</v>
      </c>
      <c r="M38" s="701">
        <f t="shared" si="14"/>
        <v>0</v>
      </c>
      <c r="N38" s="624"/>
      <c r="O38" s="668"/>
      <c r="P38" s="669"/>
      <c r="Q38" s="670"/>
      <c r="R38" s="624"/>
      <c r="S38" s="668"/>
      <c r="T38" s="671"/>
    </row>
    <row r="39" spans="2:20">
      <c r="B39" s="702" t="s">
        <v>867</v>
      </c>
      <c r="C39" s="695" t="s">
        <v>14</v>
      </c>
      <c r="D39" s="647">
        <f>D235-D258</f>
        <v>0</v>
      </c>
      <c r="E39" s="703">
        <f>E235-E258</f>
        <v>0</v>
      </c>
      <c r="F39" s="703">
        <f>F235-F258</f>
        <v>0</v>
      </c>
      <c r="G39" s="703">
        <f>G235-G258</f>
        <v>0</v>
      </c>
      <c r="H39" s="649">
        <f>H235-H258</f>
        <v>0</v>
      </c>
      <c r="I39" s="703">
        <f>SUM(I37:I38)</f>
        <v>0</v>
      </c>
      <c r="J39" s="648">
        <f>SUM(J37:J38)</f>
        <v>0</v>
      </c>
      <c r="K39" s="648">
        <f>SUM(K37:K38)</f>
        <v>0</v>
      </c>
      <c r="L39" s="648">
        <f>SUM(L37:L38)</f>
        <v>0</v>
      </c>
      <c r="M39" s="649">
        <f>SUM(M37:M38)</f>
        <v>0</v>
      </c>
      <c r="N39" s="624"/>
      <c r="O39" s="647">
        <f>SUM(D39:G39)</f>
        <v>0</v>
      </c>
      <c r="P39" s="648">
        <f>SUM(H39)</f>
        <v>0</v>
      </c>
      <c r="Q39" s="649">
        <f>SUM(D39:H39)</f>
        <v>0</v>
      </c>
      <c r="R39" s="624"/>
      <c r="S39" s="647">
        <f>SUM(I39:M39)</f>
        <v>0</v>
      </c>
      <c r="T39" s="650" t="str">
        <f>IF(Q39&lt;&gt;0,(S39-Q39)/Q39,"0")</f>
        <v>0</v>
      </c>
    </row>
    <row r="40" spans="2:20">
      <c r="B40" s="686" t="s">
        <v>605</v>
      </c>
      <c r="C40" s="704"/>
      <c r="D40" s="705"/>
      <c r="E40" s="706"/>
      <c r="F40" s="706"/>
      <c r="G40" s="706"/>
      <c r="H40" s="707"/>
      <c r="I40" s="706"/>
      <c r="J40" s="706"/>
      <c r="K40" s="706"/>
      <c r="L40" s="706"/>
      <c r="M40" s="707"/>
      <c r="N40" s="624"/>
      <c r="O40" s="705"/>
      <c r="P40" s="706"/>
      <c r="Q40" s="707"/>
      <c r="R40" s="624"/>
      <c r="S40" s="705"/>
      <c r="T40" s="707"/>
    </row>
    <row r="41" spans="2:20">
      <c r="B41" s="694" t="s">
        <v>273</v>
      </c>
      <c r="C41" s="695" t="s">
        <v>14</v>
      </c>
      <c r="D41" s="696"/>
      <c r="E41" s="697"/>
      <c r="F41" s="697"/>
      <c r="G41" s="697"/>
      <c r="H41" s="698"/>
      <c r="I41" s="699">
        <f t="shared" ref="I41:M42" si="15">I237-I260</f>
        <v>0</v>
      </c>
      <c r="J41" s="700">
        <f t="shared" si="15"/>
        <v>0</v>
      </c>
      <c r="K41" s="700">
        <f t="shared" si="15"/>
        <v>0</v>
      </c>
      <c r="L41" s="700">
        <f t="shared" si="15"/>
        <v>0</v>
      </c>
      <c r="M41" s="701">
        <f t="shared" si="15"/>
        <v>0</v>
      </c>
      <c r="N41" s="624"/>
      <c r="O41" s="668"/>
      <c r="P41" s="669"/>
      <c r="Q41" s="670"/>
      <c r="R41" s="624"/>
      <c r="S41" s="668"/>
      <c r="T41" s="671"/>
    </row>
    <row r="42" spans="2:20">
      <c r="B42" s="694" t="s">
        <v>274</v>
      </c>
      <c r="C42" s="695" t="s">
        <v>14</v>
      </c>
      <c r="D42" s="696"/>
      <c r="E42" s="697"/>
      <c r="F42" s="697"/>
      <c r="G42" s="697"/>
      <c r="H42" s="698"/>
      <c r="I42" s="699">
        <f t="shared" si="15"/>
        <v>0</v>
      </c>
      <c r="J42" s="700">
        <f t="shared" si="15"/>
        <v>0</v>
      </c>
      <c r="K42" s="700">
        <f t="shared" si="15"/>
        <v>0</v>
      </c>
      <c r="L42" s="700">
        <f t="shared" si="15"/>
        <v>0</v>
      </c>
      <c r="M42" s="701">
        <f t="shared" si="15"/>
        <v>0</v>
      </c>
      <c r="N42" s="624"/>
      <c r="O42" s="668"/>
      <c r="P42" s="669"/>
      <c r="Q42" s="670"/>
      <c r="R42" s="624"/>
      <c r="S42" s="668"/>
      <c r="T42" s="671"/>
    </row>
    <row r="43" spans="2:20" ht="13.5" thickBot="1">
      <c r="B43" s="709" t="s">
        <v>700</v>
      </c>
      <c r="C43" s="710" t="s">
        <v>14</v>
      </c>
      <c r="D43" s="679">
        <f>D239-D262</f>
        <v>0</v>
      </c>
      <c r="E43" s="711">
        <f>E239-E262</f>
        <v>0</v>
      </c>
      <c r="F43" s="711">
        <f>F239-F262</f>
        <v>0</v>
      </c>
      <c r="G43" s="711">
        <f>G239-G262</f>
        <v>0</v>
      </c>
      <c r="H43" s="681">
        <f>H239-H262</f>
        <v>0</v>
      </c>
      <c r="I43" s="711">
        <f>SUM(I41:I42)</f>
        <v>0</v>
      </c>
      <c r="J43" s="680">
        <f>SUM(J41:J42)</f>
        <v>0</v>
      </c>
      <c r="K43" s="680">
        <f>SUM(K41:K42)</f>
        <v>0</v>
      </c>
      <c r="L43" s="680">
        <f>SUM(L41:L42)</f>
        <v>0</v>
      </c>
      <c r="M43" s="681">
        <f>SUM(M41:M42)</f>
        <v>0</v>
      </c>
      <c r="N43" s="624"/>
      <c r="O43" s="647">
        <f>SUM(D43:G43)</f>
        <v>0</v>
      </c>
      <c r="P43" s="648">
        <f>SUM(H43)</f>
        <v>0</v>
      </c>
      <c r="Q43" s="649">
        <f>SUM(D43:H43)</f>
        <v>0</v>
      </c>
      <c r="R43" s="624"/>
      <c r="S43" s="647">
        <f>SUM(I43:M43)</f>
        <v>0</v>
      </c>
      <c r="T43" s="650" t="str">
        <f>IF(Q43&lt;&gt;0,(S43-Q43)/Q43,"0")</f>
        <v>0</v>
      </c>
    </row>
    <row r="44" spans="2:20">
      <c r="D44" s="621"/>
      <c r="E44" s="621"/>
      <c r="F44" s="621"/>
      <c r="G44" s="621"/>
      <c r="H44" s="621"/>
      <c r="I44" s="621"/>
      <c r="J44" s="621"/>
      <c r="K44" s="621"/>
      <c r="L44" s="621"/>
      <c r="M44" s="621"/>
      <c r="N44" s="621"/>
      <c r="O44" s="621"/>
      <c r="P44" s="621"/>
      <c r="Q44" s="621"/>
      <c r="R44" s="624"/>
      <c r="S44" s="621"/>
      <c r="T44" s="621"/>
    </row>
    <row r="45" spans="2:20">
      <c r="N45" s="624"/>
      <c r="O45" s="624"/>
      <c r="P45" s="624"/>
      <c r="Q45" s="624"/>
      <c r="R45" s="624"/>
      <c r="S45" s="624"/>
      <c r="T45" s="624"/>
    </row>
    <row r="46" spans="2:20">
      <c r="B46" s="625" t="s">
        <v>275</v>
      </c>
      <c r="N46" s="624"/>
      <c r="O46" s="624"/>
      <c r="P46" s="624"/>
      <c r="Q46" s="624"/>
      <c r="R46" s="624"/>
      <c r="S46" s="624"/>
      <c r="T46" s="624"/>
    </row>
    <row r="47" spans="2:20" ht="13.5" thickBot="1">
      <c r="B47" s="625"/>
      <c r="N47" s="624"/>
      <c r="O47" s="624"/>
      <c r="P47" s="624"/>
      <c r="Q47" s="624"/>
      <c r="R47" s="624"/>
      <c r="S47" s="624"/>
      <c r="T47" s="624"/>
    </row>
    <row r="48" spans="2:20">
      <c r="B48" s="1906"/>
      <c r="C48" s="1904" t="s">
        <v>31</v>
      </c>
      <c r="D48" s="627" t="s">
        <v>116</v>
      </c>
      <c r="E48" s="628"/>
      <c r="F48" s="628"/>
      <c r="G48" s="628"/>
      <c r="H48" s="629"/>
      <c r="I48" s="627" t="s">
        <v>117</v>
      </c>
      <c r="J48" s="630"/>
      <c r="K48" s="630"/>
      <c r="L48" s="630"/>
      <c r="M48" s="629"/>
      <c r="N48" s="624"/>
      <c r="O48" s="624"/>
      <c r="P48" s="624"/>
      <c r="Q48" s="624"/>
      <c r="R48" s="624"/>
      <c r="S48" s="624"/>
      <c r="T48" s="624"/>
    </row>
    <row r="49" spans="2:20">
      <c r="B49" s="1907"/>
      <c r="C49" s="1905"/>
      <c r="D49" s="635" t="s">
        <v>32</v>
      </c>
      <c r="E49" s="636" t="s">
        <v>33</v>
      </c>
      <c r="F49" s="636" t="s">
        <v>29</v>
      </c>
      <c r="G49" s="636" t="s">
        <v>34</v>
      </c>
      <c r="H49" s="637" t="s">
        <v>35</v>
      </c>
      <c r="I49" s="635" t="s">
        <v>118</v>
      </c>
      <c r="J49" s="636" t="s">
        <v>136</v>
      </c>
      <c r="K49" s="636" t="s">
        <v>137</v>
      </c>
      <c r="L49" s="636" t="s">
        <v>138</v>
      </c>
      <c r="M49" s="637" t="s">
        <v>139</v>
      </c>
      <c r="N49" s="624"/>
      <c r="O49" s="624"/>
      <c r="P49" s="624"/>
      <c r="Q49" s="624"/>
      <c r="R49" s="624"/>
      <c r="S49" s="624"/>
      <c r="T49" s="624"/>
    </row>
    <row r="50" spans="2:20">
      <c r="B50" s="712" t="s">
        <v>276</v>
      </c>
      <c r="C50" s="713"/>
      <c r="D50" s="714"/>
      <c r="E50" s="715"/>
      <c r="F50" s="715"/>
      <c r="G50" s="715"/>
      <c r="H50" s="716"/>
      <c r="I50" s="717"/>
      <c r="J50" s="718"/>
      <c r="K50" s="718"/>
      <c r="L50" s="718"/>
      <c r="M50" s="719"/>
      <c r="N50" s="720"/>
      <c r="O50" s="624"/>
      <c r="P50" s="624"/>
      <c r="Q50" s="624"/>
      <c r="R50" s="624"/>
      <c r="S50" s="624"/>
      <c r="T50" s="624"/>
    </row>
    <row r="51" spans="2:20">
      <c r="B51" s="721" t="s">
        <v>277</v>
      </c>
      <c r="C51" s="695"/>
      <c r="D51" s="722"/>
      <c r="E51" s="723"/>
      <c r="F51" s="723"/>
      <c r="G51" s="723"/>
      <c r="H51" s="724"/>
      <c r="I51" s="725"/>
      <c r="J51" s="726"/>
      <c r="K51" s="726"/>
      <c r="L51" s="726"/>
      <c r="M51" s="727"/>
      <c r="N51" s="720"/>
      <c r="O51" s="624"/>
      <c r="P51" s="624"/>
      <c r="Q51" s="624"/>
      <c r="R51" s="624"/>
      <c r="S51" s="624"/>
      <c r="T51" s="624"/>
    </row>
    <row r="52" spans="2:20">
      <c r="B52" s="728" t="s">
        <v>520</v>
      </c>
      <c r="C52" s="695" t="s">
        <v>521</v>
      </c>
      <c r="D52" s="729">
        <f t="shared" ref="D52:M52" si="16">D83+D114</f>
        <v>0</v>
      </c>
      <c r="E52" s="730">
        <f t="shared" si="16"/>
        <v>0</v>
      </c>
      <c r="F52" s="730">
        <f t="shared" si="16"/>
        <v>0</v>
      </c>
      <c r="G52" s="730">
        <f t="shared" si="16"/>
        <v>0</v>
      </c>
      <c r="H52" s="731">
        <f t="shared" si="16"/>
        <v>0</v>
      </c>
      <c r="I52" s="729">
        <f t="shared" si="16"/>
        <v>0</v>
      </c>
      <c r="J52" s="732">
        <f t="shared" si="16"/>
        <v>0</v>
      </c>
      <c r="K52" s="732">
        <f t="shared" si="16"/>
        <v>0</v>
      </c>
      <c r="L52" s="732">
        <f t="shared" si="16"/>
        <v>0</v>
      </c>
      <c r="M52" s="731">
        <f t="shared" si="16"/>
        <v>0</v>
      </c>
      <c r="N52" s="624"/>
      <c r="O52" s="624"/>
      <c r="P52" s="624"/>
      <c r="Q52" s="624"/>
      <c r="R52" s="624"/>
      <c r="S52" s="624"/>
      <c r="T52" s="624"/>
    </row>
    <row r="53" spans="2:20">
      <c r="B53" s="733" t="s">
        <v>278</v>
      </c>
      <c r="C53" s="695"/>
      <c r="D53" s="729">
        <f t="shared" ref="D53:M53" si="17">D84+D115</f>
        <v>0</v>
      </c>
      <c r="E53" s="730">
        <f t="shared" si="17"/>
        <v>0</v>
      </c>
      <c r="F53" s="730">
        <f t="shared" si="17"/>
        <v>0</v>
      </c>
      <c r="G53" s="730">
        <f t="shared" si="17"/>
        <v>0</v>
      </c>
      <c r="H53" s="731">
        <f t="shared" si="17"/>
        <v>0</v>
      </c>
      <c r="I53" s="729">
        <f t="shared" si="17"/>
        <v>0</v>
      </c>
      <c r="J53" s="732">
        <f t="shared" si="17"/>
        <v>0</v>
      </c>
      <c r="K53" s="732">
        <f t="shared" si="17"/>
        <v>0</v>
      </c>
      <c r="L53" s="732">
        <f t="shared" si="17"/>
        <v>0</v>
      </c>
      <c r="M53" s="731">
        <f t="shared" si="17"/>
        <v>0</v>
      </c>
      <c r="N53" s="624"/>
      <c r="O53" s="624"/>
      <c r="P53" s="624"/>
      <c r="Q53" s="624"/>
      <c r="R53" s="624"/>
      <c r="S53" s="624"/>
      <c r="T53" s="624"/>
    </row>
    <row r="54" spans="2:20">
      <c r="B54" s="694" t="s">
        <v>279</v>
      </c>
      <c r="C54" s="695"/>
      <c r="D54" s="734"/>
      <c r="E54" s="735"/>
      <c r="F54" s="735"/>
      <c r="G54" s="735"/>
      <c r="H54" s="736"/>
      <c r="I54" s="729">
        <f t="shared" ref="I54:M56" si="18">I85+I116</f>
        <v>0</v>
      </c>
      <c r="J54" s="732">
        <f t="shared" si="18"/>
        <v>0</v>
      </c>
      <c r="K54" s="732">
        <f t="shared" si="18"/>
        <v>0</v>
      </c>
      <c r="L54" s="732">
        <f t="shared" si="18"/>
        <v>0</v>
      </c>
      <c r="M54" s="731">
        <f t="shared" si="18"/>
        <v>0</v>
      </c>
      <c r="N54" s="624"/>
      <c r="O54" s="624"/>
      <c r="P54" s="624"/>
      <c r="Q54" s="624"/>
      <c r="R54" s="624"/>
      <c r="S54" s="624"/>
      <c r="T54" s="624"/>
    </row>
    <row r="55" spans="2:20">
      <c r="B55" s="694" t="s">
        <v>280</v>
      </c>
      <c r="C55" s="695" t="s">
        <v>521</v>
      </c>
      <c r="D55" s="734"/>
      <c r="E55" s="735"/>
      <c r="F55" s="735"/>
      <c r="G55" s="735"/>
      <c r="H55" s="736"/>
      <c r="I55" s="729">
        <f t="shared" si="18"/>
        <v>0</v>
      </c>
      <c r="J55" s="732">
        <f t="shared" si="18"/>
        <v>0</v>
      </c>
      <c r="K55" s="732">
        <f t="shared" si="18"/>
        <v>0</v>
      </c>
      <c r="L55" s="732">
        <f t="shared" si="18"/>
        <v>0</v>
      </c>
      <c r="M55" s="731">
        <f t="shared" si="18"/>
        <v>0</v>
      </c>
      <c r="N55" s="624"/>
      <c r="O55" s="624"/>
      <c r="P55" s="624"/>
      <c r="Q55" s="624"/>
      <c r="R55" s="624"/>
      <c r="S55" s="624"/>
      <c r="T55" s="624"/>
    </row>
    <row r="56" spans="2:20">
      <c r="B56" s="694" t="s">
        <v>281</v>
      </c>
      <c r="C56" s="695"/>
      <c r="D56" s="729">
        <f>D87+D118</f>
        <v>0</v>
      </c>
      <c r="E56" s="732">
        <f>E87+E118</f>
        <v>0</v>
      </c>
      <c r="F56" s="732">
        <f>F87+F118</f>
        <v>0</v>
      </c>
      <c r="G56" s="732">
        <f>G87+G118</f>
        <v>0</v>
      </c>
      <c r="H56" s="731">
        <f>H87+H118</f>
        <v>0</v>
      </c>
      <c r="I56" s="729">
        <f t="shared" si="18"/>
        <v>0</v>
      </c>
      <c r="J56" s="732">
        <f t="shared" si="18"/>
        <v>0</v>
      </c>
      <c r="K56" s="732">
        <f t="shared" si="18"/>
        <v>0</v>
      </c>
      <c r="L56" s="732">
        <f t="shared" si="18"/>
        <v>0</v>
      </c>
      <c r="M56" s="731">
        <f t="shared" si="18"/>
        <v>0</v>
      </c>
      <c r="N56" s="624"/>
      <c r="O56" s="624"/>
      <c r="P56" s="624"/>
      <c r="Q56" s="624"/>
      <c r="R56" s="624"/>
      <c r="S56" s="624"/>
      <c r="T56" s="624"/>
    </row>
    <row r="57" spans="2:20">
      <c r="B57" s="737" t="s">
        <v>282</v>
      </c>
      <c r="C57" s="695"/>
      <c r="D57" s="738"/>
      <c r="E57" s="739"/>
      <c r="F57" s="739"/>
      <c r="G57" s="739"/>
      <c r="H57" s="740"/>
      <c r="I57" s="741"/>
      <c r="J57" s="742"/>
      <c r="K57" s="742"/>
      <c r="L57" s="742"/>
      <c r="M57" s="743"/>
      <c r="N57" s="720"/>
      <c r="O57" s="624"/>
      <c r="P57" s="624"/>
      <c r="Q57" s="624"/>
      <c r="R57" s="624"/>
      <c r="S57" s="624"/>
      <c r="T57" s="624"/>
    </row>
    <row r="58" spans="2:20">
      <c r="B58" s="744" t="s">
        <v>520</v>
      </c>
      <c r="C58" s="695" t="s">
        <v>521</v>
      </c>
      <c r="D58" s="729">
        <f t="shared" ref="D58:M58" si="19">D89+D120</f>
        <v>0</v>
      </c>
      <c r="E58" s="730">
        <f t="shared" si="19"/>
        <v>0</v>
      </c>
      <c r="F58" s="730">
        <f t="shared" si="19"/>
        <v>0</v>
      </c>
      <c r="G58" s="730">
        <f t="shared" si="19"/>
        <v>0</v>
      </c>
      <c r="H58" s="731">
        <f t="shared" si="19"/>
        <v>0</v>
      </c>
      <c r="I58" s="729">
        <f t="shared" si="19"/>
        <v>0</v>
      </c>
      <c r="J58" s="732">
        <f t="shared" si="19"/>
        <v>0</v>
      </c>
      <c r="K58" s="732">
        <f t="shared" si="19"/>
        <v>0</v>
      </c>
      <c r="L58" s="732">
        <f t="shared" si="19"/>
        <v>0</v>
      </c>
      <c r="M58" s="731">
        <f t="shared" si="19"/>
        <v>0</v>
      </c>
      <c r="N58" s="624"/>
      <c r="O58" s="624"/>
      <c r="P58" s="624"/>
      <c r="Q58" s="624"/>
      <c r="R58" s="624"/>
      <c r="S58" s="624"/>
      <c r="T58" s="624"/>
    </row>
    <row r="59" spans="2:20">
      <c r="B59" s="745" t="s">
        <v>278</v>
      </c>
      <c r="C59" s="695"/>
      <c r="D59" s="729">
        <f t="shared" ref="D59:M59" si="20">D90+D121</f>
        <v>0</v>
      </c>
      <c r="E59" s="730">
        <f t="shared" si="20"/>
        <v>0</v>
      </c>
      <c r="F59" s="730">
        <f t="shared" si="20"/>
        <v>0</v>
      </c>
      <c r="G59" s="730">
        <f t="shared" si="20"/>
        <v>0</v>
      </c>
      <c r="H59" s="731">
        <f t="shared" si="20"/>
        <v>0</v>
      </c>
      <c r="I59" s="729">
        <f t="shared" si="20"/>
        <v>0</v>
      </c>
      <c r="J59" s="732">
        <f t="shared" si="20"/>
        <v>0</v>
      </c>
      <c r="K59" s="732">
        <f t="shared" si="20"/>
        <v>0</v>
      </c>
      <c r="L59" s="732">
        <f t="shared" si="20"/>
        <v>0</v>
      </c>
      <c r="M59" s="731">
        <f t="shared" si="20"/>
        <v>0</v>
      </c>
      <c r="N59" s="624"/>
      <c r="O59" s="624"/>
      <c r="P59" s="624"/>
      <c r="Q59" s="624"/>
      <c r="R59" s="624"/>
      <c r="S59" s="624"/>
      <c r="T59" s="624"/>
    </row>
    <row r="60" spans="2:20">
      <c r="B60" s="694" t="s">
        <v>269</v>
      </c>
      <c r="C60" s="695"/>
      <c r="D60" s="746"/>
      <c r="E60" s="747"/>
      <c r="F60" s="747"/>
      <c r="G60" s="747"/>
      <c r="H60" s="748"/>
      <c r="I60" s="729">
        <f t="shared" ref="I60:M62" si="21">I91+I122</f>
        <v>0</v>
      </c>
      <c r="J60" s="732">
        <f t="shared" si="21"/>
        <v>0</v>
      </c>
      <c r="K60" s="732">
        <f t="shared" si="21"/>
        <v>0</v>
      </c>
      <c r="L60" s="732">
        <f t="shared" si="21"/>
        <v>0</v>
      </c>
      <c r="M60" s="731">
        <f t="shared" si="21"/>
        <v>0</v>
      </c>
      <c r="N60" s="624"/>
      <c r="O60" s="624"/>
      <c r="P60" s="624"/>
      <c r="Q60" s="624"/>
      <c r="R60" s="624"/>
      <c r="S60" s="624"/>
      <c r="T60" s="624"/>
    </row>
    <row r="61" spans="2:20">
      <c r="B61" s="694" t="s">
        <v>270</v>
      </c>
      <c r="C61" s="695" t="s">
        <v>521</v>
      </c>
      <c r="D61" s="746"/>
      <c r="E61" s="747"/>
      <c r="F61" s="747"/>
      <c r="G61" s="747"/>
      <c r="H61" s="748"/>
      <c r="I61" s="729">
        <f t="shared" si="21"/>
        <v>0</v>
      </c>
      <c r="J61" s="732">
        <f t="shared" si="21"/>
        <v>0</v>
      </c>
      <c r="K61" s="732">
        <f t="shared" si="21"/>
        <v>0</v>
      </c>
      <c r="L61" s="732">
        <f t="shared" si="21"/>
        <v>0</v>
      </c>
      <c r="M61" s="731">
        <f t="shared" si="21"/>
        <v>0</v>
      </c>
      <c r="N61" s="624"/>
      <c r="O61" s="624"/>
      <c r="P61" s="624"/>
      <c r="Q61" s="624"/>
      <c r="R61" s="624"/>
      <c r="S61" s="624"/>
      <c r="T61" s="624"/>
    </row>
    <row r="62" spans="2:20">
      <c r="B62" s="694" t="s">
        <v>283</v>
      </c>
      <c r="C62" s="695"/>
      <c r="D62" s="729">
        <f>D93+D124</f>
        <v>0</v>
      </c>
      <c r="E62" s="732">
        <f>E93+E124</f>
        <v>0</v>
      </c>
      <c r="F62" s="732">
        <f>F93+F124</f>
        <v>0</v>
      </c>
      <c r="G62" s="732">
        <f>G93+G124</f>
        <v>0</v>
      </c>
      <c r="H62" s="731">
        <f>H93+H124</f>
        <v>0</v>
      </c>
      <c r="I62" s="729">
        <f t="shared" si="21"/>
        <v>0</v>
      </c>
      <c r="J62" s="732">
        <f t="shared" si="21"/>
        <v>0</v>
      </c>
      <c r="K62" s="732">
        <f t="shared" si="21"/>
        <v>0</v>
      </c>
      <c r="L62" s="732">
        <f t="shared" si="21"/>
        <v>0</v>
      </c>
      <c r="M62" s="731">
        <f t="shared" si="21"/>
        <v>0</v>
      </c>
      <c r="N62" s="624"/>
      <c r="O62" s="624"/>
      <c r="P62" s="624"/>
      <c r="Q62" s="624"/>
      <c r="R62" s="624"/>
      <c r="S62" s="624"/>
      <c r="T62" s="624"/>
    </row>
    <row r="63" spans="2:20">
      <c r="B63" s="737" t="s">
        <v>284</v>
      </c>
      <c r="C63" s="695"/>
      <c r="D63" s="738"/>
      <c r="E63" s="739"/>
      <c r="F63" s="739"/>
      <c r="G63" s="739"/>
      <c r="H63" s="740"/>
      <c r="I63" s="749"/>
      <c r="J63" s="750"/>
      <c r="K63" s="750"/>
      <c r="L63" s="750"/>
      <c r="M63" s="751"/>
      <c r="N63" s="720"/>
      <c r="O63" s="624"/>
      <c r="P63" s="624"/>
      <c r="Q63" s="624"/>
      <c r="R63" s="624"/>
      <c r="S63" s="624"/>
      <c r="T63" s="624"/>
    </row>
    <row r="64" spans="2:20">
      <c r="B64" s="744" t="s">
        <v>520</v>
      </c>
      <c r="C64" s="695" t="s">
        <v>521</v>
      </c>
      <c r="D64" s="729">
        <f t="shared" ref="D64:M64" si="22">D95+D126</f>
        <v>0</v>
      </c>
      <c r="E64" s="730">
        <f t="shared" si="22"/>
        <v>0</v>
      </c>
      <c r="F64" s="730">
        <f t="shared" si="22"/>
        <v>0</v>
      </c>
      <c r="G64" s="730">
        <f t="shared" si="22"/>
        <v>0</v>
      </c>
      <c r="H64" s="731">
        <f t="shared" si="22"/>
        <v>0</v>
      </c>
      <c r="I64" s="729">
        <f t="shared" si="22"/>
        <v>0</v>
      </c>
      <c r="J64" s="732">
        <f t="shared" si="22"/>
        <v>0</v>
      </c>
      <c r="K64" s="732">
        <f t="shared" si="22"/>
        <v>0</v>
      </c>
      <c r="L64" s="732">
        <f t="shared" si="22"/>
        <v>0</v>
      </c>
      <c r="M64" s="731">
        <f t="shared" si="22"/>
        <v>0</v>
      </c>
      <c r="N64" s="624"/>
      <c r="O64" s="624"/>
      <c r="P64" s="624"/>
      <c r="Q64" s="624"/>
      <c r="R64" s="624"/>
      <c r="S64" s="624"/>
      <c r="T64" s="624"/>
    </row>
    <row r="65" spans="1:20">
      <c r="B65" s="745" t="s">
        <v>278</v>
      </c>
      <c r="C65" s="695"/>
      <c r="D65" s="729">
        <f t="shared" ref="D65:M65" si="23">D96+D127</f>
        <v>0</v>
      </c>
      <c r="E65" s="730">
        <f t="shared" si="23"/>
        <v>0</v>
      </c>
      <c r="F65" s="730">
        <f t="shared" si="23"/>
        <v>0</v>
      </c>
      <c r="G65" s="730">
        <f t="shared" si="23"/>
        <v>0</v>
      </c>
      <c r="H65" s="731">
        <f t="shared" si="23"/>
        <v>0</v>
      </c>
      <c r="I65" s="729">
        <f t="shared" si="23"/>
        <v>0</v>
      </c>
      <c r="J65" s="732">
        <f t="shared" si="23"/>
        <v>0</v>
      </c>
      <c r="K65" s="732">
        <f t="shared" si="23"/>
        <v>0</v>
      </c>
      <c r="L65" s="732">
        <f t="shared" si="23"/>
        <v>0</v>
      </c>
      <c r="M65" s="731">
        <f t="shared" si="23"/>
        <v>0</v>
      </c>
      <c r="N65" s="624"/>
      <c r="O65" s="624"/>
      <c r="P65" s="624"/>
      <c r="Q65" s="624"/>
      <c r="R65" s="624"/>
      <c r="S65" s="624"/>
      <c r="T65" s="624"/>
    </row>
    <row r="66" spans="1:20">
      <c r="B66" s="694" t="s">
        <v>271</v>
      </c>
      <c r="C66" s="695"/>
      <c r="D66" s="746"/>
      <c r="E66" s="747"/>
      <c r="F66" s="747"/>
      <c r="G66" s="747"/>
      <c r="H66" s="748"/>
      <c r="I66" s="729">
        <f t="shared" ref="I66:M68" si="24">I97+I128</f>
        <v>0</v>
      </c>
      <c r="J66" s="732">
        <f t="shared" si="24"/>
        <v>0</v>
      </c>
      <c r="K66" s="732">
        <f t="shared" si="24"/>
        <v>0</v>
      </c>
      <c r="L66" s="732">
        <f t="shared" si="24"/>
        <v>0</v>
      </c>
      <c r="M66" s="731">
        <f t="shared" si="24"/>
        <v>0</v>
      </c>
      <c r="N66" s="624"/>
      <c r="O66" s="624"/>
      <c r="P66" s="624"/>
      <c r="Q66" s="624"/>
      <c r="R66" s="624"/>
      <c r="S66" s="624"/>
      <c r="T66" s="624"/>
    </row>
    <row r="67" spans="1:20">
      <c r="B67" s="694" t="s">
        <v>272</v>
      </c>
      <c r="C67" s="695" t="s">
        <v>521</v>
      </c>
      <c r="D67" s="746"/>
      <c r="E67" s="747"/>
      <c r="F67" s="747"/>
      <c r="G67" s="747"/>
      <c r="H67" s="748"/>
      <c r="I67" s="729">
        <f t="shared" si="24"/>
        <v>0</v>
      </c>
      <c r="J67" s="732">
        <f t="shared" si="24"/>
        <v>0</v>
      </c>
      <c r="K67" s="732">
        <f t="shared" si="24"/>
        <v>0</v>
      </c>
      <c r="L67" s="732">
        <f t="shared" si="24"/>
        <v>0</v>
      </c>
      <c r="M67" s="731">
        <f t="shared" si="24"/>
        <v>0</v>
      </c>
      <c r="N67" s="624"/>
      <c r="O67" s="624"/>
      <c r="P67" s="624"/>
      <c r="Q67" s="624"/>
      <c r="R67" s="624"/>
      <c r="S67" s="624"/>
      <c r="T67" s="624"/>
    </row>
    <row r="68" spans="1:20">
      <c r="B68" s="694" t="s">
        <v>285</v>
      </c>
      <c r="C68" s="695"/>
      <c r="D68" s="729">
        <f>D99+D130</f>
        <v>0</v>
      </c>
      <c r="E68" s="732">
        <f>E99+E130</f>
        <v>0</v>
      </c>
      <c r="F68" s="732">
        <f>F99+F130</f>
        <v>0</v>
      </c>
      <c r="G68" s="732">
        <f>G99+G130</f>
        <v>0</v>
      </c>
      <c r="H68" s="731">
        <f>H99+H130</f>
        <v>0</v>
      </c>
      <c r="I68" s="729">
        <f t="shared" si="24"/>
        <v>0</v>
      </c>
      <c r="J68" s="732">
        <f t="shared" si="24"/>
        <v>0</v>
      </c>
      <c r="K68" s="732">
        <f t="shared" si="24"/>
        <v>0</v>
      </c>
      <c r="L68" s="732">
        <f t="shared" si="24"/>
        <v>0</v>
      </c>
      <c r="M68" s="731">
        <f t="shared" si="24"/>
        <v>0</v>
      </c>
      <c r="N68" s="624"/>
      <c r="O68" s="624"/>
      <c r="P68" s="624"/>
      <c r="Q68" s="624"/>
      <c r="R68" s="624"/>
      <c r="S68" s="624"/>
      <c r="T68" s="624"/>
    </row>
    <row r="69" spans="1:20">
      <c r="B69" s="737" t="s">
        <v>286</v>
      </c>
      <c r="C69" s="695"/>
      <c r="D69" s="738"/>
      <c r="E69" s="739"/>
      <c r="F69" s="739"/>
      <c r="G69" s="739"/>
      <c r="H69" s="740"/>
      <c r="I69" s="749"/>
      <c r="J69" s="750"/>
      <c r="K69" s="750"/>
      <c r="L69" s="750"/>
      <c r="M69" s="751"/>
      <c r="N69" s="720"/>
      <c r="O69" s="624"/>
      <c r="P69" s="624"/>
      <c r="Q69" s="624"/>
      <c r="R69" s="624"/>
      <c r="S69" s="624"/>
      <c r="T69" s="624"/>
    </row>
    <row r="70" spans="1:20">
      <c r="B70" s="744" t="s">
        <v>520</v>
      </c>
      <c r="C70" s="695" t="s">
        <v>521</v>
      </c>
      <c r="D70" s="752">
        <f t="shared" ref="D70:M70" si="25">D101+D132</f>
        <v>0</v>
      </c>
      <c r="E70" s="753">
        <f t="shared" si="25"/>
        <v>0</v>
      </c>
      <c r="F70" s="753">
        <f t="shared" si="25"/>
        <v>0</v>
      </c>
      <c r="G70" s="753">
        <f t="shared" si="25"/>
        <v>0</v>
      </c>
      <c r="H70" s="754">
        <f t="shared" si="25"/>
        <v>0</v>
      </c>
      <c r="I70" s="752">
        <f t="shared" si="25"/>
        <v>0</v>
      </c>
      <c r="J70" s="755">
        <f t="shared" si="25"/>
        <v>0</v>
      </c>
      <c r="K70" s="755">
        <f t="shared" si="25"/>
        <v>0</v>
      </c>
      <c r="L70" s="755">
        <f t="shared" si="25"/>
        <v>0</v>
      </c>
      <c r="M70" s="754">
        <f t="shared" si="25"/>
        <v>0</v>
      </c>
      <c r="N70" s="624"/>
      <c r="O70" s="624"/>
      <c r="P70" s="624"/>
      <c r="Q70" s="624"/>
      <c r="R70" s="624"/>
      <c r="S70" s="624"/>
      <c r="T70" s="624"/>
    </row>
    <row r="71" spans="1:20">
      <c r="B71" s="745" t="s">
        <v>278</v>
      </c>
      <c r="C71" s="695"/>
      <c r="D71" s="752">
        <f t="shared" ref="D71:M71" si="26">D102+D133</f>
        <v>0</v>
      </c>
      <c r="E71" s="753">
        <f t="shared" si="26"/>
        <v>0</v>
      </c>
      <c r="F71" s="753">
        <f t="shared" si="26"/>
        <v>0</v>
      </c>
      <c r="G71" s="753">
        <f t="shared" si="26"/>
        <v>0</v>
      </c>
      <c r="H71" s="754">
        <f t="shared" si="26"/>
        <v>0</v>
      </c>
      <c r="I71" s="752">
        <f t="shared" si="26"/>
        <v>0</v>
      </c>
      <c r="J71" s="755">
        <f t="shared" si="26"/>
        <v>0</v>
      </c>
      <c r="K71" s="755">
        <f t="shared" si="26"/>
        <v>0</v>
      </c>
      <c r="L71" s="755">
        <f t="shared" si="26"/>
        <v>0</v>
      </c>
      <c r="M71" s="754">
        <f t="shared" si="26"/>
        <v>0</v>
      </c>
      <c r="N71" s="624"/>
      <c r="O71" s="624"/>
      <c r="P71" s="624"/>
      <c r="Q71" s="624"/>
      <c r="R71" s="624"/>
      <c r="S71" s="624"/>
      <c r="T71" s="624"/>
    </row>
    <row r="72" spans="1:20">
      <c r="B72" s="694" t="s">
        <v>273</v>
      </c>
      <c r="C72" s="695"/>
      <c r="D72" s="756"/>
      <c r="E72" s="757"/>
      <c r="F72" s="757"/>
      <c r="G72" s="757"/>
      <c r="H72" s="758"/>
      <c r="I72" s="752">
        <f t="shared" ref="I72:M74" si="27">I103+I134</f>
        <v>0</v>
      </c>
      <c r="J72" s="755">
        <f t="shared" si="27"/>
        <v>0</v>
      </c>
      <c r="K72" s="755">
        <f t="shared" si="27"/>
        <v>0</v>
      </c>
      <c r="L72" s="755">
        <f t="shared" si="27"/>
        <v>0</v>
      </c>
      <c r="M72" s="754">
        <f t="shared" si="27"/>
        <v>0</v>
      </c>
      <c r="N72" s="624"/>
      <c r="O72" s="624"/>
      <c r="P72" s="624"/>
      <c r="Q72" s="624"/>
      <c r="R72" s="624"/>
      <c r="S72" s="624"/>
      <c r="T72" s="624"/>
    </row>
    <row r="73" spans="1:20">
      <c r="B73" s="694" t="s">
        <v>274</v>
      </c>
      <c r="C73" s="695" t="s">
        <v>521</v>
      </c>
      <c r="D73" s="756"/>
      <c r="E73" s="757"/>
      <c r="F73" s="757"/>
      <c r="G73" s="757"/>
      <c r="H73" s="758"/>
      <c r="I73" s="752">
        <f t="shared" si="27"/>
        <v>0</v>
      </c>
      <c r="J73" s="755">
        <f t="shared" si="27"/>
        <v>0</v>
      </c>
      <c r="K73" s="755">
        <f t="shared" si="27"/>
        <v>0</v>
      </c>
      <c r="L73" s="755">
        <f t="shared" si="27"/>
        <v>0</v>
      </c>
      <c r="M73" s="754">
        <f t="shared" si="27"/>
        <v>0</v>
      </c>
      <c r="N73" s="624"/>
      <c r="O73" s="624"/>
      <c r="P73" s="624"/>
      <c r="Q73" s="624"/>
      <c r="R73" s="624"/>
      <c r="S73" s="624"/>
      <c r="T73" s="624"/>
    </row>
    <row r="74" spans="1:20">
      <c r="B74" s="694" t="s">
        <v>287</v>
      </c>
      <c r="C74" s="695"/>
      <c r="D74" s="752">
        <f>D105+D136</f>
        <v>0</v>
      </c>
      <c r="E74" s="753">
        <f>E105+E136</f>
        <v>0</v>
      </c>
      <c r="F74" s="753">
        <f>F105+F136</f>
        <v>0</v>
      </c>
      <c r="G74" s="753">
        <f>G105+G136</f>
        <v>0</v>
      </c>
      <c r="H74" s="754">
        <f>H105+H136</f>
        <v>0</v>
      </c>
      <c r="I74" s="752">
        <f t="shared" si="27"/>
        <v>0</v>
      </c>
      <c r="J74" s="755">
        <f t="shared" si="27"/>
        <v>0</v>
      </c>
      <c r="K74" s="755">
        <f t="shared" si="27"/>
        <v>0</v>
      </c>
      <c r="L74" s="755">
        <f t="shared" si="27"/>
        <v>0</v>
      </c>
      <c r="M74" s="754">
        <f t="shared" si="27"/>
        <v>0</v>
      </c>
      <c r="N74" s="624"/>
      <c r="O74" s="624"/>
      <c r="P74" s="624"/>
      <c r="Q74" s="624"/>
      <c r="R74" s="624"/>
      <c r="S74" s="624"/>
      <c r="T74" s="624"/>
    </row>
    <row r="75" spans="1:20" ht="13.5" thickBot="1">
      <c r="B75" s="759" t="s">
        <v>853</v>
      </c>
      <c r="C75" s="710" t="s">
        <v>521</v>
      </c>
      <c r="D75" s="760">
        <f t="shared" ref="D75:M75" si="28">SUM(D52:D55,D58:D61,D64:D67,D70:D73)</f>
        <v>0</v>
      </c>
      <c r="E75" s="761">
        <f t="shared" si="28"/>
        <v>0</v>
      </c>
      <c r="F75" s="761">
        <f t="shared" si="28"/>
        <v>0</v>
      </c>
      <c r="G75" s="761">
        <f t="shared" si="28"/>
        <v>0</v>
      </c>
      <c r="H75" s="762">
        <f t="shared" si="28"/>
        <v>0</v>
      </c>
      <c r="I75" s="760">
        <f t="shared" si="28"/>
        <v>0</v>
      </c>
      <c r="J75" s="761">
        <f t="shared" si="28"/>
        <v>0</v>
      </c>
      <c r="K75" s="761">
        <f t="shared" si="28"/>
        <v>0</v>
      </c>
      <c r="L75" s="761">
        <f t="shared" si="28"/>
        <v>0</v>
      </c>
      <c r="M75" s="762">
        <f t="shared" si="28"/>
        <v>0</v>
      </c>
      <c r="N75" s="763"/>
      <c r="O75" s="624"/>
      <c r="P75" s="624"/>
      <c r="Q75" s="624"/>
      <c r="R75" s="624"/>
      <c r="S75" s="624"/>
      <c r="T75" s="624"/>
    </row>
    <row r="76" spans="1:20">
      <c r="B76" s="764"/>
      <c r="C76" s="765"/>
      <c r="D76" s="624"/>
      <c r="E76" s="624"/>
      <c r="F76" s="624"/>
      <c r="G76" s="624"/>
      <c r="H76" s="624"/>
      <c r="I76" s="624"/>
      <c r="J76" s="624"/>
      <c r="K76" s="624"/>
      <c r="L76" s="624"/>
      <c r="M76" s="624"/>
      <c r="N76" s="624"/>
      <c r="O76" s="624"/>
      <c r="P76" s="624"/>
      <c r="Q76" s="624"/>
      <c r="R76" s="624"/>
      <c r="S76" s="624"/>
      <c r="T76" s="624"/>
    </row>
    <row r="77" spans="1:20">
      <c r="B77" s="625" t="s">
        <v>288</v>
      </c>
      <c r="N77" s="624"/>
      <c r="O77" s="624"/>
      <c r="P77" s="624"/>
      <c r="Q77" s="624"/>
      <c r="R77" s="624"/>
      <c r="S77" s="624"/>
      <c r="T77" s="624"/>
    </row>
    <row r="78" spans="1:20" ht="13.5" thickBot="1">
      <c r="B78" s="625"/>
      <c r="N78" s="624"/>
      <c r="O78" s="624"/>
      <c r="P78" s="624"/>
      <c r="Q78" s="624"/>
      <c r="R78" s="624"/>
      <c r="S78" s="624"/>
      <c r="T78" s="624"/>
    </row>
    <row r="79" spans="1:20">
      <c r="A79" s="766"/>
      <c r="B79" s="1906"/>
      <c r="C79" s="1904" t="s">
        <v>31</v>
      </c>
      <c r="D79" s="627" t="s">
        <v>116</v>
      </c>
      <c r="E79" s="628"/>
      <c r="F79" s="628"/>
      <c r="G79" s="628"/>
      <c r="H79" s="629"/>
      <c r="I79" s="627" t="s">
        <v>117</v>
      </c>
      <c r="J79" s="630"/>
      <c r="K79" s="630"/>
      <c r="L79" s="629"/>
      <c r="M79" s="629"/>
      <c r="N79" s="624"/>
      <c r="O79" s="624"/>
      <c r="P79" s="624"/>
      <c r="Q79" s="624"/>
      <c r="R79" s="624"/>
      <c r="S79" s="624"/>
      <c r="T79" s="624"/>
    </row>
    <row r="80" spans="1:20">
      <c r="A80" s="766"/>
      <c r="B80" s="1907"/>
      <c r="C80" s="1905"/>
      <c r="D80" s="635" t="s">
        <v>32</v>
      </c>
      <c r="E80" s="636" t="s">
        <v>33</v>
      </c>
      <c r="F80" s="636" t="s">
        <v>29</v>
      </c>
      <c r="G80" s="636" t="s">
        <v>34</v>
      </c>
      <c r="H80" s="637" t="s">
        <v>35</v>
      </c>
      <c r="I80" s="635" t="s">
        <v>118</v>
      </c>
      <c r="J80" s="636" t="s">
        <v>136</v>
      </c>
      <c r="K80" s="636" t="s">
        <v>137</v>
      </c>
      <c r="L80" s="640" t="s">
        <v>138</v>
      </c>
      <c r="M80" s="767" t="s">
        <v>139</v>
      </c>
      <c r="N80" s="624"/>
      <c r="O80" s="624"/>
      <c r="P80" s="624"/>
      <c r="Q80" s="624"/>
      <c r="R80" s="624"/>
      <c r="S80" s="624"/>
      <c r="T80" s="624"/>
    </row>
    <row r="81" spans="1:20">
      <c r="A81" s="766"/>
      <c r="B81" s="712" t="s">
        <v>276</v>
      </c>
      <c r="C81" s="713"/>
      <c r="D81" s="714"/>
      <c r="E81" s="715"/>
      <c r="F81" s="715"/>
      <c r="G81" s="715"/>
      <c r="H81" s="716"/>
      <c r="I81" s="717"/>
      <c r="J81" s="718"/>
      <c r="K81" s="718"/>
      <c r="L81" s="768"/>
      <c r="M81" s="719"/>
      <c r="N81" s="720"/>
      <c r="O81" s="624"/>
      <c r="P81" s="624"/>
      <c r="Q81" s="624"/>
      <c r="R81" s="624"/>
      <c r="S81" s="624"/>
      <c r="T81" s="624"/>
    </row>
    <row r="82" spans="1:20">
      <c r="A82" s="766"/>
      <c r="B82" s="721" t="s">
        <v>277</v>
      </c>
      <c r="C82" s="769"/>
      <c r="D82" s="722"/>
      <c r="E82" s="723"/>
      <c r="F82" s="723"/>
      <c r="G82" s="723"/>
      <c r="H82" s="724"/>
      <c r="I82" s="725"/>
      <c r="J82" s="726"/>
      <c r="K82" s="726"/>
      <c r="L82" s="770"/>
      <c r="M82" s="727"/>
      <c r="N82" s="720"/>
      <c r="O82" s="624"/>
      <c r="P82" s="624"/>
      <c r="Q82" s="624"/>
      <c r="R82" s="624"/>
      <c r="S82" s="624"/>
      <c r="T82" s="624"/>
    </row>
    <row r="83" spans="1:20">
      <c r="A83" s="766"/>
      <c r="B83" s="728" t="s">
        <v>520</v>
      </c>
      <c r="C83" s="695" t="s">
        <v>521</v>
      </c>
      <c r="D83" s="771"/>
      <c r="E83" s="772"/>
      <c r="F83" s="772"/>
      <c r="G83" s="772"/>
      <c r="H83" s="773"/>
      <c r="I83" s="771"/>
      <c r="J83" s="774"/>
      <c r="K83" s="774"/>
      <c r="L83" s="774"/>
      <c r="M83" s="775"/>
      <c r="N83" s="624"/>
      <c r="O83" s="624"/>
      <c r="P83" s="624"/>
      <c r="Q83" s="624"/>
      <c r="R83" s="624"/>
      <c r="S83" s="624"/>
      <c r="T83" s="624"/>
    </row>
    <row r="84" spans="1:20">
      <c r="A84" s="766"/>
      <c r="B84" s="733" t="s">
        <v>278</v>
      </c>
      <c r="C84" s="695"/>
      <c r="D84" s="771"/>
      <c r="E84" s="772"/>
      <c r="F84" s="772"/>
      <c r="G84" s="772"/>
      <c r="H84" s="773"/>
      <c r="I84" s="771"/>
      <c r="J84" s="774"/>
      <c r="K84" s="774"/>
      <c r="L84" s="774"/>
      <c r="M84" s="775"/>
      <c r="N84" s="624"/>
      <c r="O84" s="624"/>
      <c r="P84" s="624"/>
      <c r="Q84" s="624"/>
      <c r="R84" s="624"/>
      <c r="S84" s="624"/>
      <c r="T84" s="624"/>
    </row>
    <row r="85" spans="1:20">
      <c r="A85" s="766"/>
      <c r="B85" s="694" t="s">
        <v>279</v>
      </c>
      <c r="C85" s="695"/>
      <c r="D85" s="746"/>
      <c r="E85" s="747"/>
      <c r="F85" s="747"/>
      <c r="G85" s="747"/>
      <c r="H85" s="748"/>
      <c r="I85" s="771"/>
      <c r="J85" s="774"/>
      <c r="K85" s="774"/>
      <c r="L85" s="774"/>
      <c r="M85" s="775"/>
      <c r="N85" s="624"/>
      <c r="O85" s="624"/>
      <c r="P85" s="624"/>
      <c r="Q85" s="624"/>
      <c r="R85" s="624"/>
      <c r="S85" s="624"/>
      <c r="T85" s="624"/>
    </row>
    <row r="86" spans="1:20">
      <c r="A86" s="766"/>
      <c r="B86" s="694" t="s">
        <v>280</v>
      </c>
      <c r="C86" s="695" t="s">
        <v>521</v>
      </c>
      <c r="D86" s="746"/>
      <c r="E86" s="747"/>
      <c r="F86" s="747"/>
      <c r="G86" s="747"/>
      <c r="H86" s="748"/>
      <c r="I86" s="771"/>
      <c r="J86" s="774"/>
      <c r="K86" s="774"/>
      <c r="L86" s="774"/>
      <c r="M86" s="775"/>
      <c r="N86" s="624"/>
      <c r="O86" s="624"/>
      <c r="P86" s="624"/>
      <c r="Q86" s="624"/>
      <c r="R86" s="624"/>
      <c r="S86" s="624"/>
      <c r="T86" s="624"/>
    </row>
    <row r="87" spans="1:20">
      <c r="A87" s="766"/>
      <c r="B87" s="694" t="s">
        <v>281</v>
      </c>
      <c r="C87" s="695"/>
      <c r="D87" s="771"/>
      <c r="E87" s="774"/>
      <c r="F87" s="774"/>
      <c r="G87" s="774"/>
      <c r="H87" s="773"/>
      <c r="I87" s="776">
        <f>SUM(I85:I86)</f>
        <v>0</v>
      </c>
      <c r="J87" s="777">
        <f>SUM(J85:J86)</f>
        <v>0</v>
      </c>
      <c r="K87" s="777">
        <f>SUM(K85:K86)</f>
        <v>0</v>
      </c>
      <c r="L87" s="777">
        <f>SUM(L85:L86)</f>
        <v>0</v>
      </c>
      <c r="M87" s="778">
        <f>SUM(M85:M86)</f>
        <v>0</v>
      </c>
      <c r="N87" s="624"/>
      <c r="O87" s="624"/>
      <c r="P87" s="624"/>
      <c r="Q87" s="624"/>
      <c r="R87" s="624"/>
      <c r="S87" s="624"/>
      <c r="T87" s="624"/>
    </row>
    <row r="88" spans="1:20">
      <c r="A88" s="766"/>
      <c r="B88" s="737" t="s">
        <v>289</v>
      </c>
      <c r="C88" s="695"/>
      <c r="D88" s="738"/>
      <c r="E88" s="739"/>
      <c r="F88" s="739"/>
      <c r="G88" s="739"/>
      <c r="H88" s="740"/>
      <c r="I88" s="741"/>
      <c r="J88" s="742"/>
      <c r="K88" s="742"/>
      <c r="L88" s="779"/>
      <c r="M88" s="743"/>
      <c r="N88" s="720"/>
      <c r="O88" s="624"/>
      <c r="P88" s="624"/>
      <c r="Q88" s="624"/>
      <c r="R88" s="624"/>
      <c r="S88" s="624"/>
      <c r="T88" s="624"/>
    </row>
    <row r="89" spans="1:20">
      <c r="A89" s="766"/>
      <c r="B89" s="744" t="s">
        <v>520</v>
      </c>
      <c r="C89" s="695" t="s">
        <v>521</v>
      </c>
      <c r="D89" s="771"/>
      <c r="E89" s="772"/>
      <c r="F89" s="772"/>
      <c r="G89" s="772"/>
      <c r="H89" s="773"/>
      <c r="I89" s="771"/>
      <c r="J89" s="774"/>
      <c r="K89" s="774"/>
      <c r="L89" s="774"/>
      <c r="M89" s="775"/>
      <c r="N89" s="624"/>
      <c r="O89" s="624"/>
      <c r="P89" s="624"/>
      <c r="Q89" s="624"/>
      <c r="R89" s="624"/>
      <c r="S89" s="624"/>
      <c r="T89" s="624"/>
    </row>
    <row r="90" spans="1:20">
      <c r="A90" s="766"/>
      <c r="B90" s="745" t="s">
        <v>278</v>
      </c>
      <c r="C90" s="695"/>
      <c r="D90" s="771"/>
      <c r="E90" s="772"/>
      <c r="F90" s="772"/>
      <c r="G90" s="772"/>
      <c r="H90" s="773"/>
      <c r="I90" s="771"/>
      <c r="J90" s="774"/>
      <c r="K90" s="774"/>
      <c r="L90" s="774"/>
      <c r="M90" s="775"/>
      <c r="N90" s="624"/>
      <c r="O90" s="624"/>
      <c r="P90" s="624"/>
      <c r="Q90" s="624"/>
      <c r="R90" s="624"/>
      <c r="S90" s="624"/>
      <c r="T90" s="624"/>
    </row>
    <row r="91" spans="1:20">
      <c r="A91" s="766"/>
      <c r="B91" s="694" t="s">
        <v>269</v>
      </c>
      <c r="C91" s="695"/>
      <c r="D91" s="746"/>
      <c r="E91" s="747"/>
      <c r="F91" s="747"/>
      <c r="G91" s="747"/>
      <c r="H91" s="748"/>
      <c r="I91" s="771"/>
      <c r="J91" s="774"/>
      <c r="K91" s="774"/>
      <c r="L91" s="774"/>
      <c r="M91" s="775"/>
      <c r="N91" s="624"/>
      <c r="O91" s="624"/>
      <c r="P91" s="624"/>
      <c r="Q91" s="624"/>
      <c r="R91" s="624"/>
      <c r="S91" s="624"/>
      <c r="T91" s="624"/>
    </row>
    <row r="92" spans="1:20">
      <c r="A92" s="766"/>
      <c r="B92" s="694" t="s">
        <v>270</v>
      </c>
      <c r="C92" s="695" t="s">
        <v>521</v>
      </c>
      <c r="D92" s="746"/>
      <c r="E92" s="747"/>
      <c r="F92" s="747"/>
      <c r="G92" s="747"/>
      <c r="H92" s="748"/>
      <c r="I92" s="771"/>
      <c r="J92" s="774"/>
      <c r="K92" s="774"/>
      <c r="L92" s="774"/>
      <c r="M92" s="775"/>
      <c r="N92" s="624"/>
      <c r="O92" s="624"/>
      <c r="P92" s="624"/>
      <c r="Q92" s="624"/>
      <c r="R92" s="624"/>
      <c r="S92" s="624"/>
      <c r="T92" s="624"/>
    </row>
    <row r="93" spans="1:20">
      <c r="A93" s="766"/>
      <c r="B93" s="694" t="s">
        <v>283</v>
      </c>
      <c r="C93" s="695"/>
      <c r="D93" s="771"/>
      <c r="E93" s="774"/>
      <c r="F93" s="774"/>
      <c r="G93" s="774"/>
      <c r="H93" s="773"/>
      <c r="I93" s="776">
        <f>SUM(I91:I92)</f>
        <v>0</v>
      </c>
      <c r="J93" s="776">
        <f>SUM(J91:J92)</f>
        <v>0</v>
      </c>
      <c r="K93" s="776">
        <f>SUM(K91:K92)</f>
        <v>0</v>
      </c>
      <c r="L93" s="776">
        <f>SUM(L91:L92)</f>
        <v>0</v>
      </c>
      <c r="M93" s="776">
        <f>SUM(M91:M92)</f>
        <v>0</v>
      </c>
      <c r="N93" s="624"/>
      <c r="O93" s="624"/>
      <c r="P93" s="624"/>
      <c r="Q93" s="624"/>
      <c r="R93" s="624"/>
      <c r="S93" s="624"/>
      <c r="T93" s="624"/>
    </row>
    <row r="94" spans="1:20">
      <c r="A94" s="766"/>
      <c r="B94" s="737" t="s">
        <v>290</v>
      </c>
      <c r="C94" s="695"/>
      <c r="D94" s="738"/>
      <c r="E94" s="739"/>
      <c r="F94" s="739"/>
      <c r="G94" s="739"/>
      <c r="H94" s="740"/>
      <c r="I94" s="741"/>
      <c r="J94" s="742"/>
      <c r="K94" s="742"/>
      <c r="L94" s="779"/>
      <c r="M94" s="743"/>
      <c r="N94" s="720"/>
      <c r="O94" s="624"/>
      <c r="P94" s="624"/>
      <c r="Q94" s="624"/>
      <c r="R94" s="624"/>
      <c r="S94" s="624"/>
      <c r="T94" s="624"/>
    </row>
    <row r="95" spans="1:20">
      <c r="A95" s="766"/>
      <c r="B95" s="744" t="s">
        <v>520</v>
      </c>
      <c r="C95" s="695" t="s">
        <v>521</v>
      </c>
      <c r="D95" s="771"/>
      <c r="E95" s="772"/>
      <c r="F95" s="772"/>
      <c r="G95" s="772"/>
      <c r="H95" s="773"/>
      <c r="I95" s="771"/>
      <c r="J95" s="774"/>
      <c r="K95" s="774"/>
      <c r="L95" s="774"/>
      <c r="M95" s="775"/>
      <c r="N95" s="624"/>
      <c r="O95" s="624"/>
      <c r="P95" s="624"/>
      <c r="Q95" s="624"/>
      <c r="R95" s="624"/>
      <c r="S95" s="624"/>
      <c r="T95" s="624"/>
    </row>
    <row r="96" spans="1:20">
      <c r="A96" s="766"/>
      <c r="B96" s="745" t="s">
        <v>278</v>
      </c>
      <c r="C96" s="695"/>
      <c r="D96" s="771"/>
      <c r="E96" s="772"/>
      <c r="F96" s="772"/>
      <c r="G96" s="772"/>
      <c r="H96" s="773"/>
      <c r="I96" s="771"/>
      <c r="J96" s="774"/>
      <c r="K96" s="774"/>
      <c r="L96" s="774"/>
      <c r="M96" s="775"/>
      <c r="N96" s="624"/>
      <c r="O96" s="624"/>
      <c r="P96" s="624"/>
      <c r="Q96" s="624"/>
      <c r="R96" s="624"/>
      <c r="S96" s="624"/>
      <c r="T96" s="624"/>
    </row>
    <row r="97" spans="1:20">
      <c r="A97" s="766"/>
      <c r="B97" s="694" t="s">
        <v>271</v>
      </c>
      <c r="C97" s="695"/>
      <c r="D97" s="734"/>
      <c r="E97" s="735"/>
      <c r="F97" s="735"/>
      <c r="G97" s="735"/>
      <c r="H97" s="736"/>
      <c r="I97" s="771"/>
      <c r="J97" s="774"/>
      <c r="K97" s="774"/>
      <c r="L97" s="774"/>
      <c r="M97" s="775"/>
      <c r="N97" s="624"/>
      <c r="O97" s="624"/>
      <c r="P97" s="624"/>
      <c r="Q97" s="624"/>
      <c r="R97" s="624"/>
      <c r="S97" s="624"/>
      <c r="T97" s="624"/>
    </row>
    <row r="98" spans="1:20">
      <c r="A98" s="766"/>
      <c r="B98" s="694" t="s">
        <v>272</v>
      </c>
      <c r="C98" s="695" t="s">
        <v>521</v>
      </c>
      <c r="D98" s="734"/>
      <c r="E98" s="735"/>
      <c r="F98" s="735"/>
      <c r="G98" s="735"/>
      <c r="H98" s="736"/>
      <c r="I98" s="771"/>
      <c r="J98" s="774"/>
      <c r="K98" s="774"/>
      <c r="L98" s="774"/>
      <c r="M98" s="775"/>
      <c r="N98" s="624"/>
      <c r="O98" s="624"/>
      <c r="P98" s="624"/>
      <c r="Q98" s="624"/>
      <c r="R98" s="624"/>
      <c r="S98" s="624"/>
      <c r="T98" s="624"/>
    </row>
    <row r="99" spans="1:20">
      <c r="A99" s="766"/>
      <c r="B99" s="694" t="s">
        <v>285</v>
      </c>
      <c r="C99" s="695"/>
      <c r="D99" s="771"/>
      <c r="E99" s="774"/>
      <c r="F99" s="774"/>
      <c r="G99" s="774"/>
      <c r="H99" s="773"/>
      <c r="I99" s="776">
        <f>SUM(I97:I98)</f>
        <v>0</v>
      </c>
      <c r="J99" s="776">
        <f>SUM(J97:J98)</f>
        <v>0</v>
      </c>
      <c r="K99" s="776">
        <f>SUM(K97:K98)</f>
        <v>0</v>
      </c>
      <c r="L99" s="776">
        <f>SUM(L97:L98)</f>
        <v>0</v>
      </c>
      <c r="M99" s="776">
        <f>SUM(M97:M98)</f>
        <v>0</v>
      </c>
      <c r="N99" s="624"/>
      <c r="O99" s="624"/>
      <c r="P99" s="624"/>
      <c r="Q99" s="624"/>
      <c r="R99" s="624"/>
      <c r="S99" s="624"/>
      <c r="T99" s="624"/>
    </row>
    <row r="100" spans="1:20">
      <c r="A100" s="766"/>
      <c r="B100" s="737" t="s">
        <v>291</v>
      </c>
      <c r="C100" s="695"/>
      <c r="D100" s="738"/>
      <c r="E100" s="739"/>
      <c r="F100" s="739"/>
      <c r="G100" s="739"/>
      <c r="H100" s="740"/>
      <c r="I100" s="741"/>
      <c r="J100" s="742"/>
      <c r="K100" s="742"/>
      <c r="L100" s="779"/>
      <c r="M100" s="743"/>
      <c r="N100" s="720"/>
      <c r="O100" s="624"/>
      <c r="P100" s="624"/>
      <c r="Q100" s="624"/>
      <c r="R100" s="624"/>
      <c r="S100" s="624"/>
      <c r="T100" s="624"/>
    </row>
    <row r="101" spans="1:20">
      <c r="A101" s="766"/>
      <c r="B101" s="744" t="s">
        <v>520</v>
      </c>
      <c r="C101" s="695" t="s">
        <v>521</v>
      </c>
      <c r="D101" s="780"/>
      <c r="E101" s="781"/>
      <c r="F101" s="781"/>
      <c r="G101" s="781"/>
      <c r="H101" s="782"/>
      <c r="I101" s="780"/>
      <c r="J101" s="783"/>
      <c r="K101" s="783"/>
      <c r="L101" s="783"/>
      <c r="M101" s="784"/>
      <c r="N101" s="624"/>
      <c r="O101" s="624"/>
      <c r="P101" s="624"/>
      <c r="Q101" s="624"/>
      <c r="R101" s="624"/>
      <c r="S101" s="624"/>
      <c r="T101" s="624"/>
    </row>
    <row r="102" spans="1:20">
      <c r="A102" s="766"/>
      <c r="B102" s="745" t="s">
        <v>278</v>
      </c>
      <c r="C102" s="695"/>
      <c r="D102" s="780"/>
      <c r="E102" s="781"/>
      <c r="F102" s="781"/>
      <c r="G102" s="781"/>
      <c r="H102" s="782"/>
      <c r="I102" s="780"/>
      <c r="J102" s="783"/>
      <c r="K102" s="783"/>
      <c r="L102" s="783"/>
      <c r="M102" s="784"/>
      <c r="N102" s="624"/>
      <c r="O102" s="624"/>
      <c r="P102" s="624"/>
      <c r="Q102" s="624"/>
      <c r="R102" s="624"/>
      <c r="S102" s="624"/>
      <c r="T102" s="624"/>
    </row>
    <row r="103" spans="1:20">
      <c r="A103" s="766"/>
      <c r="B103" s="694" t="s">
        <v>273</v>
      </c>
      <c r="C103" s="695"/>
      <c r="D103" s="785"/>
      <c r="E103" s="786"/>
      <c r="F103" s="786"/>
      <c r="G103" s="786"/>
      <c r="H103" s="787"/>
      <c r="I103" s="780"/>
      <c r="J103" s="783"/>
      <c r="K103" s="783"/>
      <c r="L103" s="783"/>
      <c r="M103" s="784"/>
      <c r="N103" s="624"/>
      <c r="O103" s="624"/>
      <c r="P103" s="624"/>
      <c r="Q103" s="624"/>
      <c r="R103" s="624"/>
      <c r="S103" s="624"/>
      <c r="T103" s="624"/>
    </row>
    <row r="104" spans="1:20">
      <c r="A104" s="766"/>
      <c r="B104" s="694" t="s">
        <v>274</v>
      </c>
      <c r="C104" s="695" t="s">
        <v>521</v>
      </c>
      <c r="D104" s="785"/>
      <c r="E104" s="786"/>
      <c r="F104" s="786"/>
      <c r="G104" s="786"/>
      <c r="H104" s="787"/>
      <c r="I104" s="780"/>
      <c r="J104" s="783"/>
      <c r="K104" s="783"/>
      <c r="L104" s="783"/>
      <c r="M104" s="784"/>
      <c r="N104" s="624"/>
      <c r="O104" s="624"/>
      <c r="P104" s="624"/>
      <c r="Q104" s="624"/>
      <c r="R104" s="624"/>
      <c r="S104" s="624"/>
      <c r="T104" s="624"/>
    </row>
    <row r="105" spans="1:20">
      <c r="A105" s="766"/>
      <c r="B105" s="694" t="s">
        <v>287</v>
      </c>
      <c r="C105" s="695"/>
      <c r="D105" s="780"/>
      <c r="E105" s="781"/>
      <c r="F105" s="781"/>
      <c r="G105" s="781"/>
      <c r="H105" s="782"/>
      <c r="I105" s="788">
        <f>SUM(I103:I104)</f>
        <v>0</v>
      </c>
      <c r="J105" s="788">
        <f>SUM(J103:J104)</f>
        <v>0</v>
      </c>
      <c r="K105" s="788">
        <f>SUM(K103:K104)</f>
        <v>0</v>
      </c>
      <c r="L105" s="788">
        <f>SUM(L103:L104)</f>
        <v>0</v>
      </c>
      <c r="M105" s="788">
        <f>SUM(M103:M104)</f>
        <v>0</v>
      </c>
      <c r="N105" s="624"/>
      <c r="O105" s="624"/>
      <c r="P105" s="624"/>
      <c r="Q105" s="624"/>
      <c r="R105" s="624"/>
      <c r="S105" s="624"/>
      <c r="T105" s="624"/>
    </row>
    <row r="106" spans="1:20" ht="13.5" thickBot="1">
      <c r="A106" s="766"/>
      <c r="B106" s="759" t="s">
        <v>853</v>
      </c>
      <c r="C106" s="710" t="s">
        <v>521</v>
      </c>
      <c r="D106" s="760">
        <f t="shared" ref="D106:M106" si="29">SUM(D83:D84,D87,D89:D90,D93,D95:D96,D99,D101:D102,D105)</f>
        <v>0</v>
      </c>
      <c r="E106" s="761">
        <f t="shared" si="29"/>
        <v>0</v>
      </c>
      <c r="F106" s="761">
        <f t="shared" si="29"/>
        <v>0</v>
      </c>
      <c r="G106" s="761">
        <f t="shared" si="29"/>
        <v>0</v>
      </c>
      <c r="H106" s="762">
        <f t="shared" si="29"/>
        <v>0</v>
      </c>
      <c r="I106" s="760">
        <f t="shared" si="29"/>
        <v>0</v>
      </c>
      <c r="J106" s="761">
        <f t="shared" si="29"/>
        <v>0</v>
      </c>
      <c r="K106" s="761">
        <f t="shared" si="29"/>
        <v>0</v>
      </c>
      <c r="L106" s="761">
        <f t="shared" si="29"/>
        <v>0</v>
      </c>
      <c r="M106" s="789">
        <f t="shared" si="29"/>
        <v>0</v>
      </c>
      <c r="N106" s="763"/>
      <c r="O106" s="624"/>
      <c r="P106" s="624"/>
      <c r="Q106" s="624"/>
      <c r="R106" s="624"/>
      <c r="S106" s="624"/>
      <c r="T106" s="624"/>
    </row>
    <row r="107" spans="1:20">
      <c r="B107" s="790"/>
      <c r="C107" s="684"/>
      <c r="D107" s="685"/>
      <c r="E107" s="685"/>
      <c r="F107" s="685"/>
      <c r="G107" s="685"/>
      <c r="H107" s="685"/>
      <c r="I107" s="685"/>
      <c r="J107" s="685"/>
      <c r="K107" s="685"/>
      <c r="L107" s="685"/>
      <c r="M107" s="685"/>
      <c r="N107" s="624"/>
      <c r="O107" s="685"/>
      <c r="P107" s="685"/>
      <c r="Q107" s="685"/>
      <c r="R107" s="624"/>
      <c r="S107" s="685"/>
      <c r="T107" s="685"/>
    </row>
    <row r="108" spans="1:20">
      <c r="B108" s="625" t="s">
        <v>292</v>
      </c>
      <c r="N108" s="624"/>
      <c r="O108" s="624"/>
      <c r="P108" s="624"/>
      <c r="Q108" s="624"/>
      <c r="R108" s="624"/>
      <c r="S108" s="624"/>
      <c r="T108" s="624"/>
    </row>
    <row r="109" spans="1:20" ht="13.5" thickBot="1">
      <c r="B109" s="625"/>
      <c r="F109" s="726"/>
      <c r="N109" s="624"/>
      <c r="O109" s="624"/>
      <c r="P109" s="624"/>
      <c r="Q109" s="624"/>
      <c r="R109" s="624"/>
      <c r="S109" s="624"/>
      <c r="T109" s="624"/>
    </row>
    <row r="110" spans="1:20">
      <c r="B110" s="1906"/>
      <c r="C110" s="1904" t="s">
        <v>31</v>
      </c>
      <c r="D110" s="627" t="s">
        <v>116</v>
      </c>
      <c r="E110" s="628"/>
      <c r="F110" s="628"/>
      <c r="G110" s="628"/>
      <c r="H110" s="629"/>
      <c r="I110" s="628" t="s">
        <v>117</v>
      </c>
      <c r="J110" s="630"/>
      <c r="K110" s="630"/>
      <c r="L110" s="630"/>
      <c r="M110" s="629"/>
      <c r="N110" s="624"/>
      <c r="O110" s="624"/>
      <c r="P110" s="624"/>
      <c r="Q110" s="624"/>
      <c r="R110" s="624"/>
      <c r="S110" s="624"/>
      <c r="T110" s="624"/>
    </row>
    <row r="111" spans="1:20">
      <c r="B111" s="1907"/>
      <c r="C111" s="1905"/>
      <c r="D111" s="635" t="s">
        <v>32</v>
      </c>
      <c r="E111" s="636" t="s">
        <v>33</v>
      </c>
      <c r="F111" s="636" t="s">
        <v>29</v>
      </c>
      <c r="G111" s="636" t="s">
        <v>34</v>
      </c>
      <c r="H111" s="637" t="s">
        <v>35</v>
      </c>
      <c r="I111" s="638" t="s">
        <v>118</v>
      </c>
      <c r="J111" s="636" t="s">
        <v>136</v>
      </c>
      <c r="K111" s="636" t="s">
        <v>137</v>
      </c>
      <c r="L111" s="636" t="s">
        <v>138</v>
      </c>
      <c r="M111" s="637" t="s">
        <v>139</v>
      </c>
      <c r="N111" s="624"/>
      <c r="O111" s="624"/>
      <c r="P111" s="624"/>
      <c r="Q111" s="624"/>
      <c r="R111" s="624"/>
      <c r="S111" s="624"/>
      <c r="T111" s="624"/>
    </row>
    <row r="112" spans="1:20">
      <c r="B112" s="712" t="s">
        <v>276</v>
      </c>
      <c r="C112" s="713"/>
      <c r="D112" s="714"/>
      <c r="E112" s="715"/>
      <c r="F112" s="715"/>
      <c r="G112" s="715"/>
      <c r="H112" s="716"/>
      <c r="I112" s="718"/>
      <c r="J112" s="718"/>
      <c r="K112" s="718"/>
      <c r="L112" s="718"/>
      <c r="M112" s="719"/>
      <c r="N112" s="720"/>
      <c r="O112" s="624"/>
      <c r="P112" s="624"/>
      <c r="Q112" s="624"/>
      <c r="R112" s="624"/>
      <c r="S112" s="624"/>
      <c r="T112" s="624"/>
    </row>
    <row r="113" spans="2:20">
      <c r="B113" s="721" t="s">
        <v>277</v>
      </c>
      <c r="C113" s="695"/>
      <c r="D113" s="722"/>
      <c r="E113" s="723"/>
      <c r="F113" s="723"/>
      <c r="G113" s="723"/>
      <c r="H113" s="724"/>
      <c r="I113" s="726"/>
      <c r="J113" s="726"/>
      <c r="K113" s="726"/>
      <c r="L113" s="726"/>
      <c r="M113" s="727"/>
      <c r="N113" s="720"/>
      <c r="O113" s="624"/>
      <c r="P113" s="624"/>
      <c r="Q113" s="624"/>
      <c r="R113" s="624"/>
      <c r="S113" s="624"/>
      <c r="T113" s="624"/>
    </row>
    <row r="114" spans="2:20">
      <c r="B114" s="728" t="s">
        <v>520</v>
      </c>
      <c r="C114" s="695" t="s">
        <v>521</v>
      </c>
      <c r="D114" s="771"/>
      <c r="E114" s="772"/>
      <c r="F114" s="772"/>
      <c r="G114" s="772"/>
      <c r="H114" s="773"/>
      <c r="I114" s="771"/>
      <c r="J114" s="774"/>
      <c r="K114" s="774"/>
      <c r="L114" s="774"/>
      <c r="M114" s="775"/>
      <c r="N114" s="624"/>
      <c r="O114" s="624"/>
      <c r="P114" s="624"/>
      <c r="Q114" s="624"/>
      <c r="R114" s="624"/>
      <c r="S114" s="624"/>
      <c r="T114" s="624"/>
    </row>
    <row r="115" spans="2:20">
      <c r="B115" s="733" t="s">
        <v>278</v>
      </c>
      <c r="C115" s="695"/>
      <c r="D115" s="771"/>
      <c r="E115" s="772"/>
      <c r="F115" s="772"/>
      <c r="G115" s="772"/>
      <c r="H115" s="773"/>
      <c r="I115" s="771"/>
      <c r="J115" s="774"/>
      <c r="K115" s="774"/>
      <c r="L115" s="774"/>
      <c r="M115" s="775"/>
      <c r="N115" s="624"/>
      <c r="O115" s="624"/>
      <c r="P115" s="624"/>
      <c r="Q115" s="624"/>
      <c r="R115" s="624"/>
      <c r="S115" s="624"/>
      <c r="T115" s="624"/>
    </row>
    <row r="116" spans="2:20">
      <c r="B116" s="694" t="s">
        <v>279</v>
      </c>
      <c r="C116" s="695"/>
      <c r="D116" s="746"/>
      <c r="E116" s="747"/>
      <c r="F116" s="747"/>
      <c r="G116" s="747"/>
      <c r="H116" s="748"/>
      <c r="I116" s="771"/>
      <c r="J116" s="774"/>
      <c r="K116" s="774"/>
      <c r="L116" s="774"/>
      <c r="M116" s="775"/>
      <c r="N116" s="624"/>
      <c r="O116" s="624"/>
      <c r="P116" s="624"/>
      <c r="Q116" s="624"/>
      <c r="R116" s="624"/>
      <c r="S116" s="624"/>
      <c r="T116" s="624"/>
    </row>
    <row r="117" spans="2:20">
      <c r="B117" s="694" t="s">
        <v>280</v>
      </c>
      <c r="C117" s="695" t="s">
        <v>521</v>
      </c>
      <c r="D117" s="746"/>
      <c r="E117" s="747"/>
      <c r="F117" s="747"/>
      <c r="G117" s="747"/>
      <c r="H117" s="748"/>
      <c r="I117" s="771"/>
      <c r="J117" s="774"/>
      <c r="K117" s="774"/>
      <c r="L117" s="774"/>
      <c r="M117" s="775"/>
      <c r="N117" s="624"/>
      <c r="O117" s="624"/>
      <c r="P117" s="624"/>
      <c r="Q117" s="624"/>
      <c r="R117" s="624"/>
      <c r="S117" s="624"/>
      <c r="T117" s="624"/>
    </row>
    <row r="118" spans="2:20">
      <c r="B118" s="694" t="s">
        <v>281</v>
      </c>
      <c r="C118" s="695"/>
      <c r="D118" s="771"/>
      <c r="E118" s="774"/>
      <c r="F118" s="774"/>
      <c r="G118" s="774"/>
      <c r="H118" s="773"/>
      <c r="I118" s="776">
        <f>SUM(I116:I117)</f>
        <v>0</v>
      </c>
      <c r="J118" s="777">
        <f>SUM(J116:J117)</f>
        <v>0</v>
      </c>
      <c r="K118" s="777">
        <f>SUM(K116:K117)</f>
        <v>0</v>
      </c>
      <c r="L118" s="777">
        <f>SUM(L116:L117)</f>
        <v>0</v>
      </c>
      <c r="M118" s="778">
        <f>SUM(M116:M117)</f>
        <v>0</v>
      </c>
      <c r="N118" s="624"/>
      <c r="O118" s="624"/>
      <c r="P118" s="624"/>
      <c r="Q118" s="624"/>
      <c r="R118" s="624"/>
      <c r="S118" s="624"/>
      <c r="T118" s="624"/>
    </row>
    <row r="119" spans="2:20">
      <c r="B119" s="737" t="s">
        <v>289</v>
      </c>
      <c r="C119" s="695"/>
      <c r="D119" s="738"/>
      <c r="E119" s="739"/>
      <c r="F119" s="739"/>
      <c r="G119" s="739"/>
      <c r="H119" s="740"/>
      <c r="I119" s="741"/>
      <c r="J119" s="742"/>
      <c r="K119" s="742"/>
      <c r="L119" s="779"/>
      <c r="M119" s="743"/>
      <c r="N119" s="720"/>
      <c r="O119" s="624"/>
      <c r="P119" s="624"/>
      <c r="Q119" s="624"/>
      <c r="R119" s="624"/>
      <c r="S119" s="624"/>
      <c r="T119" s="624"/>
    </row>
    <row r="120" spans="2:20">
      <c r="B120" s="744" t="s">
        <v>520</v>
      </c>
      <c r="C120" s="695" t="s">
        <v>521</v>
      </c>
      <c r="D120" s="771"/>
      <c r="E120" s="772"/>
      <c r="F120" s="772"/>
      <c r="G120" s="772"/>
      <c r="H120" s="773"/>
      <c r="I120" s="771"/>
      <c r="J120" s="774"/>
      <c r="K120" s="774"/>
      <c r="L120" s="774"/>
      <c r="M120" s="775"/>
      <c r="N120" s="624"/>
      <c r="O120" s="624"/>
      <c r="P120" s="624"/>
      <c r="Q120" s="624"/>
      <c r="R120" s="624"/>
      <c r="S120" s="624"/>
      <c r="T120" s="624"/>
    </row>
    <row r="121" spans="2:20">
      <c r="B121" s="745" t="s">
        <v>278</v>
      </c>
      <c r="C121" s="695"/>
      <c r="D121" s="771"/>
      <c r="E121" s="772"/>
      <c r="F121" s="772"/>
      <c r="G121" s="772"/>
      <c r="H121" s="773"/>
      <c r="I121" s="771"/>
      <c r="J121" s="774"/>
      <c r="K121" s="774"/>
      <c r="L121" s="774"/>
      <c r="M121" s="775"/>
      <c r="N121" s="624"/>
      <c r="O121" s="624"/>
      <c r="P121" s="624"/>
      <c r="Q121" s="624"/>
      <c r="R121" s="624"/>
      <c r="S121" s="624"/>
      <c r="T121" s="624"/>
    </row>
    <row r="122" spans="2:20">
      <c r="B122" s="694" t="s">
        <v>269</v>
      </c>
      <c r="C122" s="695"/>
      <c r="D122" s="746"/>
      <c r="E122" s="747"/>
      <c r="F122" s="747"/>
      <c r="G122" s="747"/>
      <c r="H122" s="748"/>
      <c r="I122" s="771"/>
      <c r="J122" s="774"/>
      <c r="K122" s="774"/>
      <c r="L122" s="774"/>
      <c r="M122" s="775"/>
      <c r="N122" s="624"/>
      <c r="O122" s="624"/>
      <c r="P122" s="624"/>
      <c r="Q122" s="624"/>
      <c r="R122" s="624"/>
      <c r="S122" s="624"/>
      <c r="T122" s="624"/>
    </row>
    <row r="123" spans="2:20">
      <c r="B123" s="694" t="s">
        <v>270</v>
      </c>
      <c r="C123" s="695" t="s">
        <v>521</v>
      </c>
      <c r="D123" s="746"/>
      <c r="E123" s="747"/>
      <c r="F123" s="747"/>
      <c r="G123" s="747"/>
      <c r="H123" s="748"/>
      <c r="I123" s="771"/>
      <c r="J123" s="774"/>
      <c r="K123" s="774"/>
      <c r="L123" s="774"/>
      <c r="M123" s="775"/>
      <c r="N123" s="624"/>
      <c r="O123" s="624"/>
      <c r="P123" s="624"/>
      <c r="Q123" s="624"/>
      <c r="R123" s="624"/>
      <c r="S123" s="624"/>
      <c r="T123" s="624"/>
    </row>
    <row r="124" spans="2:20">
      <c r="B124" s="694" t="s">
        <v>283</v>
      </c>
      <c r="C124" s="695"/>
      <c r="D124" s="771"/>
      <c r="E124" s="774"/>
      <c r="F124" s="774"/>
      <c r="G124" s="774"/>
      <c r="H124" s="773"/>
      <c r="I124" s="776">
        <f>SUM(I122:I123)</f>
        <v>0</v>
      </c>
      <c r="J124" s="776">
        <f>SUM(J122:J123)</f>
        <v>0</v>
      </c>
      <c r="K124" s="776">
        <f>SUM(K122:K123)</f>
        <v>0</v>
      </c>
      <c r="L124" s="776">
        <f>SUM(L122:L123)</f>
        <v>0</v>
      </c>
      <c r="M124" s="791">
        <f>SUM(M122:M123)</f>
        <v>0</v>
      </c>
      <c r="N124" s="624"/>
      <c r="O124" s="624"/>
      <c r="P124" s="624"/>
      <c r="Q124" s="624"/>
      <c r="R124" s="624"/>
      <c r="S124" s="624"/>
      <c r="T124" s="624"/>
    </row>
    <row r="125" spans="2:20">
      <c r="B125" s="737" t="s">
        <v>290</v>
      </c>
      <c r="C125" s="695"/>
      <c r="D125" s="738"/>
      <c r="E125" s="739"/>
      <c r="F125" s="739"/>
      <c r="G125" s="739"/>
      <c r="H125" s="740"/>
      <c r="I125" s="741"/>
      <c r="J125" s="742"/>
      <c r="K125" s="742"/>
      <c r="L125" s="779"/>
      <c r="M125" s="743"/>
      <c r="N125" s="720"/>
      <c r="O125" s="624"/>
      <c r="P125" s="624"/>
      <c r="Q125" s="624"/>
      <c r="R125" s="624"/>
      <c r="S125" s="624"/>
      <c r="T125" s="624"/>
    </row>
    <row r="126" spans="2:20">
      <c r="B126" s="744" t="s">
        <v>520</v>
      </c>
      <c r="C126" s="695" t="s">
        <v>521</v>
      </c>
      <c r="D126" s="771"/>
      <c r="E126" s="772"/>
      <c r="F126" s="772"/>
      <c r="G126" s="772"/>
      <c r="H126" s="773"/>
      <c r="I126" s="771"/>
      <c r="J126" s="774"/>
      <c r="K126" s="774"/>
      <c r="L126" s="774"/>
      <c r="M126" s="775"/>
      <c r="N126" s="624"/>
      <c r="O126" s="624"/>
      <c r="P126" s="624"/>
      <c r="Q126" s="624"/>
      <c r="R126" s="624"/>
      <c r="S126" s="624"/>
      <c r="T126" s="624"/>
    </row>
    <row r="127" spans="2:20">
      <c r="B127" s="745" t="s">
        <v>278</v>
      </c>
      <c r="C127" s="695"/>
      <c r="D127" s="771"/>
      <c r="E127" s="772"/>
      <c r="F127" s="772"/>
      <c r="G127" s="772"/>
      <c r="H127" s="773"/>
      <c r="I127" s="771"/>
      <c r="J127" s="774"/>
      <c r="K127" s="774"/>
      <c r="L127" s="774"/>
      <c r="M127" s="775"/>
      <c r="N127" s="624"/>
      <c r="O127" s="624"/>
      <c r="P127" s="624"/>
      <c r="Q127" s="624"/>
      <c r="R127" s="624"/>
      <c r="S127" s="624"/>
      <c r="T127" s="624"/>
    </row>
    <row r="128" spans="2:20">
      <c r="B128" s="694" t="s">
        <v>271</v>
      </c>
      <c r="C128" s="695"/>
      <c r="D128" s="734"/>
      <c r="E128" s="735"/>
      <c r="F128" s="735"/>
      <c r="G128" s="735"/>
      <c r="H128" s="736"/>
      <c r="I128" s="771"/>
      <c r="J128" s="774"/>
      <c r="K128" s="774"/>
      <c r="L128" s="774"/>
      <c r="M128" s="775"/>
      <c r="N128" s="624"/>
      <c r="O128" s="624"/>
      <c r="P128" s="624"/>
      <c r="Q128" s="624"/>
      <c r="R128" s="624"/>
      <c r="S128" s="624"/>
      <c r="T128" s="624"/>
    </row>
    <row r="129" spans="2:20">
      <c r="B129" s="694" t="s">
        <v>272</v>
      </c>
      <c r="C129" s="695" t="s">
        <v>521</v>
      </c>
      <c r="D129" s="734"/>
      <c r="E129" s="735"/>
      <c r="F129" s="735"/>
      <c r="G129" s="735"/>
      <c r="H129" s="736"/>
      <c r="I129" s="771"/>
      <c r="J129" s="774"/>
      <c r="K129" s="774"/>
      <c r="L129" s="774"/>
      <c r="M129" s="775"/>
      <c r="N129" s="624"/>
      <c r="O129" s="624"/>
      <c r="P129" s="624"/>
      <c r="Q129" s="624"/>
      <c r="R129" s="624"/>
      <c r="S129" s="624"/>
      <c r="T129" s="624"/>
    </row>
    <row r="130" spans="2:20">
      <c r="B130" s="694" t="s">
        <v>285</v>
      </c>
      <c r="C130" s="695"/>
      <c r="D130" s="771"/>
      <c r="E130" s="774"/>
      <c r="F130" s="774"/>
      <c r="G130" s="774"/>
      <c r="H130" s="773"/>
      <c r="I130" s="776">
        <f>SUM(I128:I129)</f>
        <v>0</v>
      </c>
      <c r="J130" s="776">
        <f>SUM(J128:J129)</f>
        <v>0</v>
      </c>
      <c r="K130" s="776">
        <f>SUM(K128:K129)</f>
        <v>0</v>
      </c>
      <c r="L130" s="776">
        <f>SUM(L128:L129)</f>
        <v>0</v>
      </c>
      <c r="M130" s="791">
        <f>SUM(M128:M129)</f>
        <v>0</v>
      </c>
      <c r="N130" s="624"/>
      <c r="O130" s="624"/>
      <c r="P130" s="624"/>
      <c r="Q130" s="624"/>
      <c r="R130" s="624"/>
      <c r="S130" s="624"/>
      <c r="T130" s="624"/>
    </row>
    <row r="131" spans="2:20">
      <c r="B131" s="737" t="s">
        <v>291</v>
      </c>
      <c r="C131" s="695"/>
      <c r="D131" s="738"/>
      <c r="E131" s="739"/>
      <c r="F131" s="739"/>
      <c r="G131" s="739"/>
      <c r="H131" s="740"/>
      <c r="I131" s="741"/>
      <c r="J131" s="742"/>
      <c r="K131" s="742"/>
      <c r="L131" s="779"/>
      <c r="M131" s="743"/>
      <c r="N131" s="720"/>
      <c r="O131" s="624"/>
      <c r="P131" s="624"/>
      <c r="Q131" s="624"/>
      <c r="R131" s="624"/>
      <c r="S131" s="624"/>
      <c r="T131" s="624"/>
    </row>
    <row r="132" spans="2:20">
      <c r="B132" s="744" t="s">
        <v>520</v>
      </c>
      <c r="C132" s="695" t="s">
        <v>521</v>
      </c>
      <c r="D132" s="780"/>
      <c r="E132" s="781"/>
      <c r="F132" s="781"/>
      <c r="G132" s="781"/>
      <c r="H132" s="782"/>
      <c r="I132" s="780"/>
      <c r="J132" s="783"/>
      <c r="K132" s="783"/>
      <c r="L132" s="783"/>
      <c r="M132" s="784"/>
      <c r="N132" s="624"/>
      <c r="O132" s="624"/>
      <c r="P132" s="624"/>
      <c r="Q132" s="624"/>
      <c r="R132" s="624"/>
      <c r="S132" s="624"/>
      <c r="T132" s="624"/>
    </row>
    <row r="133" spans="2:20">
      <c r="B133" s="745" t="s">
        <v>278</v>
      </c>
      <c r="C133" s="695"/>
      <c r="D133" s="780"/>
      <c r="E133" s="781"/>
      <c r="F133" s="781"/>
      <c r="G133" s="781"/>
      <c r="H133" s="782"/>
      <c r="I133" s="780"/>
      <c r="J133" s="783"/>
      <c r="K133" s="783"/>
      <c r="L133" s="783"/>
      <c r="M133" s="784"/>
      <c r="N133" s="624"/>
      <c r="O133" s="624"/>
      <c r="P133" s="624"/>
      <c r="Q133" s="624"/>
      <c r="R133" s="624"/>
      <c r="S133" s="624"/>
      <c r="T133" s="624"/>
    </row>
    <row r="134" spans="2:20">
      <c r="B134" s="694" t="s">
        <v>273</v>
      </c>
      <c r="C134" s="695"/>
      <c r="D134" s="785"/>
      <c r="E134" s="786"/>
      <c r="F134" s="786"/>
      <c r="G134" s="786"/>
      <c r="H134" s="787"/>
      <c r="I134" s="780"/>
      <c r="J134" s="783"/>
      <c r="K134" s="783"/>
      <c r="L134" s="783"/>
      <c r="M134" s="784"/>
      <c r="N134" s="624"/>
      <c r="O134" s="624"/>
      <c r="P134" s="624"/>
      <c r="Q134" s="624"/>
      <c r="R134" s="624"/>
      <c r="S134" s="624"/>
      <c r="T134" s="624"/>
    </row>
    <row r="135" spans="2:20">
      <c r="B135" s="694" t="s">
        <v>274</v>
      </c>
      <c r="C135" s="695" t="s">
        <v>521</v>
      </c>
      <c r="D135" s="785"/>
      <c r="E135" s="786"/>
      <c r="F135" s="786"/>
      <c r="G135" s="786"/>
      <c r="H135" s="787"/>
      <c r="I135" s="780"/>
      <c r="J135" s="783"/>
      <c r="K135" s="783"/>
      <c r="L135" s="783"/>
      <c r="M135" s="784"/>
      <c r="N135" s="624"/>
      <c r="O135" s="624"/>
      <c r="P135" s="624"/>
      <c r="Q135" s="624"/>
      <c r="R135" s="624"/>
      <c r="S135" s="624"/>
      <c r="T135" s="624"/>
    </row>
    <row r="136" spans="2:20">
      <c r="B136" s="694" t="s">
        <v>287</v>
      </c>
      <c r="C136" s="695"/>
      <c r="D136" s="780"/>
      <c r="E136" s="781"/>
      <c r="F136" s="781"/>
      <c r="G136" s="781"/>
      <c r="H136" s="782"/>
      <c r="I136" s="788">
        <f>SUM(I134:I135)</f>
        <v>0</v>
      </c>
      <c r="J136" s="788">
        <f>SUM(J134:J135)</f>
        <v>0</v>
      </c>
      <c r="K136" s="788">
        <f>SUM(K134:K135)</f>
        <v>0</v>
      </c>
      <c r="L136" s="788">
        <f>SUM(L134:L135)</f>
        <v>0</v>
      </c>
      <c r="M136" s="792">
        <f>SUM(M134:M135)</f>
        <v>0</v>
      </c>
      <c r="N136" s="624"/>
      <c r="O136" s="624"/>
      <c r="P136" s="624"/>
      <c r="Q136" s="624"/>
      <c r="R136" s="624"/>
      <c r="S136" s="624"/>
      <c r="T136" s="624"/>
    </row>
    <row r="137" spans="2:20" ht="13.5" thickBot="1">
      <c r="B137" s="759" t="s">
        <v>853</v>
      </c>
      <c r="C137" s="710" t="s">
        <v>521</v>
      </c>
      <c r="D137" s="760">
        <f t="shared" ref="D137:M137" si="30">SUM(D114:D115,D118,D120:D121,D124,D126:D127,D130,D132:D133,D136)</f>
        <v>0</v>
      </c>
      <c r="E137" s="761">
        <f t="shared" si="30"/>
        <v>0</v>
      </c>
      <c r="F137" s="761">
        <f t="shared" si="30"/>
        <v>0</v>
      </c>
      <c r="G137" s="761">
        <f t="shared" si="30"/>
        <v>0</v>
      </c>
      <c r="H137" s="762">
        <f t="shared" si="30"/>
        <v>0</v>
      </c>
      <c r="I137" s="760">
        <f t="shared" si="30"/>
        <v>0</v>
      </c>
      <c r="J137" s="761">
        <f t="shared" si="30"/>
        <v>0</v>
      </c>
      <c r="K137" s="761">
        <f t="shared" si="30"/>
        <v>0</v>
      </c>
      <c r="L137" s="761">
        <f t="shared" si="30"/>
        <v>0</v>
      </c>
      <c r="M137" s="789">
        <f t="shared" si="30"/>
        <v>0</v>
      </c>
      <c r="N137" s="763"/>
      <c r="O137" s="624"/>
      <c r="P137" s="624"/>
      <c r="Q137" s="624"/>
      <c r="R137" s="624"/>
      <c r="S137" s="624"/>
      <c r="T137" s="624"/>
    </row>
    <row r="138" spans="2:20">
      <c r="B138" s="790"/>
      <c r="C138" s="684"/>
      <c r="D138" s="685"/>
      <c r="E138" s="685"/>
      <c r="F138" s="685"/>
      <c r="G138" s="685"/>
      <c r="H138" s="685"/>
      <c r="I138" s="685"/>
      <c r="J138" s="685"/>
      <c r="K138" s="685"/>
      <c r="L138" s="685"/>
      <c r="M138" s="685"/>
      <c r="N138" s="624"/>
      <c r="O138" s="685"/>
      <c r="P138" s="685"/>
      <c r="Q138" s="685"/>
      <c r="R138" s="624"/>
      <c r="S138" s="685"/>
      <c r="T138" s="685"/>
    </row>
    <row r="139" spans="2:20">
      <c r="B139" s="790"/>
      <c r="C139" s="684"/>
      <c r="D139" s="685"/>
      <c r="E139" s="685"/>
      <c r="F139" s="685"/>
      <c r="G139" s="685"/>
      <c r="H139" s="685"/>
      <c r="I139" s="685"/>
      <c r="J139" s="685"/>
      <c r="K139" s="685"/>
      <c r="L139" s="685"/>
      <c r="M139" s="685"/>
      <c r="N139" s="624"/>
      <c r="O139" s="685"/>
      <c r="P139" s="685"/>
      <c r="Q139" s="685"/>
      <c r="R139" s="624"/>
      <c r="S139" s="685"/>
      <c r="T139" s="685"/>
    </row>
    <row r="140" spans="2:20">
      <c r="B140" s="790"/>
      <c r="C140" s="684"/>
      <c r="D140" s="685"/>
      <c r="E140" s="685"/>
      <c r="F140" s="685"/>
      <c r="G140" s="685"/>
      <c r="H140" s="685"/>
      <c r="I140" s="685"/>
      <c r="J140" s="685"/>
      <c r="K140" s="685"/>
      <c r="L140" s="685"/>
      <c r="M140" s="685"/>
      <c r="N140" s="624"/>
      <c r="O140" s="685"/>
      <c r="P140" s="685"/>
      <c r="Q140" s="685"/>
      <c r="R140" s="624"/>
      <c r="S140" s="685"/>
      <c r="T140" s="685"/>
    </row>
    <row r="141" spans="2:20">
      <c r="B141" s="683" t="s">
        <v>293</v>
      </c>
      <c r="C141" s="684"/>
      <c r="D141" s="685"/>
      <c r="E141" s="685"/>
      <c r="F141" s="685"/>
      <c r="G141" s="685"/>
      <c r="H141" s="685"/>
      <c r="I141" s="685"/>
      <c r="J141" s="685"/>
      <c r="K141" s="685"/>
      <c r="L141" s="685"/>
      <c r="M141" s="685"/>
      <c r="N141" s="624"/>
      <c r="O141" s="685"/>
      <c r="P141" s="685"/>
      <c r="Q141" s="685"/>
      <c r="R141" s="624"/>
      <c r="S141" s="685"/>
      <c r="T141" s="685"/>
    </row>
    <row r="142" spans="2:20" ht="13.5" thickBot="1">
      <c r="B142" s="683"/>
      <c r="C142" s="684"/>
      <c r="D142" s="685"/>
      <c r="E142" s="685"/>
      <c r="F142" s="685"/>
      <c r="G142" s="685"/>
      <c r="H142" s="685"/>
      <c r="I142" s="685"/>
      <c r="J142" s="685"/>
      <c r="K142" s="685"/>
      <c r="L142" s="685"/>
      <c r="M142" s="685"/>
      <c r="N142" s="624"/>
      <c r="O142" s="685"/>
      <c r="P142" s="685"/>
      <c r="Q142" s="685"/>
      <c r="R142" s="624"/>
      <c r="S142" s="685"/>
      <c r="T142" s="685"/>
    </row>
    <row r="143" spans="2:20">
      <c r="B143" s="1902" t="s">
        <v>857</v>
      </c>
      <c r="C143" s="1904" t="s">
        <v>31</v>
      </c>
      <c r="D143" s="627" t="s">
        <v>116</v>
      </c>
      <c r="E143" s="628"/>
      <c r="F143" s="628"/>
      <c r="G143" s="628"/>
      <c r="H143" s="629"/>
      <c r="I143" s="628" t="s">
        <v>117</v>
      </c>
      <c r="J143" s="630"/>
      <c r="K143" s="630"/>
      <c r="L143" s="630"/>
      <c r="M143" s="629"/>
      <c r="N143" s="624"/>
      <c r="O143" s="631" t="s">
        <v>116</v>
      </c>
      <c r="P143" s="632"/>
      <c r="Q143" s="633"/>
      <c r="R143" s="624"/>
      <c r="S143" s="631" t="s">
        <v>117</v>
      </c>
      <c r="T143" s="633"/>
    </row>
    <row r="144" spans="2:20">
      <c r="B144" s="1903"/>
      <c r="C144" s="1905"/>
      <c r="D144" s="635" t="s">
        <v>32</v>
      </c>
      <c r="E144" s="636" t="s">
        <v>33</v>
      </c>
      <c r="F144" s="636" t="s">
        <v>29</v>
      </c>
      <c r="G144" s="636" t="s">
        <v>34</v>
      </c>
      <c r="H144" s="637" t="s">
        <v>35</v>
      </c>
      <c r="I144" s="638" t="s">
        <v>118</v>
      </c>
      <c r="J144" s="636" t="s">
        <v>136</v>
      </c>
      <c r="K144" s="636" t="s">
        <v>137</v>
      </c>
      <c r="L144" s="636" t="s">
        <v>138</v>
      </c>
      <c r="M144" s="637" t="s">
        <v>139</v>
      </c>
      <c r="N144" s="624"/>
      <c r="O144" s="639" t="s">
        <v>126</v>
      </c>
      <c r="P144" s="640" t="s">
        <v>127</v>
      </c>
      <c r="Q144" s="641" t="s">
        <v>246</v>
      </c>
      <c r="R144" s="624"/>
      <c r="S144" s="639" t="s">
        <v>127</v>
      </c>
      <c r="T144" s="641" t="s">
        <v>128</v>
      </c>
    </row>
    <row r="145" spans="2:20">
      <c r="B145" s="793" t="s">
        <v>862</v>
      </c>
      <c r="C145" s="794"/>
      <c r="D145" s="714"/>
      <c r="E145" s="715"/>
      <c r="F145" s="715"/>
      <c r="G145" s="715"/>
      <c r="H145" s="716"/>
      <c r="I145" s="718"/>
      <c r="J145" s="718"/>
      <c r="K145" s="718"/>
      <c r="L145" s="718"/>
      <c r="M145" s="719"/>
      <c r="N145" s="624"/>
      <c r="O145" s="717"/>
      <c r="P145" s="718"/>
      <c r="Q145" s="719"/>
      <c r="R145" s="624"/>
      <c r="S145" s="717"/>
      <c r="T145" s="719"/>
    </row>
    <row r="146" spans="2:20">
      <c r="B146" s="686" t="s">
        <v>671</v>
      </c>
      <c r="C146" s="687"/>
      <c r="D146" s="688"/>
      <c r="E146" s="689"/>
      <c r="F146" s="689"/>
      <c r="G146" s="689"/>
      <c r="H146" s="690"/>
      <c r="I146" s="689"/>
      <c r="J146" s="689"/>
      <c r="K146" s="689"/>
      <c r="L146" s="689"/>
      <c r="M146" s="690"/>
      <c r="N146" s="624"/>
      <c r="O146" s="691"/>
      <c r="P146" s="692"/>
      <c r="Q146" s="693"/>
      <c r="R146" s="624"/>
      <c r="S146" s="688"/>
      <c r="T146" s="690"/>
    </row>
    <row r="147" spans="2:20">
      <c r="B147" s="694" t="s">
        <v>267</v>
      </c>
      <c r="C147" s="695" t="s">
        <v>14</v>
      </c>
      <c r="D147" s="795"/>
      <c r="E147" s="796"/>
      <c r="F147" s="796"/>
      <c r="G147" s="796"/>
      <c r="H147" s="797"/>
      <c r="I147" s="672"/>
      <c r="J147" s="674"/>
      <c r="K147" s="674"/>
      <c r="L147" s="674"/>
      <c r="M147" s="673"/>
      <c r="N147" s="624"/>
      <c r="O147" s="668"/>
      <c r="P147" s="669"/>
      <c r="Q147" s="670"/>
      <c r="R147" s="624"/>
      <c r="S147" s="668"/>
      <c r="T147" s="671"/>
    </row>
    <row r="148" spans="2:20">
      <c r="B148" s="694" t="s">
        <v>294</v>
      </c>
      <c r="C148" s="695" t="s">
        <v>295</v>
      </c>
      <c r="D148" s="798"/>
      <c r="E148" s="799"/>
      <c r="F148" s="799"/>
      <c r="G148" s="799"/>
      <c r="H148" s="800"/>
      <c r="I148" s="801"/>
      <c r="J148" s="802"/>
      <c r="K148" s="802"/>
      <c r="L148" s="802"/>
      <c r="M148" s="803"/>
      <c r="N148" s="624"/>
      <c r="O148" s="668"/>
      <c r="P148" s="669"/>
      <c r="Q148" s="670"/>
      <c r="R148" s="624"/>
      <c r="S148" s="668"/>
      <c r="T148" s="671"/>
    </row>
    <row r="149" spans="2:20">
      <c r="B149" s="694" t="s">
        <v>296</v>
      </c>
      <c r="C149" s="695" t="s">
        <v>295</v>
      </c>
      <c r="D149" s="798"/>
      <c r="E149" s="799"/>
      <c r="F149" s="799"/>
      <c r="G149" s="799"/>
      <c r="H149" s="800"/>
      <c r="I149" s="804">
        <f>1-I148</f>
        <v>1</v>
      </c>
      <c r="J149" s="805">
        <f>1-J148</f>
        <v>1</v>
      </c>
      <c r="K149" s="805">
        <f>1-K148</f>
        <v>1</v>
      </c>
      <c r="L149" s="805">
        <f>1-L148</f>
        <v>1</v>
      </c>
      <c r="M149" s="806">
        <f>1-M148</f>
        <v>1</v>
      </c>
      <c r="N149" s="624"/>
      <c r="O149" s="668"/>
      <c r="P149" s="669"/>
      <c r="Q149" s="670"/>
      <c r="R149" s="624"/>
      <c r="S149" s="668"/>
      <c r="T149" s="671"/>
    </row>
    <row r="150" spans="2:20">
      <c r="B150" s="694" t="s">
        <v>268</v>
      </c>
      <c r="C150" s="695" t="s">
        <v>14</v>
      </c>
      <c r="D150" s="795"/>
      <c r="E150" s="796"/>
      <c r="F150" s="796"/>
      <c r="G150" s="796"/>
      <c r="H150" s="797"/>
      <c r="I150" s="672"/>
      <c r="J150" s="674"/>
      <c r="K150" s="674"/>
      <c r="L150" s="674"/>
      <c r="M150" s="673"/>
      <c r="N150" s="624"/>
      <c r="O150" s="668"/>
      <c r="P150" s="669"/>
      <c r="Q150" s="670"/>
      <c r="R150" s="624"/>
      <c r="S150" s="668"/>
      <c r="T150" s="671"/>
    </row>
    <row r="151" spans="2:20">
      <c r="B151" s="694" t="s">
        <v>297</v>
      </c>
      <c r="C151" s="695" t="s">
        <v>295</v>
      </c>
      <c r="D151" s="795"/>
      <c r="E151" s="796"/>
      <c r="F151" s="796"/>
      <c r="G151" s="796"/>
      <c r="H151" s="797"/>
      <c r="I151" s="672"/>
      <c r="J151" s="674"/>
      <c r="K151" s="674"/>
      <c r="L151" s="674"/>
      <c r="M151" s="673"/>
      <c r="N151" s="624"/>
      <c r="O151" s="668"/>
      <c r="P151" s="669"/>
      <c r="Q151" s="670"/>
      <c r="R151" s="624"/>
      <c r="S151" s="668"/>
      <c r="T151" s="671"/>
    </row>
    <row r="152" spans="2:20">
      <c r="B152" s="694" t="s">
        <v>298</v>
      </c>
      <c r="C152" s="695" t="s">
        <v>295</v>
      </c>
      <c r="D152" s="798"/>
      <c r="E152" s="799"/>
      <c r="F152" s="799"/>
      <c r="G152" s="799"/>
      <c r="H152" s="800"/>
      <c r="I152" s="804">
        <f>1-I151</f>
        <v>1</v>
      </c>
      <c r="J152" s="805">
        <f>1-J151</f>
        <v>1</v>
      </c>
      <c r="K152" s="805">
        <f>1-K151</f>
        <v>1</v>
      </c>
      <c r="L152" s="805">
        <f>1-L151</f>
        <v>1</v>
      </c>
      <c r="M152" s="806">
        <f>1-M151</f>
        <v>1</v>
      </c>
      <c r="N152" s="624"/>
      <c r="O152" s="668"/>
      <c r="P152" s="669"/>
      <c r="Q152" s="670"/>
      <c r="R152" s="624"/>
      <c r="S152" s="668"/>
      <c r="T152" s="671"/>
    </row>
    <row r="153" spans="2:20">
      <c r="B153" s="702" t="s">
        <v>865</v>
      </c>
      <c r="C153" s="695" t="s">
        <v>14</v>
      </c>
      <c r="D153" s="657"/>
      <c r="E153" s="672"/>
      <c r="F153" s="672"/>
      <c r="G153" s="672"/>
      <c r="H153" s="673"/>
      <c r="I153" s="703">
        <f>SUM(I147,I150)</f>
        <v>0</v>
      </c>
      <c r="J153" s="648">
        <f>SUM(J147,J150)</f>
        <v>0</v>
      </c>
      <c r="K153" s="648">
        <f>SUM(K147,K150)</f>
        <v>0</v>
      </c>
      <c r="L153" s="648">
        <f>SUM(L147,L150)</f>
        <v>0</v>
      </c>
      <c r="M153" s="649">
        <f>SUM(M147,M150)</f>
        <v>0</v>
      </c>
      <c r="N153" s="624"/>
      <c r="O153" s="647">
        <f>SUM(D153:G153)</f>
        <v>0</v>
      </c>
      <c r="P153" s="648">
        <f>SUM(H153)</f>
        <v>0</v>
      </c>
      <c r="Q153" s="649">
        <f>SUM(D153:H153)</f>
        <v>0</v>
      </c>
      <c r="R153" s="624"/>
      <c r="S153" s="647">
        <f>SUM(I153:M153)</f>
        <v>0</v>
      </c>
      <c r="T153" s="650" t="str">
        <f>IF(Q153&lt;&gt;0,(S153-Q153)/Q153,"0")</f>
        <v>0</v>
      </c>
    </row>
    <row r="154" spans="2:20">
      <c r="B154" s="686" t="s">
        <v>299</v>
      </c>
      <c r="C154" s="704"/>
      <c r="D154" s="705"/>
      <c r="E154" s="706"/>
      <c r="F154" s="706"/>
      <c r="G154" s="706"/>
      <c r="H154" s="707"/>
      <c r="I154" s="706"/>
      <c r="J154" s="706"/>
      <c r="K154" s="706"/>
      <c r="L154" s="706"/>
      <c r="M154" s="707"/>
      <c r="N154" s="624"/>
      <c r="O154" s="708"/>
      <c r="P154" s="706"/>
      <c r="Q154" s="707"/>
      <c r="R154" s="624"/>
      <c r="S154" s="705"/>
      <c r="T154" s="707"/>
    </row>
    <row r="155" spans="2:20">
      <c r="B155" s="694" t="s">
        <v>269</v>
      </c>
      <c r="C155" s="695" t="s">
        <v>14</v>
      </c>
      <c r="D155" s="795"/>
      <c r="E155" s="796"/>
      <c r="F155" s="796"/>
      <c r="G155" s="796"/>
      <c r="H155" s="797"/>
      <c r="I155" s="672"/>
      <c r="J155" s="674"/>
      <c r="K155" s="674"/>
      <c r="L155" s="674"/>
      <c r="M155" s="673"/>
      <c r="N155" s="624"/>
      <c r="O155" s="668"/>
      <c r="P155" s="669"/>
      <c r="Q155" s="670"/>
      <c r="R155" s="624"/>
      <c r="S155" s="668"/>
      <c r="T155" s="671"/>
    </row>
    <row r="156" spans="2:20">
      <c r="B156" s="694" t="s">
        <v>300</v>
      </c>
      <c r="C156" s="695" t="s">
        <v>295</v>
      </c>
      <c r="D156" s="798"/>
      <c r="E156" s="799"/>
      <c r="F156" s="799"/>
      <c r="G156" s="799"/>
      <c r="H156" s="800"/>
      <c r="I156" s="801"/>
      <c r="J156" s="802"/>
      <c r="K156" s="802"/>
      <c r="L156" s="802"/>
      <c r="M156" s="803"/>
      <c r="N156" s="624"/>
      <c r="O156" s="668"/>
      <c r="P156" s="669"/>
      <c r="Q156" s="670"/>
      <c r="R156" s="624"/>
      <c r="S156" s="668"/>
      <c r="T156" s="671"/>
    </row>
    <row r="157" spans="2:20">
      <c r="B157" s="694" t="s">
        <v>301</v>
      </c>
      <c r="C157" s="695" t="s">
        <v>295</v>
      </c>
      <c r="D157" s="798"/>
      <c r="E157" s="799"/>
      <c r="F157" s="799"/>
      <c r="G157" s="799"/>
      <c r="H157" s="800"/>
      <c r="I157" s="804">
        <f>1-I156</f>
        <v>1</v>
      </c>
      <c r="J157" s="805">
        <f>1-J156</f>
        <v>1</v>
      </c>
      <c r="K157" s="805">
        <f>1-K156</f>
        <v>1</v>
      </c>
      <c r="L157" s="805">
        <f>1-L156</f>
        <v>1</v>
      </c>
      <c r="M157" s="806">
        <f>1-M156</f>
        <v>1</v>
      </c>
      <c r="N157" s="624"/>
      <c r="O157" s="668"/>
      <c r="P157" s="669"/>
      <c r="Q157" s="670"/>
      <c r="R157" s="624"/>
      <c r="S157" s="668"/>
      <c r="T157" s="671"/>
    </row>
    <row r="158" spans="2:20">
      <c r="B158" s="694" t="s">
        <v>270</v>
      </c>
      <c r="C158" s="695" t="s">
        <v>14</v>
      </c>
      <c r="D158" s="795"/>
      <c r="E158" s="796"/>
      <c r="F158" s="796"/>
      <c r="G158" s="796"/>
      <c r="H158" s="797"/>
      <c r="I158" s="672"/>
      <c r="J158" s="674"/>
      <c r="K158" s="674"/>
      <c r="L158" s="674"/>
      <c r="M158" s="673"/>
      <c r="N158" s="624"/>
      <c r="O158" s="668"/>
      <c r="P158" s="669"/>
      <c r="Q158" s="670"/>
      <c r="R158" s="624"/>
      <c r="S158" s="668"/>
      <c r="T158" s="671"/>
    </row>
    <row r="159" spans="2:20">
      <c r="B159" s="694" t="s">
        <v>302</v>
      </c>
      <c r="C159" s="695" t="s">
        <v>295</v>
      </c>
      <c r="D159" s="795"/>
      <c r="E159" s="796"/>
      <c r="F159" s="796"/>
      <c r="G159" s="796"/>
      <c r="H159" s="797"/>
      <c r="I159" s="672"/>
      <c r="J159" s="674"/>
      <c r="K159" s="674"/>
      <c r="L159" s="674"/>
      <c r="M159" s="673"/>
      <c r="N159" s="624"/>
      <c r="O159" s="668"/>
      <c r="P159" s="669"/>
      <c r="Q159" s="670"/>
      <c r="R159" s="624"/>
      <c r="S159" s="668"/>
      <c r="T159" s="671"/>
    </row>
    <row r="160" spans="2:20">
      <c r="B160" s="694" t="s">
        <v>303</v>
      </c>
      <c r="C160" s="695" t="s">
        <v>295</v>
      </c>
      <c r="D160" s="798"/>
      <c r="E160" s="799"/>
      <c r="F160" s="799"/>
      <c r="G160" s="799"/>
      <c r="H160" s="800"/>
      <c r="I160" s="804">
        <f>1-I159</f>
        <v>1</v>
      </c>
      <c r="J160" s="805">
        <f>1-J159</f>
        <v>1</v>
      </c>
      <c r="K160" s="805">
        <f>1-K159</f>
        <v>1</v>
      </c>
      <c r="L160" s="805">
        <f>1-L159</f>
        <v>1</v>
      </c>
      <c r="M160" s="806">
        <f>1-M159</f>
        <v>1</v>
      </c>
      <c r="N160" s="624"/>
      <c r="O160" s="668"/>
      <c r="P160" s="669"/>
      <c r="Q160" s="670"/>
      <c r="R160" s="624"/>
      <c r="S160" s="668"/>
      <c r="T160" s="671"/>
    </row>
    <row r="161" spans="2:20">
      <c r="B161" s="702" t="s">
        <v>866</v>
      </c>
      <c r="C161" s="695" t="s">
        <v>14</v>
      </c>
      <c r="D161" s="657"/>
      <c r="E161" s="672"/>
      <c r="F161" s="672"/>
      <c r="G161" s="672"/>
      <c r="H161" s="673"/>
      <c r="I161" s="703">
        <f>SUM(I155,I158)</f>
        <v>0</v>
      </c>
      <c r="J161" s="648">
        <f>SUM(J155,J158)</f>
        <v>0</v>
      </c>
      <c r="K161" s="648">
        <f>SUM(K155,K158)</f>
        <v>0</v>
      </c>
      <c r="L161" s="648">
        <f>SUM(L155,L158)</f>
        <v>0</v>
      </c>
      <c r="M161" s="649">
        <f>SUM(M155,M158)</f>
        <v>0</v>
      </c>
      <c r="N161" s="624"/>
      <c r="O161" s="647">
        <f>SUM(D161:G161)</f>
        <v>0</v>
      </c>
      <c r="P161" s="648">
        <f>SUM(H161)</f>
        <v>0</v>
      </c>
      <c r="Q161" s="649">
        <f>SUM(D161:H161)</f>
        <v>0</v>
      </c>
      <c r="R161" s="624"/>
      <c r="S161" s="647">
        <f>SUM(I161:M161)</f>
        <v>0</v>
      </c>
      <c r="T161" s="650" t="str">
        <f>IF(Q161&lt;&gt;0,(S161-Q161)/Q161,"0")</f>
        <v>0</v>
      </c>
    </row>
    <row r="162" spans="2:20">
      <c r="B162" s="686" t="s">
        <v>304</v>
      </c>
      <c r="C162" s="704"/>
      <c r="D162" s="705"/>
      <c r="E162" s="706"/>
      <c r="F162" s="706"/>
      <c r="G162" s="706"/>
      <c r="H162" s="707"/>
      <c r="I162" s="706"/>
      <c r="J162" s="706"/>
      <c r="K162" s="706"/>
      <c r="L162" s="706"/>
      <c r="M162" s="707"/>
      <c r="N162" s="624"/>
      <c r="O162" s="705"/>
      <c r="P162" s="706"/>
      <c r="Q162" s="707"/>
      <c r="R162" s="624"/>
      <c r="S162" s="705"/>
      <c r="T162" s="707"/>
    </row>
    <row r="163" spans="2:20">
      <c r="B163" s="694" t="s">
        <v>271</v>
      </c>
      <c r="C163" s="695" t="s">
        <v>14</v>
      </c>
      <c r="D163" s="795"/>
      <c r="E163" s="796"/>
      <c r="F163" s="796"/>
      <c r="G163" s="796"/>
      <c r="H163" s="797"/>
      <c r="I163" s="672"/>
      <c r="J163" s="674"/>
      <c r="K163" s="674"/>
      <c r="L163" s="674"/>
      <c r="M163" s="673"/>
      <c r="N163" s="624"/>
      <c r="O163" s="668"/>
      <c r="P163" s="669"/>
      <c r="Q163" s="670"/>
      <c r="R163" s="624"/>
      <c r="S163" s="668"/>
      <c r="T163" s="671"/>
    </row>
    <row r="164" spans="2:20">
      <c r="B164" s="694" t="s">
        <v>305</v>
      </c>
      <c r="C164" s="695" t="s">
        <v>295</v>
      </c>
      <c r="D164" s="798"/>
      <c r="E164" s="799"/>
      <c r="F164" s="799"/>
      <c r="G164" s="799"/>
      <c r="H164" s="800"/>
      <c r="I164" s="801"/>
      <c r="J164" s="802"/>
      <c r="K164" s="802"/>
      <c r="L164" s="802"/>
      <c r="M164" s="803"/>
      <c r="N164" s="624"/>
      <c r="O164" s="668"/>
      <c r="P164" s="669"/>
      <c r="Q164" s="670"/>
      <c r="R164" s="624"/>
      <c r="S164" s="668"/>
      <c r="T164" s="671"/>
    </row>
    <row r="165" spans="2:20">
      <c r="B165" s="694" t="s">
        <v>306</v>
      </c>
      <c r="C165" s="695" t="s">
        <v>295</v>
      </c>
      <c r="D165" s="798"/>
      <c r="E165" s="799"/>
      <c r="F165" s="799"/>
      <c r="G165" s="799"/>
      <c r="H165" s="800"/>
      <c r="I165" s="804">
        <f>1-I164</f>
        <v>1</v>
      </c>
      <c r="J165" s="805">
        <f>1-J164</f>
        <v>1</v>
      </c>
      <c r="K165" s="805">
        <f>1-K164</f>
        <v>1</v>
      </c>
      <c r="L165" s="805">
        <f>1-L164</f>
        <v>1</v>
      </c>
      <c r="M165" s="806">
        <f>1-M164</f>
        <v>1</v>
      </c>
      <c r="N165" s="624"/>
      <c r="O165" s="668"/>
      <c r="P165" s="669"/>
      <c r="Q165" s="670"/>
      <c r="R165" s="624"/>
      <c r="S165" s="668"/>
      <c r="T165" s="671"/>
    </row>
    <row r="166" spans="2:20">
      <c r="B166" s="694" t="s">
        <v>272</v>
      </c>
      <c r="C166" s="695" t="s">
        <v>14</v>
      </c>
      <c r="D166" s="795"/>
      <c r="E166" s="796"/>
      <c r="F166" s="796"/>
      <c r="G166" s="796"/>
      <c r="H166" s="797"/>
      <c r="I166" s="672"/>
      <c r="J166" s="674"/>
      <c r="K166" s="674"/>
      <c r="L166" s="674"/>
      <c r="M166" s="673"/>
      <c r="N166" s="624"/>
      <c r="O166" s="668"/>
      <c r="P166" s="669"/>
      <c r="Q166" s="670"/>
      <c r="R166" s="624"/>
      <c r="S166" s="668"/>
      <c r="T166" s="671"/>
    </row>
    <row r="167" spans="2:20">
      <c r="B167" s="694" t="s">
        <v>307</v>
      </c>
      <c r="C167" s="695" t="s">
        <v>295</v>
      </c>
      <c r="D167" s="807"/>
      <c r="E167" s="808"/>
      <c r="F167" s="808"/>
      <c r="G167" s="808"/>
      <c r="H167" s="809"/>
      <c r="I167" s="810"/>
      <c r="J167" s="811"/>
      <c r="K167" s="811"/>
      <c r="L167" s="811"/>
      <c r="M167" s="812"/>
      <c r="N167" s="624"/>
      <c r="O167" s="668"/>
      <c r="P167" s="669"/>
      <c r="Q167" s="670"/>
      <c r="R167" s="624"/>
      <c r="S167" s="668"/>
      <c r="T167" s="671"/>
    </row>
    <row r="168" spans="2:20">
      <c r="B168" s="694" t="s">
        <v>308</v>
      </c>
      <c r="C168" s="695" t="s">
        <v>295</v>
      </c>
      <c r="D168" s="798"/>
      <c r="E168" s="799"/>
      <c r="F168" s="799"/>
      <c r="G168" s="799"/>
      <c r="H168" s="800"/>
      <c r="I168" s="804">
        <f>1-I167</f>
        <v>1</v>
      </c>
      <c r="J168" s="805">
        <f>1-J167</f>
        <v>1</v>
      </c>
      <c r="K168" s="805">
        <f>1-K167</f>
        <v>1</v>
      </c>
      <c r="L168" s="805">
        <f>1-L167</f>
        <v>1</v>
      </c>
      <c r="M168" s="806">
        <f>1-M167</f>
        <v>1</v>
      </c>
      <c r="N168" s="624"/>
      <c r="O168" s="668"/>
      <c r="P168" s="669"/>
      <c r="Q168" s="670"/>
      <c r="R168" s="624"/>
      <c r="S168" s="668"/>
      <c r="T168" s="671"/>
    </row>
    <row r="169" spans="2:20">
      <c r="B169" s="702" t="s">
        <v>867</v>
      </c>
      <c r="C169" s="695" t="s">
        <v>14</v>
      </c>
      <c r="D169" s="657"/>
      <c r="E169" s="672"/>
      <c r="F169" s="672"/>
      <c r="G169" s="672"/>
      <c r="H169" s="673"/>
      <c r="I169" s="703">
        <f>SUM(I163,I166)</f>
        <v>0</v>
      </c>
      <c r="J169" s="648">
        <f>SUM(J163,J166)</f>
        <v>0</v>
      </c>
      <c r="K169" s="648">
        <f>SUM(K163,K166)</f>
        <v>0</v>
      </c>
      <c r="L169" s="648">
        <f>SUM(L163,L166)</f>
        <v>0</v>
      </c>
      <c r="M169" s="649">
        <f>SUM(M163,M166)</f>
        <v>0</v>
      </c>
      <c r="N169" s="624"/>
      <c r="O169" s="647">
        <f>SUM(D169:G169)</f>
        <v>0</v>
      </c>
      <c r="P169" s="648">
        <f>SUM(H169)</f>
        <v>0</v>
      </c>
      <c r="Q169" s="649">
        <f>SUM(D169:H169)</f>
        <v>0</v>
      </c>
      <c r="R169" s="624"/>
      <c r="S169" s="647">
        <f>SUM(I169:M169)</f>
        <v>0</v>
      </c>
      <c r="T169" s="650" t="str">
        <f>IF(Q169&lt;&gt;0,(S169-Q169)/Q169,"0")</f>
        <v>0</v>
      </c>
    </row>
    <row r="170" spans="2:20">
      <c r="B170" s="686" t="s">
        <v>309</v>
      </c>
      <c r="C170" s="704"/>
      <c r="D170" s="705"/>
      <c r="E170" s="706"/>
      <c r="F170" s="706"/>
      <c r="G170" s="706"/>
      <c r="H170" s="707"/>
      <c r="I170" s="706"/>
      <c r="J170" s="706"/>
      <c r="K170" s="706"/>
      <c r="L170" s="706"/>
      <c r="M170" s="707"/>
      <c r="N170" s="624"/>
      <c r="O170" s="705"/>
      <c r="P170" s="706"/>
      <c r="Q170" s="707"/>
      <c r="R170" s="624"/>
      <c r="S170" s="705"/>
      <c r="T170" s="707"/>
    </row>
    <row r="171" spans="2:20">
      <c r="B171" s="694" t="s">
        <v>273</v>
      </c>
      <c r="C171" s="695" t="s">
        <v>14</v>
      </c>
      <c r="D171" s="795"/>
      <c r="E171" s="796"/>
      <c r="F171" s="796"/>
      <c r="G171" s="796"/>
      <c r="H171" s="797"/>
      <c r="I171" s="672"/>
      <c r="J171" s="674"/>
      <c r="K171" s="674"/>
      <c r="L171" s="674"/>
      <c r="M171" s="673"/>
      <c r="N171" s="624"/>
      <c r="O171" s="668"/>
      <c r="P171" s="669"/>
      <c r="Q171" s="670"/>
      <c r="R171" s="624"/>
      <c r="S171" s="668"/>
      <c r="T171" s="671"/>
    </row>
    <row r="172" spans="2:20">
      <c r="B172" s="694" t="s">
        <v>310</v>
      </c>
      <c r="C172" s="695" t="s">
        <v>295</v>
      </c>
      <c r="D172" s="798"/>
      <c r="E172" s="799"/>
      <c r="F172" s="799"/>
      <c r="G172" s="799"/>
      <c r="H172" s="800"/>
      <c r="I172" s="801"/>
      <c r="J172" s="802"/>
      <c r="K172" s="802"/>
      <c r="L172" s="802"/>
      <c r="M172" s="803"/>
      <c r="N172" s="624"/>
      <c r="O172" s="668"/>
      <c r="P172" s="669"/>
      <c r="Q172" s="670"/>
      <c r="R172" s="624"/>
      <c r="S172" s="668"/>
      <c r="T172" s="671"/>
    </row>
    <row r="173" spans="2:20">
      <c r="B173" s="694" t="s">
        <v>311</v>
      </c>
      <c r="C173" s="695" t="s">
        <v>295</v>
      </c>
      <c r="D173" s="798"/>
      <c r="E173" s="799"/>
      <c r="F173" s="799"/>
      <c r="G173" s="799"/>
      <c r="H173" s="800"/>
      <c r="I173" s="804">
        <f>1-I172</f>
        <v>1</v>
      </c>
      <c r="J173" s="805">
        <f>1-J172</f>
        <v>1</v>
      </c>
      <c r="K173" s="805">
        <f>1-K172</f>
        <v>1</v>
      </c>
      <c r="L173" s="805">
        <f>1-L172</f>
        <v>1</v>
      </c>
      <c r="M173" s="806">
        <f>1-M172</f>
        <v>1</v>
      </c>
      <c r="N173" s="624"/>
      <c r="O173" s="668"/>
      <c r="P173" s="669"/>
      <c r="Q173" s="670"/>
      <c r="R173" s="624"/>
      <c r="S173" s="668"/>
      <c r="T173" s="671"/>
    </row>
    <row r="174" spans="2:20">
      <c r="B174" s="694" t="s">
        <v>274</v>
      </c>
      <c r="C174" s="695" t="s">
        <v>14</v>
      </c>
      <c r="D174" s="795"/>
      <c r="E174" s="796"/>
      <c r="F174" s="796"/>
      <c r="G174" s="796"/>
      <c r="H174" s="797"/>
      <c r="I174" s="672"/>
      <c r="J174" s="674"/>
      <c r="K174" s="674"/>
      <c r="L174" s="674"/>
      <c r="M174" s="673"/>
      <c r="N174" s="624"/>
      <c r="O174" s="668"/>
      <c r="P174" s="669"/>
      <c r="Q174" s="670"/>
      <c r="R174" s="624"/>
      <c r="S174" s="668"/>
      <c r="T174" s="671"/>
    </row>
    <row r="175" spans="2:20">
      <c r="B175" s="694" t="s">
        <v>312</v>
      </c>
      <c r="C175" s="695" t="s">
        <v>295</v>
      </c>
      <c r="D175" s="807"/>
      <c r="E175" s="808"/>
      <c r="F175" s="808"/>
      <c r="G175" s="808"/>
      <c r="H175" s="809"/>
      <c r="I175" s="810"/>
      <c r="J175" s="811"/>
      <c r="K175" s="811"/>
      <c r="L175" s="811"/>
      <c r="M175" s="812"/>
      <c r="N175" s="624"/>
      <c r="O175" s="668"/>
      <c r="P175" s="669"/>
      <c r="Q175" s="670"/>
      <c r="R175" s="624"/>
      <c r="S175" s="668"/>
      <c r="T175" s="671"/>
    </row>
    <row r="176" spans="2:20">
      <c r="B176" s="694" t="s">
        <v>313</v>
      </c>
      <c r="C176" s="695" t="s">
        <v>295</v>
      </c>
      <c r="D176" s="798"/>
      <c r="E176" s="799"/>
      <c r="F176" s="799"/>
      <c r="G176" s="799"/>
      <c r="H176" s="800"/>
      <c r="I176" s="804">
        <f>1-I175</f>
        <v>1</v>
      </c>
      <c r="J176" s="805">
        <f>1-J175</f>
        <v>1</v>
      </c>
      <c r="K176" s="805">
        <f>1-K175</f>
        <v>1</v>
      </c>
      <c r="L176" s="805">
        <f>1-L175</f>
        <v>1</v>
      </c>
      <c r="M176" s="806">
        <f>1-M175</f>
        <v>1</v>
      </c>
      <c r="N176" s="624"/>
      <c r="O176" s="668"/>
      <c r="P176" s="669"/>
      <c r="Q176" s="670"/>
      <c r="R176" s="624"/>
      <c r="S176" s="668"/>
      <c r="T176" s="671"/>
    </row>
    <row r="177" spans="2:20">
      <c r="B177" s="813" t="s">
        <v>700</v>
      </c>
      <c r="C177" s="695" t="s">
        <v>14</v>
      </c>
      <c r="D177" s="814"/>
      <c r="E177" s="815"/>
      <c r="F177" s="815"/>
      <c r="G177" s="815"/>
      <c r="H177" s="816"/>
      <c r="I177" s="817">
        <f>SUM(I171,I174)</f>
        <v>0</v>
      </c>
      <c r="J177" s="818">
        <f>SUM(J171,J174)</f>
        <v>0</v>
      </c>
      <c r="K177" s="818">
        <f>SUM(K171,K174)</f>
        <v>0</v>
      </c>
      <c r="L177" s="818">
        <f>SUM(L171,L174)</f>
        <v>0</v>
      </c>
      <c r="M177" s="819">
        <f>SUM(M171,M174)</f>
        <v>0</v>
      </c>
      <c r="N177" s="624"/>
      <c r="O177" s="647">
        <f>SUM(D177:G177)</f>
        <v>0</v>
      </c>
      <c r="P177" s="648">
        <f>SUM(H177)</f>
        <v>0</v>
      </c>
      <c r="Q177" s="649">
        <f>SUM(D177:H177)</f>
        <v>0</v>
      </c>
      <c r="R177" s="624"/>
      <c r="S177" s="647">
        <f>SUM(I177:M177)</f>
        <v>0</v>
      </c>
      <c r="T177" s="650" t="str">
        <f>IF(Q177&lt;&gt;0,(S177-Q177)/Q177,"0")</f>
        <v>0</v>
      </c>
    </row>
    <row r="178" spans="2:20" ht="13.5" thickBot="1">
      <c r="B178" s="820" t="s">
        <v>314</v>
      </c>
      <c r="C178" s="821"/>
      <c r="D178" s="822">
        <f t="shared" ref="D178:M178" si="31">SUM(D153,D161,D169,D177)</f>
        <v>0</v>
      </c>
      <c r="E178" s="822">
        <f t="shared" si="31"/>
        <v>0</v>
      </c>
      <c r="F178" s="822">
        <f t="shared" si="31"/>
        <v>0</v>
      </c>
      <c r="G178" s="822">
        <f t="shared" si="31"/>
        <v>0</v>
      </c>
      <c r="H178" s="822">
        <f t="shared" si="31"/>
        <v>0</v>
      </c>
      <c r="I178" s="823">
        <f t="shared" si="31"/>
        <v>0</v>
      </c>
      <c r="J178" s="823">
        <f t="shared" si="31"/>
        <v>0</v>
      </c>
      <c r="K178" s="823">
        <f t="shared" si="31"/>
        <v>0</v>
      </c>
      <c r="L178" s="823">
        <f t="shared" si="31"/>
        <v>0</v>
      </c>
      <c r="M178" s="824">
        <f t="shared" si="31"/>
        <v>0</v>
      </c>
      <c r="N178" s="624"/>
      <c r="O178" s="679">
        <f>SUM(O153,O161,O169,O177)</f>
        <v>0</v>
      </c>
      <c r="P178" s="680">
        <f>SUM(P153,P161,P169,P177)</f>
        <v>0</v>
      </c>
      <c r="Q178" s="681">
        <f>SUM(Q153,Q161,Q169,Q177)</f>
        <v>0</v>
      </c>
      <c r="R178" s="624"/>
      <c r="S178" s="679">
        <f>SUM(S153,S161,S169,S177)</f>
        <v>0</v>
      </c>
      <c r="T178" s="682" t="str">
        <f>IF(Q178&lt;&gt;0,(S178-Q178)/Q178,"0")</f>
        <v>0</v>
      </c>
    </row>
    <row r="179" spans="2:20">
      <c r="C179" s="621"/>
      <c r="D179" s="621"/>
      <c r="E179" s="621"/>
      <c r="F179" s="621"/>
      <c r="G179" s="621"/>
      <c r="H179" s="621"/>
      <c r="I179" s="621"/>
      <c r="J179" s="621"/>
      <c r="K179" s="621"/>
      <c r="L179" s="621"/>
      <c r="M179" s="621"/>
      <c r="N179" s="621"/>
      <c r="O179" s="621"/>
      <c r="P179" s="621"/>
      <c r="Q179" s="621"/>
      <c r="R179" s="621"/>
      <c r="S179" s="621"/>
      <c r="T179" s="621"/>
    </row>
    <row r="180" spans="2:20">
      <c r="B180" s="683" t="s">
        <v>315</v>
      </c>
      <c r="C180" s="684"/>
      <c r="D180" s="685"/>
      <c r="E180" s="685"/>
      <c r="F180" s="685"/>
      <c r="G180" s="685"/>
      <c r="H180" s="685"/>
      <c r="I180" s="685"/>
      <c r="J180" s="685"/>
      <c r="K180" s="685"/>
      <c r="L180" s="685"/>
      <c r="M180" s="685"/>
      <c r="N180" s="624"/>
      <c r="O180" s="685"/>
      <c r="P180" s="685"/>
      <c r="Q180" s="685"/>
      <c r="R180" s="624"/>
      <c r="S180" s="685"/>
      <c r="T180" s="685"/>
    </row>
    <row r="181" spans="2:20" ht="13.5" thickBot="1">
      <c r="B181" s="683"/>
      <c r="C181" s="684"/>
      <c r="D181" s="685"/>
      <c r="E181" s="685"/>
      <c r="F181" s="685"/>
      <c r="G181" s="685"/>
      <c r="H181" s="685"/>
      <c r="I181" s="685"/>
      <c r="J181" s="685"/>
      <c r="K181" s="685"/>
      <c r="L181" s="685"/>
      <c r="M181" s="685"/>
      <c r="N181" s="624"/>
      <c r="O181" s="685"/>
      <c r="P181" s="685"/>
      <c r="Q181" s="685"/>
      <c r="R181" s="624"/>
      <c r="S181" s="685"/>
      <c r="T181" s="685"/>
    </row>
    <row r="182" spans="2:20">
      <c r="B182" s="1902" t="s">
        <v>857</v>
      </c>
      <c r="C182" s="1904" t="s">
        <v>31</v>
      </c>
      <c r="D182" s="627" t="s">
        <v>116</v>
      </c>
      <c r="E182" s="628"/>
      <c r="F182" s="628"/>
      <c r="G182" s="628"/>
      <c r="H182" s="629"/>
      <c r="I182" s="628" t="s">
        <v>117</v>
      </c>
      <c r="J182" s="630"/>
      <c r="K182" s="630"/>
      <c r="L182" s="630"/>
      <c r="M182" s="629"/>
      <c r="N182" s="624"/>
      <c r="O182" s="631" t="s">
        <v>116</v>
      </c>
      <c r="P182" s="632"/>
      <c r="Q182" s="633"/>
      <c r="R182" s="624"/>
      <c r="S182" s="631" t="s">
        <v>117</v>
      </c>
      <c r="T182" s="633"/>
    </row>
    <row r="183" spans="2:20">
      <c r="B183" s="1903"/>
      <c r="C183" s="1905"/>
      <c r="D183" s="635" t="s">
        <v>32</v>
      </c>
      <c r="E183" s="636" t="s">
        <v>33</v>
      </c>
      <c r="F183" s="636" t="s">
        <v>29</v>
      </c>
      <c r="G183" s="636" t="s">
        <v>34</v>
      </c>
      <c r="H183" s="637" t="s">
        <v>35</v>
      </c>
      <c r="I183" s="638" t="s">
        <v>118</v>
      </c>
      <c r="J183" s="636" t="s">
        <v>136</v>
      </c>
      <c r="K183" s="636" t="s">
        <v>137</v>
      </c>
      <c r="L183" s="636" t="s">
        <v>138</v>
      </c>
      <c r="M183" s="637" t="s">
        <v>139</v>
      </c>
      <c r="N183" s="624"/>
      <c r="O183" s="639" t="s">
        <v>126</v>
      </c>
      <c r="P183" s="640" t="s">
        <v>127</v>
      </c>
      <c r="Q183" s="641" t="s">
        <v>246</v>
      </c>
      <c r="R183" s="624"/>
      <c r="S183" s="639" t="s">
        <v>127</v>
      </c>
      <c r="T183" s="641" t="s">
        <v>128</v>
      </c>
    </row>
    <row r="184" spans="2:20">
      <c r="B184" s="793" t="s">
        <v>862</v>
      </c>
      <c r="C184" s="794"/>
      <c r="D184" s="714"/>
      <c r="E184" s="715"/>
      <c r="F184" s="715"/>
      <c r="G184" s="715"/>
      <c r="H184" s="716"/>
      <c r="I184" s="718"/>
      <c r="J184" s="718"/>
      <c r="K184" s="718"/>
      <c r="L184" s="718"/>
      <c r="M184" s="719"/>
      <c r="N184" s="624"/>
      <c r="O184" s="717"/>
      <c r="P184" s="718"/>
      <c r="Q184" s="719"/>
      <c r="R184" s="624"/>
      <c r="S184" s="717"/>
      <c r="T184" s="719"/>
    </row>
    <row r="185" spans="2:20">
      <c r="B185" s="686" t="s">
        <v>671</v>
      </c>
      <c r="C185" s="687"/>
      <c r="D185" s="688"/>
      <c r="E185" s="689"/>
      <c r="F185" s="689"/>
      <c r="G185" s="689"/>
      <c r="H185" s="690"/>
      <c r="I185" s="689"/>
      <c r="J185" s="689"/>
      <c r="K185" s="689"/>
      <c r="L185" s="689"/>
      <c r="M185" s="690"/>
      <c r="N185" s="624"/>
      <c r="O185" s="691"/>
      <c r="P185" s="692"/>
      <c r="Q185" s="693"/>
      <c r="R185" s="624"/>
      <c r="S185" s="688"/>
      <c r="T185" s="690"/>
    </row>
    <row r="186" spans="2:20">
      <c r="B186" s="694" t="s">
        <v>267</v>
      </c>
      <c r="C186" s="695" t="s">
        <v>14</v>
      </c>
      <c r="D186" s="795"/>
      <c r="E186" s="796"/>
      <c r="F186" s="796"/>
      <c r="G186" s="796"/>
      <c r="H186" s="797"/>
      <c r="I186" s="672"/>
      <c r="J186" s="674"/>
      <c r="K186" s="674"/>
      <c r="L186" s="674"/>
      <c r="M186" s="673"/>
      <c r="N186" s="624"/>
      <c r="O186" s="668"/>
      <c r="P186" s="669"/>
      <c r="Q186" s="670"/>
      <c r="R186" s="624"/>
      <c r="S186" s="668"/>
      <c r="T186" s="671"/>
    </row>
    <row r="187" spans="2:20">
      <c r="B187" s="694" t="s">
        <v>294</v>
      </c>
      <c r="C187" s="695" t="s">
        <v>295</v>
      </c>
      <c r="D187" s="798"/>
      <c r="E187" s="799"/>
      <c r="F187" s="799"/>
      <c r="G187" s="799"/>
      <c r="H187" s="800"/>
      <c r="I187" s="801"/>
      <c r="J187" s="802"/>
      <c r="K187" s="802"/>
      <c r="L187" s="802"/>
      <c r="M187" s="803"/>
      <c r="N187" s="624"/>
      <c r="O187" s="668"/>
      <c r="P187" s="669"/>
      <c r="Q187" s="670"/>
      <c r="R187" s="624"/>
      <c r="S187" s="668"/>
      <c r="T187" s="671"/>
    </row>
    <row r="188" spans="2:20">
      <c r="B188" s="694" t="s">
        <v>296</v>
      </c>
      <c r="C188" s="695" t="s">
        <v>295</v>
      </c>
      <c r="D188" s="798"/>
      <c r="E188" s="799"/>
      <c r="F188" s="799"/>
      <c r="G188" s="799"/>
      <c r="H188" s="800"/>
      <c r="I188" s="804">
        <f>1-I187</f>
        <v>1</v>
      </c>
      <c r="J188" s="805">
        <f>1-J187</f>
        <v>1</v>
      </c>
      <c r="K188" s="805">
        <f>1-K187</f>
        <v>1</v>
      </c>
      <c r="L188" s="805">
        <f>1-L187</f>
        <v>1</v>
      </c>
      <c r="M188" s="806">
        <f>1-M187</f>
        <v>1</v>
      </c>
      <c r="N188" s="624"/>
      <c r="O188" s="668"/>
      <c r="P188" s="669"/>
      <c r="Q188" s="670"/>
      <c r="R188" s="624"/>
      <c r="S188" s="668"/>
      <c r="T188" s="671"/>
    </row>
    <row r="189" spans="2:20">
      <c r="B189" s="694" t="s">
        <v>268</v>
      </c>
      <c r="C189" s="695" t="s">
        <v>14</v>
      </c>
      <c r="D189" s="795"/>
      <c r="E189" s="796"/>
      <c r="F189" s="796"/>
      <c r="G189" s="796"/>
      <c r="H189" s="797"/>
      <c r="I189" s="672"/>
      <c r="J189" s="674"/>
      <c r="K189" s="674"/>
      <c r="L189" s="674"/>
      <c r="M189" s="673"/>
      <c r="N189" s="624"/>
      <c r="O189" s="668"/>
      <c r="P189" s="669"/>
      <c r="Q189" s="670"/>
      <c r="R189" s="624"/>
      <c r="S189" s="668"/>
      <c r="T189" s="671"/>
    </row>
    <row r="190" spans="2:20">
      <c r="B190" s="694" t="s">
        <v>297</v>
      </c>
      <c r="C190" s="695" t="s">
        <v>295</v>
      </c>
      <c r="D190" s="795"/>
      <c r="E190" s="796"/>
      <c r="F190" s="796"/>
      <c r="G190" s="796"/>
      <c r="H190" s="797"/>
      <c r="I190" s="672"/>
      <c r="J190" s="674"/>
      <c r="K190" s="674"/>
      <c r="L190" s="674"/>
      <c r="M190" s="673"/>
      <c r="N190" s="624"/>
      <c r="O190" s="668"/>
      <c r="P190" s="669"/>
      <c r="Q190" s="670"/>
      <c r="R190" s="624"/>
      <c r="S190" s="668"/>
      <c r="T190" s="671"/>
    </row>
    <row r="191" spans="2:20">
      <c r="B191" s="694" t="s">
        <v>298</v>
      </c>
      <c r="C191" s="695" t="s">
        <v>295</v>
      </c>
      <c r="D191" s="798"/>
      <c r="E191" s="799"/>
      <c r="F191" s="799"/>
      <c r="G191" s="799"/>
      <c r="H191" s="800"/>
      <c r="I191" s="804">
        <f>1-I190</f>
        <v>1</v>
      </c>
      <c r="J191" s="805">
        <f>1-J190</f>
        <v>1</v>
      </c>
      <c r="K191" s="805">
        <f>1-K190</f>
        <v>1</v>
      </c>
      <c r="L191" s="805">
        <f>1-L190</f>
        <v>1</v>
      </c>
      <c r="M191" s="806">
        <f>1-M190</f>
        <v>1</v>
      </c>
      <c r="N191" s="624"/>
      <c r="O191" s="668"/>
      <c r="P191" s="669"/>
      <c r="Q191" s="670"/>
      <c r="R191" s="624"/>
      <c r="S191" s="668"/>
      <c r="T191" s="671"/>
    </row>
    <row r="192" spans="2:20">
      <c r="B192" s="702" t="s">
        <v>865</v>
      </c>
      <c r="C192" s="695" t="s">
        <v>14</v>
      </c>
      <c r="D192" s="657"/>
      <c r="E192" s="672"/>
      <c r="F192" s="672"/>
      <c r="G192" s="672"/>
      <c r="H192" s="673"/>
      <c r="I192" s="703">
        <f>SUM(I186,I189)</f>
        <v>0</v>
      </c>
      <c r="J192" s="648">
        <f>SUM(J186,J189)</f>
        <v>0</v>
      </c>
      <c r="K192" s="648">
        <f>SUM(K186,K189)</f>
        <v>0</v>
      </c>
      <c r="L192" s="648">
        <f>SUM(L186,L189)</f>
        <v>0</v>
      </c>
      <c r="M192" s="649">
        <f>SUM(M186,M189)</f>
        <v>0</v>
      </c>
      <c r="N192" s="624"/>
      <c r="O192" s="647">
        <f>SUM(D192:G192)</f>
        <v>0</v>
      </c>
      <c r="P192" s="648">
        <f>SUM(H192)</f>
        <v>0</v>
      </c>
      <c r="Q192" s="649">
        <f>SUM(D192:H192)</f>
        <v>0</v>
      </c>
      <c r="R192" s="624"/>
      <c r="S192" s="647">
        <f>SUM(I192:M192)</f>
        <v>0</v>
      </c>
      <c r="T192" s="650" t="str">
        <f>IF(Q192&lt;&gt;0,(S192-Q192)/Q192,"0")</f>
        <v>0</v>
      </c>
    </row>
    <row r="193" spans="2:20">
      <c r="B193" s="686" t="s">
        <v>299</v>
      </c>
      <c r="C193" s="704"/>
      <c r="D193" s="705"/>
      <c r="E193" s="706"/>
      <c r="F193" s="706"/>
      <c r="G193" s="706"/>
      <c r="H193" s="707"/>
      <c r="I193" s="706"/>
      <c r="J193" s="706"/>
      <c r="K193" s="706"/>
      <c r="L193" s="706"/>
      <c r="M193" s="707"/>
      <c r="N193" s="624"/>
      <c r="O193" s="708"/>
      <c r="P193" s="706"/>
      <c r="Q193" s="707"/>
      <c r="R193" s="624"/>
      <c r="S193" s="705"/>
      <c r="T193" s="707"/>
    </row>
    <row r="194" spans="2:20">
      <c r="B194" s="694" t="s">
        <v>269</v>
      </c>
      <c r="C194" s="695" t="s">
        <v>14</v>
      </c>
      <c r="D194" s="795"/>
      <c r="E194" s="796"/>
      <c r="F194" s="796"/>
      <c r="G194" s="796"/>
      <c r="H194" s="797"/>
      <c r="I194" s="672"/>
      <c r="J194" s="674"/>
      <c r="K194" s="674"/>
      <c r="L194" s="674"/>
      <c r="M194" s="673"/>
      <c r="N194" s="624"/>
      <c r="O194" s="668"/>
      <c r="P194" s="669"/>
      <c r="Q194" s="670"/>
      <c r="R194" s="624"/>
      <c r="S194" s="668"/>
      <c r="T194" s="671"/>
    </row>
    <row r="195" spans="2:20">
      <c r="B195" s="694" t="s">
        <v>300</v>
      </c>
      <c r="C195" s="695" t="s">
        <v>295</v>
      </c>
      <c r="D195" s="798"/>
      <c r="E195" s="799"/>
      <c r="F195" s="799"/>
      <c r="G195" s="799"/>
      <c r="H195" s="800"/>
      <c r="I195" s="801"/>
      <c r="J195" s="802"/>
      <c r="K195" s="802"/>
      <c r="L195" s="802"/>
      <c r="M195" s="803"/>
      <c r="N195" s="624"/>
      <c r="O195" s="668"/>
      <c r="P195" s="669"/>
      <c r="Q195" s="670"/>
      <c r="R195" s="624"/>
      <c r="S195" s="668"/>
      <c r="T195" s="671"/>
    </row>
    <row r="196" spans="2:20">
      <c r="B196" s="694" t="s">
        <v>301</v>
      </c>
      <c r="C196" s="695" t="s">
        <v>295</v>
      </c>
      <c r="D196" s="798"/>
      <c r="E196" s="799"/>
      <c r="F196" s="799"/>
      <c r="G196" s="799"/>
      <c r="H196" s="800"/>
      <c r="I196" s="804">
        <f>1-I195</f>
        <v>1</v>
      </c>
      <c r="J196" s="805">
        <f>1-J195</f>
        <v>1</v>
      </c>
      <c r="K196" s="805">
        <f>1-K195</f>
        <v>1</v>
      </c>
      <c r="L196" s="805">
        <f>1-L195</f>
        <v>1</v>
      </c>
      <c r="M196" s="806">
        <f>1-M195</f>
        <v>1</v>
      </c>
      <c r="N196" s="624"/>
      <c r="O196" s="668"/>
      <c r="P196" s="669"/>
      <c r="Q196" s="670"/>
      <c r="R196" s="624"/>
      <c r="S196" s="668"/>
      <c r="T196" s="671"/>
    </row>
    <row r="197" spans="2:20">
      <c r="B197" s="694" t="s">
        <v>270</v>
      </c>
      <c r="C197" s="695" t="s">
        <v>14</v>
      </c>
      <c r="D197" s="795"/>
      <c r="E197" s="796"/>
      <c r="F197" s="796"/>
      <c r="G197" s="796"/>
      <c r="H197" s="797"/>
      <c r="I197" s="672"/>
      <c r="J197" s="674"/>
      <c r="K197" s="674"/>
      <c r="L197" s="674"/>
      <c r="M197" s="673"/>
      <c r="N197" s="624"/>
      <c r="O197" s="668"/>
      <c r="P197" s="669"/>
      <c r="Q197" s="670"/>
      <c r="R197" s="624"/>
      <c r="S197" s="668"/>
      <c r="T197" s="671"/>
    </row>
    <row r="198" spans="2:20">
      <c r="B198" s="694" t="s">
        <v>302</v>
      </c>
      <c r="C198" s="695" t="s">
        <v>295</v>
      </c>
      <c r="D198" s="795"/>
      <c r="E198" s="796"/>
      <c r="F198" s="796"/>
      <c r="G198" s="796"/>
      <c r="H198" s="797"/>
      <c r="I198" s="672"/>
      <c r="J198" s="674"/>
      <c r="K198" s="674"/>
      <c r="L198" s="674"/>
      <c r="M198" s="673"/>
      <c r="N198" s="624"/>
      <c r="O198" s="668"/>
      <c r="P198" s="669"/>
      <c r="Q198" s="670"/>
      <c r="R198" s="624"/>
      <c r="S198" s="668"/>
      <c r="T198" s="671"/>
    </row>
    <row r="199" spans="2:20">
      <c r="B199" s="694" t="s">
        <v>303</v>
      </c>
      <c r="C199" s="695" t="s">
        <v>295</v>
      </c>
      <c r="D199" s="798"/>
      <c r="E199" s="799"/>
      <c r="F199" s="799"/>
      <c r="G199" s="799"/>
      <c r="H199" s="800"/>
      <c r="I199" s="804">
        <f>1-I198</f>
        <v>1</v>
      </c>
      <c r="J199" s="805">
        <f>1-J198</f>
        <v>1</v>
      </c>
      <c r="K199" s="805">
        <f>1-K198</f>
        <v>1</v>
      </c>
      <c r="L199" s="805">
        <f>1-L198</f>
        <v>1</v>
      </c>
      <c r="M199" s="806">
        <f>1-M198</f>
        <v>1</v>
      </c>
      <c r="N199" s="624"/>
      <c r="O199" s="668"/>
      <c r="P199" s="669"/>
      <c r="Q199" s="670"/>
      <c r="R199" s="624"/>
      <c r="S199" s="668"/>
      <c r="T199" s="671"/>
    </row>
    <row r="200" spans="2:20">
      <c r="B200" s="702" t="s">
        <v>866</v>
      </c>
      <c r="C200" s="695" t="s">
        <v>14</v>
      </c>
      <c r="D200" s="657"/>
      <c r="E200" s="672"/>
      <c r="F200" s="672"/>
      <c r="G200" s="672"/>
      <c r="H200" s="673"/>
      <c r="I200" s="703">
        <f>SUM(I194,I197)</f>
        <v>0</v>
      </c>
      <c r="J200" s="648">
        <f>SUM(J194,J197)</f>
        <v>0</v>
      </c>
      <c r="K200" s="648">
        <f>SUM(K194,K197)</f>
        <v>0</v>
      </c>
      <c r="L200" s="648">
        <f>SUM(L194,L197)</f>
        <v>0</v>
      </c>
      <c r="M200" s="649">
        <f>SUM(M194,M197)</f>
        <v>0</v>
      </c>
      <c r="N200" s="624"/>
      <c r="O200" s="647">
        <f>SUM(D200:G200)</f>
        <v>0</v>
      </c>
      <c r="P200" s="648">
        <f>SUM(H200)</f>
        <v>0</v>
      </c>
      <c r="Q200" s="649">
        <f>SUM(D200:H200)</f>
        <v>0</v>
      </c>
      <c r="R200" s="624"/>
      <c r="S200" s="647">
        <f>SUM(I200:M200)</f>
        <v>0</v>
      </c>
      <c r="T200" s="650" t="str">
        <f>IF(Q200&lt;&gt;0,(S200-Q200)/Q200,"0")</f>
        <v>0</v>
      </c>
    </row>
    <row r="201" spans="2:20">
      <c r="B201" s="686" t="s">
        <v>304</v>
      </c>
      <c r="C201" s="704"/>
      <c r="D201" s="705"/>
      <c r="E201" s="706"/>
      <c r="F201" s="706"/>
      <c r="G201" s="706"/>
      <c r="H201" s="707"/>
      <c r="I201" s="706"/>
      <c r="J201" s="706"/>
      <c r="K201" s="706"/>
      <c r="L201" s="706"/>
      <c r="M201" s="707"/>
      <c r="N201" s="624"/>
      <c r="O201" s="705"/>
      <c r="P201" s="706"/>
      <c r="Q201" s="707"/>
      <c r="R201" s="624"/>
      <c r="S201" s="705"/>
      <c r="T201" s="707"/>
    </row>
    <row r="202" spans="2:20">
      <c r="B202" s="694" t="s">
        <v>271</v>
      </c>
      <c r="C202" s="695" t="s">
        <v>14</v>
      </c>
      <c r="D202" s="795"/>
      <c r="E202" s="796"/>
      <c r="F202" s="796"/>
      <c r="G202" s="796"/>
      <c r="H202" s="797"/>
      <c r="I202" s="672"/>
      <c r="J202" s="674"/>
      <c r="K202" s="674"/>
      <c r="L202" s="674"/>
      <c r="M202" s="673"/>
      <c r="N202" s="624"/>
      <c r="O202" s="668"/>
      <c r="P202" s="669"/>
      <c r="Q202" s="670"/>
      <c r="R202" s="624"/>
      <c r="S202" s="668"/>
      <c r="T202" s="671"/>
    </row>
    <row r="203" spans="2:20">
      <c r="B203" s="694" t="s">
        <v>305</v>
      </c>
      <c r="C203" s="695" t="s">
        <v>295</v>
      </c>
      <c r="D203" s="798"/>
      <c r="E203" s="799"/>
      <c r="F203" s="799"/>
      <c r="G203" s="799"/>
      <c r="H203" s="800"/>
      <c r="I203" s="801"/>
      <c r="J203" s="802"/>
      <c r="K203" s="802"/>
      <c r="L203" s="802"/>
      <c r="M203" s="803"/>
      <c r="N203" s="624"/>
      <c r="O203" s="668"/>
      <c r="P203" s="669"/>
      <c r="Q203" s="670"/>
      <c r="R203" s="624"/>
      <c r="S203" s="668"/>
      <c r="T203" s="671"/>
    </row>
    <row r="204" spans="2:20">
      <c r="B204" s="694" t="s">
        <v>306</v>
      </c>
      <c r="C204" s="695" t="s">
        <v>295</v>
      </c>
      <c r="D204" s="798"/>
      <c r="E204" s="799"/>
      <c r="F204" s="799"/>
      <c r="G204" s="799"/>
      <c r="H204" s="800"/>
      <c r="I204" s="804">
        <f>1-I203</f>
        <v>1</v>
      </c>
      <c r="J204" s="805">
        <f>1-J203</f>
        <v>1</v>
      </c>
      <c r="K204" s="805">
        <f>1-K203</f>
        <v>1</v>
      </c>
      <c r="L204" s="805">
        <f>1-L203</f>
        <v>1</v>
      </c>
      <c r="M204" s="806">
        <f>1-M203</f>
        <v>1</v>
      </c>
      <c r="N204" s="624"/>
      <c r="O204" s="668"/>
      <c r="P204" s="669"/>
      <c r="Q204" s="670"/>
      <c r="R204" s="624"/>
      <c r="S204" s="668"/>
      <c r="T204" s="671"/>
    </row>
    <row r="205" spans="2:20">
      <c r="B205" s="694" t="s">
        <v>272</v>
      </c>
      <c r="C205" s="695" t="s">
        <v>14</v>
      </c>
      <c r="D205" s="795"/>
      <c r="E205" s="796"/>
      <c r="F205" s="796"/>
      <c r="G205" s="796"/>
      <c r="H205" s="797"/>
      <c r="I205" s="672"/>
      <c r="J205" s="674"/>
      <c r="K205" s="674"/>
      <c r="L205" s="674"/>
      <c r="M205" s="673"/>
      <c r="N205" s="624"/>
      <c r="O205" s="668"/>
      <c r="P205" s="669"/>
      <c r="Q205" s="670"/>
      <c r="R205" s="624"/>
      <c r="S205" s="668"/>
      <c r="T205" s="671"/>
    </row>
    <row r="206" spans="2:20">
      <c r="B206" s="694" t="s">
        <v>307</v>
      </c>
      <c r="C206" s="695" t="s">
        <v>295</v>
      </c>
      <c r="D206" s="807"/>
      <c r="E206" s="808"/>
      <c r="F206" s="808"/>
      <c r="G206" s="808"/>
      <c r="H206" s="809"/>
      <c r="I206" s="810"/>
      <c r="J206" s="811"/>
      <c r="K206" s="811"/>
      <c r="L206" s="811"/>
      <c r="M206" s="812"/>
      <c r="N206" s="624"/>
      <c r="O206" s="668"/>
      <c r="P206" s="669"/>
      <c r="Q206" s="670"/>
      <c r="R206" s="624"/>
      <c r="S206" s="668"/>
      <c r="T206" s="671"/>
    </row>
    <row r="207" spans="2:20">
      <c r="B207" s="694" t="s">
        <v>308</v>
      </c>
      <c r="C207" s="695" t="s">
        <v>295</v>
      </c>
      <c r="D207" s="798"/>
      <c r="E207" s="799"/>
      <c r="F207" s="799"/>
      <c r="G207" s="799"/>
      <c r="H207" s="800"/>
      <c r="I207" s="804">
        <f>1-I206</f>
        <v>1</v>
      </c>
      <c r="J207" s="805">
        <f>1-J206</f>
        <v>1</v>
      </c>
      <c r="K207" s="805">
        <f>1-K206</f>
        <v>1</v>
      </c>
      <c r="L207" s="805">
        <f>1-L206</f>
        <v>1</v>
      </c>
      <c r="M207" s="806">
        <f>1-M206</f>
        <v>1</v>
      </c>
      <c r="N207" s="624"/>
      <c r="O207" s="668"/>
      <c r="P207" s="669"/>
      <c r="Q207" s="670"/>
      <c r="R207" s="624"/>
      <c r="S207" s="668"/>
      <c r="T207" s="671"/>
    </row>
    <row r="208" spans="2:20">
      <c r="B208" s="702" t="s">
        <v>867</v>
      </c>
      <c r="C208" s="695" t="s">
        <v>14</v>
      </c>
      <c r="D208" s="657"/>
      <c r="E208" s="672"/>
      <c r="F208" s="672"/>
      <c r="G208" s="672"/>
      <c r="H208" s="673"/>
      <c r="I208" s="703">
        <f>SUM(I202,I205)</f>
        <v>0</v>
      </c>
      <c r="J208" s="648">
        <f>SUM(J202,J205)</f>
        <v>0</v>
      </c>
      <c r="K208" s="648">
        <f>SUM(K202,K205)</f>
        <v>0</v>
      </c>
      <c r="L208" s="648">
        <f>SUM(L202,L205)</f>
        <v>0</v>
      </c>
      <c r="M208" s="649">
        <f>SUM(M202,M205)</f>
        <v>0</v>
      </c>
      <c r="N208" s="624"/>
      <c r="O208" s="647">
        <f>SUM(D208:G208)</f>
        <v>0</v>
      </c>
      <c r="P208" s="648">
        <f>SUM(H208)</f>
        <v>0</v>
      </c>
      <c r="Q208" s="649">
        <f>SUM(D208:H208)</f>
        <v>0</v>
      </c>
      <c r="R208" s="624"/>
      <c r="S208" s="647">
        <f>SUM(I208:M208)</f>
        <v>0</v>
      </c>
      <c r="T208" s="650" t="str">
        <f>IF(Q208&lt;&gt;0,(S208-Q208)/Q208,"0")</f>
        <v>0</v>
      </c>
    </row>
    <row r="209" spans="2:20">
      <c r="B209" s="686" t="s">
        <v>309</v>
      </c>
      <c r="C209" s="704"/>
      <c r="D209" s="705"/>
      <c r="E209" s="706"/>
      <c r="F209" s="706"/>
      <c r="G209" s="706"/>
      <c r="H209" s="707"/>
      <c r="I209" s="706"/>
      <c r="J209" s="706"/>
      <c r="K209" s="706"/>
      <c r="L209" s="706"/>
      <c r="M209" s="707"/>
      <c r="N209" s="624"/>
      <c r="O209" s="705"/>
      <c r="P209" s="706"/>
      <c r="Q209" s="707"/>
      <c r="R209" s="624"/>
      <c r="S209" s="705"/>
      <c r="T209" s="707"/>
    </row>
    <row r="210" spans="2:20">
      <c r="B210" s="694" t="s">
        <v>273</v>
      </c>
      <c r="C210" s="695" t="s">
        <v>14</v>
      </c>
      <c r="D210" s="795"/>
      <c r="E210" s="796"/>
      <c r="F210" s="796"/>
      <c r="G210" s="796"/>
      <c r="H210" s="797"/>
      <c r="I210" s="672"/>
      <c r="J210" s="674"/>
      <c r="K210" s="674"/>
      <c r="L210" s="674"/>
      <c r="M210" s="673"/>
      <c r="N210" s="624"/>
      <c r="O210" s="668"/>
      <c r="P210" s="669"/>
      <c r="Q210" s="670"/>
      <c r="R210" s="624"/>
      <c r="S210" s="668"/>
      <c r="T210" s="671"/>
    </row>
    <row r="211" spans="2:20">
      <c r="B211" s="694" t="s">
        <v>310</v>
      </c>
      <c r="C211" s="695" t="s">
        <v>295</v>
      </c>
      <c r="D211" s="798"/>
      <c r="E211" s="799"/>
      <c r="F211" s="799"/>
      <c r="G211" s="799"/>
      <c r="H211" s="800"/>
      <c r="I211" s="801"/>
      <c r="J211" s="802"/>
      <c r="K211" s="802"/>
      <c r="L211" s="802"/>
      <c r="M211" s="803"/>
      <c r="N211" s="624"/>
      <c r="O211" s="668"/>
      <c r="P211" s="669"/>
      <c r="Q211" s="670"/>
      <c r="R211" s="624"/>
      <c r="S211" s="668"/>
      <c r="T211" s="671"/>
    </row>
    <row r="212" spans="2:20">
      <c r="B212" s="694" t="s">
        <v>311</v>
      </c>
      <c r="C212" s="695" t="s">
        <v>295</v>
      </c>
      <c r="D212" s="798"/>
      <c r="E212" s="799"/>
      <c r="F212" s="799"/>
      <c r="G212" s="799"/>
      <c r="H212" s="800"/>
      <c r="I212" s="804">
        <f>1-I211</f>
        <v>1</v>
      </c>
      <c r="J212" s="805">
        <f>1-J211</f>
        <v>1</v>
      </c>
      <c r="K212" s="805">
        <f>1-K211</f>
        <v>1</v>
      </c>
      <c r="L212" s="805">
        <f>1-L211</f>
        <v>1</v>
      </c>
      <c r="M212" s="806">
        <f>1-M211</f>
        <v>1</v>
      </c>
      <c r="N212" s="624"/>
      <c r="O212" s="668"/>
      <c r="P212" s="669"/>
      <c r="Q212" s="670"/>
      <c r="R212" s="624"/>
      <c r="S212" s="668"/>
      <c r="T212" s="671"/>
    </row>
    <row r="213" spans="2:20">
      <c r="B213" s="694" t="s">
        <v>274</v>
      </c>
      <c r="C213" s="695" t="s">
        <v>14</v>
      </c>
      <c r="D213" s="795"/>
      <c r="E213" s="796"/>
      <c r="F213" s="796"/>
      <c r="G213" s="796"/>
      <c r="H213" s="797"/>
      <c r="I213" s="672"/>
      <c r="J213" s="674"/>
      <c r="K213" s="674"/>
      <c r="L213" s="674"/>
      <c r="M213" s="673"/>
      <c r="N213" s="624"/>
      <c r="O213" s="668"/>
      <c r="P213" s="669"/>
      <c r="Q213" s="670"/>
      <c r="R213" s="624"/>
      <c r="S213" s="668"/>
      <c r="T213" s="671"/>
    </row>
    <row r="214" spans="2:20">
      <c r="B214" s="694" t="s">
        <v>312</v>
      </c>
      <c r="C214" s="695" t="s">
        <v>295</v>
      </c>
      <c r="D214" s="807"/>
      <c r="E214" s="808"/>
      <c r="F214" s="808"/>
      <c r="G214" s="808"/>
      <c r="H214" s="809"/>
      <c r="I214" s="810"/>
      <c r="J214" s="811"/>
      <c r="K214" s="811"/>
      <c r="L214" s="811"/>
      <c r="M214" s="812"/>
      <c r="N214" s="624"/>
      <c r="O214" s="668"/>
      <c r="P214" s="669"/>
      <c r="Q214" s="670"/>
      <c r="R214" s="624"/>
      <c r="S214" s="668"/>
      <c r="T214" s="671"/>
    </row>
    <row r="215" spans="2:20">
      <c r="B215" s="694" t="s">
        <v>313</v>
      </c>
      <c r="C215" s="695" t="s">
        <v>295</v>
      </c>
      <c r="D215" s="798"/>
      <c r="E215" s="799"/>
      <c r="F215" s="799"/>
      <c r="G215" s="799"/>
      <c r="H215" s="800"/>
      <c r="I215" s="804">
        <f>1-I214</f>
        <v>1</v>
      </c>
      <c r="J215" s="805">
        <f>1-J214</f>
        <v>1</v>
      </c>
      <c r="K215" s="805">
        <f>1-K214</f>
        <v>1</v>
      </c>
      <c r="L215" s="805">
        <f>1-L214</f>
        <v>1</v>
      </c>
      <c r="M215" s="806">
        <f>1-M214</f>
        <v>1</v>
      </c>
      <c r="N215" s="624"/>
      <c r="O215" s="668"/>
      <c r="P215" s="669"/>
      <c r="Q215" s="670"/>
      <c r="R215" s="624"/>
      <c r="S215" s="668"/>
      <c r="T215" s="671"/>
    </row>
    <row r="216" spans="2:20">
      <c r="B216" s="813" t="s">
        <v>700</v>
      </c>
      <c r="C216" s="695" t="s">
        <v>14</v>
      </c>
      <c r="D216" s="814"/>
      <c r="E216" s="815"/>
      <c r="F216" s="815"/>
      <c r="G216" s="815"/>
      <c r="H216" s="816"/>
      <c r="I216" s="817">
        <f>SUM(I210,I213)</f>
        <v>0</v>
      </c>
      <c r="J216" s="818">
        <f>SUM(J210,J213)</f>
        <v>0</v>
      </c>
      <c r="K216" s="818">
        <f>SUM(K210,K213)</f>
        <v>0</v>
      </c>
      <c r="L216" s="818">
        <f>SUM(L210,L213)</f>
        <v>0</v>
      </c>
      <c r="M216" s="819">
        <f>SUM(M210,M213)</f>
        <v>0</v>
      </c>
      <c r="N216" s="624"/>
      <c r="O216" s="647">
        <f>SUM(D216:G216)</f>
        <v>0</v>
      </c>
      <c r="P216" s="648">
        <f>SUM(H216)</f>
        <v>0</v>
      </c>
      <c r="Q216" s="649">
        <f>SUM(D216:H216)</f>
        <v>0</v>
      </c>
      <c r="R216" s="624"/>
      <c r="S216" s="647">
        <f>SUM(I216:M216)</f>
        <v>0</v>
      </c>
      <c r="T216" s="650" t="str">
        <f>IF(Q216&lt;&gt;0,(S216-Q216)/Q216,"0")</f>
        <v>0</v>
      </c>
    </row>
    <row r="217" spans="2:20" ht="13.5" thickBot="1">
      <c r="B217" s="820" t="s">
        <v>316</v>
      </c>
      <c r="C217" s="821"/>
      <c r="D217" s="822">
        <f t="shared" ref="D217:M217" si="32">SUM(D192,D200,D208,D216)</f>
        <v>0</v>
      </c>
      <c r="E217" s="822">
        <f t="shared" si="32"/>
        <v>0</v>
      </c>
      <c r="F217" s="822">
        <f t="shared" si="32"/>
        <v>0</v>
      </c>
      <c r="G217" s="822">
        <f t="shared" si="32"/>
        <v>0</v>
      </c>
      <c r="H217" s="822">
        <f t="shared" si="32"/>
        <v>0</v>
      </c>
      <c r="I217" s="825">
        <f t="shared" si="32"/>
        <v>0</v>
      </c>
      <c r="J217" s="825">
        <f t="shared" si="32"/>
        <v>0</v>
      </c>
      <c r="K217" s="825">
        <f t="shared" si="32"/>
        <v>0</v>
      </c>
      <c r="L217" s="825">
        <f t="shared" si="32"/>
        <v>0</v>
      </c>
      <c r="M217" s="826">
        <f t="shared" si="32"/>
        <v>0</v>
      </c>
      <c r="N217" s="624"/>
      <c r="O217" s="679">
        <f>SUM(O192,O200,O208,O216)</f>
        <v>0</v>
      </c>
      <c r="P217" s="680">
        <f>SUM(P192,P200,P208,P216)</f>
        <v>0</v>
      </c>
      <c r="Q217" s="681">
        <f>SUM(Q192,Q200,Q208,Q216)</f>
        <v>0</v>
      </c>
      <c r="R217" s="624"/>
      <c r="S217" s="827">
        <f>SUM(S192,S200,S208,S216)</f>
        <v>0</v>
      </c>
      <c r="T217" s="682" t="str">
        <f>IF(Q217&lt;&gt;0,(S217-Q217)/Q217,"0")</f>
        <v>0</v>
      </c>
    </row>
    <row r="218" spans="2:20">
      <c r="C218" s="621"/>
      <c r="D218" s="621"/>
      <c r="E218" s="621"/>
      <c r="F218" s="621"/>
      <c r="G218" s="621"/>
      <c r="H218" s="621"/>
      <c r="I218" s="621"/>
      <c r="J218" s="621"/>
      <c r="K218" s="621"/>
      <c r="L218" s="621"/>
      <c r="M218" s="621"/>
      <c r="N218" s="621"/>
      <c r="O218" s="621"/>
      <c r="P218" s="621"/>
      <c r="Q218" s="621"/>
      <c r="R218" s="621"/>
      <c r="S218" s="621"/>
      <c r="T218" s="621"/>
    </row>
    <row r="219" spans="2:20">
      <c r="B219" s="683" t="s">
        <v>317</v>
      </c>
      <c r="C219" s="684"/>
      <c r="D219" s="685"/>
      <c r="E219" s="685"/>
      <c r="F219" s="685"/>
      <c r="G219" s="685"/>
      <c r="H219" s="685"/>
      <c r="I219" s="685"/>
      <c r="J219" s="685"/>
      <c r="K219" s="685"/>
      <c r="L219" s="685"/>
      <c r="M219" s="685"/>
      <c r="N219" s="624"/>
      <c r="O219" s="685"/>
      <c r="P219" s="685"/>
      <c r="Q219" s="685"/>
      <c r="R219" s="624"/>
      <c r="S219" s="685"/>
      <c r="T219" s="685"/>
    </row>
    <row r="220" spans="2:20" ht="13.5" thickBot="1">
      <c r="B220" s="683"/>
      <c r="C220" s="684"/>
      <c r="D220" s="685"/>
      <c r="E220" s="685"/>
      <c r="F220" s="685"/>
      <c r="G220" s="685"/>
      <c r="H220" s="685"/>
      <c r="I220" s="685"/>
      <c r="J220" s="685"/>
      <c r="K220" s="685"/>
      <c r="L220" s="685"/>
      <c r="M220" s="685"/>
      <c r="N220" s="624"/>
      <c r="O220" s="685"/>
      <c r="P220" s="685"/>
      <c r="Q220" s="685"/>
      <c r="R220" s="624"/>
      <c r="S220" s="685"/>
      <c r="T220" s="685"/>
    </row>
    <row r="221" spans="2:20">
      <c r="B221" s="1902" t="s">
        <v>857</v>
      </c>
      <c r="C221" s="1904" t="s">
        <v>31</v>
      </c>
      <c r="D221" s="627" t="s">
        <v>116</v>
      </c>
      <c r="E221" s="628"/>
      <c r="F221" s="628"/>
      <c r="G221" s="628"/>
      <c r="H221" s="629"/>
      <c r="I221" s="628" t="s">
        <v>117</v>
      </c>
      <c r="J221" s="630"/>
      <c r="K221" s="630"/>
      <c r="L221" s="630"/>
      <c r="M221" s="629"/>
      <c r="N221" s="624"/>
      <c r="O221" s="631" t="s">
        <v>116</v>
      </c>
      <c r="P221" s="632"/>
      <c r="Q221" s="633"/>
      <c r="R221" s="624"/>
      <c r="S221" s="631" t="s">
        <v>117</v>
      </c>
      <c r="T221" s="633"/>
    </row>
    <row r="222" spans="2:20">
      <c r="B222" s="1903"/>
      <c r="C222" s="1905"/>
      <c r="D222" s="635" t="s">
        <v>32</v>
      </c>
      <c r="E222" s="636" t="s">
        <v>33</v>
      </c>
      <c r="F222" s="636" t="s">
        <v>29</v>
      </c>
      <c r="G222" s="636" t="s">
        <v>34</v>
      </c>
      <c r="H222" s="637" t="s">
        <v>35</v>
      </c>
      <c r="I222" s="638" t="s">
        <v>118</v>
      </c>
      <c r="J222" s="636" t="s">
        <v>136</v>
      </c>
      <c r="K222" s="636" t="s">
        <v>137</v>
      </c>
      <c r="L222" s="636" t="s">
        <v>138</v>
      </c>
      <c r="M222" s="637" t="s">
        <v>139</v>
      </c>
      <c r="N222" s="624"/>
      <c r="O222" s="639" t="s">
        <v>126</v>
      </c>
      <c r="P222" s="640" t="s">
        <v>127</v>
      </c>
      <c r="Q222" s="641" t="s">
        <v>246</v>
      </c>
      <c r="R222" s="624"/>
      <c r="S222" s="639" t="s">
        <v>127</v>
      </c>
      <c r="T222" s="641" t="s">
        <v>128</v>
      </c>
    </row>
    <row r="223" spans="2:20">
      <c r="B223" s="793" t="s">
        <v>862</v>
      </c>
      <c r="C223" s="794"/>
      <c r="D223" s="714"/>
      <c r="E223" s="715"/>
      <c r="F223" s="715"/>
      <c r="G223" s="715"/>
      <c r="H223" s="716"/>
      <c r="I223" s="718"/>
      <c r="J223" s="718"/>
      <c r="K223" s="718"/>
      <c r="L223" s="718"/>
      <c r="M223" s="719"/>
      <c r="N223" s="624"/>
      <c r="O223" s="717"/>
      <c r="P223" s="718"/>
      <c r="Q223" s="719"/>
      <c r="R223" s="624"/>
      <c r="S223" s="717"/>
      <c r="T223" s="719"/>
    </row>
    <row r="224" spans="2:20">
      <c r="B224" s="686" t="s">
        <v>671</v>
      </c>
      <c r="C224" s="687"/>
      <c r="D224" s="688"/>
      <c r="E224" s="689"/>
      <c r="F224" s="689"/>
      <c r="G224" s="689"/>
      <c r="H224" s="690"/>
      <c r="I224" s="689"/>
      <c r="J224" s="689"/>
      <c r="K224" s="689"/>
      <c r="L224" s="689"/>
      <c r="M224" s="690"/>
      <c r="N224" s="624"/>
      <c r="O224" s="691"/>
      <c r="P224" s="692"/>
      <c r="Q224" s="693"/>
      <c r="R224" s="624"/>
      <c r="S224" s="688"/>
      <c r="T224" s="690"/>
    </row>
    <row r="225" spans="2:20">
      <c r="B225" s="694" t="s">
        <v>267</v>
      </c>
      <c r="C225" s="695" t="s">
        <v>14</v>
      </c>
      <c r="D225" s="795"/>
      <c r="E225" s="796"/>
      <c r="F225" s="796"/>
      <c r="G225" s="796"/>
      <c r="H225" s="797"/>
      <c r="I225" s="672"/>
      <c r="J225" s="674"/>
      <c r="K225" s="674"/>
      <c r="L225" s="674"/>
      <c r="M225" s="673"/>
      <c r="N225" s="624"/>
      <c r="O225" s="668"/>
      <c r="P225" s="669"/>
      <c r="Q225" s="670"/>
      <c r="R225" s="624"/>
      <c r="S225" s="668"/>
      <c r="T225" s="671"/>
    </row>
    <row r="226" spans="2:20">
      <c r="B226" s="694" t="s">
        <v>268</v>
      </c>
      <c r="C226" s="695" t="s">
        <v>14</v>
      </c>
      <c r="D226" s="795"/>
      <c r="E226" s="796"/>
      <c r="F226" s="796"/>
      <c r="G226" s="796"/>
      <c r="H226" s="797"/>
      <c r="I226" s="672"/>
      <c r="J226" s="674"/>
      <c r="K226" s="674"/>
      <c r="L226" s="674"/>
      <c r="M226" s="673"/>
      <c r="N226" s="624"/>
      <c r="O226" s="668"/>
      <c r="P226" s="669"/>
      <c r="Q226" s="670"/>
      <c r="R226" s="624"/>
      <c r="S226" s="668"/>
      <c r="T226" s="671"/>
    </row>
    <row r="227" spans="2:20">
      <c r="B227" s="702" t="s">
        <v>865</v>
      </c>
      <c r="C227" s="695" t="s">
        <v>14</v>
      </c>
      <c r="D227" s="657"/>
      <c r="E227" s="672"/>
      <c r="F227" s="672"/>
      <c r="G227" s="672"/>
      <c r="H227" s="673"/>
      <c r="I227" s="703">
        <f>SUM(I225,I226)</f>
        <v>0</v>
      </c>
      <c r="J227" s="648">
        <f>SUM(J225,J226)</f>
        <v>0</v>
      </c>
      <c r="K227" s="648">
        <f>SUM(K225,K226)</f>
        <v>0</v>
      </c>
      <c r="L227" s="648">
        <f>SUM(L225,L226)</f>
        <v>0</v>
      </c>
      <c r="M227" s="649">
        <f>SUM(M225,M226)</f>
        <v>0</v>
      </c>
      <c r="N227" s="624"/>
      <c r="O227" s="647">
        <f>SUM(D227:G227)</f>
        <v>0</v>
      </c>
      <c r="P227" s="648">
        <f>SUM(H227)</f>
        <v>0</v>
      </c>
      <c r="Q227" s="649">
        <f>SUM(D227:H227)</f>
        <v>0</v>
      </c>
      <c r="R227" s="624"/>
      <c r="S227" s="647">
        <f>SUM(I227:M227)</f>
        <v>0</v>
      </c>
      <c r="T227" s="650" t="str">
        <f>IF(Q227&lt;&gt;0,(S227-Q227)/Q227,"0")</f>
        <v>0</v>
      </c>
    </row>
    <row r="228" spans="2:20">
      <c r="B228" s="686" t="s">
        <v>299</v>
      </c>
      <c r="C228" s="704"/>
      <c r="D228" s="705"/>
      <c r="E228" s="706"/>
      <c r="F228" s="706"/>
      <c r="G228" s="706"/>
      <c r="H228" s="707"/>
      <c r="I228" s="706"/>
      <c r="J228" s="706"/>
      <c r="K228" s="706"/>
      <c r="L228" s="706"/>
      <c r="M228" s="707"/>
      <c r="N228" s="624"/>
      <c r="O228" s="708"/>
      <c r="P228" s="706"/>
      <c r="Q228" s="707"/>
      <c r="R228" s="624"/>
      <c r="S228" s="705"/>
      <c r="T228" s="707"/>
    </row>
    <row r="229" spans="2:20">
      <c r="B229" s="694" t="s">
        <v>269</v>
      </c>
      <c r="C229" s="695" t="s">
        <v>14</v>
      </c>
      <c r="D229" s="795"/>
      <c r="E229" s="796"/>
      <c r="F229" s="796"/>
      <c r="G229" s="796"/>
      <c r="H229" s="797"/>
      <c r="I229" s="672"/>
      <c r="J229" s="674"/>
      <c r="K229" s="674"/>
      <c r="L229" s="674"/>
      <c r="M229" s="673"/>
      <c r="N229" s="624"/>
      <c r="O229" s="668"/>
      <c r="P229" s="669"/>
      <c r="Q229" s="670"/>
      <c r="R229" s="624"/>
      <c r="S229" s="668"/>
      <c r="T229" s="671"/>
    </row>
    <row r="230" spans="2:20">
      <c r="B230" s="694" t="s">
        <v>270</v>
      </c>
      <c r="C230" s="695" t="s">
        <v>14</v>
      </c>
      <c r="D230" s="795"/>
      <c r="E230" s="796"/>
      <c r="F230" s="796"/>
      <c r="G230" s="796"/>
      <c r="H230" s="797"/>
      <c r="I230" s="672"/>
      <c r="J230" s="674"/>
      <c r="K230" s="674"/>
      <c r="L230" s="674"/>
      <c r="M230" s="673"/>
      <c r="N230" s="624"/>
      <c r="O230" s="668"/>
      <c r="P230" s="669"/>
      <c r="Q230" s="670"/>
      <c r="R230" s="624"/>
      <c r="S230" s="668"/>
      <c r="T230" s="671"/>
    </row>
    <row r="231" spans="2:20">
      <c r="B231" s="702" t="s">
        <v>866</v>
      </c>
      <c r="C231" s="695" t="s">
        <v>14</v>
      </c>
      <c r="D231" s="657"/>
      <c r="E231" s="672"/>
      <c r="F231" s="672"/>
      <c r="G231" s="672"/>
      <c r="H231" s="673"/>
      <c r="I231" s="703">
        <f>SUM(I229,I230)</f>
        <v>0</v>
      </c>
      <c r="J231" s="648">
        <f>SUM(J229,J230)</f>
        <v>0</v>
      </c>
      <c r="K231" s="648">
        <f>SUM(K229,K230)</f>
        <v>0</v>
      </c>
      <c r="L231" s="648">
        <f>SUM(L229,L230)</f>
        <v>0</v>
      </c>
      <c r="M231" s="649">
        <f>SUM(M229,M230)</f>
        <v>0</v>
      </c>
      <c r="N231" s="624"/>
      <c r="O231" s="647">
        <f>SUM(D231:G231)</f>
        <v>0</v>
      </c>
      <c r="P231" s="648">
        <f>SUM(H231)</f>
        <v>0</v>
      </c>
      <c r="Q231" s="649">
        <f>SUM(D231:H231)</f>
        <v>0</v>
      </c>
      <c r="R231" s="624"/>
      <c r="S231" s="647">
        <f>SUM(I231:M231)</f>
        <v>0</v>
      </c>
      <c r="T231" s="650" t="str">
        <f>IF(Q231&lt;&gt;0,(S231-Q231)/Q231,"0")</f>
        <v>0</v>
      </c>
    </row>
    <row r="232" spans="2:20">
      <c r="B232" s="686" t="s">
        <v>304</v>
      </c>
      <c r="C232" s="704"/>
      <c r="D232" s="705"/>
      <c r="E232" s="706"/>
      <c r="F232" s="706"/>
      <c r="G232" s="706"/>
      <c r="H232" s="707"/>
      <c r="I232" s="706"/>
      <c r="J232" s="706"/>
      <c r="K232" s="706"/>
      <c r="L232" s="706"/>
      <c r="M232" s="707"/>
      <c r="N232" s="624"/>
      <c r="O232" s="705"/>
      <c r="P232" s="706"/>
      <c r="Q232" s="707"/>
      <c r="R232" s="624"/>
      <c r="S232" s="705"/>
      <c r="T232" s="707"/>
    </row>
    <row r="233" spans="2:20">
      <c r="B233" s="694" t="s">
        <v>271</v>
      </c>
      <c r="C233" s="695" t="s">
        <v>14</v>
      </c>
      <c r="D233" s="795"/>
      <c r="E233" s="796"/>
      <c r="F233" s="796"/>
      <c r="G233" s="796"/>
      <c r="H233" s="797"/>
      <c r="I233" s="672"/>
      <c r="J233" s="674"/>
      <c r="K233" s="674"/>
      <c r="L233" s="674"/>
      <c r="M233" s="673"/>
      <c r="N233" s="624"/>
      <c r="O233" s="668"/>
      <c r="P233" s="669"/>
      <c r="Q233" s="670"/>
      <c r="R233" s="624"/>
      <c r="S233" s="668"/>
      <c r="T233" s="671"/>
    </row>
    <row r="234" spans="2:20">
      <c r="B234" s="694" t="s">
        <v>272</v>
      </c>
      <c r="C234" s="695" t="s">
        <v>14</v>
      </c>
      <c r="D234" s="795"/>
      <c r="E234" s="796"/>
      <c r="F234" s="796"/>
      <c r="G234" s="796"/>
      <c r="H234" s="797"/>
      <c r="I234" s="672"/>
      <c r="J234" s="674"/>
      <c r="K234" s="674"/>
      <c r="L234" s="674"/>
      <c r="M234" s="673"/>
      <c r="N234" s="624"/>
      <c r="O234" s="668"/>
      <c r="P234" s="669"/>
      <c r="Q234" s="670"/>
      <c r="R234" s="624"/>
      <c r="S234" s="668"/>
      <c r="T234" s="671"/>
    </row>
    <row r="235" spans="2:20">
      <c r="B235" s="702" t="s">
        <v>867</v>
      </c>
      <c r="C235" s="695" t="s">
        <v>14</v>
      </c>
      <c r="D235" s="657"/>
      <c r="E235" s="672"/>
      <c r="F235" s="672"/>
      <c r="G235" s="672"/>
      <c r="H235" s="673"/>
      <c r="I235" s="703">
        <f>SUM(I233,I234)</f>
        <v>0</v>
      </c>
      <c r="J235" s="648">
        <f>SUM(J233,J234)</f>
        <v>0</v>
      </c>
      <c r="K235" s="648">
        <f>SUM(K233,K234)</f>
        <v>0</v>
      </c>
      <c r="L235" s="648">
        <f>SUM(L233,L234)</f>
        <v>0</v>
      </c>
      <c r="M235" s="649">
        <f>SUM(M233,M234)</f>
        <v>0</v>
      </c>
      <c r="N235" s="624"/>
      <c r="O235" s="647">
        <f>SUM(D235:G235)</f>
        <v>0</v>
      </c>
      <c r="P235" s="648">
        <f>SUM(H235)</f>
        <v>0</v>
      </c>
      <c r="Q235" s="649">
        <f>SUM(D235:H235)</f>
        <v>0</v>
      </c>
      <c r="R235" s="624"/>
      <c r="S235" s="647">
        <f>SUM(I235:M235)</f>
        <v>0</v>
      </c>
      <c r="T235" s="650" t="str">
        <f>IF(Q235&lt;&gt;0,(S235-Q235)/Q235,"0")</f>
        <v>0</v>
      </c>
    </row>
    <row r="236" spans="2:20">
      <c r="B236" s="686" t="s">
        <v>309</v>
      </c>
      <c r="C236" s="704"/>
      <c r="D236" s="705"/>
      <c r="E236" s="706"/>
      <c r="F236" s="706"/>
      <c r="G236" s="706"/>
      <c r="H236" s="707"/>
      <c r="I236" s="706"/>
      <c r="J236" s="706"/>
      <c r="K236" s="706"/>
      <c r="L236" s="706"/>
      <c r="M236" s="707"/>
      <c r="N236" s="624"/>
      <c r="O236" s="705"/>
      <c r="P236" s="706"/>
      <c r="Q236" s="707"/>
      <c r="R236" s="624"/>
      <c r="S236" s="705"/>
      <c r="T236" s="707"/>
    </row>
    <row r="237" spans="2:20">
      <c r="B237" s="694" t="s">
        <v>273</v>
      </c>
      <c r="C237" s="695" t="s">
        <v>14</v>
      </c>
      <c r="D237" s="795"/>
      <c r="E237" s="796"/>
      <c r="F237" s="796"/>
      <c r="G237" s="796"/>
      <c r="H237" s="797"/>
      <c r="I237" s="672"/>
      <c r="J237" s="674"/>
      <c r="K237" s="674"/>
      <c r="L237" s="674"/>
      <c r="M237" s="673"/>
      <c r="N237" s="624"/>
      <c r="O237" s="668"/>
      <c r="P237" s="669"/>
      <c r="Q237" s="670"/>
      <c r="R237" s="624"/>
      <c r="S237" s="668"/>
      <c r="T237" s="671"/>
    </row>
    <row r="238" spans="2:20">
      <c r="B238" s="694" t="s">
        <v>274</v>
      </c>
      <c r="C238" s="695" t="s">
        <v>14</v>
      </c>
      <c r="D238" s="795"/>
      <c r="E238" s="796"/>
      <c r="F238" s="796"/>
      <c r="G238" s="796"/>
      <c r="H238" s="797"/>
      <c r="I238" s="672"/>
      <c r="J238" s="674"/>
      <c r="K238" s="674"/>
      <c r="L238" s="674"/>
      <c r="M238" s="673"/>
      <c r="N238" s="624"/>
      <c r="O238" s="668"/>
      <c r="P238" s="669"/>
      <c r="Q238" s="670"/>
      <c r="R238" s="624"/>
      <c r="S238" s="668"/>
      <c r="T238" s="671"/>
    </row>
    <row r="239" spans="2:20">
      <c r="B239" s="813" t="s">
        <v>700</v>
      </c>
      <c r="C239" s="695" t="s">
        <v>14</v>
      </c>
      <c r="D239" s="814"/>
      <c r="E239" s="815"/>
      <c r="F239" s="815"/>
      <c r="G239" s="815"/>
      <c r="H239" s="816"/>
      <c r="I239" s="817">
        <f>SUM(I237,I238)</f>
        <v>0</v>
      </c>
      <c r="J239" s="818">
        <f>SUM(J237,J238)</f>
        <v>0</v>
      </c>
      <c r="K239" s="818">
        <f>SUM(K237,K238)</f>
        <v>0</v>
      </c>
      <c r="L239" s="818">
        <f>SUM(L237,L238)</f>
        <v>0</v>
      </c>
      <c r="M239" s="819">
        <f>SUM(M237,M238)</f>
        <v>0</v>
      </c>
      <c r="N239" s="624"/>
      <c r="O239" s="647">
        <f>SUM(D239:G239)</f>
        <v>0</v>
      </c>
      <c r="P239" s="648">
        <f>SUM(H239)</f>
        <v>0</v>
      </c>
      <c r="Q239" s="649">
        <f>SUM(D239:H239)</f>
        <v>0</v>
      </c>
      <c r="R239" s="624"/>
      <c r="S239" s="647">
        <f>SUM(I239:M239)</f>
        <v>0</v>
      </c>
      <c r="T239" s="650" t="str">
        <f>IF(Q239&lt;&gt;0,(S239-Q239)/Q239,"0")</f>
        <v>0</v>
      </c>
    </row>
    <row r="240" spans="2:20" ht="13.5" thickBot="1">
      <c r="B240" s="820" t="s">
        <v>318</v>
      </c>
      <c r="C240" s="821"/>
      <c r="D240" s="822">
        <f t="shared" ref="D240:M240" si="33">SUM(D227,D231,D235,D239)</f>
        <v>0</v>
      </c>
      <c r="E240" s="822">
        <f t="shared" si="33"/>
        <v>0</v>
      </c>
      <c r="F240" s="822">
        <f t="shared" si="33"/>
        <v>0</v>
      </c>
      <c r="G240" s="822">
        <f t="shared" si="33"/>
        <v>0</v>
      </c>
      <c r="H240" s="822">
        <f t="shared" si="33"/>
        <v>0</v>
      </c>
      <c r="I240" s="825">
        <f t="shared" si="33"/>
        <v>0</v>
      </c>
      <c r="J240" s="825">
        <f t="shared" si="33"/>
        <v>0</v>
      </c>
      <c r="K240" s="825">
        <f t="shared" si="33"/>
        <v>0</v>
      </c>
      <c r="L240" s="825">
        <f t="shared" si="33"/>
        <v>0</v>
      </c>
      <c r="M240" s="826">
        <f t="shared" si="33"/>
        <v>0</v>
      </c>
      <c r="N240" s="624"/>
      <c r="O240" s="679">
        <f>SUM(O227,O231,O235,O239)</f>
        <v>0</v>
      </c>
      <c r="P240" s="680">
        <f>SUM(P227,P231,P235,P239)</f>
        <v>0</v>
      </c>
      <c r="Q240" s="681">
        <f>SUM(Q227,Q231,Q235,Q239)</f>
        <v>0</v>
      </c>
      <c r="R240" s="624"/>
      <c r="S240" s="679">
        <f>SUM(S227,S231,S235,S239)</f>
        <v>0</v>
      </c>
      <c r="T240" s="682" t="str">
        <f>IF(Q240&lt;&gt;0,(S240-Q240)/Q240,"0")</f>
        <v>0</v>
      </c>
    </row>
    <row r="241" spans="2:20">
      <c r="N241" s="624"/>
      <c r="R241" s="624"/>
    </row>
    <row r="243" spans="2:20">
      <c r="B243" s="683" t="s">
        <v>319</v>
      </c>
      <c r="C243" s="684"/>
      <c r="D243" s="685"/>
      <c r="E243" s="685"/>
      <c r="F243" s="685"/>
      <c r="G243" s="685"/>
      <c r="H243" s="685"/>
      <c r="I243" s="685"/>
      <c r="J243" s="685"/>
      <c r="K243" s="685"/>
      <c r="L243" s="685"/>
      <c r="M243" s="685"/>
      <c r="N243" s="624"/>
      <c r="O243" s="685"/>
      <c r="P243" s="685"/>
      <c r="Q243" s="685"/>
      <c r="R243" s="624"/>
      <c r="S243" s="685"/>
      <c r="T243" s="685"/>
    </row>
    <row r="244" spans="2:20" ht="13.5" thickBot="1">
      <c r="B244" s="683"/>
      <c r="C244" s="684"/>
      <c r="D244" s="685"/>
      <c r="E244" s="685"/>
      <c r="F244" s="685"/>
      <c r="G244" s="685"/>
      <c r="H244" s="685"/>
      <c r="I244" s="685"/>
      <c r="J244" s="685"/>
      <c r="K244" s="685"/>
      <c r="L244" s="685"/>
      <c r="M244" s="685"/>
      <c r="N244" s="624"/>
      <c r="O244" s="685"/>
      <c r="P244" s="685"/>
      <c r="Q244" s="685"/>
      <c r="R244" s="624"/>
      <c r="S244" s="685"/>
      <c r="T244" s="685"/>
    </row>
    <row r="245" spans="2:20">
      <c r="B245" s="1902" t="s">
        <v>140</v>
      </c>
      <c r="C245" s="1904" t="s">
        <v>31</v>
      </c>
      <c r="D245" s="627" t="s">
        <v>116</v>
      </c>
      <c r="E245" s="628"/>
      <c r="F245" s="628"/>
      <c r="G245" s="628"/>
      <c r="H245" s="629"/>
      <c r="I245" s="628" t="s">
        <v>117</v>
      </c>
      <c r="J245" s="630"/>
      <c r="K245" s="630"/>
      <c r="L245" s="630"/>
      <c r="M245" s="629"/>
      <c r="N245" s="624"/>
      <c r="O245" s="631" t="s">
        <v>116</v>
      </c>
      <c r="P245" s="632"/>
      <c r="Q245" s="633"/>
      <c r="R245" s="624"/>
      <c r="S245" s="631" t="s">
        <v>117</v>
      </c>
      <c r="T245" s="633"/>
    </row>
    <row r="246" spans="2:20">
      <c r="B246" s="1903"/>
      <c r="C246" s="1905"/>
      <c r="D246" s="635" t="s">
        <v>32</v>
      </c>
      <c r="E246" s="636" t="s">
        <v>33</v>
      </c>
      <c r="F246" s="636" t="s">
        <v>29</v>
      </c>
      <c r="G246" s="636" t="s">
        <v>34</v>
      </c>
      <c r="H246" s="637" t="s">
        <v>35</v>
      </c>
      <c r="I246" s="638" t="s">
        <v>118</v>
      </c>
      <c r="J246" s="636" t="s">
        <v>136</v>
      </c>
      <c r="K246" s="636" t="s">
        <v>137</v>
      </c>
      <c r="L246" s="636" t="s">
        <v>138</v>
      </c>
      <c r="M246" s="637" t="s">
        <v>139</v>
      </c>
      <c r="N246" s="624"/>
      <c r="O246" s="639" t="s">
        <v>126</v>
      </c>
      <c r="P246" s="640" t="s">
        <v>127</v>
      </c>
      <c r="Q246" s="641" t="s">
        <v>246</v>
      </c>
      <c r="R246" s="624"/>
      <c r="S246" s="639" t="s">
        <v>127</v>
      </c>
      <c r="T246" s="641" t="s">
        <v>128</v>
      </c>
    </row>
    <row r="247" spans="2:20">
      <c r="B247" s="686" t="s">
        <v>141</v>
      </c>
      <c r="C247" s="687"/>
      <c r="D247" s="688"/>
      <c r="E247" s="689"/>
      <c r="F247" s="689"/>
      <c r="G247" s="689"/>
      <c r="H247" s="690"/>
      <c r="I247" s="689"/>
      <c r="J247" s="689"/>
      <c r="K247" s="689"/>
      <c r="L247" s="689"/>
      <c r="M247" s="690"/>
      <c r="N247" s="624"/>
      <c r="O247" s="828"/>
      <c r="P247" s="829"/>
      <c r="Q247" s="830"/>
      <c r="R247" s="624"/>
      <c r="S247" s="831"/>
      <c r="T247" s="832"/>
    </row>
    <row r="248" spans="2:20">
      <c r="B248" s="694" t="s">
        <v>267</v>
      </c>
      <c r="C248" s="695" t="s">
        <v>14</v>
      </c>
      <c r="D248" s="795"/>
      <c r="E248" s="796"/>
      <c r="F248" s="796"/>
      <c r="G248" s="796"/>
      <c r="H248" s="797"/>
      <c r="I248" s="672"/>
      <c r="J248" s="674"/>
      <c r="K248" s="674"/>
      <c r="L248" s="674"/>
      <c r="M248" s="673"/>
      <c r="N248" s="624"/>
      <c r="O248" s="668"/>
      <c r="P248" s="669"/>
      <c r="Q248" s="670"/>
      <c r="R248" s="624"/>
      <c r="S248" s="668"/>
      <c r="T248" s="671"/>
    </row>
    <row r="249" spans="2:20">
      <c r="B249" s="694" t="s">
        <v>268</v>
      </c>
      <c r="C249" s="695"/>
      <c r="D249" s="795"/>
      <c r="E249" s="796"/>
      <c r="F249" s="796"/>
      <c r="G249" s="796"/>
      <c r="H249" s="797"/>
      <c r="I249" s="672"/>
      <c r="J249" s="674"/>
      <c r="K249" s="674"/>
      <c r="L249" s="674"/>
      <c r="M249" s="673"/>
      <c r="N249" s="624"/>
      <c r="O249" s="668"/>
      <c r="P249" s="669"/>
      <c r="Q249" s="670"/>
      <c r="R249" s="624"/>
      <c r="S249" s="668"/>
      <c r="T249" s="671"/>
    </row>
    <row r="250" spans="2:20">
      <c r="B250" s="702" t="s">
        <v>865</v>
      </c>
      <c r="C250" s="695" t="s">
        <v>14</v>
      </c>
      <c r="D250" s="657"/>
      <c r="E250" s="672"/>
      <c r="F250" s="672"/>
      <c r="G250" s="672"/>
      <c r="H250" s="673"/>
      <c r="I250" s="703">
        <f>SUM(I248:I249)</f>
        <v>0</v>
      </c>
      <c r="J250" s="648">
        <f>SUM(J248:J249)</f>
        <v>0</v>
      </c>
      <c r="K250" s="648">
        <f>SUM(K248:K249)</f>
        <v>0</v>
      </c>
      <c r="L250" s="648">
        <f>SUM(L248:L249)</f>
        <v>0</v>
      </c>
      <c r="M250" s="649">
        <f>SUM(M248:M249)</f>
        <v>0</v>
      </c>
      <c r="N250" s="624"/>
      <c r="O250" s="647">
        <f>SUM(D250:G250)</f>
        <v>0</v>
      </c>
      <c r="P250" s="648">
        <f>SUM(H250)</f>
        <v>0</v>
      </c>
      <c r="Q250" s="649">
        <f>SUM(D250:H250)</f>
        <v>0</v>
      </c>
      <c r="R250" s="624"/>
      <c r="S250" s="647">
        <f>SUM(I250:M250)</f>
        <v>0</v>
      </c>
      <c r="T250" s="650" t="str">
        <f>IF(Q250&lt;&gt;0,(S250-Q250)/Q250,"0")</f>
        <v>0</v>
      </c>
    </row>
    <row r="251" spans="2:20">
      <c r="B251" s="686" t="s">
        <v>320</v>
      </c>
      <c r="C251" s="704"/>
      <c r="D251" s="705"/>
      <c r="E251" s="706"/>
      <c r="F251" s="706"/>
      <c r="G251" s="706"/>
      <c r="H251" s="707"/>
      <c r="I251" s="706"/>
      <c r="J251" s="706"/>
      <c r="K251" s="706"/>
      <c r="L251" s="706"/>
      <c r="M251" s="707"/>
      <c r="N251" s="624"/>
      <c r="O251" s="831"/>
      <c r="P251" s="829"/>
      <c r="Q251" s="830"/>
      <c r="R251" s="624"/>
      <c r="S251" s="828"/>
      <c r="T251" s="830"/>
    </row>
    <row r="252" spans="2:20">
      <c r="B252" s="694" t="s">
        <v>269</v>
      </c>
      <c r="C252" s="695" t="s">
        <v>14</v>
      </c>
      <c r="D252" s="795"/>
      <c r="E252" s="796"/>
      <c r="F252" s="796"/>
      <c r="G252" s="796"/>
      <c r="H252" s="797"/>
      <c r="I252" s="672"/>
      <c r="J252" s="674"/>
      <c r="K252" s="674"/>
      <c r="L252" s="674"/>
      <c r="M252" s="673"/>
      <c r="N252" s="624"/>
      <c r="O252" s="668"/>
      <c r="P252" s="669"/>
      <c r="Q252" s="670"/>
      <c r="R252" s="624"/>
      <c r="S252" s="668"/>
      <c r="T252" s="671"/>
    </row>
    <row r="253" spans="2:20">
      <c r="B253" s="694" t="s">
        <v>270</v>
      </c>
      <c r="C253" s="695" t="s">
        <v>14</v>
      </c>
      <c r="D253" s="795"/>
      <c r="E253" s="796"/>
      <c r="F253" s="796"/>
      <c r="G253" s="796"/>
      <c r="H253" s="797"/>
      <c r="I253" s="672"/>
      <c r="J253" s="674"/>
      <c r="K253" s="674"/>
      <c r="L253" s="674"/>
      <c r="M253" s="673"/>
      <c r="N253" s="624"/>
      <c r="O253" s="668"/>
      <c r="P253" s="669"/>
      <c r="Q253" s="670"/>
      <c r="R253" s="624"/>
      <c r="S253" s="668"/>
      <c r="T253" s="671"/>
    </row>
    <row r="254" spans="2:20">
      <c r="B254" s="702" t="s">
        <v>866</v>
      </c>
      <c r="C254" s="695" t="s">
        <v>14</v>
      </c>
      <c r="D254" s="657"/>
      <c r="E254" s="672"/>
      <c r="F254" s="672"/>
      <c r="G254" s="672"/>
      <c r="H254" s="673"/>
      <c r="I254" s="703">
        <f>SUM(I252:I253)</f>
        <v>0</v>
      </c>
      <c r="J254" s="648">
        <f>SUM(J252:J253)</f>
        <v>0</v>
      </c>
      <c r="K254" s="648">
        <f>SUM(K252:K253)</f>
        <v>0</v>
      </c>
      <c r="L254" s="648">
        <f>SUM(L252:L253)</f>
        <v>0</v>
      </c>
      <c r="M254" s="649">
        <f>SUM(M252:M253)</f>
        <v>0</v>
      </c>
      <c r="N254" s="624"/>
      <c r="O254" s="647">
        <f>SUM(D254:G254)</f>
        <v>0</v>
      </c>
      <c r="P254" s="648">
        <f>SUM(H254)</f>
        <v>0</v>
      </c>
      <c r="Q254" s="649">
        <f>SUM(D254:H254)</f>
        <v>0</v>
      </c>
      <c r="R254" s="624"/>
      <c r="S254" s="647">
        <f>SUM(I254:M254)</f>
        <v>0</v>
      </c>
      <c r="T254" s="650" t="str">
        <f>IF(Q254&lt;&gt;0,(S254-Q254)/Q254,"0")</f>
        <v>0</v>
      </c>
    </row>
    <row r="255" spans="2:20">
      <c r="B255" s="686" t="s">
        <v>321</v>
      </c>
      <c r="C255" s="704"/>
      <c r="D255" s="705"/>
      <c r="E255" s="706"/>
      <c r="F255" s="706"/>
      <c r="G255" s="706"/>
      <c r="H255" s="707"/>
      <c r="I255" s="706"/>
      <c r="J255" s="706"/>
      <c r="K255" s="706"/>
      <c r="L255" s="706"/>
      <c r="M255" s="707"/>
      <c r="N255" s="624"/>
      <c r="O255" s="828"/>
      <c r="P255" s="829"/>
      <c r="Q255" s="830"/>
      <c r="R255" s="624"/>
      <c r="S255" s="828"/>
      <c r="T255" s="830"/>
    </row>
    <row r="256" spans="2:20">
      <c r="B256" s="694" t="s">
        <v>271</v>
      </c>
      <c r="C256" s="695" t="s">
        <v>14</v>
      </c>
      <c r="D256" s="795"/>
      <c r="E256" s="796"/>
      <c r="F256" s="796"/>
      <c r="G256" s="796"/>
      <c r="H256" s="797"/>
      <c r="I256" s="672"/>
      <c r="J256" s="674"/>
      <c r="K256" s="674"/>
      <c r="L256" s="674"/>
      <c r="M256" s="673"/>
      <c r="N256" s="624"/>
      <c r="O256" s="668"/>
      <c r="P256" s="669"/>
      <c r="Q256" s="670"/>
      <c r="R256" s="624"/>
      <c r="S256" s="668"/>
      <c r="T256" s="671"/>
    </row>
    <row r="257" spans="1:20">
      <c r="B257" s="694" t="s">
        <v>272</v>
      </c>
      <c r="C257" s="695" t="s">
        <v>14</v>
      </c>
      <c r="D257" s="795"/>
      <c r="E257" s="796"/>
      <c r="F257" s="796"/>
      <c r="G257" s="796"/>
      <c r="H257" s="797"/>
      <c r="I257" s="672"/>
      <c r="J257" s="674"/>
      <c r="K257" s="674"/>
      <c r="L257" s="674"/>
      <c r="M257" s="673"/>
      <c r="N257" s="624"/>
      <c r="O257" s="668"/>
      <c r="P257" s="669"/>
      <c r="Q257" s="670"/>
      <c r="R257" s="624"/>
      <c r="S257" s="668"/>
      <c r="T257" s="671"/>
    </row>
    <row r="258" spans="1:20">
      <c r="B258" s="702" t="s">
        <v>867</v>
      </c>
      <c r="C258" s="695" t="s">
        <v>14</v>
      </c>
      <c r="D258" s="657"/>
      <c r="E258" s="672"/>
      <c r="F258" s="672"/>
      <c r="G258" s="672"/>
      <c r="H258" s="673"/>
      <c r="I258" s="703">
        <f>SUM(I256:I257)</f>
        <v>0</v>
      </c>
      <c r="J258" s="648">
        <f>SUM(J256:J257)</f>
        <v>0</v>
      </c>
      <c r="K258" s="648">
        <f>SUM(K256:K257)</f>
        <v>0</v>
      </c>
      <c r="L258" s="648">
        <f>SUM(L256:L257)</f>
        <v>0</v>
      </c>
      <c r="M258" s="649">
        <f>SUM(M256:M257)</f>
        <v>0</v>
      </c>
      <c r="N258" s="624"/>
      <c r="O258" s="647">
        <f>SUM(D258:G258)</f>
        <v>0</v>
      </c>
      <c r="P258" s="648">
        <f>SUM(H258)</f>
        <v>0</v>
      </c>
      <c r="Q258" s="649">
        <f>SUM(D258:H258)</f>
        <v>0</v>
      </c>
      <c r="R258" s="624"/>
      <c r="S258" s="647">
        <f>SUM(I258:M258)</f>
        <v>0</v>
      </c>
      <c r="T258" s="650" t="str">
        <f>IF(Q258&lt;&gt;0,(S258-Q258)/Q258,"0")</f>
        <v>0</v>
      </c>
    </row>
    <row r="259" spans="1:20">
      <c r="B259" s="686" t="s">
        <v>322</v>
      </c>
      <c r="C259" s="704"/>
      <c r="D259" s="705"/>
      <c r="E259" s="706"/>
      <c r="F259" s="706"/>
      <c r="G259" s="706"/>
      <c r="H259" s="707"/>
      <c r="I259" s="706"/>
      <c r="J259" s="706"/>
      <c r="K259" s="706"/>
      <c r="L259" s="706"/>
      <c r="M259" s="707"/>
      <c r="N259" s="624"/>
      <c r="O259" s="828"/>
      <c r="P259" s="829"/>
      <c r="Q259" s="830"/>
      <c r="R259" s="624"/>
      <c r="S259" s="828"/>
      <c r="T259" s="830"/>
    </row>
    <row r="260" spans="1:20">
      <c r="B260" s="694" t="s">
        <v>273</v>
      </c>
      <c r="C260" s="695" t="s">
        <v>14</v>
      </c>
      <c r="D260" s="795"/>
      <c r="E260" s="796"/>
      <c r="F260" s="796"/>
      <c r="G260" s="796"/>
      <c r="H260" s="797"/>
      <c r="I260" s="672"/>
      <c r="J260" s="674"/>
      <c r="K260" s="674"/>
      <c r="L260" s="674"/>
      <c r="M260" s="673"/>
      <c r="N260" s="624"/>
      <c r="O260" s="668"/>
      <c r="P260" s="669"/>
      <c r="Q260" s="670"/>
      <c r="R260" s="624"/>
      <c r="S260" s="668"/>
      <c r="T260" s="671"/>
    </row>
    <row r="261" spans="1:20">
      <c r="B261" s="694" t="s">
        <v>274</v>
      </c>
      <c r="C261" s="695" t="s">
        <v>14</v>
      </c>
      <c r="D261" s="795"/>
      <c r="E261" s="796"/>
      <c r="F261" s="796"/>
      <c r="G261" s="796"/>
      <c r="H261" s="797"/>
      <c r="I261" s="672"/>
      <c r="J261" s="674"/>
      <c r="K261" s="674"/>
      <c r="L261" s="674"/>
      <c r="M261" s="673"/>
      <c r="N261" s="624"/>
      <c r="O261" s="668"/>
      <c r="P261" s="669"/>
      <c r="Q261" s="670"/>
      <c r="R261" s="624"/>
      <c r="S261" s="668"/>
      <c r="T261" s="671"/>
    </row>
    <row r="262" spans="1:20">
      <c r="B262" s="813" t="s">
        <v>700</v>
      </c>
      <c r="C262" s="695" t="s">
        <v>14</v>
      </c>
      <c r="D262" s="814"/>
      <c r="E262" s="815"/>
      <c r="F262" s="815"/>
      <c r="G262" s="815"/>
      <c r="H262" s="816"/>
      <c r="I262" s="817">
        <f>SUM(I260:I261)</f>
        <v>0</v>
      </c>
      <c r="J262" s="818">
        <f>SUM(J260:J261)</f>
        <v>0</v>
      </c>
      <c r="K262" s="818">
        <f>SUM(K260:K261)</f>
        <v>0</v>
      </c>
      <c r="L262" s="818">
        <f>SUM(L260:L261)</f>
        <v>0</v>
      </c>
      <c r="M262" s="819">
        <f>SUM(M260:M261)</f>
        <v>0</v>
      </c>
      <c r="N262" s="624"/>
      <c r="O262" s="647">
        <f>SUM(D262:G262)</f>
        <v>0</v>
      </c>
      <c r="P262" s="648">
        <f>SUM(H262)</f>
        <v>0</v>
      </c>
      <c r="Q262" s="649">
        <f>SUM(D262:H262)</f>
        <v>0</v>
      </c>
      <c r="R262" s="624"/>
      <c r="S262" s="647">
        <f>SUM(I262:M262)</f>
        <v>0</v>
      </c>
      <c r="T262" s="650" t="str">
        <f>IF(Q262&lt;&gt;0,(S262-Q262)/Q262,"0")</f>
        <v>0</v>
      </c>
    </row>
    <row r="263" spans="1:20" ht="13.5" thickBot="1">
      <c r="B263" s="833" t="s">
        <v>323</v>
      </c>
      <c r="C263" s="821"/>
      <c r="D263" s="822">
        <f t="shared" ref="D263:M263" si="34">SUM(D250,D254,D258,D262)</f>
        <v>0</v>
      </c>
      <c r="E263" s="822">
        <f t="shared" si="34"/>
        <v>0</v>
      </c>
      <c r="F263" s="822">
        <f t="shared" si="34"/>
        <v>0</v>
      </c>
      <c r="G263" s="822">
        <f t="shared" si="34"/>
        <v>0</v>
      </c>
      <c r="H263" s="822">
        <f t="shared" si="34"/>
        <v>0</v>
      </c>
      <c r="I263" s="823">
        <f t="shared" si="34"/>
        <v>0</v>
      </c>
      <c r="J263" s="823">
        <f t="shared" si="34"/>
        <v>0</v>
      </c>
      <c r="K263" s="823">
        <f t="shared" si="34"/>
        <v>0</v>
      </c>
      <c r="L263" s="823">
        <f t="shared" si="34"/>
        <v>0</v>
      </c>
      <c r="M263" s="824">
        <f t="shared" si="34"/>
        <v>0</v>
      </c>
      <c r="N263" s="624"/>
      <c r="O263" s="679">
        <f>SUM(O250,O254,O258,O262)</f>
        <v>0</v>
      </c>
      <c r="P263" s="680">
        <f>SUM(P250,P254,P258,P262)</f>
        <v>0</v>
      </c>
      <c r="Q263" s="681">
        <f>SUM(Q250,Q254,Q258,Q262)</f>
        <v>0</v>
      </c>
      <c r="R263" s="624"/>
      <c r="S263" s="679">
        <f>SUM(S250,S254,S258,S262)</f>
        <v>0</v>
      </c>
      <c r="T263" s="682" t="str">
        <f>IF(Q263&lt;&gt;0,(S263-Q263)/Q263,"0")</f>
        <v>0</v>
      </c>
    </row>
    <row r="266" spans="1:20">
      <c r="D266" s="837">
        <f>SUM(D240:M240) - SUM(D263:M263)</f>
        <v>0</v>
      </c>
    </row>
    <row r="267" spans="1:20">
      <c r="A267" s="834"/>
      <c r="B267" s="835"/>
      <c r="C267" s="836"/>
      <c r="D267" s="726"/>
      <c r="E267" s="726"/>
      <c r="F267" s="726"/>
      <c r="G267" s="726"/>
      <c r="H267" s="726"/>
      <c r="I267" s="726"/>
      <c r="J267" s="726"/>
      <c r="K267" s="726"/>
      <c r="L267" s="726"/>
      <c r="M267" s="726"/>
      <c r="N267" s="726"/>
    </row>
  </sheetData>
  <mergeCells count="18">
    <mergeCell ref="B26:B27"/>
    <mergeCell ref="C26:C27"/>
    <mergeCell ref="C18:C19"/>
    <mergeCell ref="C8:C9"/>
    <mergeCell ref="B48:B49"/>
    <mergeCell ref="C48:C49"/>
    <mergeCell ref="C79:C80"/>
    <mergeCell ref="B79:B80"/>
    <mergeCell ref="B110:B111"/>
    <mergeCell ref="C110:C111"/>
    <mergeCell ref="B143:B144"/>
    <mergeCell ref="C143:C144"/>
    <mergeCell ref="B182:B183"/>
    <mergeCell ref="C182:C183"/>
    <mergeCell ref="B221:B222"/>
    <mergeCell ref="C221:C222"/>
    <mergeCell ref="B245:B246"/>
    <mergeCell ref="C245:C246"/>
  </mergeCells>
  <phoneticPr fontId="47"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1DFFF"/>
  </sheetPr>
  <dimension ref="A1:AO126"/>
  <sheetViews>
    <sheetView zoomScale="70" zoomScaleNormal="70" zoomScalePageLayoutView="85" workbookViewId="0"/>
  </sheetViews>
  <sheetFormatPr defaultColWidth="8.85546875" defaultRowHeight="12.75"/>
  <cols>
    <col min="1" max="1" width="9.42578125" style="242" customWidth="1"/>
    <col min="2" max="2" width="4.7109375" style="242" customWidth="1"/>
    <col min="3" max="3" width="39" style="242" customWidth="1"/>
    <col min="4" max="13" width="11" style="242" customWidth="1"/>
    <col min="14" max="36" width="15.42578125" style="242" customWidth="1"/>
    <col min="37" max="37" width="109.28515625" style="242" customWidth="1"/>
    <col min="38" max="16384" width="8.85546875" style="242"/>
  </cols>
  <sheetData>
    <row r="1" spans="1:36" s="991" customFormat="1" ht="26.25">
      <c r="A1" s="838" t="s">
        <v>167</v>
      </c>
      <c r="D1" s="838"/>
      <c r="E1" s="992"/>
      <c r="F1" s="993"/>
      <c r="G1" s="993"/>
      <c r="I1" s="994"/>
      <c r="J1" s="994"/>
      <c r="L1" s="994"/>
    </row>
    <row r="2" spans="1:36" s="991" customFormat="1" ht="18">
      <c r="A2" s="995" t="s">
        <v>168</v>
      </c>
      <c r="E2" s="996"/>
    </row>
    <row r="3" spans="1:36" s="998" customFormat="1" ht="18.75" thickBot="1">
      <c r="A3" s="997" t="s">
        <v>741</v>
      </c>
      <c r="D3" s="997"/>
      <c r="E3" s="999"/>
    </row>
    <row r="5" spans="1:36" s="1354" customFormat="1" ht="15.75" customHeight="1">
      <c r="B5" s="1382" t="s">
        <v>742</v>
      </c>
      <c r="C5" s="1382"/>
    </row>
    <row r="6" spans="1:36" ht="13.5" thickBot="1">
      <c r="B6" s="507"/>
      <c r="C6" s="507"/>
    </row>
    <row r="7" spans="1:36" ht="15.75" customHeight="1">
      <c r="B7" s="507"/>
      <c r="C7" s="1922"/>
      <c r="D7" s="508" t="s">
        <v>116</v>
      </c>
      <c r="E7" s="509"/>
      <c r="F7" s="509"/>
      <c r="G7" s="509"/>
      <c r="H7" s="299"/>
      <c r="I7" s="509" t="s">
        <v>117</v>
      </c>
      <c r="J7" s="300"/>
      <c r="K7" s="300"/>
      <c r="L7" s="300"/>
      <c r="M7" s="299"/>
      <c r="N7" s="243"/>
      <c r="O7" s="1912" t="s">
        <v>116</v>
      </c>
      <c r="P7" s="1927"/>
      <c r="Q7" s="1913"/>
      <c r="R7" s="302"/>
      <c r="S7" s="1912" t="s">
        <v>117</v>
      </c>
      <c r="T7" s="1913"/>
      <c r="U7" s="1394"/>
      <c r="W7" s="1000"/>
      <c r="X7" s="1000"/>
      <c r="Y7" s="1000"/>
      <c r="Z7" s="1000"/>
      <c r="AA7" s="1000"/>
      <c r="AB7" s="1000"/>
      <c r="AC7" s="1000"/>
      <c r="AD7" s="1000"/>
      <c r="AE7" s="1000"/>
      <c r="AF7" s="1000"/>
      <c r="AG7" s="1000"/>
      <c r="AH7" s="1000"/>
      <c r="AI7" s="1000"/>
      <c r="AJ7" s="1000"/>
    </row>
    <row r="8" spans="1:36" ht="15.75" customHeight="1">
      <c r="C8" s="1923"/>
      <c r="D8" s="517" t="s">
        <v>32</v>
      </c>
      <c r="E8" s="518" t="s">
        <v>33</v>
      </c>
      <c r="F8" s="518" t="s">
        <v>29</v>
      </c>
      <c r="G8" s="518" t="s">
        <v>34</v>
      </c>
      <c r="H8" s="519" t="s">
        <v>35</v>
      </c>
      <c r="I8" s="532" t="s">
        <v>118</v>
      </c>
      <c r="J8" s="518" t="s">
        <v>136</v>
      </c>
      <c r="K8" s="518" t="s">
        <v>137</v>
      </c>
      <c r="L8" s="518" t="s">
        <v>138</v>
      </c>
      <c r="M8" s="519" t="s">
        <v>139</v>
      </c>
      <c r="N8" s="243"/>
      <c r="O8" s="540" t="s">
        <v>126</v>
      </c>
      <c r="P8" s="538" t="s">
        <v>127</v>
      </c>
      <c r="Q8" s="541" t="s">
        <v>246</v>
      </c>
      <c r="R8" s="302"/>
      <c r="S8" s="540" t="s">
        <v>127</v>
      </c>
      <c r="T8" s="541" t="s">
        <v>128</v>
      </c>
      <c r="U8" s="1394"/>
      <c r="W8" s="1001"/>
      <c r="X8" s="1001"/>
      <c r="Y8" s="1001"/>
      <c r="Z8" s="1001"/>
      <c r="AA8" s="1001"/>
      <c r="AB8" s="1001"/>
      <c r="AC8" s="1001"/>
      <c r="AD8" s="1001"/>
      <c r="AE8" s="1001"/>
      <c r="AF8" s="1001"/>
      <c r="AG8" s="1001"/>
      <c r="AH8" s="1001"/>
      <c r="AI8" s="1001"/>
      <c r="AJ8" s="1001"/>
    </row>
    <row r="9" spans="1:36" ht="15.75" customHeight="1">
      <c r="C9" s="1924"/>
      <c r="D9" s="533" t="s">
        <v>735</v>
      </c>
      <c r="E9" s="534" t="s">
        <v>735</v>
      </c>
      <c r="F9" s="534" t="s">
        <v>735</v>
      </c>
      <c r="G9" s="534" t="s">
        <v>735</v>
      </c>
      <c r="H9" s="535" t="s">
        <v>735</v>
      </c>
      <c r="I9" s="536" t="s">
        <v>735</v>
      </c>
      <c r="J9" s="534" t="s">
        <v>735</v>
      </c>
      <c r="K9" s="534" t="s">
        <v>735</v>
      </c>
      <c r="L9" s="534" t="s">
        <v>735</v>
      </c>
      <c r="M9" s="535" t="s">
        <v>735</v>
      </c>
      <c r="N9" s="308"/>
      <c r="O9" s="533" t="s">
        <v>735</v>
      </c>
      <c r="P9" s="534" t="s">
        <v>735</v>
      </c>
      <c r="Q9" s="535" t="s">
        <v>735</v>
      </c>
      <c r="R9" s="302"/>
      <c r="S9" s="533" t="s">
        <v>735</v>
      </c>
      <c r="T9" s="535" t="s">
        <v>735</v>
      </c>
      <c r="U9" s="1002"/>
      <c r="W9" s="1002"/>
      <c r="X9" s="1002"/>
      <c r="Y9" s="1002"/>
      <c r="Z9" s="1002"/>
      <c r="AA9" s="1002"/>
      <c r="AB9" s="1002"/>
      <c r="AC9" s="1002"/>
      <c r="AD9" s="1002"/>
      <c r="AE9" s="1002"/>
      <c r="AF9" s="1002"/>
      <c r="AG9" s="1002"/>
      <c r="AH9" s="1002"/>
      <c r="AI9" s="1002"/>
      <c r="AJ9" s="1002"/>
    </row>
    <row r="10" spans="1:36" ht="15.75" customHeight="1">
      <c r="C10" s="1376" t="s">
        <v>743</v>
      </c>
      <c r="D10" s="319"/>
      <c r="E10" s="320"/>
      <c r="F10" s="320"/>
      <c r="G10" s="320"/>
      <c r="H10" s="321"/>
      <c r="I10" s="320"/>
      <c r="J10" s="320"/>
      <c r="K10" s="320"/>
      <c r="L10" s="320"/>
      <c r="M10" s="321"/>
      <c r="N10" s="308"/>
      <c r="O10" s="319"/>
      <c r="P10" s="305"/>
      <c r="Q10" s="306"/>
      <c r="R10" s="302"/>
      <c r="S10" s="319"/>
      <c r="T10" s="1003"/>
      <c r="U10" s="1004"/>
      <c r="W10" s="1004"/>
      <c r="X10" s="1004"/>
      <c r="Y10" s="1004"/>
      <c r="Z10" s="1004"/>
      <c r="AA10" s="1004"/>
      <c r="AB10" s="1004"/>
      <c r="AC10" s="1004"/>
      <c r="AD10" s="1004"/>
      <c r="AE10" s="1004"/>
      <c r="AF10" s="1004"/>
      <c r="AG10" s="1004"/>
      <c r="AH10" s="1004"/>
      <c r="AI10" s="1004"/>
      <c r="AJ10" s="1004"/>
    </row>
    <row r="11" spans="1:36" ht="15.75" customHeight="1">
      <c r="C11" s="1383" t="s">
        <v>848</v>
      </c>
      <c r="D11" s="287">
        <v>0.57165925063112633</v>
      </c>
      <c r="E11" s="288">
        <v>0.39507121976815646</v>
      </c>
      <c r="F11" s="288">
        <v>0.25086326286975291</v>
      </c>
      <c r="G11" s="288">
        <v>0.35625412558412528</v>
      </c>
      <c r="H11" s="289">
        <v>0.47509350424018953</v>
      </c>
      <c r="I11" s="288">
        <v>0.49943539744018955</v>
      </c>
      <c r="J11" s="290">
        <v>0.51282127384018961</v>
      </c>
      <c r="K11" s="290">
        <v>0.52252043074018961</v>
      </c>
      <c r="L11" s="290">
        <v>0.4930965582401895</v>
      </c>
      <c r="M11" s="289">
        <v>0.48740838484018956</v>
      </c>
      <c r="N11" s="322"/>
      <c r="O11" s="556">
        <f t="shared" ref="O11:O16" si="0">SUM(D11:G11)</f>
        <v>1.5738478588531608</v>
      </c>
      <c r="P11" s="557">
        <f t="shared" ref="P11:P16" si="1">H11</f>
        <v>0.47509350424018953</v>
      </c>
      <c r="Q11" s="558">
        <f t="shared" ref="Q11:Q19" si="2">SUM(D11:H11)</f>
        <v>2.0489413630933502</v>
      </c>
      <c r="R11" s="1819"/>
      <c r="S11" s="556">
        <f t="shared" ref="S11:S16" si="3">SUM(I11:M11)</f>
        <v>2.5152820451009479</v>
      </c>
      <c r="T11" s="1820">
        <f t="shared" ref="T11:T16" si="4">IF(Q11&lt;&gt;0,(S11-Q11)/Q11,"0")</f>
        <v>0.22760079444320883</v>
      </c>
      <c r="U11" s="1005"/>
      <c r="W11" s="1005"/>
      <c r="X11" s="1005"/>
      <c r="Y11" s="1005"/>
      <c r="Z11" s="1005"/>
      <c r="AA11" s="1005"/>
      <c r="AB11" s="1005"/>
      <c r="AC11" s="1005"/>
      <c r="AD11" s="1005"/>
      <c r="AE11" s="1005"/>
      <c r="AF11" s="1005"/>
      <c r="AG11" s="1005"/>
      <c r="AH11" s="1005"/>
      <c r="AI11" s="1005"/>
      <c r="AJ11" s="1005"/>
    </row>
    <row r="12" spans="1:36" ht="15.75" customHeight="1">
      <c r="C12" s="1383" t="s">
        <v>843</v>
      </c>
      <c r="D12" s="287">
        <v>1.967549636067867</v>
      </c>
      <c r="E12" s="288">
        <v>2.4761957269184767</v>
      </c>
      <c r="F12" s="288">
        <v>3.4433390243030728</v>
      </c>
      <c r="G12" s="288">
        <v>4.7264120998889698</v>
      </c>
      <c r="H12" s="289">
        <v>3.0103061132661173</v>
      </c>
      <c r="I12" s="288">
        <v>5.0241634231003154</v>
      </c>
      <c r="J12" s="290">
        <v>5.0929558861529891</v>
      </c>
      <c r="K12" s="290">
        <v>4.0503685090608652</v>
      </c>
      <c r="L12" s="290">
        <v>3.7900980480528648</v>
      </c>
      <c r="M12" s="289">
        <v>3.7703699248048648</v>
      </c>
      <c r="N12" s="322"/>
      <c r="O12" s="556">
        <f t="shared" si="0"/>
        <v>12.613496487178386</v>
      </c>
      <c r="P12" s="557">
        <f t="shared" si="1"/>
        <v>3.0103061132661173</v>
      </c>
      <c r="Q12" s="558">
        <f t="shared" si="2"/>
        <v>15.623802600444503</v>
      </c>
      <c r="R12" s="1819"/>
      <c r="S12" s="556">
        <f t="shared" si="3"/>
        <v>21.727955791171897</v>
      </c>
      <c r="T12" s="1820">
        <f t="shared" si="4"/>
        <v>0.39069574461685336</v>
      </c>
      <c r="U12" s="1005"/>
      <c r="W12" s="1005"/>
      <c r="X12" s="1005"/>
      <c r="Y12" s="1005"/>
      <c r="Z12" s="1005"/>
      <c r="AA12" s="1005"/>
      <c r="AB12" s="1005"/>
      <c r="AC12" s="1005"/>
      <c r="AD12" s="1005"/>
      <c r="AE12" s="1005"/>
      <c r="AF12" s="1005"/>
      <c r="AG12" s="1005"/>
      <c r="AH12" s="1005"/>
      <c r="AI12" s="1005"/>
      <c r="AJ12" s="1005"/>
    </row>
    <row r="13" spans="1:36" ht="15.75" customHeight="1">
      <c r="C13" s="1383" t="s">
        <v>844</v>
      </c>
      <c r="D13" s="287">
        <v>2.8757395629938651</v>
      </c>
      <c r="E13" s="288">
        <v>0.18007180822595509</v>
      </c>
      <c r="F13" s="288">
        <v>4.1021656916131732</v>
      </c>
      <c r="G13" s="288">
        <v>3.1047959194729047</v>
      </c>
      <c r="H13" s="289">
        <v>2.1593067292754915</v>
      </c>
      <c r="I13" s="288">
        <v>2.9662126222561809</v>
      </c>
      <c r="J13" s="290">
        <v>5.6029334800611252</v>
      </c>
      <c r="K13" s="290">
        <v>6.512759274513682</v>
      </c>
      <c r="L13" s="290">
        <v>6.0815332379392375</v>
      </c>
      <c r="M13" s="289">
        <v>4.2932179041475456</v>
      </c>
      <c r="N13" s="322"/>
      <c r="O13" s="556">
        <f t="shared" si="0"/>
        <v>10.262772982305897</v>
      </c>
      <c r="P13" s="557">
        <f t="shared" si="1"/>
        <v>2.1593067292754915</v>
      </c>
      <c r="Q13" s="558">
        <f t="shared" si="2"/>
        <v>12.422079711581389</v>
      </c>
      <c r="R13" s="1819"/>
      <c r="S13" s="556">
        <f t="shared" si="3"/>
        <v>25.456656518917772</v>
      </c>
      <c r="T13" s="1820">
        <f t="shared" si="4"/>
        <v>1.0493071297219214</v>
      </c>
      <c r="U13" s="1005"/>
      <c r="W13" s="1005"/>
      <c r="X13" s="1005"/>
      <c r="Y13" s="1005"/>
      <c r="Z13" s="1005"/>
      <c r="AA13" s="1005"/>
      <c r="AB13" s="1005"/>
      <c r="AC13" s="1005"/>
      <c r="AD13" s="1005"/>
      <c r="AE13" s="1005"/>
      <c r="AF13" s="1005"/>
      <c r="AG13" s="1005"/>
      <c r="AH13" s="1005"/>
      <c r="AI13" s="1005"/>
      <c r="AJ13" s="1005"/>
    </row>
    <row r="14" spans="1:36" ht="15.75" customHeight="1">
      <c r="C14" s="1383" t="s">
        <v>787</v>
      </c>
      <c r="D14" s="287">
        <v>7.5453910223930984</v>
      </c>
      <c r="E14" s="288">
        <v>8.1143110502619766</v>
      </c>
      <c r="F14" s="288">
        <v>19.428324139267961</v>
      </c>
      <c r="G14" s="288">
        <v>1.9757487211594469</v>
      </c>
      <c r="H14" s="289">
        <v>0.81125664430336231</v>
      </c>
      <c r="I14" s="288">
        <v>7.9436598509734582</v>
      </c>
      <c r="J14" s="290">
        <v>13.437272762467215</v>
      </c>
      <c r="K14" s="290">
        <v>13.050405109742117</v>
      </c>
      <c r="L14" s="290">
        <v>5.2288719025023207</v>
      </c>
      <c r="M14" s="289">
        <v>4.2049473249020917</v>
      </c>
      <c r="N14" s="322"/>
      <c r="O14" s="556">
        <f t="shared" si="0"/>
        <v>37.063774933082485</v>
      </c>
      <c r="P14" s="557">
        <f t="shared" si="1"/>
        <v>0.81125664430336231</v>
      </c>
      <c r="Q14" s="558">
        <f t="shared" si="2"/>
        <v>37.875031577385847</v>
      </c>
      <c r="R14" s="1819"/>
      <c r="S14" s="556">
        <f t="shared" si="3"/>
        <v>43.865156950587206</v>
      </c>
      <c r="T14" s="1820">
        <f t="shared" si="4"/>
        <v>0.15815499350706547</v>
      </c>
      <c r="U14" s="1005"/>
      <c r="W14" s="1005" t="s">
        <v>859</v>
      </c>
      <c r="X14" s="1005"/>
      <c r="Y14" s="1005"/>
      <c r="Z14" s="1005"/>
      <c r="AA14" s="1005"/>
      <c r="AB14" s="1005"/>
      <c r="AC14" s="1005"/>
      <c r="AD14" s="1005"/>
      <c r="AE14" s="1005"/>
      <c r="AF14" s="1005"/>
      <c r="AG14" s="1005"/>
      <c r="AH14" s="1005"/>
      <c r="AI14" s="1005"/>
      <c r="AJ14" s="1005"/>
    </row>
    <row r="15" spans="1:36" ht="15.75" customHeight="1">
      <c r="C15" s="1359" t="s">
        <v>633</v>
      </c>
      <c r="D15" s="291"/>
      <c r="E15" s="292"/>
      <c r="F15" s="292"/>
      <c r="G15" s="288">
        <v>0</v>
      </c>
      <c r="H15" s="289">
        <v>0</v>
      </c>
      <c r="I15" s="288">
        <v>0</v>
      </c>
      <c r="J15" s="290">
        <v>0</v>
      </c>
      <c r="K15" s="290">
        <v>0</v>
      </c>
      <c r="L15" s="290">
        <v>0</v>
      </c>
      <c r="M15" s="289">
        <v>0</v>
      </c>
      <c r="N15" s="323"/>
      <c r="O15" s="556">
        <f t="shared" si="0"/>
        <v>0</v>
      </c>
      <c r="P15" s="557">
        <f t="shared" si="1"/>
        <v>0</v>
      </c>
      <c r="Q15" s="558">
        <f>SUM(D15:H15)</f>
        <v>0</v>
      </c>
      <c r="R15" s="1819"/>
      <c r="S15" s="556">
        <f t="shared" si="3"/>
        <v>0</v>
      </c>
      <c r="T15" s="1820" t="str">
        <f t="shared" si="4"/>
        <v>0</v>
      </c>
      <c r="U15" s="1005"/>
      <c r="W15" s="1005"/>
      <c r="X15" s="1005"/>
      <c r="Y15" s="1005"/>
      <c r="Z15" s="1005"/>
      <c r="AA15" s="1005"/>
      <c r="AB15" s="1005"/>
      <c r="AC15" s="1005"/>
      <c r="AD15" s="1005"/>
      <c r="AE15" s="1005"/>
      <c r="AF15" s="1005"/>
      <c r="AG15" s="1005"/>
      <c r="AH15" s="1005"/>
      <c r="AI15" s="1005"/>
      <c r="AJ15" s="1005"/>
    </row>
    <row r="16" spans="1:36" ht="15.75" customHeight="1">
      <c r="C16" s="1359" t="s">
        <v>246</v>
      </c>
      <c r="D16" s="1821">
        <v>12.960339472085955</v>
      </c>
      <c r="E16" s="1822">
        <v>11.165649805174564</v>
      </c>
      <c r="F16" s="1822">
        <v>27.224692118053959</v>
      </c>
      <c r="G16" s="1822">
        <v>10.163210866105446</v>
      </c>
      <c r="H16" s="1823">
        <v>6.4559629910851601</v>
      </c>
      <c r="I16" s="1822">
        <v>16.433471293770143</v>
      </c>
      <c r="J16" s="1824">
        <v>24.645983402521516</v>
      </c>
      <c r="K16" s="1824">
        <v>24.136053324056853</v>
      </c>
      <c r="L16" s="1824">
        <v>15.593599746734611</v>
      </c>
      <c r="M16" s="1823">
        <v>12.755943538694693</v>
      </c>
      <c r="N16" s="324"/>
      <c r="O16" s="1821">
        <f t="shared" si="0"/>
        <v>61.513892261419926</v>
      </c>
      <c r="P16" s="1824">
        <f t="shared" si="1"/>
        <v>6.4559629910851601</v>
      </c>
      <c r="Q16" s="1823">
        <f t="shared" si="2"/>
        <v>67.969855252505084</v>
      </c>
      <c r="R16" s="1819"/>
      <c r="S16" s="1821">
        <f t="shared" si="3"/>
        <v>93.565051305777828</v>
      </c>
      <c r="T16" s="1825">
        <f t="shared" si="4"/>
        <v>0.37656687598035471</v>
      </c>
      <c r="U16" s="1006"/>
      <c r="W16" s="1006"/>
      <c r="X16" s="1006"/>
      <c r="Y16" s="1006"/>
      <c r="Z16" s="1006"/>
      <c r="AA16" s="1006"/>
      <c r="AB16" s="1006"/>
      <c r="AC16" s="1006"/>
      <c r="AD16" s="1006"/>
      <c r="AE16" s="1006"/>
      <c r="AF16" s="1006"/>
      <c r="AG16" s="1006"/>
      <c r="AH16" s="1006"/>
      <c r="AI16" s="1006"/>
      <c r="AJ16" s="1006"/>
    </row>
    <row r="17" spans="1:36" ht="15.75" customHeight="1">
      <c r="C17" s="1359"/>
      <c r="D17" s="1826"/>
      <c r="E17" s="1827"/>
      <c r="F17" s="1827"/>
      <c r="G17" s="1827"/>
      <c r="H17" s="1828"/>
      <c r="I17" s="1827"/>
      <c r="J17" s="1827"/>
      <c r="K17" s="1827"/>
      <c r="L17" s="1827"/>
      <c r="M17" s="1828"/>
      <c r="N17" s="322"/>
      <c r="O17" s="1826"/>
      <c r="P17" s="1829"/>
      <c r="Q17" s="1830"/>
      <c r="R17" s="1819"/>
      <c r="S17" s="1826"/>
      <c r="T17" s="1831"/>
      <c r="U17" s="1005"/>
      <c r="W17" s="1005"/>
      <c r="X17" s="1005"/>
      <c r="Y17" s="1005"/>
      <c r="Z17" s="1005"/>
      <c r="AA17" s="1005"/>
      <c r="AB17" s="1005"/>
      <c r="AC17" s="1005"/>
      <c r="AD17" s="1005"/>
      <c r="AE17" s="1005"/>
      <c r="AF17" s="1005"/>
      <c r="AG17" s="1005"/>
      <c r="AH17" s="1005"/>
      <c r="AI17" s="1005"/>
      <c r="AJ17" s="1005"/>
    </row>
    <row r="18" spans="1:36" ht="15.75" customHeight="1">
      <c r="C18" s="1359" t="s">
        <v>751</v>
      </c>
      <c r="D18" s="291"/>
      <c r="E18" s="292"/>
      <c r="F18" s="292"/>
      <c r="G18" s="288">
        <v>0</v>
      </c>
      <c r="H18" s="289">
        <v>0</v>
      </c>
      <c r="I18" s="288">
        <v>0</v>
      </c>
      <c r="J18" s="290">
        <v>0</v>
      </c>
      <c r="K18" s="290">
        <v>0</v>
      </c>
      <c r="L18" s="290">
        <v>0</v>
      </c>
      <c r="M18" s="289">
        <v>0</v>
      </c>
      <c r="N18" s="323"/>
      <c r="O18" s="556">
        <f>SUM(D18:G18)</f>
        <v>0</v>
      </c>
      <c r="P18" s="557">
        <f>H18</f>
        <v>0</v>
      </c>
      <c r="Q18" s="558">
        <f t="shared" si="2"/>
        <v>0</v>
      </c>
      <c r="R18" s="1819"/>
      <c r="S18" s="556">
        <f>SUM(I18:M18)</f>
        <v>0</v>
      </c>
      <c r="T18" s="1820" t="str">
        <f>IF(Q18&lt;&gt;0,(S18-Q18)/Q18,"0")</f>
        <v>0</v>
      </c>
      <c r="U18" s="1005"/>
      <c r="W18" s="1005"/>
      <c r="X18" s="1005"/>
      <c r="Y18" s="1005"/>
      <c r="Z18" s="1005"/>
      <c r="AA18" s="1005"/>
      <c r="AB18" s="1005"/>
      <c r="AC18" s="1005"/>
      <c r="AD18" s="1005"/>
      <c r="AE18" s="1005"/>
      <c r="AF18" s="1005"/>
      <c r="AG18" s="1005"/>
      <c r="AH18" s="1005"/>
      <c r="AI18" s="1005"/>
      <c r="AJ18" s="1005"/>
    </row>
    <row r="19" spans="1:36" ht="15.75" customHeight="1" thickBot="1">
      <c r="C19" s="1360" t="s">
        <v>752</v>
      </c>
      <c r="D19" s="293"/>
      <c r="E19" s="294"/>
      <c r="F19" s="294"/>
      <c r="G19" s="295">
        <v>0</v>
      </c>
      <c r="H19" s="296">
        <v>0</v>
      </c>
      <c r="I19" s="295">
        <v>0</v>
      </c>
      <c r="J19" s="297">
        <v>0</v>
      </c>
      <c r="K19" s="297">
        <v>0</v>
      </c>
      <c r="L19" s="297">
        <v>0</v>
      </c>
      <c r="M19" s="296">
        <v>0</v>
      </c>
      <c r="N19" s="323"/>
      <c r="O19" s="1832">
        <f>SUM(D19:G19)</f>
        <v>0</v>
      </c>
      <c r="P19" s="1833">
        <f>H19</f>
        <v>0</v>
      </c>
      <c r="Q19" s="1834">
        <f t="shared" si="2"/>
        <v>0</v>
      </c>
      <c r="R19" s="1819"/>
      <c r="S19" s="1832">
        <f>SUM(I19:M19)</f>
        <v>0</v>
      </c>
      <c r="T19" s="1835" t="str">
        <f>IF(Q19&lt;&gt;0,(S19-Q19)/Q19,"0")</f>
        <v>0</v>
      </c>
      <c r="U19" s="1005"/>
      <c r="W19" s="1005"/>
      <c r="X19" s="1005"/>
      <c r="Y19" s="1005"/>
      <c r="Z19" s="1005"/>
      <c r="AA19" s="1005"/>
      <c r="AB19" s="1005"/>
      <c r="AC19" s="1005"/>
      <c r="AD19" s="1005"/>
      <c r="AE19" s="1005"/>
      <c r="AF19" s="1005"/>
      <c r="AG19" s="1005"/>
      <c r="AH19" s="1005"/>
      <c r="AI19" s="1005"/>
      <c r="AJ19" s="1005"/>
    </row>
    <row r="20" spans="1:36">
      <c r="U20" s="1007"/>
    </row>
    <row r="21" spans="1:36" s="1008" customFormat="1"/>
    <row r="22" spans="1:36" s="1008" customFormat="1">
      <c r="B22" s="507" t="s">
        <v>549</v>
      </c>
    </row>
    <row r="23" spans="1:36" s="1008" customFormat="1" ht="13.5" thickBot="1">
      <c r="A23" s="507"/>
      <c r="B23" s="507"/>
    </row>
    <row r="24" spans="1:36" s="1008" customFormat="1" ht="27" customHeight="1">
      <c r="A24" s="507"/>
      <c r="B24" s="507"/>
      <c r="C24" s="1908" t="s">
        <v>550</v>
      </c>
      <c r="D24" s="508" t="s">
        <v>551</v>
      </c>
      <c r="E24" s="509"/>
      <c r="F24" s="509"/>
      <c r="G24" s="1009"/>
      <c r="H24" s="508" t="s">
        <v>552</v>
      </c>
      <c r="I24" s="509"/>
      <c r="J24" s="509"/>
      <c r="K24" s="1009"/>
      <c r="L24" s="1010" t="s">
        <v>551</v>
      </c>
      <c r="M24" s="1011" t="s">
        <v>552</v>
      </c>
    </row>
    <row r="25" spans="1:36" s="1008" customFormat="1">
      <c r="A25" s="507"/>
      <c r="B25" s="507"/>
      <c r="C25" s="1909"/>
      <c r="D25" s="1012" t="s">
        <v>553</v>
      </c>
      <c r="E25" s="1013" t="s">
        <v>554</v>
      </c>
      <c r="F25" s="1013" t="s">
        <v>555</v>
      </c>
      <c r="G25" s="1014" t="s">
        <v>556</v>
      </c>
      <c r="H25" s="1012" t="s">
        <v>553</v>
      </c>
      <c r="I25" s="1013" t="s">
        <v>554</v>
      </c>
      <c r="J25" s="1013" t="s">
        <v>555</v>
      </c>
      <c r="K25" s="1014" t="s">
        <v>556</v>
      </c>
      <c r="L25" s="1015" t="s">
        <v>246</v>
      </c>
      <c r="M25" s="1016" t="s">
        <v>246</v>
      </c>
    </row>
    <row r="26" spans="1:36" s="1008" customFormat="1" ht="15.75" customHeight="1">
      <c r="A26" s="507"/>
      <c r="B26" s="507"/>
      <c r="C26" s="1017" t="s">
        <v>557</v>
      </c>
      <c r="D26" s="871"/>
      <c r="E26" s="872"/>
      <c r="F26" s="872"/>
      <c r="G26" s="873"/>
      <c r="H26" s="871"/>
      <c r="I26" s="872"/>
      <c r="J26" s="872"/>
      <c r="K26" s="873"/>
      <c r="L26" s="886">
        <f>SUM(D26:G26)</f>
        <v>0</v>
      </c>
      <c r="M26" s="1019">
        <f>SUM(H26:K26)</f>
        <v>0</v>
      </c>
    </row>
    <row r="27" spans="1:36" s="1008" customFormat="1" ht="15.75" customHeight="1">
      <c r="A27" s="507"/>
      <c r="B27" s="507"/>
      <c r="C27" s="1018" t="s">
        <v>558</v>
      </c>
      <c r="D27" s="871"/>
      <c r="E27" s="872"/>
      <c r="F27" s="872"/>
      <c r="G27" s="873"/>
      <c r="H27" s="871"/>
      <c r="I27" s="872"/>
      <c r="J27" s="872"/>
      <c r="K27" s="873"/>
      <c r="L27" s="886">
        <f>SUM(D27:G27)</f>
        <v>0</v>
      </c>
      <c r="M27" s="1019">
        <f>SUM(H27:K27)</f>
        <v>0</v>
      </c>
    </row>
    <row r="28" spans="1:36" s="1008" customFormat="1" ht="15.75" customHeight="1">
      <c r="A28" s="507"/>
      <c r="B28" s="507"/>
      <c r="C28" s="1018" t="s">
        <v>559</v>
      </c>
      <c r="D28" s="871"/>
      <c r="E28" s="872"/>
      <c r="F28" s="872"/>
      <c r="G28" s="873"/>
      <c r="H28" s="871"/>
      <c r="I28" s="872"/>
      <c r="J28" s="872"/>
      <c r="K28" s="873"/>
      <c r="L28" s="886">
        <f>SUM(D28:G28)</f>
        <v>0</v>
      </c>
      <c r="M28" s="1019">
        <f>SUM(H28:K28)</f>
        <v>0</v>
      </c>
    </row>
    <row r="29" spans="1:36" s="1008" customFormat="1" ht="15.75" customHeight="1" thickBot="1">
      <c r="A29" s="507"/>
      <c r="B29" s="507"/>
      <c r="C29" s="1020" t="s">
        <v>560</v>
      </c>
      <c r="D29" s="1021" t="str">
        <f>IF(D27,D27/D28,"-")</f>
        <v>-</v>
      </c>
      <c r="E29" s="1022" t="str">
        <f t="shared" ref="E29:M29" si="5">IF(E27,E27/E28,"-")</f>
        <v>-</v>
      </c>
      <c r="F29" s="1022" t="str">
        <f t="shared" si="5"/>
        <v>-</v>
      </c>
      <c r="G29" s="1023" t="str">
        <f t="shared" si="5"/>
        <v>-</v>
      </c>
      <c r="H29" s="1021" t="str">
        <f t="shared" si="5"/>
        <v>-</v>
      </c>
      <c r="I29" s="1022" t="str">
        <f t="shared" si="5"/>
        <v>-</v>
      </c>
      <c r="J29" s="1022" t="str">
        <f t="shared" si="5"/>
        <v>-</v>
      </c>
      <c r="K29" s="1023" t="str">
        <f t="shared" si="5"/>
        <v>-</v>
      </c>
      <c r="L29" s="1024" t="str">
        <f t="shared" si="5"/>
        <v>-</v>
      </c>
      <c r="M29" s="1025" t="str">
        <f t="shared" si="5"/>
        <v>-</v>
      </c>
    </row>
    <row r="30" spans="1:36" s="1008" customFormat="1">
      <c r="A30" s="507"/>
      <c r="B30" s="507"/>
      <c r="C30" s="847"/>
      <c r="D30" s="848"/>
      <c r="E30" s="848"/>
      <c r="F30" s="848"/>
      <c r="G30" s="848"/>
    </row>
    <row r="31" spans="1:36" s="1008" customFormat="1" ht="13.5" thickBot="1">
      <c r="A31" s="507"/>
      <c r="B31" s="507"/>
      <c r="C31" s="847"/>
      <c r="D31" s="848"/>
      <c r="E31" s="848"/>
      <c r="F31" s="848"/>
      <c r="G31" s="848"/>
    </row>
    <row r="32" spans="1:36" s="1008" customFormat="1" ht="39" customHeight="1">
      <c r="A32" s="507"/>
      <c r="B32" s="507"/>
      <c r="C32" s="1925" t="s">
        <v>561</v>
      </c>
      <c r="D32" s="508" t="s">
        <v>551</v>
      </c>
      <c r="E32" s="509"/>
      <c r="F32" s="509"/>
      <c r="G32" s="1009"/>
      <c r="H32" s="508" t="s">
        <v>552</v>
      </c>
      <c r="I32" s="509"/>
      <c r="J32" s="509"/>
      <c r="K32" s="1009"/>
      <c r="L32" s="1010" t="s">
        <v>551</v>
      </c>
      <c r="M32" s="1011" t="s">
        <v>552</v>
      </c>
    </row>
    <row r="33" spans="1:37" s="1008" customFormat="1" ht="15.75" customHeight="1">
      <c r="A33" s="507"/>
      <c r="B33" s="507"/>
      <c r="C33" s="1926"/>
      <c r="D33" s="1012" t="s">
        <v>553</v>
      </c>
      <c r="E33" s="1013" t="s">
        <v>554</v>
      </c>
      <c r="F33" s="1013" t="s">
        <v>555</v>
      </c>
      <c r="G33" s="1014" t="s">
        <v>556</v>
      </c>
      <c r="H33" s="1012" t="s">
        <v>553</v>
      </c>
      <c r="I33" s="1013" t="s">
        <v>554</v>
      </c>
      <c r="J33" s="1013" t="s">
        <v>555</v>
      </c>
      <c r="K33" s="1014" t="s">
        <v>556</v>
      </c>
      <c r="L33" s="1015" t="s">
        <v>246</v>
      </c>
      <c r="M33" s="1016" t="s">
        <v>246</v>
      </c>
    </row>
    <row r="34" spans="1:37" s="1008" customFormat="1" ht="25.5">
      <c r="A34" s="507"/>
      <c r="B34" s="507"/>
      <c r="C34" s="1384" t="s">
        <v>562</v>
      </c>
      <c r="D34" s="871"/>
      <c r="E34" s="872"/>
      <c r="F34" s="872"/>
      <c r="G34" s="873"/>
      <c r="H34" s="871"/>
      <c r="I34" s="872"/>
      <c r="J34" s="872"/>
      <c r="K34" s="873"/>
      <c r="L34" s="886">
        <f t="shared" ref="L34:L39" si="6">SUM(D34:G34)</f>
        <v>0</v>
      </c>
      <c r="M34" s="1019">
        <f t="shared" ref="M34:M39" si="7">SUM(H34:K34)</f>
        <v>0</v>
      </c>
    </row>
    <row r="35" spans="1:37" s="1008" customFormat="1" ht="25.5">
      <c r="A35" s="507"/>
      <c r="B35" s="507"/>
      <c r="C35" s="1384" t="s">
        <v>563</v>
      </c>
      <c r="D35" s="871"/>
      <c r="E35" s="872"/>
      <c r="F35" s="872"/>
      <c r="G35" s="873"/>
      <c r="H35" s="871"/>
      <c r="I35" s="872"/>
      <c r="J35" s="872"/>
      <c r="K35" s="873"/>
      <c r="L35" s="886">
        <f t="shared" si="6"/>
        <v>0</v>
      </c>
      <c r="M35" s="1019">
        <f t="shared" si="7"/>
        <v>0</v>
      </c>
    </row>
    <row r="36" spans="1:37" s="1008" customFormat="1" ht="25.5">
      <c r="A36" s="507"/>
      <c r="B36" s="507"/>
      <c r="C36" s="1384" t="s">
        <v>564</v>
      </c>
      <c r="D36" s="871"/>
      <c r="E36" s="872"/>
      <c r="F36" s="872"/>
      <c r="G36" s="873"/>
      <c r="H36" s="871"/>
      <c r="I36" s="872"/>
      <c r="J36" s="872"/>
      <c r="K36" s="873"/>
      <c r="L36" s="886">
        <f t="shared" si="6"/>
        <v>0</v>
      </c>
      <c r="M36" s="1019">
        <f t="shared" si="7"/>
        <v>0</v>
      </c>
    </row>
    <row r="37" spans="1:37" s="1008" customFormat="1" ht="38.25">
      <c r="A37" s="507"/>
      <c r="B37" s="507"/>
      <c r="C37" s="1384" t="s">
        <v>565</v>
      </c>
      <c r="D37" s="1026"/>
      <c r="E37" s="1027"/>
      <c r="F37" s="1027"/>
      <c r="G37" s="1028"/>
      <c r="H37" s="1026"/>
      <c r="I37" s="1027"/>
      <c r="J37" s="1027"/>
      <c r="K37" s="1028"/>
      <c r="L37" s="1029" t="str">
        <f t="shared" ref="L37:M37" si="8">IF(L35,L35/L36,"-")</f>
        <v>-</v>
      </c>
      <c r="M37" s="1030" t="str">
        <f t="shared" si="8"/>
        <v>-</v>
      </c>
    </row>
    <row r="38" spans="1:37" s="1008" customFormat="1" ht="25.5">
      <c r="A38" s="507"/>
      <c r="B38" s="507"/>
      <c r="C38" s="1384" t="s">
        <v>566</v>
      </c>
      <c r="D38" s="871"/>
      <c r="E38" s="872"/>
      <c r="F38" s="872"/>
      <c r="G38" s="873"/>
      <c r="H38" s="871"/>
      <c r="I38" s="872"/>
      <c r="J38" s="872"/>
      <c r="K38" s="873"/>
      <c r="L38" s="886">
        <f t="shared" si="6"/>
        <v>0</v>
      </c>
      <c r="M38" s="1019">
        <f t="shared" si="7"/>
        <v>0</v>
      </c>
    </row>
    <row r="39" spans="1:37" s="1008" customFormat="1" ht="26.25" thickBot="1">
      <c r="A39" s="507"/>
      <c r="B39" s="507"/>
      <c r="C39" s="1385" t="s">
        <v>567</v>
      </c>
      <c r="D39" s="903"/>
      <c r="E39" s="904"/>
      <c r="F39" s="904"/>
      <c r="G39" s="1386"/>
      <c r="H39" s="903"/>
      <c r="I39" s="904"/>
      <c r="J39" s="904"/>
      <c r="K39" s="1386"/>
      <c r="L39" s="891">
        <f t="shared" si="6"/>
        <v>0</v>
      </c>
      <c r="M39" s="1031">
        <f t="shared" si="7"/>
        <v>0</v>
      </c>
    </row>
    <row r="41" spans="1:37" ht="15.75" customHeight="1">
      <c r="B41" s="507" t="s">
        <v>754</v>
      </c>
    </row>
    <row r="42" spans="1:37" ht="13.5" thickBot="1"/>
    <row r="43" spans="1:37" ht="13.5" thickBot="1">
      <c r="B43" s="310"/>
      <c r="C43" s="1914" t="s">
        <v>755</v>
      </c>
      <c r="D43" s="1915"/>
      <c r="E43" s="1915"/>
      <c r="F43" s="1915"/>
      <c r="G43" s="1915"/>
      <c r="H43" s="1915"/>
      <c r="I43" s="1915"/>
      <c r="J43" s="1915"/>
      <c r="K43" s="1916"/>
      <c r="L43" s="1912" t="s">
        <v>568</v>
      </c>
      <c r="M43" s="1917"/>
      <c r="N43" s="1917"/>
      <c r="O43" s="1917"/>
      <c r="P43" s="1918"/>
      <c r="Q43" s="1912" t="s">
        <v>569</v>
      </c>
      <c r="R43" s="1917"/>
      <c r="S43" s="1917"/>
      <c r="T43" s="1917"/>
      <c r="U43" s="1918"/>
      <c r="V43" s="1919" t="s">
        <v>570</v>
      </c>
      <c r="W43" s="1920"/>
      <c r="X43" s="1920"/>
      <c r="Y43" s="1920"/>
      <c r="Z43" s="1920"/>
      <c r="AA43" s="1920"/>
      <c r="AB43" s="1920"/>
      <c r="AC43" s="1920"/>
      <c r="AD43" s="1920"/>
      <c r="AE43" s="1920"/>
      <c r="AF43" s="1920"/>
      <c r="AG43" s="1920"/>
      <c r="AH43" s="1920"/>
      <c r="AI43" s="1921"/>
      <c r="AJ43" s="1908" t="s">
        <v>571</v>
      </c>
      <c r="AK43" s="1032" t="s">
        <v>756</v>
      </c>
    </row>
    <row r="44" spans="1:37" ht="78.75" customHeight="1">
      <c r="B44" s="301"/>
      <c r="C44" s="1033" t="s">
        <v>757</v>
      </c>
      <c r="D44" s="1034" t="s">
        <v>572</v>
      </c>
      <c r="E44" s="1034" t="s">
        <v>573</v>
      </c>
      <c r="F44" s="1034" t="s">
        <v>574</v>
      </c>
      <c r="G44" s="1034" t="s">
        <v>575</v>
      </c>
      <c r="H44" s="1034" t="s">
        <v>576</v>
      </c>
      <c r="I44" s="1034" t="s">
        <v>764</v>
      </c>
      <c r="J44" s="1034" t="s">
        <v>765</v>
      </c>
      <c r="K44" s="1035" t="s">
        <v>766</v>
      </c>
      <c r="L44" s="532" t="s">
        <v>32</v>
      </c>
      <c r="M44" s="518" t="s">
        <v>33</v>
      </c>
      <c r="N44" s="518" t="s">
        <v>29</v>
      </c>
      <c r="O44" s="518" t="s">
        <v>34</v>
      </c>
      <c r="P44" s="519" t="s">
        <v>35</v>
      </c>
      <c r="Q44" s="517" t="s">
        <v>118</v>
      </c>
      <c r="R44" s="518" t="s">
        <v>136</v>
      </c>
      <c r="S44" s="518" t="s">
        <v>137</v>
      </c>
      <c r="T44" s="518" t="s">
        <v>138</v>
      </c>
      <c r="U44" s="519" t="s">
        <v>139</v>
      </c>
      <c r="V44" s="1910" t="s">
        <v>577</v>
      </c>
      <c r="W44" s="1911"/>
      <c r="X44" s="1911"/>
      <c r="Y44" s="1911"/>
      <c r="Z44" s="1911"/>
      <c r="AA44" s="1911"/>
      <c r="AB44" s="1911"/>
      <c r="AC44" s="1911"/>
      <c r="AD44" s="1911"/>
      <c r="AE44" s="1911"/>
      <c r="AF44" s="514" t="s">
        <v>578</v>
      </c>
      <c r="AG44" s="514" t="s">
        <v>579</v>
      </c>
      <c r="AH44" s="514" t="s">
        <v>580</v>
      </c>
      <c r="AI44" s="514" t="s">
        <v>581</v>
      </c>
      <c r="AJ44" s="1909"/>
      <c r="AK44" s="1036" t="s">
        <v>74</v>
      </c>
    </row>
    <row r="45" spans="1:37" ht="15.75" customHeight="1" thickBot="1">
      <c r="B45" s="307"/>
      <c r="C45" s="540" t="s">
        <v>75</v>
      </c>
      <c r="D45" s="1037" t="s">
        <v>76</v>
      </c>
      <c r="E45" s="1037" t="s">
        <v>76</v>
      </c>
      <c r="F45" s="538" t="s">
        <v>77</v>
      </c>
      <c r="G45" s="539" t="s">
        <v>78</v>
      </c>
      <c r="H45" s="539" t="s">
        <v>78</v>
      </c>
      <c r="I45" s="538" t="s">
        <v>79</v>
      </c>
      <c r="J45" s="538" t="s">
        <v>735</v>
      </c>
      <c r="K45" s="541" t="s">
        <v>735</v>
      </c>
      <c r="L45" s="536" t="s">
        <v>735</v>
      </c>
      <c r="M45" s="534" t="s">
        <v>735</v>
      </c>
      <c r="N45" s="534" t="s">
        <v>735</v>
      </c>
      <c r="O45" s="534" t="s">
        <v>735</v>
      </c>
      <c r="P45" s="535" t="s">
        <v>735</v>
      </c>
      <c r="Q45" s="533" t="s">
        <v>735</v>
      </c>
      <c r="R45" s="534" t="s">
        <v>735</v>
      </c>
      <c r="S45" s="534" t="s">
        <v>735</v>
      </c>
      <c r="T45" s="534" t="s">
        <v>735</v>
      </c>
      <c r="U45" s="535" t="s">
        <v>735</v>
      </c>
      <c r="V45" s="1038" t="s">
        <v>32</v>
      </c>
      <c r="W45" s="1039" t="s">
        <v>33</v>
      </c>
      <c r="X45" s="1039" t="s">
        <v>29</v>
      </c>
      <c r="Y45" s="1039" t="s">
        <v>34</v>
      </c>
      <c r="Z45" s="1039" t="s">
        <v>35</v>
      </c>
      <c r="AA45" s="1039" t="s">
        <v>118</v>
      </c>
      <c r="AB45" s="1039" t="s">
        <v>136</v>
      </c>
      <c r="AC45" s="1039" t="s">
        <v>137</v>
      </c>
      <c r="AD45" s="1039" t="s">
        <v>138</v>
      </c>
      <c r="AE45" s="1040" t="s">
        <v>139</v>
      </c>
      <c r="AF45" s="1041" t="s">
        <v>79</v>
      </c>
      <c r="AG45" s="1042" t="s">
        <v>79</v>
      </c>
      <c r="AH45" s="1042" t="s">
        <v>79</v>
      </c>
      <c r="AI45" s="1042" t="s">
        <v>582</v>
      </c>
      <c r="AJ45" s="1043" t="s">
        <v>583</v>
      </c>
      <c r="AK45" s="1044" t="s">
        <v>65</v>
      </c>
    </row>
    <row r="46" spans="1:37" s="325" customFormat="1" ht="15.75" customHeight="1">
      <c r="B46" s="1045">
        <v>1</v>
      </c>
      <c r="C46" s="326" t="s">
        <v>1021</v>
      </c>
      <c r="D46" s="326" t="s">
        <v>1022</v>
      </c>
      <c r="E46" s="326" t="s">
        <v>1023</v>
      </c>
      <c r="F46" s="326" t="s">
        <v>1024</v>
      </c>
      <c r="G46" s="327" t="s">
        <v>1025</v>
      </c>
      <c r="H46" s="327">
        <v>0</v>
      </c>
      <c r="I46" s="327">
        <v>18</v>
      </c>
      <c r="J46" s="328">
        <v>2.9606972056959817</v>
      </c>
      <c r="K46" s="1096">
        <v>2.8735451548678848</v>
      </c>
      <c r="L46" s="328">
        <v>0</v>
      </c>
      <c r="M46" s="329">
        <v>0</v>
      </c>
      <c r="N46" s="329">
        <v>0</v>
      </c>
      <c r="O46" s="329">
        <v>7.0000000000000001E-3</v>
      </c>
      <c r="P46" s="330">
        <v>2.4220872899983321E-2</v>
      </c>
      <c r="Q46" s="329">
        <v>0.45594925450680734</v>
      </c>
      <c r="R46" s="331">
        <v>0.7515045699447066</v>
      </c>
      <c r="S46" s="331">
        <v>1.3552063699120587</v>
      </c>
      <c r="T46" s="331">
        <v>0.31088496050431225</v>
      </c>
      <c r="U46" s="330">
        <v>0</v>
      </c>
      <c r="V46" s="1046">
        <v>0</v>
      </c>
      <c r="W46" s="1047">
        <v>0</v>
      </c>
      <c r="X46" s="1047">
        <v>0</v>
      </c>
      <c r="Y46" s="1047">
        <v>10.5</v>
      </c>
      <c r="Z46" s="1048">
        <v>10.478999999999999</v>
      </c>
      <c r="AA46" s="1046">
        <v>10.478999999999999</v>
      </c>
      <c r="AB46" s="1047">
        <v>10.478999999999999</v>
      </c>
      <c r="AC46" s="1047">
        <v>10.489478999999998</v>
      </c>
      <c r="AD46" s="1047">
        <v>15.499968478999996</v>
      </c>
      <c r="AE46" s="1048">
        <v>15.515468447478995</v>
      </c>
      <c r="AF46" s="329">
        <v>12</v>
      </c>
      <c r="AG46" s="331">
        <v>12</v>
      </c>
      <c r="AH46" s="331">
        <v>10.5</v>
      </c>
      <c r="AI46" s="1049" t="s">
        <v>1026</v>
      </c>
      <c r="AJ46" s="1050" t="s">
        <v>1027</v>
      </c>
      <c r="AK46" s="1387"/>
    </row>
    <row r="47" spans="1:37" s="325" customFormat="1" ht="15.75" customHeight="1">
      <c r="B47" s="1051">
        <v>2</v>
      </c>
      <c r="C47" s="326" t="s">
        <v>1028</v>
      </c>
      <c r="D47" s="326" t="s">
        <v>1022</v>
      </c>
      <c r="E47" s="326" t="s">
        <v>1029</v>
      </c>
      <c r="F47" s="326" t="s">
        <v>1030</v>
      </c>
      <c r="G47" s="327" t="s">
        <v>1031</v>
      </c>
      <c r="H47" s="327">
        <v>0</v>
      </c>
      <c r="I47" s="327">
        <v>68.599999999999994</v>
      </c>
      <c r="J47" s="328">
        <v>6.2376706707541443</v>
      </c>
      <c r="K47" s="1096">
        <v>6.0915535702733381</v>
      </c>
      <c r="L47" s="328">
        <v>0</v>
      </c>
      <c r="M47" s="329">
        <v>0</v>
      </c>
      <c r="N47" s="329">
        <v>0</v>
      </c>
      <c r="O47" s="329">
        <v>1.4999999999999999E-2</v>
      </c>
      <c r="P47" s="330">
        <v>0.10000876552251178</v>
      </c>
      <c r="Q47" s="329">
        <v>0.62714209727702119</v>
      </c>
      <c r="R47" s="331">
        <v>2.5737919827455396</v>
      </c>
      <c r="S47" s="331">
        <v>2.8373014891088766</v>
      </c>
      <c r="T47" s="331">
        <v>5.3318001141900516E-2</v>
      </c>
      <c r="U47" s="330">
        <v>0</v>
      </c>
      <c r="V47" s="328">
        <v>88.37</v>
      </c>
      <c r="W47" s="331">
        <v>76.3</v>
      </c>
      <c r="X47" s="331">
        <v>75.790000000000006</v>
      </c>
      <c r="Y47" s="331">
        <v>75.865790000000004</v>
      </c>
      <c r="Z47" s="330">
        <v>76.093387370000002</v>
      </c>
      <c r="AA47" s="328">
        <v>76.397760919480007</v>
      </c>
      <c r="AB47" s="331">
        <v>85.50894300683585</v>
      </c>
      <c r="AC47" s="331">
        <v>86.278523493897367</v>
      </c>
      <c r="AD47" s="331">
        <v>111.21386577582413</v>
      </c>
      <c r="AE47" s="330">
        <v>112.54843216513402</v>
      </c>
      <c r="AF47" s="329">
        <v>103.5</v>
      </c>
      <c r="AG47" s="331">
        <v>68.599999999999994</v>
      </c>
      <c r="AH47" s="331">
        <v>75.790000000000006</v>
      </c>
      <c r="AI47" s="1049" t="s">
        <v>1026</v>
      </c>
      <c r="AJ47" s="1050" t="s">
        <v>1027</v>
      </c>
      <c r="AK47" s="1387"/>
    </row>
    <row r="48" spans="1:37" s="325" customFormat="1" ht="15.75" customHeight="1">
      <c r="B48" s="1051">
        <v>3</v>
      </c>
      <c r="C48" s="326" t="s">
        <v>1032</v>
      </c>
      <c r="D48" s="326" t="s">
        <v>1022</v>
      </c>
      <c r="E48" s="326">
        <v>0</v>
      </c>
      <c r="F48" s="326" t="s">
        <v>1033</v>
      </c>
      <c r="G48" s="327" t="s">
        <v>1031</v>
      </c>
      <c r="H48" s="327">
        <v>0</v>
      </c>
      <c r="I48" s="327">
        <v>64</v>
      </c>
      <c r="J48" s="328">
        <v>7.9227202970226598</v>
      </c>
      <c r="K48" s="1096">
        <v>7.4543558007332127</v>
      </c>
      <c r="L48" s="328">
        <v>0</v>
      </c>
      <c r="M48" s="329">
        <v>0</v>
      </c>
      <c r="N48" s="329">
        <v>0</v>
      </c>
      <c r="O48" s="329">
        <v>0</v>
      </c>
      <c r="P48" s="330">
        <v>0</v>
      </c>
      <c r="Q48" s="329">
        <v>0</v>
      </c>
      <c r="R48" s="331">
        <v>0</v>
      </c>
      <c r="S48" s="331">
        <v>0</v>
      </c>
      <c r="T48" s="331">
        <v>3.2958727475100966</v>
      </c>
      <c r="U48" s="330">
        <v>4.1584830532231161</v>
      </c>
      <c r="V48" s="328">
        <v>0</v>
      </c>
      <c r="W48" s="331">
        <v>0</v>
      </c>
      <c r="X48" s="331">
        <v>0</v>
      </c>
      <c r="Y48" s="331">
        <v>125.5</v>
      </c>
      <c r="Z48" s="330">
        <v>125.87649999999999</v>
      </c>
      <c r="AA48" s="328">
        <v>126.38000599999999</v>
      </c>
      <c r="AB48" s="331">
        <v>127.39104604799999</v>
      </c>
      <c r="AC48" s="331">
        <v>128.53756546243198</v>
      </c>
      <c r="AD48" s="331">
        <v>130.08001624798118</v>
      </c>
      <c r="AE48" s="330">
        <v>131.64097644295694</v>
      </c>
      <c r="AF48" s="329">
        <v>194</v>
      </c>
      <c r="AG48" s="331">
        <v>116.6</v>
      </c>
      <c r="AH48" s="331">
        <v>125.5</v>
      </c>
      <c r="AI48" s="1049" t="s">
        <v>1026</v>
      </c>
      <c r="AJ48" s="1050" t="s">
        <v>1027</v>
      </c>
      <c r="AK48" s="1387"/>
    </row>
    <row r="49" spans="2:41" s="325" customFormat="1" ht="15.75" customHeight="1">
      <c r="B49" s="1051">
        <v>4</v>
      </c>
      <c r="C49" s="326" t="s">
        <v>1034</v>
      </c>
      <c r="D49" s="326" t="s">
        <v>1022</v>
      </c>
      <c r="E49" s="326" t="s">
        <v>1029</v>
      </c>
      <c r="F49" s="326" t="s">
        <v>1030</v>
      </c>
      <c r="G49" s="327" t="s">
        <v>1031</v>
      </c>
      <c r="H49" s="327">
        <v>0</v>
      </c>
      <c r="I49" s="327">
        <v>19.5</v>
      </c>
      <c r="J49" s="328">
        <v>6.4792705911002564</v>
      </c>
      <c r="K49" s="1096">
        <v>4.8322715766176429</v>
      </c>
      <c r="L49" s="328">
        <v>0</v>
      </c>
      <c r="M49" s="329">
        <v>0</v>
      </c>
      <c r="N49" s="329">
        <v>0</v>
      </c>
      <c r="O49" s="329">
        <v>8.8999999999999996E-2</v>
      </c>
      <c r="P49" s="330">
        <v>0.31643398466107242</v>
      </c>
      <c r="Q49" s="329">
        <v>1.6890462160447341</v>
      </c>
      <c r="R49" s="331">
        <v>1.968141554186551</v>
      </c>
      <c r="S49" s="331">
        <v>0.94950764770908569</v>
      </c>
      <c r="T49" s="331">
        <v>0.22557615867727143</v>
      </c>
      <c r="U49" s="330">
        <v>0</v>
      </c>
      <c r="V49" s="328">
        <v>61.76</v>
      </c>
      <c r="W49" s="331">
        <v>57.9</v>
      </c>
      <c r="X49" s="331">
        <v>61.98</v>
      </c>
      <c r="Y49" s="331">
        <v>61.949010000000001</v>
      </c>
      <c r="Z49" s="330">
        <v>62.010959009999993</v>
      </c>
      <c r="AA49" s="328">
        <v>62.196991887029988</v>
      </c>
      <c r="AB49" s="331">
        <v>62.570173838352169</v>
      </c>
      <c r="AC49" s="331">
        <v>63.133305402897335</v>
      </c>
      <c r="AD49" s="331">
        <v>73.701505151523406</v>
      </c>
      <c r="AE49" s="330">
        <v>74.364818697887102</v>
      </c>
      <c r="AF49" s="329">
        <v>68.5</v>
      </c>
      <c r="AG49" s="331">
        <v>58.5</v>
      </c>
      <c r="AH49" s="331">
        <v>62</v>
      </c>
      <c r="AI49" s="1049" t="s">
        <v>1026</v>
      </c>
      <c r="AJ49" s="1050" t="s">
        <v>1027</v>
      </c>
      <c r="AK49" s="1387"/>
    </row>
    <row r="50" spans="2:41" s="325" customFormat="1" ht="15.75" customHeight="1">
      <c r="B50" s="1051">
        <v>5</v>
      </c>
      <c r="C50" s="326" t="s">
        <v>1035</v>
      </c>
      <c r="D50" s="326" t="s">
        <v>1022</v>
      </c>
      <c r="E50" s="326" t="s">
        <v>1029</v>
      </c>
      <c r="F50" s="326" t="s">
        <v>1036</v>
      </c>
      <c r="G50" s="327" t="s">
        <v>1031</v>
      </c>
      <c r="H50" s="327">
        <v>0</v>
      </c>
      <c r="I50" s="327">
        <v>117</v>
      </c>
      <c r="J50" s="328">
        <v>21.963629122373749</v>
      </c>
      <c r="K50" s="1096">
        <v>19.56304238950402</v>
      </c>
      <c r="L50" s="328">
        <v>0</v>
      </c>
      <c r="M50" s="329">
        <v>0</v>
      </c>
      <c r="N50" s="329">
        <v>0</v>
      </c>
      <c r="O50" s="329">
        <v>1.27</v>
      </c>
      <c r="P50" s="330">
        <v>0.68756026296726847</v>
      </c>
      <c r="Q50" s="329">
        <v>5.0849359238677394</v>
      </c>
      <c r="R50" s="331">
        <v>8.004190685801607</v>
      </c>
      <c r="S50" s="331">
        <v>6.4739157798346731</v>
      </c>
      <c r="T50" s="331">
        <v>0</v>
      </c>
      <c r="U50" s="330">
        <v>0</v>
      </c>
      <c r="V50" s="328">
        <v>123.19</v>
      </c>
      <c r="W50" s="331">
        <v>113.1</v>
      </c>
      <c r="X50" s="331">
        <v>119.7</v>
      </c>
      <c r="Y50" s="331">
        <v>119.64015000000001</v>
      </c>
      <c r="Z50" s="330">
        <v>119.75979014999999</v>
      </c>
      <c r="AA50" s="328">
        <v>119.939429835225</v>
      </c>
      <c r="AB50" s="331">
        <v>120.11933897997784</v>
      </c>
      <c r="AC50" s="331">
        <v>120.35957765793779</v>
      </c>
      <c r="AD50" s="331">
        <v>80.720656390911586</v>
      </c>
      <c r="AE50" s="330">
        <v>81.043539016475236</v>
      </c>
      <c r="AF50" s="329">
        <v>72</v>
      </c>
      <c r="AG50" s="331">
        <v>72</v>
      </c>
      <c r="AH50" s="331">
        <v>119.7</v>
      </c>
      <c r="AI50" s="1049" t="s">
        <v>1026</v>
      </c>
      <c r="AJ50" s="1050" t="s">
        <v>1027</v>
      </c>
      <c r="AK50" s="1387"/>
    </row>
    <row r="51" spans="2:41" s="325" customFormat="1" ht="15.75" customHeight="1">
      <c r="B51" s="1051">
        <v>6</v>
      </c>
      <c r="C51" s="326" t="s">
        <v>1037</v>
      </c>
      <c r="D51" s="326" t="s">
        <v>1022</v>
      </c>
      <c r="E51" s="326" t="s">
        <v>1029</v>
      </c>
      <c r="F51" s="326" t="s">
        <v>1030</v>
      </c>
      <c r="G51" s="327" t="s">
        <v>1025</v>
      </c>
      <c r="H51" s="327">
        <v>0</v>
      </c>
      <c r="I51" s="327">
        <v>89</v>
      </c>
      <c r="J51" s="328">
        <v>2.6602347593019084</v>
      </c>
      <c r="K51" s="1096">
        <v>2.548166321271919</v>
      </c>
      <c r="L51" s="328">
        <v>0</v>
      </c>
      <c r="M51" s="329">
        <v>0</v>
      </c>
      <c r="N51" s="329">
        <v>0</v>
      </c>
      <c r="O51" s="329">
        <v>0</v>
      </c>
      <c r="P51" s="330">
        <v>0</v>
      </c>
      <c r="Q51" s="329">
        <v>0</v>
      </c>
      <c r="R51" s="331">
        <v>0</v>
      </c>
      <c r="S51" s="331">
        <v>1.2947831559669347</v>
      </c>
      <c r="T51" s="331">
        <v>1.2533831653049843</v>
      </c>
      <c r="U51" s="330">
        <v>0</v>
      </c>
      <c r="V51" s="328">
        <v>60.09</v>
      </c>
      <c r="W51" s="331">
        <v>69.849999999999994</v>
      </c>
      <c r="X51" s="331">
        <v>70.78</v>
      </c>
      <c r="Y51" s="331">
        <v>70.85078</v>
      </c>
      <c r="Z51" s="330">
        <v>80.063332339999988</v>
      </c>
      <c r="AA51" s="328">
        <v>88.503585669359992</v>
      </c>
      <c r="AB51" s="331">
        <v>97.331614354714873</v>
      </c>
      <c r="AC51" s="331">
        <v>106.3275988839073</v>
      </c>
      <c r="AD51" s="331">
        <v>115.72353007051419</v>
      </c>
      <c r="AE51" s="330">
        <v>125.23221243136037</v>
      </c>
      <c r="AF51" s="329">
        <v>112.5</v>
      </c>
      <c r="AG51" s="331">
        <v>112.5</v>
      </c>
      <c r="AH51" s="331">
        <v>70.78</v>
      </c>
      <c r="AI51" s="1049" t="s">
        <v>1026</v>
      </c>
      <c r="AJ51" s="1050" t="s">
        <v>1027</v>
      </c>
      <c r="AK51" s="1387"/>
    </row>
    <row r="52" spans="2:41" s="325" customFormat="1" ht="15.75" customHeight="1">
      <c r="B52" s="1051">
        <v>7</v>
      </c>
      <c r="C52" s="326" t="s">
        <v>1038</v>
      </c>
      <c r="D52" s="326" t="s">
        <v>1022</v>
      </c>
      <c r="E52" s="326" t="s">
        <v>1029</v>
      </c>
      <c r="F52" s="326" t="s">
        <v>1030</v>
      </c>
      <c r="G52" s="327" t="s">
        <v>1039</v>
      </c>
      <c r="H52" s="327">
        <v>0</v>
      </c>
      <c r="I52" s="327">
        <v>0</v>
      </c>
      <c r="J52" s="328">
        <v>2.0004473404658012</v>
      </c>
      <c r="K52" s="1096">
        <v>1.8742073683478071</v>
      </c>
      <c r="L52" s="328">
        <v>0</v>
      </c>
      <c r="M52" s="329">
        <v>0</v>
      </c>
      <c r="N52" s="329">
        <v>0</v>
      </c>
      <c r="O52" s="329">
        <v>0</v>
      </c>
      <c r="P52" s="330">
        <v>0</v>
      </c>
      <c r="Q52" s="329">
        <v>0</v>
      </c>
      <c r="R52" s="331">
        <v>0</v>
      </c>
      <c r="S52" s="331">
        <v>0.12947831559669348</v>
      </c>
      <c r="T52" s="331">
        <v>1.7447290527511137</v>
      </c>
      <c r="U52" s="330">
        <v>0</v>
      </c>
      <c r="V52" s="328">
        <v>105.54</v>
      </c>
      <c r="W52" s="331">
        <v>95.84</v>
      </c>
      <c r="X52" s="331">
        <v>87.39</v>
      </c>
      <c r="Y52" s="331">
        <v>87.477389999999986</v>
      </c>
      <c r="Z52" s="330">
        <v>87.739822169999982</v>
      </c>
      <c r="AA52" s="328">
        <v>90.370781458679986</v>
      </c>
      <c r="AB52" s="331">
        <v>93.373747710349434</v>
      </c>
      <c r="AC52" s="331">
        <v>96.494111439742568</v>
      </c>
      <c r="AD52" s="331">
        <v>99.932040777019481</v>
      </c>
      <c r="AE52" s="330">
        <v>103.41122526634372</v>
      </c>
      <c r="AF52" s="329">
        <v>101.3</v>
      </c>
      <c r="AG52" s="331">
        <v>101.3</v>
      </c>
      <c r="AH52" s="331">
        <v>87.39</v>
      </c>
      <c r="AI52" s="1049" t="s">
        <v>1026</v>
      </c>
      <c r="AJ52" s="1050" t="s">
        <v>1027</v>
      </c>
      <c r="AK52" s="1387"/>
      <c r="AO52" s="325" t="s">
        <v>859</v>
      </c>
    </row>
    <row r="53" spans="2:41" s="325" customFormat="1" ht="15.75" customHeight="1">
      <c r="B53" s="1051">
        <v>8</v>
      </c>
      <c r="C53" s="326" t="s">
        <v>1040</v>
      </c>
      <c r="D53" s="326" t="s">
        <v>1022</v>
      </c>
      <c r="E53" s="326" t="s">
        <v>1029</v>
      </c>
      <c r="F53" s="326" t="s">
        <v>1030</v>
      </c>
      <c r="G53" s="327">
        <v>2013</v>
      </c>
      <c r="H53" s="327">
        <v>0</v>
      </c>
      <c r="I53" s="327">
        <v>0</v>
      </c>
      <c r="J53" s="328">
        <v>2.5266958942378759</v>
      </c>
      <c r="K53" s="1096">
        <v>2.5054521013739364</v>
      </c>
      <c r="L53" s="328">
        <v>0</v>
      </c>
      <c r="M53" s="329">
        <v>0</v>
      </c>
      <c r="N53" s="329">
        <v>0</v>
      </c>
      <c r="O53" s="329">
        <v>0</v>
      </c>
      <c r="P53" s="330">
        <v>0</v>
      </c>
      <c r="Q53" s="329">
        <v>0</v>
      </c>
      <c r="R53" s="331">
        <v>0.77907456008468989</v>
      </c>
      <c r="S53" s="331">
        <v>1.7263775412892466</v>
      </c>
      <c r="T53" s="331">
        <v>0</v>
      </c>
      <c r="U53" s="330">
        <v>0</v>
      </c>
      <c r="V53" s="328">
        <v>101.4</v>
      </c>
      <c r="W53" s="331">
        <v>104.9</v>
      </c>
      <c r="X53" s="331">
        <v>105.4</v>
      </c>
      <c r="Y53" s="331">
        <v>105.50539999999999</v>
      </c>
      <c r="Z53" s="330">
        <v>111.82191619999999</v>
      </c>
      <c r="AA53" s="328">
        <v>113.26920386479999</v>
      </c>
      <c r="AB53" s="331">
        <v>115.17535749571839</v>
      </c>
      <c r="AC53" s="331">
        <v>117.21193571317984</v>
      </c>
      <c r="AD53" s="331">
        <v>119.618478941738</v>
      </c>
      <c r="AE53" s="330">
        <v>122.05390068903885</v>
      </c>
      <c r="AF53" s="329">
        <v>117</v>
      </c>
      <c r="AG53" s="331">
        <v>117</v>
      </c>
      <c r="AH53" s="331">
        <v>105.4</v>
      </c>
      <c r="AI53" s="1049" t="s">
        <v>1026</v>
      </c>
      <c r="AJ53" s="1050" t="s">
        <v>1027</v>
      </c>
      <c r="AK53" s="1387"/>
    </row>
    <row r="54" spans="2:41" s="325" customFormat="1" ht="15.75" customHeight="1">
      <c r="B54" s="1051">
        <v>9</v>
      </c>
      <c r="C54" s="326" t="s">
        <v>1041</v>
      </c>
      <c r="D54" s="326" t="s">
        <v>1029</v>
      </c>
      <c r="E54" s="326" t="s">
        <v>1042</v>
      </c>
      <c r="F54" s="326" t="s">
        <v>1024</v>
      </c>
      <c r="G54" s="327" t="s">
        <v>1031</v>
      </c>
      <c r="H54" s="327">
        <v>0</v>
      </c>
      <c r="I54" s="327">
        <v>5.5</v>
      </c>
      <c r="J54" s="328">
        <v>2.0188967889285951</v>
      </c>
      <c r="K54" s="1096">
        <v>1.9078357496013441</v>
      </c>
      <c r="L54" s="328">
        <v>0</v>
      </c>
      <c r="M54" s="329">
        <v>0</v>
      </c>
      <c r="N54" s="329">
        <v>0</v>
      </c>
      <c r="O54" s="329">
        <v>0</v>
      </c>
      <c r="P54" s="330">
        <v>0</v>
      </c>
      <c r="Q54" s="329">
        <v>0</v>
      </c>
      <c r="R54" s="331">
        <v>0</v>
      </c>
      <c r="S54" s="331">
        <v>0</v>
      </c>
      <c r="T54" s="331">
        <v>0.24444252831209773</v>
      </c>
      <c r="U54" s="330">
        <v>1.6633932212892464</v>
      </c>
      <c r="V54" s="328">
        <v>9.57</v>
      </c>
      <c r="W54" s="331">
        <v>9.11</v>
      </c>
      <c r="X54" s="331">
        <v>9.1999999999999993</v>
      </c>
      <c r="Y54" s="331">
        <v>9.2091999999999974</v>
      </c>
      <c r="Z54" s="330">
        <v>12.836827599999996</v>
      </c>
      <c r="AA54" s="328">
        <v>12.888174910399997</v>
      </c>
      <c r="AB54" s="331">
        <v>12.991280309683196</v>
      </c>
      <c r="AC54" s="331">
        <v>13.108201832470344</v>
      </c>
      <c r="AD54" s="331">
        <v>13.265500254459988</v>
      </c>
      <c r="AE54" s="330">
        <v>16.424686257513507</v>
      </c>
      <c r="AF54" s="329">
        <v>10</v>
      </c>
      <c r="AG54" s="331">
        <v>10</v>
      </c>
      <c r="AH54" s="331">
        <v>9.1999999999999993</v>
      </c>
      <c r="AI54" s="1049" t="s">
        <v>1026</v>
      </c>
      <c r="AJ54" s="1050" t="s">
        <v>1027</v>
      </c>
      <c r="AK54" s="1387"/>
    </row>
    <row r="55" spans="2:41" s="325" customFormat="1" ht="15.75" customHeight="1">
      <c r="B55" s="1051">
        <v>10</v>
      </c>
      <c r="C55" s="326" t="s">
        <v>1043</v>
      </c>
      <c r="D55" s="326" t="s">
        <v>1029</v>
      </c>
      <c r="E55" s="326">
        <v>0</v>
      </c>
      <c r="F55" s="326" t="s">
        <v>1033</v>
      </c>
      <c r="G55" s="327" t="s">
        <v>1031</v>
      </c>
      <c r="H55" s="327">
        <v>0</v>
      </c>
      <c r="I55" s="327">
        <v>28.8</v>
      </c>
      <c r="J55" s="328">
        <v>3.1706695001058742</v>
      </c>
      <c r="K55" s="1096">
        <v>3.1358776669297015</v>
      </c>
      <c r="L55" s="328">
        <v>0</v>
      </c>
      <c r="M55" s="329">
        <v>0</v>
      </c>
      <c r="N55" s="329">
        <v>0</v>
      </c>
      <c r="O55" s="329">
        <v>0</v>
      </c>
      <c r="P55" s="330">
        <v>4.4535153396743535E-2</v>
      </c>
      <c r="Q55" s="329">
        <v>0.46781410499583209</v>
      </c>
      <c r="R55" s="331">
        <v>2.6680635619338693</v>
      </c>
      <c r="S55" s="331">
        <v>0</v>
      </c>
      <c r="T55" s="331">
        <v>0</v>
      </c>
      <c r="U55" s="330">
        <v>0</v>
      </c>
      <c r="V55" s="328">
        <v>0</v>
      </c>
      <c r="W55" s="331">
        <v>0</v>
      </c>
      <c r="X55" s="331">
        <v>40.299999999999997</v>
      </c>
      <c r="Y55" s="331">
        <v>40.279849999999996</v>
      </c>
      <c r="Z55" s="330">
        <v>40.320129849999994</v>
      </c>
      <c r="AA55" s="328">
        <v>40.380610044774997</v>
      </c>
      <c r="AB55" s="331">
        <v>40.441180959842164</v>
      </c>
      <c r="AC55" s="331">
        <v>31.522063321761848</v>
      </c>
      <c r="AD55" s="331">
        <v>31.61662951172713</v>
      </c>
      <c r="AE55" s="330">
        <v>31.743096029774037</v>
      </c>
      <c r="AF55" s="329">
        <v>35</v>
      </c>
      <c r="AG55" s="331">
        <v>35</v>
      </c>
      <c r="AH55" s="331">
        <v>40.25</v>
      </c>
      <c r="AI55" s="1049" t="s">
        <v>1026</v>
      </c>
      <c r="AJ55" s="1050" t="s">
        <v>1027</v>
      </c>
      <c r="AK55" s="1387"/>
    </row>
    <row r="56" spans="2:41" s="325" customFormat="1" ht="15.75" customHeight="1">
      <c r="B56" s="1051">
        <v>11</v>
      </c>
      <c r="C56" s="326" t="s">
        <v>1044</v>
      </c>
      <c r="D56" s="326" t="s">
        <v>1029</v>
      </c>
      <c r="E56" s="326">
        <v>0</v>
      </c>
      <c r="F56" s="326" t="s">
        <v>1033</v>
      </c>
      <c r="G56" s="327" t="s">
        <v>1031</v>
      </c>
      <c r="H56" s="327">
        <v>0</v>
      </c>
      <c r="I56" s="327">
        <v>37</v>
      </c>
      <c r="J56" s="328">
        <v>1.1139952690867967</v>
      </c>
      <c r="K56" s="1096">
        <v>1.0945233611773824</v>
      </c>
      <c r="L56" s="328">
        <v>0</v>
      </c>
      <c r="M56" s="329">
        <v>0</v>
      </c>
      <c r="N56" s="329">
        <v>0</v>
      </c>
      <c r="O56" s="329">
        <v>0</v>
      </c>
      <c r="P56" s="330">
        <v>0</v>
      </c>
      <c r="Q56" s="329">
        <v>0</v>
      </c>
      <c r="R56" s="331">
        <v>0</v>
      </c>
      <c r="S56" s="331">
        <v>1.0945233611773824</v>
      </c>
      <c r="T56" s="331">
        <v>0</v>
      </c>
      <c r="U56" s="330">
        <v>0</v>
      </c>
      <c r="V56" s="328">
        <v>0</v>
      </c>
      <c r="W56" s="331">
        <v>0</v>
      </c>
      <c r="X56" s="331">
        <v>25.12</v>
      </c>
      <c r="Y56" s="331">
        <v>25.069760000000002</v>
      </c>
      <c r="Z56" s="330">
        <v>25.019620480000004</v>
      </c>
      <c r="AA56" s="328">
        <v>25.019620480000004</v>
      </c>
      <c r="AB56" s="331">
        <v>25.019620480000004</v>
      </c>
      <c r="AC56" s="331">
        <v>25.044640100480002</v>
      </c>
      <c r="AD56" s="331">
        <v>25.069684740580481</v>
      </c>
      <c r="AE56" s="330">
        <v>25.09475442532106</v>
      </c>
      <c r="AF56" s="329">
        <v>24.63</v>
      </c>
      <c r="AG56" s="331">
        <v>24.63</v>
      </c>
      <c r="AH56" s="331">
        <v>25.12</v>
      </c>
      <c r="AI56" s="1049" t="s">
        <v>1026</v>
      </c>
      <c r="AJ56" s="1050" t="s">
        <v>1027</v>
      </c>
      <c r="AK56" s="1387"/>
    </row>
    <row r="57" spans="2:41" s="325" customFormat="1" ht="15.75" customHeight="1">
      <c r="B57" s="1051">
        <v>12</v>
      </c>
      <c r="C57" s="326" t="s">
        <v>1045</v>
      </c>
      <c r="D57" s="326" t="s">
        <v>1029</v>
      </c>
      <c r="E57" s="326">
        <v>0</v>
      </c>
      <c r="F57" s="326" t="s">
        <v>1033</v>
      </c>
      <c r="G57" s="327" t="s">
        <v>1031</v>
      </c>
      <c r="H57" s="327">
        <v>0</v>
      </c>
      <c r="I57" s="327">
        <v>28.8</v>
      </c>
      <c r="J57" s="328">
        <v>0.64660924136268316</v>
      </c>
      <c r="K57" s="1096">
        <v>0.63567325569444266</v>
      </c>
      <c r="L57" s="328">
        <v>0</v>
      </c>
      <c r="M57" s="329">
        <v>0</v>
      </c>
      <c r="N57" s="329">
        <v>0</v>
      </c>
      <c r="O57" s="329">
        <v>0</v>
      </c>
      <c r="P57" s="330">
        <v>0</v>
      </c>
      <c r="Q57" s="329">
        <v>8.4748932064462341E-3</v>
      </c>
      <c r="R57" s="331">
        <v>1.7787090412892465E-2</v>
      </c>
      <c r="S57" s="331">
        <v>0.60941127207510393</v>
      </c>
      <c r="T57" s="331">
        <v>0</v>
      </c>
      <c r="U57" s="330">
        <v>0</v>
      </c>
      <c r="V57" s="328">
        <v>0</v>
      </c>
      <c r="W57" s="331">
        <v>0</v>
      </c>
      <c r="X57" s="331">
        <v>37.1</v>
      </c>
      <c r="Y57" s="331">
        <v>37.137099999999997</v>
      </c>
      <c r="Z57" s="330">
        <v>37.24851129999999</v>
      </c>
      <c r="AA57" s="328">
        <v>37.397505345199988</v>
      </c>
      <c r="AB57" s="331">
        <v>37.696685387961587</v>
      </c>
      <c r="AC57" s="331">
        <v>38.035955556453239</v>
      </c>
      <c r="AD57" s="331">
        <v>38.492387023130675</v>
      </c>
      <c r="AE57" s="330">
        <v>38.954295667408246</v>
      </c>
      <c r="AF57" s="329">
        <v>34.299999999999997</v>
      </c>
      <c r="AG57" s="331">
        <v>34.299999999999997</v>
      </c>
      <c r="AH57" s="331">
        <v>37.1</v>
      </c>
      <c r="AI57" s="1049" t="s">
        <v>1026</v>
      </c>
      <c r="AJ57" s="1050" t="s">
        <v>1027</v>
      </c>
      <c r="AK57" s="1387"/>
    </row>
    <row r="58" spans="2:41" s="325" customFormat="1" ht="15.75" customHeight="1">
      <c r="B58" s="1051">
        <v>13</v>
      </c>
      <c r="C58" s="326" t="s">
        <v>1046</v>
      </c>
      <c r="D58" s="326" t="s">
        <v>1029</v>
      </c>
      <c r="E58" s="326">
        <v>0</v>
      </c>
      <c r="F58" s="326" t="s">
        <v>1033</v>
      </c>
      <c r="G58" s="327" t="s">
        <v>1031</v>
      </c>
      <c r="H58" s="327">
        <v>0</v>
      </c>
      <c r="I58" s="327">
        <v>9.5</v>
      </c>
      <c r="J58" s="328">
        <v>0.47880711486774774</v>
      </c>
      <c r="K58" s="1096">
        <v>0.47124901825131965</v>
      </c>
      <c r="L58" s="328">
        <v>0</v>
      </c>
      <c r="M58" s="329">
        <v>0</v>
      </c>
      <c r="N58" s="329">
        <v>0</v>
      </c>
      <c r="O58" s="329">
        <v>0</v>
      </c>
      <c r="P58" s="330">
        <v>0</v>
      </c>
      <c r="Q58" s="329">
        <v>0</v>
      </c>
      <c r="R58" s="331">
        <v>2.7569990139983316E-2</v>
      </c>
      <c r="S58" s="331">
        <v>0.44367902811133636</v>
      </c>
      <c r="T58" s="331">
        <v>0</v>
      </c>
      <c r="U58" s="330">
        <v>0</v>
      </c>
      <c r="V58" s="328">
        <v>0</v>
      </c>
      <c r="W58" s="331">
        <v>0</v>
      </c>
      <c r="X58" s="331">
        <v>19.739999999999998</v>
      </c>
      <c r="Y58" s="331">
        <v>19.700519999999997</v>
      </c>
      <c r="Z58" s="330">
        <v>19.661118959999996</v>
      </c>
      <c r="AA58" s="328">
        <v>19.661118959999996</v>
      </c>
      <c r="AB58" s="331">
        <v>19.661118959999996</v>
      </c>
      <c r="AC58" s="331">
        <v>19.680780078959994</v>
      </c>
      <c r="AD58" s="331">
        <v>19.700460859038952</v>
      </c>
      <c r="AE58" s="330">
        <v>19.72016131989799</v>
      </c>
      <c r="AF58" s="329">
        <v>17.5</v>
      </c>
      <c r="AG58" s="331">
        <v>17.5</v>
      </c>
      <c r="AH58" s="331">
        <v>19.739999999999998</v>
      </c>
      <c r="AI58" s="1049" t="s">
        <v>1026</v>
      </c>
      <c r="AJ58" s="1050" t="s">
        <v>1027</v>
      </c>
      <c r="AK58" s="1387"/>
    </row>
    <row r="59" spans="2:41" s="325" customFormat="1" ht="15.75" customHeight="1">
      <c r="B59" s="1051">
        <v>14</v>
      </c>
      <c r="C59" s="326" t="s">
        <v>1047</v>
      </c>
      <c r="D59" s="326" t="s">
        <v>1022</v>
      </c>
      <c r="E59" s="326" t="s">
        <v>1029</v>
      </c>
      <c r="F59" s="326" t="s">
        <v>1030</v>
      </c>
      <c r="G59" s="327" t="s">
        <v>1031</v>
      </c>
      <c r="H59" s="327">
        <v>0</v>
      </c>
      <c r="I59" s="327">
        <v>0</v>
      </c>
      <c r="J59" s="328">
        <v>0.62200997674562453</v>
      </c>
      <c r="K59" s="1096">
        <v>0.52968082540288952</v>
      </c>
      <c r="L59" s="328">
        <v>0</v>
      </c>
      <c r="M59" s="329">
        <v>0</v>
      </c>
      <c r="N59" s="329">
        <v>0</v>
      </c>
      <c r="O59" s="329">
        <v>0</v>
      </c>
      <c r="P59" s="330">
        <v>6.4849433893503741E-2</v>
      </c>
      <c r="Q59" s="329">
        <v>0.52968082540288952</v>
      </c>
      <c r="R59" s="331">
        <v>0</v>
      </c>
      <c r="S59" s="331">
        <v>0</v>
      </c>
      <c r="T59" s="331">
        <v>0</v>
      </c>
      <c r="U59" s="330">
        <v>0</v>
      </c>
      <c r="V59" s="328">
        <v>66.47</v>
      </c>
      <c r="W59" s="331">
        <v>63.5</v>
      </c>
      <c r="X59" s="331">
        <v>68.13</v>
      </c>
      <c r="Y59" s="331">
        <v>68.095934999999997</v>
      </c>
      <c r="Z59" s="330">
        <v>68.164030934999985</v>
      </c>
      <c r="AA59" s="328">
        <v>68.266276981402484</v>
      </c>
      <c r="AB59" s="331">
        <v>50.368676396874591</v>
      </c>
      <c r="AC59" s="331">
        <v>50.469413749668341</v>
      </c>
      <c r="AD59" s="331">
        <v>50.620821990917342</v>
      </c>
      <c r="AE59" s="330">
        <v>50.823305278881008</v>
      </c>
      <c r="AF59" s="329">
        <v>58.5</v>
      </c>
      <c r="AG59" s="331">
        <v>58.5</v>
      </c>
      <c r="AH59" s="331">
        <v>68.59</v>
      </c>
      <c r="AI59" s="1049" t="s">
        <v>1048</v>
      </c>
      <c r="AJ59" s="1050" t="s">
        <v>1027</v>
      </c>
      <c r="AK59" s="1387"/>
    </row>
    <row r="60" spans="2:41" s="325" customFormat="1" ht="15.75" customHeight="1">
      <c r="B60" s="1051">
        <v>15</v>
      </c>
      <c r="C60" s="326" t="s">
        <v>1049</v>
      </c>
      <c r="D60" s="326" t="s">
        <v>1029</v>
      </c>
      <c r="E60" s="326" t="s">
        <v>1042</v>
      </c>
      <c r="F60" s="326" t="s">
        <v>1030</v>
      </c>
      <c r="G60" s="327" t="s">
        <v>1031</v>
      </c>
      <c r="H60" s="327">
        <v>0</v>
      </c>
      <c r="I60" s="327">
        <v>9</v>
      </c>
      <c r="J60" s="328">
        <v>0.80386882587887931</v>
      </c>
      <c r="K60" s="1096">
        <v>0.76005757396404539</v>
      </c>
      <c r="L60" s="328">
        <v>0</v>
      </c>
      <c r="M60" s="329">
        <v>0</v>
      </c>
      <c r="N60" s="329">
        <v>0</v>
      </c>
      <c r="O60" s="329">
        <v>0</v>
      </c>
      <c r="P60" s="330">
        <v>3.1252739225784927E-2</v>
      </c>
      <c r="Q60" s="329">
        <v>0.3669628758391219</v>
      </c>
      <c r="R60" s="331">
        <v>0.39309469812492343</v>
      </c>
      <c r="S60" s="331">
        <v>0</v>
      </c>
      <c r="T60" s="331">
        <v>0</v>
      </c>
      <c r="U60" s="330">
        <v>0</v>
      </c>
      <c r="V60" s="328">
        <v>19.64</v>
      </c>
      <c r="W60" s="331">
        <v>14.7</v>
      </c>
      <c r="X60" s="331">
        <v>19.73</v>
      </c>
      <c r="Y60" s="331">
        <v>19.74973</v>
      </c>
      <c r="Z60" s="330">
        <v>19.808979189999999</v>
      </c>
      <c r="AA60" s="328">
        <v>19.888215106759997</v>
      </c>
      <c r="AB60" s="331">
        <v>20.047320827614076</v>
      </c>
      <c r="AC60" s="331">
        <v>20.227746715062601</v>
      </c>
      <c r="AD60" s="331">
        <v>20.470479675643354</v>
      </c>
      <c r="AE60" s="330">
        <v>20.716125431751074</v>
      </c>
      <c r="AF60" s="329">
        <v>19.5</v>
      </c>
      <c r="AG60" s="331">
        <v>17.5</v>
      </c>
      <c r="AH60" s="331">
        <v>19.7</v>
      </c>
      <c r="AI60" s="1049" t="s">
        <v>1026</v>
      </c>
      <c r="AJ60" s="1050" t="s">
        <v>1027</v>
      </c>
      <c r="AK60" s="1387"/>
    </row>
    <row r="61" spans="2:41" s="325" customFormat="1" ht="15.75" customHeight="1">
      <c r="B61" s="1051">
        <v>16</v>
      </c>
      <c r="C61" s="326" t="s">
        <v>1050</v>
      </c>
      <c r="D61" s="326" t="s">
        <v>1029</v>
      </c>
      <c r="E61" s="326" t="s">
        <v>1023</v>
      </c>
      <c r="F61" s="326" t="s">
        <v>1030</v>
      </c>
      <c r="G61" s="327" t="s">
        <v>1031</v>
      </c>
      <c r="H61" s="327">
        <v>0</v>
      </c>
      <c r="I61" s="327">
        <v>3.5</v>
      </c>
      <c r="J61" s="328">
        <v>0.45772203091026903</v>
      </c>
      <c r="K61" s="1096">
        <v>0.45029699600584872</v>
      </c>
      <c r="L61" s="328">
        <v>0</v>
      </c>
      <c r="M61" s="329">
        <v>0</v>
      </c>
      <c r="N61" s="329">
        <v>0</v>
      </c>
      <c r="O61" s="329">
        <v>0</v>
      </c>
      <c r="P61" s="330">
        <v>0</v>
      </c>
      <c r="Q61" s="329">
        <v>4.237446603223117E-3</v>
      </c>
      <c r="R61" s="331">
        <v>2.2233863016115581E-2</v>
      </c>
      <c r="S61" s="331">
        <v>0.42382568638651003</v>
      </c>
      <c r="T61" s="331">
        <v>0</v>
      </c>
      <c r="U61" s="330">
        <v>0</v>
      </c>
      <c r="V61" s="328">
        <v>7.53</v>
      </c>
      <c r="W61" s="331">
        <v>7.6</v>
      </c>
      <c r="X61" s="331">
        <v>7.05</v>
      </c>
      <c r="Y61" s="331">
        <v>7.0358999999999998</v>
      </c>
      <c r="Z61" s="330">
        <v>7.0218281999999999</v>
      </c>
      <c r="AA61" s="328">
        <v>7.0218281999999999</v>
      </c>
      <c r="AB61" s="331">
        <v>7.0218281999999999</v>
      </c>
      <c r="AC61" s="331">
        <v>7.028850028199999</v>
      </c>
      <c r="AD61" s="331">
        <v>7.035878878228198</v>
      </c>
      <c r="AE61" s="330">
        <v>7.0429147571064252</v>
      </c>
      <c r="AF61" s="329">
        <v>7.58</v>
      </c>
      <c r="AG61" s="331">
        <v>6.25</v>
      </c>
      <c r="AH61" s="331">
        <v>7</v>
      </c>
      <c r="AI61" s="1049" t="s">
        <v>1026</v>
      </c>
      <c r="AJ61" s="1050" t="s">
        <v>1027</v>
      </c>
      <c r="AK61" s="1387"/>
    </row>
    <row r="62" spans="2:41" s="325" customFormat="1" ht="15.75" customHeight="1">
      <c r="B62" s="1051">
        <v>17</v>
      </c>
      <c r="C62" s="326" t="s">
        <v>1051</v>
      </c>
      <c r="D62" s="326" t="s">
        <v>1029</v>
      </c>
      <c r="E62" s="326" t="s">
        <v>1023</v>
      </c>
      <c r="F62" s="326" t="s">
        <v>1033</v>
      </c>
      <c r="G62" s="327" t="s">
        <v>1031</v>
      </c>
      <c r="H62" s="327">
        <v>0</v>
      </c>
      <c r="I62" s="327">
        <v>5.5</v>
      </c>
      <c r="J62" s="328">
        <v>1.2756475794274673</v>
      </c>
      <c r="K62" s="1096">
        <v>1.2071030979437616</v>
      </c>
      <c r="L62" s="328">
        <v>0</v>
      </c>
      <c r="M62" s="329">
        <v>0</v>
      </c>
      <c r="N62" s="329">
        <v>0</v>
      </c>
      <c r="O62" s="329">
        <v>4.0000000000000001E-3</v>
      </c>
      <c r="P62" s="330">
        <v>3.5940650109652666E-2</v>
      </c>
      <c r="Q62" s="329">
        <v>0.80511485461239196</v>
      </c>
      <c r="R62" s="331">
        <v>0.40198824333136968</v>
      </c>
      <c r="S62" s="331">
        <v>0</v>
      </c>
      <c r="T62" s="331">
        <v>0</v>
      </c>
      <c r="U62" s="330">
        <v>0</v>
      </c>
      <c r="V62" s="328">
        <v>24.43</v>
      </c>
      <c r="W62" s="331">
        <v>25.8</v>
      </c>
      <c r="X62" s="331">
        <v>25.21</v>
      </c>
      <c r="Y62" s="331">
        <v>25.197395000000004</v>
      </c>
      <c r="Z62" s="330">
        <v>25.222592394999999</v>
      </c>
      <c r="AA62" s="328">
        <v>25.260426283592501</v>
      </c>
      <c r="AB62" s="331">
        <v>25.298316923017893</v>
      </c>
      <c r="AC62" s="331">
        <v>20.348913556863931</v>
      </c>
      <c r="AD62" s="331">
        <v>20.409960297534521</v>
      </c>
      <c r="AE62" s="330">
        <v>20.49160013872466</v>
      </c>
      <c r="AF62" s="329">
        <v>26.54</v>
      </c>
      <c r="AG62" s="331">
        <v>22.6</v>
      </c>
      <c r="AH62" s="331">
        <v>25.2</v>
      </c>
      <c r="AI62" s="1049" t="s">
        <v>1026</v>
      </c>
      <c r="AJ62" s="1050" t="s">
        <v>1027</v>
      </c>
      <c r="AK62" s="1387"/>
    </row>
    <row r="63" spans="2:41" s="325" customFormat="1" ht="15.75" customHeight="1">
      <c r="B63" s="1051">
        <v>18</v>
      </c>
      <c r="C63" s="326" t="s">
        <v>1052</v>
      </c>
      <c r="D63" s="326" t="s">
        <v>1029</v>
      </c>
      <c r="E63" s="326" t="s">
        <v>1023</v>
      </c>
      <c r="F63" s="326" t="s">
        <v>1033</v>
      </c>
      <c r="G63" s="327" t="s">
        <v>1031</v>
      </c>
      <c r="H63" s="327">
        <v>0</v>
      </c>
      <c r="I63" s="327">
        <v>2.5</v>
      </c>
      <c r="J63" s="328">
        <v>0.43487985662300027</v>
      </c>
      <c r="K63" s="1096">
        <v>0.41134723216908853</v>
      </c>
      <c r="L63" s="328">
        <v>0</v>
      </c>
      <c r="M63" s="329">
        <v>0</v>
      </c>
      <c r="N63" s="329">
        <v>0</v>
      </c>
      <c r="O63" s="329">
        <v>0</v>
      </c>
      <c r="P63" s="330">
        <v>0</v>
      </c>
      <c r="Q63" s="329">
        <v>0</v>
      </c>
      <c r="R63" s="331">
        <v>0</v>
      </c>
      <c r="S63" s="331">
        <v>0</v>
      </c>
      <c r="T63" s="331">
        <v>2.4608308219338699E-2</v>
      </c>
      <c r="U63" s="330">
        <v>0.38673892394974985</v>
      </c>
      <c r="V63" s="328">
        <v>5.51</v>
      </c>
      <c r="W63" s="331">
        <v>5.4</v>
      </c>
      <c r="X63" s="331">
        <v>5.3</v>
      </c>
      <c r="Y63" s="331">
        <v>5.2973499999999998</v>
      </c>
      <c r="Z63" s="330">
        <v>5.3026473499999991</v>
      </c>
      <c r="AA63" s="328">
        <v>5.3185552920499983</v>
      </c>
      <c r="AB63" s="331">
        <v>5.3504666238022986</v>
      </c>
      <c r="AC63" s="331">
        <v>5.3986208234165192</v>
      </c>
      <c r="AD63" s="331">
        <v>5.4472084108272671</v>
      </c>
      <c r="AE63" s="330">
        <v>5.4962332865247117</v>
      </c>
      <c r="AF63" s="329">
        <v>5</v>
      </c>
      <c r="AG63" s="331">
        <v>5</v>
      </c>
      <c r="AH63" s="331">
        <v>5.3</v>
      </c>
      <c r="AI63" s="1049" t="s">
        <v>1026</v>
      </c>
      <c r="AJ63" s="1050" t="s">
        <v>1027</v>
      </c>
      <c r="AK63" s="1387"/>
    </row>
    <row r="64" spans="2:41" s="325" customFormat="1" ht="15.75" customHeight="1">
      <c r="B64" s="1051">
        <v>19</v>
      </c>
      <c r="C64" s="326" t="s">
        <v>1053</v>
      </c>
      <c r="D64" s="326" t="s">
        <v>1029</v>
      </c>
      <c r="E64" s="326">
        <v>0</v>
      </c>
      <c r="F64" s="326" t="s">
        <v>1033</v>
      </c>
      <c r="G64" s="327" t="s">
        <v>1031</v>
      </c>
      <c r="H64" s="327">
        <v>0</v>
      </c>
      <c r="I64" s="327">
        <v>34</v>
      </c>
      <c r="J64" s="328">
        <v>1.387222815369126</v>
      </c>
      <c r="K64" s="1096">
        <v>1.2952172892778602</v>
      </c>
      <c r="L64" s="328">
        <v>0</v>
      </c>
      <c r="M64" s="329">
        <v>0</v>
      </c>
      <c r="N64" s="329">
        <v>0</v>
      </c>
      <c r="O64" s="329">
        <v>0</v>
      </c>
      <c r="P64" s="330">
        <v>0</v>
      </c>
      <c r="Q64" s="329">
        <v>0</v>
      </c>
      <c r="R64" s="331">
        <v>0</v>
      </c>
      <c r="S64" s="331">
        <v>0</v>
      </c>
      <c r="T64" s="331">
        <v>1.2952172892778602</v>
      </c>
      <c r="U64" s="330">
        <v>0</v>
      </c>
      <c r="V64" s="328">
        <v>0</v>
      </c>
      <c r="W64" s="331">
        <v>0</v>
      </c>
      <c r="X64" s="331">
        <v>33.9</v>
      </c>
      <c r="Y64" s="331">
        <v>33.883049999999997</v>
      </c>
      <c r="Z64" s="330">
        <v>33.91693304999999</v>
      </c>
      <c r="AA64" s="328">
        <v>33.981375222794988</v>
      </c>
      <c r="AB64" s="331">
        <v>34.079921210941087</v>
      </c>
      <c r="AC64" s="331">
        <v>34.209424911542662</v>
      </c>
      <c r="AD64" s="331">
        <v>34.373630151118064</v>
      </c>
      <c r="AE64" s="330">
        <v>34.538623575843431</v>
      </c>
      <c r="AF64" s="329">
        <v>31.4</v>
      </c>
      <c r="AG64" s="331">
        <v>31.4</v>
      </c>
      <c r="AH64" s="331">
        <v>33.9</v>
      </c>
      <c r="AI64" s="1049" t="s">
        <v>1026</v>
      </c>
      <c r="AJ64" s="1050" t="s">
        <v>1027</v>
      </c>
      <c r="AK64" s="1387"/>
    </row>
    <row r="65" spans="2:37" s="325" customFormat="1" ht="15.75" customHeight="1">
      <c r="B65" s="1051">
        <v>20</v>
      </c>
      <c r="C65" s="332" t="s">
        <v>1054</v>
      </c>
      <c r="D65" s="332" t="s">
        <v>1029</v>
      </c>
      <c r="E65" s="326" t="s">
        <v>1023</v>
      </c>
      <c r="F65" s="332" t="s">
        <v>1030</v>
      </c>
      <c r="G65" s="333" t="s">
        <v>1031</v>
      </c>
      <c r="H65" s="327">
        <v>0</v>
      </c>
      <c r="I65" s="333">
        <v>11.7</v>
      </c>
      <c r="J65" s="1097">
        <v>0.86800262291621066</v>
      </c>
      <c r="K65" s="1098">
        <v>0.81198262975688784</v>
      </c>
      <c r="L65" s="1097">
        <v>0</v>
      </c>
      <c r="M65" s="334">
        <v>0</v>
      </c>
      <c r="N65" s="334">
        <v>0</v>
      </c>
      <c r="O65" s="334">
        <v>0</v>
      </c>
      <c r="P65" s="335">
        <v>0</v>
      </c>
      <c r="Q65" s="334">
        <v>0</v>
      </c>
      <c r="R65" s="336">
        <v>8.8935452064462326E-3</v>
      </c>
      <c r="S65" s="336">
        <v>1.7263775412892465E-2</v>
      </c>
      <c r="T65" s="336">
        <v>0.78582530913754911</v>
      </c>
      <c r="U65" s="335">
        <v>0</v>
      </c>
      <c r="V65" s="328">
        <v>18.420000000000002</v>
      </c>
      <c r="W65" s="331">
        <v>17.899999999999999</v>
      </c>
      <c r="X65" s="331">
        <v>18.690000000000001</v>
      </c>
      <c r="Y65" s="331">
        <v>18.680655000000002</v>
      </c>
      <c r="Z65" s="330">
        <v>18.699335654999999</v>
      </c>
      <c r="AA65" s="328">
        <v>18.727384658482499</v>
      </c>
      <c r="AB65" s="331">
        <v>18.755475735470224</v>
      </c>
      <c r="AC65" s="331">
        <v>18.792986686941166</v>
      </c>
      <c r="AD65" s="331">
        <v>18.849365647001989</v>
      </c>
      <c r="AE65" s="330">
        <v>18.924763109589996</v>
      </c>
      <c r="AF65" s="329">
        <v>19</v>
      </c>
      <c r="AG65" s="331">
        <v>17.5</v>
      </c>
      <c r="AH65" s="331">
        <v>18.7</v>
      </c>
      <c r="AI65" s="1049" t="s">
        <v>1026</v>
      </c>
      <c r="AJ65" s="1050" t="s">
        <v>1027</v>
      </c>
      <c r="AK65" s="1388"/>
    </row>
    <row r="66" spans="2:37" s="325" customFormat="1" ht="15.75" customHeight="1">
      <c r="B66" s="1051">
        <v>21</v>
      </c>
      <c r="C66" s="332"/>
      <c r="D66" s="332"/>
      <c r="E66" s="326"/>
      <c r="F66" s="332"/>
      <c r="G66" s="333"/>
      <c r="H66" s="327"/>
      <c r="I66" s="333"/>
      <c r="J66" s="1097"/>
      <c r="K66" s="1098"/>
      <c r="L66" s="1097"/>
      <c r="M66" s="334"/>
      <c r="N66" s="334"/>
      <c r="O66" s="334"/>
      <c r="P66" s="335"/>
      <c r="Q66" s="334"/>
      <c r="R66" s="336"/>
      <c r="S66" s="336"/>
      <c r="T66" s="336"/>
      <c r="U66" s="335"/>
      <c r="V66" s="328"/>
      <c r="W66" s="331"/>
      <c r="X66" s="331"/>
      <c r="Y66" s="331"/>
      <c r="Z66" s="330"/>
      <c r="AA66" s="328"/>
      <c r="AB66" s="331"/>
      <c r="AC66" s="331"/>
      <c r="AD66" s="331"/>
      <c r="AE66" s="330"/>
      <c r="AF66" s="329"/>
      <c r="AG66" s="331"/>
      <c r="AH66" s="331"/>
      <c r="AI66" s="1049"/>
      <c r="AJ66" s="1050"/>
      <c r="AK66" s="1388"/>
    </row>
    <row r="67" spans="2:37" s="325" customFormat="1" ht="15.75" customHeight="1">
      <c r="B67" s="1051">
        <v>22</v>
      </c>
      <c r="C67" s="332"/>
      <c r="D67" s="332"/>
      <c r="E67" s="326"/>
      <c r="F67" s="332"/>
      <c r="G67" s="333"/>
      <c r="H67" s="327"/>
      <c r="I67" s="333"/>
      <c r="J67" s="1097"/>
      <c r="K67" s="1098"/>
      <c r="L67" s="1097"/>
      <c r="M67" s="334"/>
      <c r="N67" s="334"/>
      <c r="O67" s="334"/>
      <c r="P67" s="335"/>
      <c r="Q67" s="334"/>
      <c r="R67" s="336"/>
      <c r="S67" s="336"/>
      <c r="T67" s="336"/>
      <c r="U67" s="335"/>
      <c r="V67" s="328"/>
      <c r="W67" s="331"/>
      <c r="X67" s="331"/>
      <c r="Y67" s="331"/>
      <c r="Z67" s="330"/>
      <c r="AA67" s="328"/>
      <c r="AB67" s="331"/>
      <c r="AC67" s="331"/>
      <c r="AD67" s="331"/>
      <c r="AE67" s="330"/>
      <c r="AF67" s="329"/>
      <c r="AG67" s="331"/>
      <c r="AH67" s="331"/>
      <c r="AI67" s="1049"/>
      <c r="AJ67" s="1050"/>
      <c r="AK67" s="1388"/>
    </row>
    <row r="68" spans="2:37" s="325" customFormat="1" ht="15.75" customHeight="1">
      <c r="B68" s="1051">
        <v>23</v>
      </c>
      <c r="C68" s="332"/>
      <c r="D68" s="332"/>
      <c r="E68" s="326"/>
      <c r="F68" s="332"/>
      <c r="G68" s="333"/>
      <c r="H68" s="327"/>
      <c r="I68" s="333"/>
      <c r="J68" s="1097"/>
      <c r="K68" s="1098"/>
      <c r="L68" s="1097"/>
      <c r="M68" s="334"/>
      <c r="N68" s="334"/>
      <c r="O68" s="334"/>
      <c r="P68" s="335"/>
      <c r="Q68" s="334"/>
      <c r="R68" s="336"/>
      <c r="S68" s="336"/>
      <c r="T68" s="336"/>
      <c r="U68" s="335"/>
      <c r="V68" s="328"/>
      <c r="W68" s="331"/>
      <c r="X68" s="331"/>
      <c r="Y68" s="331"/>
      <c r="Z68" s="330"/>
      <c r="AA68" s="328"/>
      <c r="AB68" s="331"/>
      <c r="AC68" s="331"/>
      <c r="AD68" s="331"/>
      <c r="AE68" s="330"/>
      <c r="AF68" s="329"/>
      <c r="AG68" s="331"/>
      <c r="AH68" s="331"/>
      <c r="AI68" s="1049"/>
      <c r="AJ68" s="1050"/>
      <c r="AK68" s="1388"/>
    </row>
    <row r="69" spans="2:37" s="325" customFormat="1" ht="15.75" customHeight="1">
      <c r="B69" s="1051">
        <v>24</v>
      </c>
      <c r="C69" s="332"/>
      <c r="D69" s="332"/>
      <c r="E69" s="326"/>
      <c r="F69" s="332"/>
      <c r="G69" s="333"/>
      <c r="H69" s="327"/>
      <c r="I69" s="333"/>
      <c r="J69" s="1097"/>
      <c r="K69" s="1098"/>
      <c r="L69" s="1097"/>
      <c r="M69" s="334"/>
      <c r="N69" s="334"/>
      <c r="O69" s="334"/>
      <c r="P69" s="335"/>
      <c r="Q69" s="334"/>
      <c r="R69" s="336"/>
      <c r="S69" s="336"/>
      <c r="T69" s="336"/>
      <c r="U69" s="335"/>
      <c r="V69" s="328"/>
      <c r="W69" s="331"/>
      <c r="X69" s="331"/>
      <c r="Y69" s="331"/>
      <c r="Z69" s="330"/>
      <c r="AA69" s="328"/>
      <c r="AB69" s="331"/>
      <c r="AC69" s="331"/>
      <c r="AD69" s="331"/>
      <c r="AE69" s="330"/>
      <c r="AF69" s="329"/>
      <c r="AG69" s="331"/>
      <c r="AH69" s="331"/>
      <c r="AI69" s="1049"/>
      <c r="AJ69" s="1050"/>
      <c r="AK69" s="1388"/>
    </row>
    <row r="70" spans="2:37" s="325" customFormat="1" ht="15.75" customHeight="1">
      <c r="B70" s="1051">
        <v>25</v>
      </c>
      <c r="C70" s="332"/>
      <c r="D70" s="332"/>
      <c r="E70" s="326"/>
      <c r="F70" s="332"/>
      <c r="G70" s="333"/>
      <c r="H70" s="327"/>
      <c r="I70" s="333"/>
      <c r="J70" s="1097"/>
      <c r="K70" s="1098"/>
      <c r="L70" s="1097"/>
      <c r="M70" s="334"/>
      <c r="N70" s="334"/>
      <c r="O70" s="334"/>
      <c r="P70" s="335"/>
      <c r="Q70" s="334"/>
      <c r="R70" s="336"/>
      <c r="S70" s="336"/>
      <c r="T70" s="336"/>
      <c r="U70" s="335"/>
      <c r="V70" s="328"/>
      <c r="W70" s="331"/>
      <c r="X70" s="331"/>
      <c r="Y70" s="331"/>
      <c r="Z70" s="330"/>
      <c r="AA70" s="328"/>
      <c r="AB70" s="331"/>
      <c r="AC70" s="331"/>
      <c r="AD70" s="331"/>
      <c r="AE70" s="330"/>
      <c r="AF70" s="329"/>
      <c r="AG70" s="331"/>
      <c r="AH70" s="331"/>
      <c r="AI70" s="1049"/>
      <c r="AJ70" s="1050"/>
      <c r="AK70" s="1388"/>
    </row>
    <row r="71" spans="2:37" s="325" customFormat="1" ht="15.75" customHeight="1">
      <c r="B71" s="1051">
        <v>26</v>
      </c>
      <c r="C71" s="332"/>
      <c r="D71" s="332"/>
      <c r="E71" s="326"/>
      <c r="F71" s="332"/>
      <c r="G71" s="333"/>
      <c r="H71" s="327"/>
      <c r="I71" s="333"/>
      <c r="J71" s="1097"/>
      <c r="K71" s="1098"/>
      <c r="L71" s="1097"/>
      <c r="M71" s="334"/>
      <c r="N71" s="334"/>
      <c r="O71" s="334"/>
      <c r="P71" s="335"/>
      <c r="Q71" s="334"/>
      <c r="R71" s="336"/>
      <c r="S71" s="336"/>
      <c r="T71" s="336"/>
      <c r="U71" s="335"/>
      <c r="V71" s="328"/>
      <c r="W71" s="331"/>
      <c r="X71" s="331"/>
      <c r="Y71" s="331"/>
      <c r="Z71" s="330"/>
      <c r="AA71" s="328"/>
      <c r="AB71" s="331"/>
      <c r="AC71" s="331"/>
      <c r="AD71" s="331"/>
      <c r="AE71" s="330"/>
      <c r="AF71" s="329"/>
      <c r="AG71" s="331"/>
      <c r="AH71" s="331"/>
      <c r="AI71" s="1049"/>
      <c r="AJ71" s="1050"/>
      <c r="AK71" s="1388"/>
    </row>
    <row r="72" spans="2:37" s="325" customFormat="1" ht="15.75" customHeight="1">
      <c r="B72" s="1051">
        <v>27</v>
      </c>
      <c r="C72" s="332"/>
      <c r="D72" s="332"/>
      <c r="E72" s="326"/>
      <c r="F72" s="332"/>
      <c r="G72" s="333"/>
      <c r="H72" s="327"/>
      <c r="I72" s="333"/>
      <c r="J72" s="1097"/>
      <c r="K72" s="1098"/>
      <c r="L72" s="1097"/>
      <c r="M72" s="334"/>
      <c r="N72" s="334"/>
      <c r="O72" s="334"/>
      <c r="P72" s="335"/>
      <c r="Q72" s="334"/>
      <c r="R72" s="336"/>
      <c r="S72" s="336"/>
      <c r="T72" s="336"/>
      <c r="U72" s="335"/>
      <c r="V72" s="328"/>
      <c r="W72" s="331"/>
      <c r="X72" s="331"/>
      <c r="Y72" s="331"/>
      <c r="Z72" s="330"/>
      <c r="AA72" s="328"/>
      <c r="AB72" s="331"/>
      <c r="AC72" s="331"/>
      <c r="AD72" s="331"/>
      <c r="AE72" s="330"/>
      <c r="AF72" s="329"/>
      <c r="AG72" s="331"/>
      <c r="AH72" s="331"/>
      <c r="AI72" s="1049"/>
      <c r="AJ72" s="1050"/>
      <c r="AK72" s="1388"/>
    </row>
    <row r="73" spans="2:37" s="325" customFormat="1" ht="15.75" customHeight="1">
      <c r="B73" s="1051">
        <v>28</v>
      </c>
      <c r="C73" s="332"/>
      <c r="D73" s="332"/>
      <c r="E73" s="326"/>
      <c r="F73" s="332"/>
      <c r="G73" s="333"/>
      <c r="H73" s="327"/>
      <c r="I73" s="333"/>
      <c r="J73" s="1097"/>
      <c r="K73" s="1098"/>
      <c r="L73" s="1097"/>
      <c r="M73" s="334"/>
      <c r="N73" s="334"/>
      <c r="O73" s="334"/>
      <c r="P73" s="335"/>
      <c r="Q73" s="334"/>
      <c r="R73" s="336"/>
      <c r="S73" s="336"/>
      <c r="T73" s="336"/>
      <c r="U73" s="335"/>
      <c r="V73" s="328"/>
      <c r="W73" s="331"/>
      <c r="X73" s="331"/>
      <c r="Y73" s="331"/>
      <c r="Z73" s="330"/>
      <c r="AA73" s="328"/>
      <c r="AB73" s="331"/>
      <c r="AC73" s="331"/>
      <c r="AD73" s="331"/>
      <c r="AE73" s="330"/>
      <c r="AF73" s="329"/>
      <c r="AG73" s="331"/>
      <c r="AH73" s="331"/>
      <c r="AI73" s="1049"/>
      <c r="AJ73" s="1050"/>
      <c r="AK73" s="1388"/>
    </row>
    <row r="74" spans="2:37" s="325" customFormat="1" ht="15.75" customHeight="1">
      <c r="B74" s="1051">
        <v>29</v>
      </c>
      <c r="C74" s="332"/>
      <c r="D74" s="332"/>
      <c r="E74" s="326"/>
      <c r="F74" s="332"/>
      <c r="G74" s="333"/>
      <c r="H74" s="327"/>
      <c r="I74" s="333"/>
      <c r="J74" s="1097"/>
      <c r="K74" s="1098"/>
      <c r="L74" s="1097"/>
      <c r="M74" s="334"/>
      <c r="N74" s="334"/>
      <c r="O74" s="334"/>
      <c r="P74" s="335"/>
      <c r="Q74" s="334"/>
      <c r="R74" s="336"/>
      <c r="S74" s="336"/>
      <c r="T74" s="336"/>
      <c r="U74" s="335"/>
      <c r="V74" s="328"/>
      <c r="W74" s="331"/>
      <c r="X74" s="331"/>
      <c r="Y74" s="331"/>
      <c r="Z74" s="330"/>
      <c r="AA74" s="328"/>
      <c r="AB74" s="331"/>
      <c r="AC74" s="331"/>
      <c r="AD74" s="331"/>
      <c r="AE74" s="330"/>
      <c r="AF74" s="329"/>
      <c r="AG74" s="331"/>
      <c r="AH74" s="331"/>
      <c r="AI74" s="1049"/>
      <c r="AJ74" s="1050"/>
      <c r="AK74" s="1388"/>
    </row>
    <row r="75" spans="2:37" s="325" customFormat="1" ht="15.75" customHeight="1">
      <c r="B75" s="1051">
        <v>30</v>
      </c>
      <c r="C75" s="332"/>
      <c r="D75" s="332"/>
      <c r="E75" s="326"/>
      <c r="F75" s="332"/>
      <c r="G75" s="333"/>
      <c r="H75" s="327"/>
      <c r="I75" s="333"/>
      <c r="J75" s="1097"/>
      <c r="K75" s="1098"/>
      <c r="L75" s="1097"/>
      <c r="M75" s="334"/>
      <c r="N75" s="334"/>
      <c r="O75" s="334"/>
      <c r="P75" s="335"/>
      <c r="Q75" s="334"/>
      <c r="R75" s="336"/>
      <c r="S75" s="336"/>
      <c r="T75" s="336"/>
      <c r="U75" s="335"/>
      <c r="V75" s="328"/>
      <c r="W75" s="331"/>
      <c r="X75" s="331"/>
      <c r="Y75" s="331"/>
      <c r="Z75" s="330"/>
      <c r="AA75" s="328"/>
      <c r="AB75" s="331"/>
      <c r="AC75" s="331"/>
      <c r="AD75" s="331"/>
      <c r="AE75" s="330"/>
      <c r="AF75" s="329"/>
      <c r="AG75" s="331"/>
      <c r="AH75" s="331"/>
      <c r="AI75" s="1049"/>
      <c r="AJ75" s="1050"/>
      <c r="AK75" s="1388"/>
    </row>
    <row r="76" spans="2:37" s="325" customFormat="1" ht="15.75" customHeight="1">
      <c r="B76" s="1051">
        <v>31</v>
      </c>
      <c r="C76" s="332"/>
      <c r="D76" s="332"/>
      <c r="E76" s="326"/>
      <c r="F76" s="332"/>
      <c r="G76" s="333"/>
      <c r="H76" s="327"/>
      <c r="I76" s="333"/>
      <c r="J76" s="1097"/>
      <c r="K76" s="1098"/>
      <c r="L76" s="1097"/>
      <c r="M76" s="334"/>
      <c r="N76" s="334"/>
      <c r="O76" s="334"/>
      <c r="P76" s="335"/>
      <c r="Q76" s="334"/>
      <c r="R76" s="336"/>
      <c r="S76" s="336"/>
      <c r="T76" s="336"/>
      <c r="U76" s="335"/>
      <c r="V76" s="328"/>
      <c r="W76" s="331"/>
      <c r="X76" s="331"/>
      <c r="Y76" s="331"/>
      <c r="Z76" s="330"/>
      <c r="AA76" s="328"/>
      <c r="AB76" s="331"/>
      <c r="AC76" s="331"/>
      <c r="AD76" s="331"/>
      <c r="AE76" s="330"/>
      <c r="AF76" s="329"/>
      <c r="AG76" s="331"/>
      <c r="AH76" s="331"/>
      <c r="AI76" s="1049"/>
      <c r="AJ76" s="1050"/>
      <c r="AK76" s="1388"/>
    </row>
    <row r="77" spans="2:37" s="325" customFormat="1" ht="15.75" customHeight="1">
      <c r="B77" s="1051">
        <v>32</v>
      </c>
      <c r="C77" s="332"/>
      <c r="D77" s="332"/>
      <c r="E77" s="326"/>
      <c r="F77" s="332"/>
      <c r="G77" s="333"/>
      <c r="H77" s="327"/>
      <c r="I77" s="333"/>
      <c r="J77" s="1097"/>
      <c r="K77" s="1098"/>
      <c r="L77" s="1097"/>
      <c r="M77" s="334"/>
      <c r="N77" s="334"/>
      <c r="O77" s="334"/>
      <c r="P77" s="335"/>
      <c r="Q77" s="334"/>
      <c r="R77" s="336"/>
      <c r="S77" s="336"/>
      <c r="T77" s="336"/>
      <c r="U77" s="335"/>
      <c r="V77" s="328"/>
      <c r="W77" s="331"/>
      <c r="X77" s="331"/>
      <c r="Y77" s="331"/>
      <c r="Z77" s="330"/>
      <c r="AA77" s="328"/>
      <c r="AB77" s="331"/>
      <c r="AC77" s="331"/>
      <c r="AD77" s="331"/>
      <c r="AE77" s="330"/>
      <c r="AF77" s="329"/>
      <c r="AG77" s="331"/>
      <c r="AH77" s="331"/>
      <c r="AI77" s="1049"/>
      <c r="AJ77" s="1050"/>
      <c r="AK77" s="1388"/>
    </row>
    <row r="78" spans="2:37" s="325" customFormat="1" ht="15.75" customHeight="1">
      <c r="B78" s="1051">
        <v>33</v>
      </c>
      <c r="C78" s="332"/>
      <c r="D78" s="332"/>
      <c r="E78" s="326"/>
      <c r="F78" s="332"/>
      <c r="G78" s="333"/>
      <c r="H78" s="327"/>
      <c r="I78" s="333"/>
      <c r="J78" s="1097"/>
      <c r="K78" s="1098"/>
      <c r="L78" s="1097"/>
      <c r="M78" s="334"/>
      <c r="N78" s="334"/>
      <c r="O78" s="334"/>
      <c r="P78" s="335"/>
      <c r="Q78" s="334"/>
      <c r="R78" s="336"/>
      <c r="S78" s="336"/>
      <c r="T78" s="336"/>
      <c r="U78" s="335"/>
      <c r="V78" s="328"/>
      <c r="W78" s="331"/>
      <c r="X78" s="331"/>
      <c r="Y78" s="331"/>
      <c r="Z78" s="330"/>
      <c r="AA78" s="328"/>
      <c r="AB78" s="331"/>
      <c r="AC78" s="331"/>
      <c r="AD78" s="331"/>
      <c r="AE78" s="330"/>
      <c r="AF78" s="329"/>
      <c r="AG78" s="331"/>
      <c r="AH78" s="331"/>
      <c r="AI78" s="1049"/>
      <c r="AJ78" s="1050"/>
      <c r="AK78" s="1388"/>
    </row>
    <row r="79" spans="2:37" s="325" customFormat="1" ht="15.75" customHeight="1">
      <c r="B79" s="1051">
        <v>34</v>
      </c>
      <c r="C79" s="332"/>
      <c r="D79" s="332"/>
      <c r="E79" s="326"/>
      <c r="F79" s="332"/>
      <c r="G79" s="333"/>
      <c r="H79" s="327"/>
      <c r="I79" s="333"/>
      <c r="J79" s="1097"/>
      <c r="K79" s="1098"/>
      <c r="L79" s="1097"/>
      <c r="M79" s="334"/>
      <c r="N79" s="334"/>
      <c r="O79" s="334"/>
      <c r="P79" s="335"/>
      <c r="Q79" s="334"/>
      <c r="R79" s="336"/>
      <c r="S79" s="336"/>
      <c r="T79" s="336"/>
      <c r="U79" s="335"/>
      <c r="V79" s="328"/>
      <c r="W79" s="331"/>
      <c r="X79" s="331"/>
      <c r="Y79" s="331"/>
      <c r="Z79" s="330"/>
      <c r="AA79" s="328"/>
      <c r="AB79" s="331"/>
      <c r="AC79" s="331"/>
      <c r="AD79" s="331"/>
      <c r="AE79" s="330"/>
      <c r="AF79" s="329"/>
      <c r="AG79" s="331"/>
      <c r="AH79" s="331"/>
      <c r="AI79" s="1049"/>
      <c r="AJ79" s="1050"/>
      <c r="AK79" s="1388"/>
    </row>
    <row r="80" spans="2:37" s="325" customFormat="1" ht="15.75" customHeight="1">
      <c r="B80" s="1051">
        <v>35</v>
      </c>
      <c r="C80" s="332"/>
      <c r="D80" s="332"/>
      <c r="E80" s="326"/>
      <c r="F80" s="332"/>
      <c r="G80" s="333"/>
      <c r="H80" s="327"/>
      <c r="I80" s="333"/>
      <c r="J80" s="1097"/>
      <c r="K80" s="1098"/>
      <c r="L80" s="1097"/>
      <c r="M80" s="334"/>
      <c r="N80" s="334"/>
      <c r="O80" s="334"/>
      <c r="P80" s="335"/>
      <c r="Q80" s="334"/>
      <c r="R80" s="336"/>
      <c r="S80" s="336"/>
      <c r="T80" s="336"/>
      <c r="U80" s="335"/>
      <c r="V80" s="328"/>
      <c r="W80" s="331"/>
      <c r="X80" s="331"/>
      <c r="Y80" s="331"/>
      <c r="Z80" s="330"/>
      <c r="AA80" s="328"/>
      <c r="AB80" s="331"/>
      <c r="AC80" s="331"/>
      <c r="AD80" s="331"/>
      <c r="AE80" s="330"/>
      <c r="AF80" s="329"/>
      <c r="AG80" s="331"/>
      <c r="AH80" s="331"/>
      <c r="AI80" s="1049"/>
      <c r="AJ80" s="1050"/>
      <c r="AK80" s="1388"/>
    </row>
    <row r="81" spans="2:37" s="325" customFormat="1" ht="15.75" customHeight="1">
      <c r="B81" s="1051">
        <v>36</v>
      </c>
      <c r="C81" s="332"/>
      <c r="D81" s="332"/>
      <c r="E81" s="326"/>
      <c r="F81" s="332"/>
      <c r="G81" s="333"/>
      <c r="H81" s="327"/>
      <c r="I81" s="333"/>
      <c r="J81" s="1097"/>
      <c r="K81" s="1098"/>
      <c r="L81" s="1097"/>
      <c r="M81" s="334"/>
      <c r="N81" s="334"/>
      <c r="O81" s="334"/>
      <c r="P81" s="335"/>
      <c r="Q81" s="334"/>
      <c r="R81" s="336"/>
      <c r="S81" s="336"/>
      <c r="T81" s="336"/>
      <c r="U81" s="335"/>
      <c r="V81" s="328"/>
      <c r="W81" s="331"/>
      <c r="X81" s="331"/>
      <c r="Y81" s="331"/>
      <c r="Z81" s="330"/>
      <c r="AA81" s="328"/>
      <c r="AB81" s="331"/>
      <c r="AC81" s="331"/>
      <c r="AD81" s="331"/>
      <c r="AE81" s="330"/>
      <c r="AF81" s="329"/>
      <c r="AG81" s="331"/>
      <c r="AH81" s="331"/>
      <c r="AI81" s="1049"/>
      <c r="AJ81" s="1050"/>
      <c r="AK81" s="1388"/>
    </row>
    <row r="82" spans="2:37" s="325" customFormat="1" ht="15.75" customHeight="1">
      <c r="B82" s="1051">
        <v>37</v>
      </c>
      <c r="C82" s="332"/>
      <c r="D82" s="332"/>
      <c r="E82" s="326"/>
      <c r="F82" s="332"/>
      <c r="G82" s="333"/>
      <c r="H82" s="327"/>
      <c r="I82" s="333"/>
      <c r="J82" s="1097"/>
      <c r="K82" s="1098"/>
      <c r="L82" s="1097"/>
      <c r="M82" s="334"/>
      <c r="N82" s="334"/>
      <c r="O82" s="334"/>
      <c r="P82" s="335"/>
      <c r="Q82" s="334"/>
      <c r="R82" s="336"/>
      <c r="S82" s="336"/>
      <c r="T82" s="336"/>
      <c r="U82" s="335"/>
      <c r="V82" s="328"/>
      <c r="W82" s="331"/>
      <c r="X82" s="331"/>
      <c r="Y82" s="331"/>
      <c r="Z82" s="330"/>
      <c r="AA82" s="328"/>
      <c r="AB82" s="331"/>
      <c r="AC82" s="331"/>
      <c r="AD82" s="331"/>
      <c r="AE82" s="330"/>
      <c r="AF82" s="329"/>
      <c r="AG82" s="331"/>
      <c r="AH82" s="331"/>
      <c r="AI82" s="1049"/>
      <c r="AJ82" s="1050"/>
      <c r="AK82" s="1388"/>
    </row>
    <row r="83" spans="2:37" s="325" customFormat="1" ht="15.75" customHeight="1">
      <c r="B83" s="1051">
        <v>38</v>
      </c>
      <c r="C83" s="332"/>
      <c r="D83" s="332"/>
      <c r="E83" s="326"/>
      <c r="F83" s="332"/>
      <c r="G83" s="333"/>
      <c r="H83" s="327"/>
      <c r="I83" s="333"/>
      <c r="J83" s="1097"/>
      <c r="K83" s="1098"/>
      <c r="L83" s="1097"/>
      <c r="M83" s="334"/>
      <c r="N83" s="334"/>
      <c r="O83" s="334"/>
      <c r="P83" s="335"/>
      <c r="Q83" s="334"/>
      <c r="R83" s="336"/>
      <c r="S83" s="336"/>
      <c r="T83" s="336"/>
      <c r="U83" s="335"/>
      <c r="V83" s="328"/>
      <c r="W83" s="331"/>
      <c r="X83" s="331"/>
      <c r="Y83" s="331"/>
      <c r="Z83" s="330"/>
      <c r="AA83" s="328"/>
      <c r="AB83" s="331"/>
      <c r="AC83" s="331"/>
      <c r="AD83" s="331"/>
      <c r="AE83" s="330"/>
      <c r="AF83" s="329"/>
      <c r="AG83" s="331"/>
      <c r="AH83" s="331"/>
      <c r="AI83" s="1049"/>
      <c r="AJ83" s="1050"/>
      <c r="AK83" s="1388"/>
    </row>
    <row r="84" spans="2:37" s="325" customFormat="1" ht="15.75" customHeight="1">
      <c r="B84" s="1051">
        <v>39</v>
      </c>
      <c r="C84" s="332"/>
      <c r="D84" s="332"/>
      <c r="E84" s="326"/>
      <c r="F84" s="332"/>
      <c r="G84" s="333"/>
      <c r="H84" s="327"/>
      <c r="I84" s="333"/>
      <c r="J84" s="1097"/>
      <c r="K84" s="1098"/>
      <c r="L84" s="1097"/>
      <c r="M84" s="334"/>
      <c r="N84" s="334"/>
      <c r="O84" s="334"/>
      <c r="P84" s="335"/>
      <c r="Q84" s="334"/>
      <c r="R84" s="336"/>
      <c r="S84" s="336"/>
      <c r="T84" s="336"/>
      <c r="U84" s="335"/>
      <c r="V84" s="328"/>
      <c r="W84" s="331"/>
      <c r="X84" s="331"/>
      <c r="Y84" s="331"/>
      <c r="Z84" s="330"/>
      <c r="AA84" s="328"/>
      <c r="AB84" s="331"/>
      <c r="AC84" s="331"/>
      <c r="AD84" s="331"/>
      <c r="AE84" s="330"/>
      <c r="AF84" s="329"/>
      <c r="AG84" s="331"/>
      <c r="AH84" s="331"/>
      <c r="AI84" s="1049"/>
      <c r="AJ84" s="1050"/>
      <c r="AK84" s="1388"/>
    </row>
    <row r="85" spans="2:37" s="325" customFormat="1" ht="15.75" customHeight="1">
      <c r="B85" s="1051">
        <v>40</v>
      </c>
      <c r="C85" s="332"/>
      <c r="D85" s="332"/>
      <c r="E85" s="326"/>
      <c r="F85" s="332"/>
      <c r="G85" s="333"/>
      <c r="H85" s="327"/>
      <c r="I85" s="333"/>
      <c r="J85" s="1097"/>
      <c r="K85" s="1098"/>
      <c r="L85" s="1097"/>
      <c r="M85" s="334"/>
      <c r="N85" s="334"/>
      <c r="O85" s="334"/>
      <c r="P85" s="335"/>
      <c r="Q85" s="334"/>
      <c r="R85" s="336"/>
      <c r="S85" s="336"/>
      <c r="T85" s="336"/>
      <c r="U85" s="335"/>
      <c r="V85" s="328"/>
      <c r="W85" s="331"/>
      <c r="X85" s="331"/>
      <c r="Y85" s="331"/>
      <c r="Z85" s="330"/>
      <c r="AA85" s="328"/>
      <c r="AB85" s="331"/>
      <c r="AC85" s="331"/>
      <c r="AD85" s="331"/>
      <c r="AE85" s="330"/>
      <c r="AF85" s="329"/>
      <c r="AG85" s="331"/>
      <c r="AH85" s="331"/>
      <c r="AI85" s="1049"/>
      <c r="AJ85" s="1050"/>
      <c r="AK85" s="1388"/>
    </row>
    <row r="86" spans="2:37" s="325" customFormat="1" ht="15.75" customHeight="1">
      <c r="B86" s="1051">
        <v>41</v>
      </c>
      <c r="C86" s="332"/>
      <c r="D86" s="332"/>
      <c r="E86" s="326"/>
      <c r="F86" s="332"/>
      <c r="G86" s="333"/>
      <c r="H86" s="327"/>
      <c r="I86" s="333"/>
      <c r="J86" s="1097"/>
      <c r="K86" s="1098"/>
      <c r="L86" s="1097"/>
      <c r="M86" s="334"/>
      <c r="N86" s="334"/>
      <c r="O86" s="334"/>
      <c r="P86" s="335"/>
      <c r="Q86" s="334"/>
      <c r="R86" s="336"/>
      <c r="S86" s="336"/>
      <c r="T86" s="336"/>
      <c r="U86" s="335"/>
      <c r="V86" s="328"/>
      <c r="W86" s="331"/>
      <c r="X86" s="331"/>
      <c r="Y86" s="331"/>
      <c r="Z86" s="330"/>
      <c r="AA86" s="328"/>
      <c r="AB86" s="331"/>
      <c r="AC86" s="331"/>
      <c r="AD86" s="331"/>
      <c r="AE86" s="330"/>
      <c r="AF86" s="329"/>
      <c r="AG86" s="331"/>
      <c r="AH86" s="331"/>
      <c r="AI86" s="1049"/>
      <c r="AJ86" s="1050"/>
      <c r="AK86" s="1388"/>
    </row>
    <row r="87" spans="2:37" s="325" customFormat="1" ht="15.75" customHeight="1">
      <c r="B87" s="1051">
        <v>42</v>
      </c>
      <c r="C87" s="332"/>
      <c r="D87" s="332"/>
      <c r="E87" s="326"/>
      <c r="F87" s="332"/>
      <c r="G87" s="333"/>
      <c r="H87" s="327"/>
      <c r="I87" s="333"/>
      <c r="J87" s="1097"/>
      <c r="K87" s="1098"/>
      <c r="L87" s="1097"/>
      <c r="M87" s="334"/>
      <c r="N87" s="334"/>
      <c r="O87" s="334"/>
      <c r="P87" s="335"/>
      <c r="Q87" s="334"/>
      <c r="R87" s="336"/>
      <c r="S87" s="336"/>
      <c r="T87" s="336"/>
      <c r="U87" s="335"/>
      <c r="V87" s="328"/>
      <c r="W87" s="331"/>
      <c r="X87" s="331"/>
      <c r="Y87" s="331"/>
      <c r="Z87" s="330"/>
      <c r="AA87" s="328"/>
      <c r="AB87" s="331"/>
      <c r="AC87" s="331"/>
      <c r="AD87" s="331"/>
      <c r="AE87" s="330"/>
      <c r="AF87" s="329"/>
      <c r="AG87" s="331"/>
      <c r="AH87" s="331"/>
      <c r="AI87" s="1049"/>
      <c r="AJ87" s="1050"/>
      <c r="AK87" s="1388"/>
    </row>
    <row r="88" spans="2:37" s="325" customFormat="1" ht="15.75" customHeight="1">
      <c r="B88" s="1051">
        <v>43</v>
      </c>
      <c r="C88" s="332"/>
      <c r="D88" s="332"/>
      <c r="E88" s="326"/>
      <c r="F88" s="332"/>
      <c r="G88" s="333"/>
      <c r="H88" s="327"/>
      <c r="I88" s="333"/>
      <c r="J88" s="1097"/>
      <c r="K88" s="1098"/>
      <c r="L88" s="1097"/>
      <c r="M88" s="334"/>
      <c r="N88" s="334"/>
      <c r="O88" s="334"/>
      <c r="P88" s="335"/>
      <c r="Q88" s="334"/>
      <c r="R88" s="336"/>
      <c r="S88" s="336"/>
      <c r="T88" s="336"/>
      <c r="U88" s="335"/>
      <c r="V88" s="328"/>
      <c r="W88" s="331"/>
      <c r="X88" s="331"/>
      <c r="Y88" s="331"/>
      <c r="Z88" s="330"/>
      <c r="AA88" s="328"/>
      <c r="AB88" s="331"/>
      <c r="AC88" s="331"/>
      <c r="AD88" s="331"/>
      <c r="AE88" s="330"/>
      <c r="AF88" s="329"/>
      <c r="AG88" s="331"/>
      <c r="AH88" s="331"/>
      <c r="AI88" s="1049"/>
      <c r="AJ88" s="1050"/>
      <c r="AK88" s="1388"/>
    </row>
    <row r="89" spans="2:37" s="325" customFormat="1" ht="15.75" customHeight="1">
      <c r="B89" s="1051">
        <v>44</v>
      </c>
      <c r="C89" s="332"/>
      <c r="D89" s="332"/>
      <c r="E89" s="326"/>
      <c r="F89" s="332"/>
      <c r="G89" s="333"/>
      <c r="H89" s="327"/>
      <c r="I89" s="333"/>
      <c r="J89" s="1097"/>
      <c r="K89" s="1098"/>
      <c r="L89" s="1097"/>
      <c r="M89" s="334"/>
      <c r="N89" s="334"/>
      <c r="O89" s="334"/>
      <c r="P89" s="335"/>
      <c r="Q89" s="334"/>
      <c r="R89" s="336"/>
      <c r="S89" s="336"/>
      <c r="T89" s="336"/>
      <c r="U89" s="335"/>
      <c r="V89" s="328"/>
      <c r="W89" s="331"/>
      <c r="X89" s="331"/>
      <c r="Y89" s="331"/>
      <c r="Z89" s="330"/>
      <c r="AA89" s="328"/>
      <c r="AB89" s="331"/>
      <c r="AC89" s="331"/>
      <c r="AD89" s="331"/>
      <c r="AE89" s="330"/>
      <c r="AF89" s="329"/>
      <c r="AG89" s="331"/>
      <c r="AH89" s="331"/>
      <c r="AI89" s="1049"/>
      <c r="AJ89" s="1050"/>
      <c r="AK89" s="1388"/>
    </row>
    <row r="90" spans="2:37" s="325" customFormat="1" ht="15.75" customHeight="1">
      <c r="B90" s="1051">
        <v>45</v>
      </c>
      <c r="C90" s="332"/>
      <c r="D90" s="332"/>
      <c r="E90" s="326"/>
      <c r="F90" s="332"/>
      <c r="G90" s="333"/>
      <c r="H90" s="327"/>
      <c r="I90" s="333"/>
      <c r="J90" s="1097"/>
      <c r="K90" s="1098"/>
      <c r="L90" s="1097"/>
      <c r="M90" s="334"/>
      <c r="N90" s="334"/>
      <c r="O90" s="334"/>
      <c r="P90" s="335"/>
      <c r="Q90" s="334"/>
      <c r="R90" s="336"/>
      <c r="S90" s="336"/>
      <c r="T90" s="336"/>
      <c r="U90" s="335"/>
      <c r="V90" s="328"/>
      <c r="W90" s="331"/>
      <c r="X90" s="331"/>
      <c r="Y90" s="331"/>
      <c r="Z90" s="330"/>
      <c r="AA90" s="328"/>
      <c r="AB90" s="331"/>
      <c r="AC90" s="331"/>
      <c r="AD90" s="331"/>
      <c r="AE90" s="330"/>
      <c r="AF90" s="329"/>
      <c r="AG90" s="331"/>
      <c r="AH90" s="331"/>
      <c r="AI90" s="1049"/>
      <c r="AJ90" s="1050"/>
      <c r="AK90" s="1388"/>
    </row>
    <row r="91" spans="2:37" s="325" customFormat="1" ht="15.75" customHeight="1">
      <c r="B91" s="1051">
        <v>46</v>
      </c>
      <c r="C91" s="332"/>
      <c r="D91" s="332"/>
      <c r="E91" s="326"/>
      <c r="F91" s="332"/>
      <c r="G91" s="333"/>
      <c r="H91" s="327"/>
      <c r="I91" s="333"/>
      <c r="J91" s="1097"/>
      <c r="K91" s="1098"/>
      <c r="L91" s="1097"/>
      <c r="M91" s="334"/>
      <c r="N91" s="334"/>
      <c r="O91" s="334"/>
      <c r="P91" s="335"/>
      <c r="Q91" s="334"/>
      <c r="R91" s="336"/>
      <c r="S91" s="336"/>
      <c r="T91" s="336"/>
      <c r="U91" s="335"/>
      <c r="V91" s="328"/>
      <c r="W91" s="331"/>
      <c r="X91" s="331"/>
      <c r="Y91" s="331"/>
      <c r="Z91" s="330"/>
      <c r="AA91" s="328"/>
      <c r="AB91" s="331"/>
      <c r="AC91" s="331"/>
      <c r="AD91" s="331"/>
      <c r="AE91" s="330"/>
      <c r="AF91" s="329"/>
      <c r="AG91" s="331"/>
      <c r="AH91" s="331"/>
      <c r="AI91" s="1049"/>
      <c r="AJ91" s="1050"/>
      <c r="AK91" s="1388"/>
    </row>
    <row r="92" spans="2:37" s="325" customFormat="1" ht="15.75" customHeight="1">
      <c r="B92" s="1051">
        <v>47</v>
      </c>
      <c r="C92" s="332"/>
      <c r="D92" s="332"/>
      <c r="E92" s="326"/>
      <c r="F92" s="332"/>
      <c r="G92" s="333"/>
      <c r="H92" s="327"/>
      <c r="I92" s="333"/>
      <c r="J92" s="1097"/>
      <c r="K92" s="1098"/>
      <c r="L92" s="1097"/>
      <c r="M92" s="334"/>
      <c r="N92" s="334"/>
      <c r="O92" s="334"/>
      <c r="P92" s="335"/>
      <c r="Q92" s="334"/>
      <c r="R92" s="336"/>
      <c r="S92" s="336"/>
      <c r="T92" s="336"/>
      <c r="U92" s="335"/>
      <c r="V92" s="328"/>
      <c r="W92" s="331"/>
      <c r="X92" s="331"/>
      <c r="Y92" s="331"/>
      <c r="Z92" s="330"/>
      <c r="AA92" s="328"/>
      <c r="AB92" s="331"/>
      <c r="AC92" s="331"/>
      <c r="AD92" s="331"/>
      <c r="AE92" s="330"/>
      <c r="AF92" s="329"/>
      <c r="AG92" s="331"/>
      <c r="AH92" s="331"/>
      <c r="AI92" s="1049"/>
      <c r="AJ92" s="1050"/>
      <c r="AK92" s="1388"/>
    </row>
    <row r="93" spans="2:37" s="325" customFormat="1" ht="15.75" customHeight="1">
      <c r="B93" s="1051">
        <v>48</v>
      </c>
      <c r="C93" s="332"/>
      <c r="D93" s="332"/>
      <c r="E93" s="326"/>
      <c r="F93" s="332"/>
      <c r="G93" s="333"/>
      <c r="H93" s="327"/>
      <c r="I93" s="333"/>
      <c r="J93" s="1097"/>
      <c r="K93" s="1098"/>
      <c r="L93" s="1097"/>
      <c r="M93" s="334"/>
      <c r="N93" s="334"/>
      <c r="O93" s="334"/>
      <c r="P93" s="335"/>
      <c r="Q93" s="334"/>
      <c r="R93" s="336"/>
      <c r="S93" s="336"/>
      <c r="T93" s="336"/>
      <c r="U93" s="335"/>
      <c r="V93" s="328"/>
      <c r="W93" s="331"/>
      <c r="X93" s="331"/>
      <c r="Y93" s="331"/>
      <c r="Z93" s="330"/>
      <c r="AA93" s="328"/>
      <c r="AB93" s="331"/>
      <c r="AC93" s="331"/>
      <c r="AD93" s="331"/>
      <c r="AE93" s="330"/>
      <c r="AF93" s="329"/>
      <c r="AG93" s="331"/>
      <c r="AH93" s="331"/>
      <c r="AI93" s="1049"/>
      <c r="AJ93" s="1050"/>
      <c r="AK93" s="1388"/>
    </row>
    <row r="94" spans="2:37" s="325" customFormat="1" ht="15.75" customHeight="1">
      <c r="B94" s="1051">
        <v>49</v>
      </c>
      <c r="C94" s="332"/>
      <c r="D94" s="332"/>
      <c r="E94" s="326"/>
      <c r="F94" s="332"/>
      <c r="G94" s="333"/>
      <c r="H94" s="327"/>
      <c r="I94" s="333"/>
      <c r="J94" s="1097"/>
      <c r="K94" s="1098"/>
      <c r="L94" s="1097"/>
      <c r="M94" s="334"/>
      <c r="N94" s="334"/>
      <c r="O94" s="334"/>
      <c r="P94" s="335"/>
      <c r="Q94" s="334"/>
      <c r="R94" s="336"/>
      <c r="S94" s="336"/>
      <c r="T94" s="336"/>
      <c r="U94" s="335"/>
      <c r="V94" s="328"/>
      <c r="W94" s="331"/>
      <c r="X94" s="331"/>
      <c r="Y94" s="331"/>
      <c r="Z94" s="330"/>
      <c r="AA94" s="328"/>
      <c r="AB94" s="331"/>
      <c r="AC94" s="331"/>
      <c r="AD94" s="331"/>
      <c r="AE94" s="330"/>
      <c r="AF94" s="329"/>
      <c r="AG94" s="331"/>
      <c r="AH94" s="331"/>
      <c r="AI94" s="1049"/>
      <c r="AJ94" s="1050"/>
      <c r="AK94" s="1388"/>
    </row>
    <row r="95" spans="2:37" s="325" customFormat="1" ht="15.75" customHeight="1">
      <c r="B95" s="1051">
        <v>50</v>
      </c>
      <c r="C95" s="332"/>
      <c r="D95" s="332"/>
      <c r="E95" s="326"/>
      <c r="F95" s="332"/>
      <c r="G95" s="333"/>
      <c r="H95" s="327"/>
      <c r="I95" s="333"/>
      <c r="J95" s="1097"/>
      <c r="K95" s="1098"/>
      <c r="L95" s="1097"/>
      <c r="M95" s="334"/>
      <c r="N95" s="334"/>
      <c r="O95" s="334"/>
      <c r="P95" s="335"/>
      <c r="Q95" s="334"/>
      <c r="R95" s="336"/>
      <c r="S95" s="336"/>
      <c r="T95" s="336"/>
      <c r="U95" s="335"/>
      <c r="V95" s="328"/>
      <c r="W95" s="331"/>
      <c r="X95" s="331"/>
      <c r="Y95" s="331"/>
      <c r="Z95" s="330"/>
      <c r="AA95" s="328"/>
      <c r="AB95" s="331"/>
      <c r="AC95" s="331"/>
      <c r="AD95" s="331"/>
      <c r="AE95" s="330"/>
      <c r="AF95" s="329"/>
      <c r="AG95" s="331"/>
      <c r="AH95" s="331"/>
      <c r="AI95" s="1049"/>
      <c r="AJ95" s="1050"/>
      <c r="AK95" s="1388"/>
    </row>
    <row r="96" spans="2:37" s="325" customFormat="1" ht="15.75" customHeight="1">
      <c r="B96" s="1051">
        <v>51</v>
      </c>
      <c r="C96" s="332"/>
      <c r="D96" s="332"/>
      <c r="E96" s="326"/>
      <c r="F96" s="332"/>
      <c r="G96" s="333"/>
      <c r="H96" s="327"/>
      <c r="I96" s="333"/>
      <c r="J96" s="1097"/>
      <c r="K96" s="1098"/>
      <c r="L96" s="1097"/>
      <c r="M96" s="334"/>
      <c r="N96" s="334"/>
      <c r="O96" s="334"/>
      <c r="P96" s="335"/>
      <c r="Q96" s="334"/>
      <c r="R96" s="336"/>
      <c r="S96" s="336"/>
      <c r="T96" s="336"/>
      <c r="U96" s="335"/>
      <c r="V96" s="328"/>
      <c r="W96" s="331"/>
      <c r="X96" s="331"/>
      <c r="Y96" s="331"/>
      <c r="Z96" s="330"/>
      <c r="AA96" s="328"/>
      <c r="AB96" s="331"/>
      <c r="AC96" s="331"/>
      <c r="AD96" s="331"/>
      <c r="AE96" s="330"/>
      <c r="AF96" s="329"/>
      <c r="AG96" s="331"/>
      <c r="AH96" s="331"/>
      <c r="AI96" s="1049"/>
      <c r="AJ96" s="1050"/>
      <c r="AK96" s="1388"/>
    </row>
    <row r="97" spans="2:37" s="325" customFormat="1" ht="15.75" customHeight="1" thickBot="1">
      <c r="B97" s="1051">
        <v>52</v>
      </c>
      <c r="C97" s="332"/>
      <c r="D97" s="332"/>
      <c r="E97" s="332"/>
      <c r="F97" s="332"/>
      <c r="G97" s="333"/>
      <c r="H97" s="333"/>
      <c r="I97" s="333"/>
      <c r="J97" s="1097"/>
      <c r="K97" s="1098"/>
      <c r="L97" s="1097"/>
      <c r="M97" s="334"/>
      <c r="N97" s="334"/>
      <c r="O97" s="334"/>
      <c r="P97" s="335"/>
      <c r="Q97" s="334"/>
      <c r="R97" s="336"/>
      <c r="S97" s="336"/>
      <c r="T97" s="336"/>
      <c r="U97" s="335"/>
      <c r="V97" s="1052"/>
      <c r="W97" s="1053"/>
      <c r="X97" s="1053"/>
      <c r="Y97" s="1053"/>
      <c r="Z97" s="1054"/>
      <c r="AA97" s="1052"/>
      <c r="AB97" s="1053"/>
      <c r="AC97" s="1053"/>
      <c r="AD97" s="1053"/>
      <c r="AE97" s="1054"/>
      <c r="AF97" s="329"/>
      <c r="AG97" s="331"/>
      <c r="AH97" s="331"/>
      <c r="AI97" s="1049"/>
      <c r="AJ97" s="1050"/>
      <c r="AK97" s="1388"/>
    </row>
    <row r="98" spans="2:37" s="325" customFormat="1" ht="15.75" customHeight="1">
      <c r="B98" s="1051">
        <v>53</v>
      </c>
      <c r="C98" s="332"/>
      <c r="D98" s="332"/>
      <c r="E98" s="326"/>
      <c r="F98" s="332"/>
      <c r="G98" s="333"/>
      <c r="H98" s="327"/>
      <c r="I98" s="333"/>
      <c r="J98" s="1097"/>
      <c r="K98" s="1098"/>
      <c r="L98" s="1097"/>
      <c r="M98" s="334"/>
      <c r="N98" s="334"/>
      <c r="O98" s="334"/>
      <c r="P98" s="335"/>
      <c r="Q98" s="334"/>
      <c r="R98" s="336"/>
      <c r="S98" s="336"/>
      <c r="T98" s="336"/>
      <c r="U98" s="335"/>
      <c r="V98" s="328"/>
      <c r="W98" s="331"/>
      <c r="X98" s="331"/>
      <c r="Y98" s="331"/>
      <c r="Z98" s="330"/>
      <c r="AA98" s="328"/>
      <c r="AB98" s="331"/>
      <c r="AC98" s="331"/>
      <c r="AD98" s="331"/>
      <c r="AE98" s="330"/>
      <c r="AF98" s="329"/>
      <c r="AG98" s="331"/>
      <c r="AH98" s="331"/>
      <c r="AI98" s="1049"/>
      <c r="AJ98" s="1050"/>
      <c r="AK98" s="1388"/>
    </row>
    <row r="99" spans="2:37" s="325" customFormat="1" ht="15.75" customHeight="1">
      <c r="B99" s="1051">
        <v>54</v>
      </c>
      <c r="C99" s="332"/>
      <c r="D99" s="332"/>
      <c r="E99" s="326"/>
      <c r="F99" s="332"/>
      <c r="G99" s="333"/>
      <c r="H99" s="327"/>
      <c r="I99" s="333"/>
      <c r="J99" s="1097"/>
      <c r="K99" s="1098"/>
      <c r="L99" s="1097"/>
      <c r="M99" s="334"/>
      <c r="N99" s="334"/>
      <c r="O99" s="334"/>
      <c r="P99" s="335"/>
      <c r="Q99" s="334"/>
      <c r="R99" s="336"/>
      <c r="S99" s="336"/>
      <c r="T99" s="336"/>
      <c r="U99" s="335"/>
      <c r="V99" s="328"/>
      <c r="W99" s="331"/>
      <c r="X99" s="331"/>
      <c r="Y99" s="331"/>
      <c r="Z99" s="330"/>
      <c r="AA99" s="328"/>
      <c r="AB99" s="331"/>
      <c r="AC99" s="331"/>
      <c r="AD99" s="331"/>
      <c r="AE99" s="330"/>
      <c r="AF99" s="329"/>
      <c r="AG99" s="331"/>
      <c r="AH99" s="331"/>
      <c r="AI99" s="1049"/>
      <c r="AJ99" s="1050"/>
      <c r="AK99" s="1388"/>
    </row>
    <row r="100" spans="2:37" s="325" customFormat="1" ht="15.75" customHeight="1">
      <c r="B100" s="1051">
        <v>55</v>
      </c>
      <c r="C100" s="332"/>
      <c r="D100" s="332"/>
      <c r="E100" s="326"/>
      <c r="F100" s="332"/>
      <c r="G100" s="333"/>
      <c r="H100" s="327"/>
      <c r="I100" s="333"/>
      <c r="J100" s="1097"/>
      <c r="K100" s="1098"/>
      <c r="L100" s="1097"/>
      <c r="M100" s="334"/>
      <c r="N100" s="334"/>
      <c r="O100" s="334"/>
      <c r="P100" s="335"/>
      <c r="Q100" s="334"/>
      <c r="R100" s="336"/>
      <c r="S100" s="336"/>
      <c r="T100" s="336"/>
      <c r="U100" s="335"/>
      <c r="V100" s="328"/>
      <c r="W100" s="331"/>
      <c r="X100" s="331"/>
      <c r="Y100" s="331"/>
      <c r="Z100" s="330"/>
      <c r="AA100" s="328"/>
      <c r="AB100" s="331"/>
      <c r="AC100" s="331"/>
      <c r="AD100" s="331"/>
      <c r="AE100" s="330"/>
      <c r="AF100" s="329"/>
      <c r="AG100" s="331"/>
      <c r="AH100" s="331"/>
      <c r="AI100" s="1049"/>
      <c r="AJ100" s="1050"/>
      <c r="AK100" s="1388"/>
    </row>
    <row r="101" spans="2:37" s="325" customFormat="1" ht="15.75" customHeight="1">
      <c r="B101" s="1051">
        <v>56</v>
      </c>
      <c r="C101" s="332"/>
      <c r="D101" s="332"/>
      <c r="E101" s="326"/>
      <c r="F101" s="332"/>
      <c r="G101" s="333"/>
      <c r="H101" s="327"/>
      <c r="I101" s="333"/>
      <c r="J101" s="1097"/>
      <c r="K101" s="1098"/>
      <c r="L101" s="1097"/>
      <c r="M101" s="334"/>
      <c r="N101" s="334"/>
      <c r="O101" s="334"/>
      <c r="P101" s="335"/>
      <c r="Q101" s="334"/>
      <c r="R101" s="336"/>
      <c r="S101" s="336"/>
      <c r="T101" s="336"/>
      <c r="U101" s="335"/>
      <c r="V101" s="328"/>
      <c r="W101" s="331"/>
      <c r="X101" s="331"/>
      <c r="Y101" s="331"/>
      <c r="Z101" s="330"/>
      <c r="AA101" s="328"/>
      <c r="AB101" s="331"/>
      <c r="AC101" s="331"/>
      <c r="AD101" s="331"/>
      <c r="AE101" s="330"/>
      <c r="AF101" s="329"/>
      <c r="AG101" s="331"/>
      <c r="AH101" s="331"/>
      <c r="AI101" s="1049"/>
      <c r="AJ101" s="1050"/>
      <c r="AK101" s="1388"/>
    </row>
    <row r="102" spans="2:37" s="325" customFormat="1" ht="15.75" customHeight="1">
      <c r="B102" s="1051">
        <v>57</v>
      </c>
      <c r="C102" s="332"/>
      <c r="D102" s="332"/>
      <c r="E102" s="326"/>
      <c r="F102" s="332"/>
      <c r="G102" s="333"/>
      <c r="H102" s="327"/>
      <c r="I102" s="333"/>
      <c r="J102" s="1097"/>
      <c r="K102" s="1098"/>
      <c r="L102" s="1097"/>
      <c r="M102" s="334"/>
      <c r="N102" s="334"/>
      <c r="O102" s="334"/>
      <c r="P102" s="335"/>
      <c r="Q102" s="334"/>
      <c r="R102" s="336"/>
      <c r="S102" s="336"/>
      <c r="T102" s="336"/>
      <c r="U102" s="335"/>
      <c r="V102" s="328"/>
      <c r="W102" s="331"/>
      <c r="X102" s="331"/>
      <c r="Y102" s="331"/>
      <c r="Z102" s="330"/>
      <c r="AA102" s="328"/>
      <c r="AB102" s="331"/>
      <c r="AC102" s="331"/>
      <c r="AD102" s="331"/>
      <c r="AE102" s="330"/>
      <c r="AF102" s="329"/>
      <c r="AG102" s="331"/>
      <c r="AH102" s="331"/>
      <c r="AI102" s="1049"/>
      <c r="AJ102" s="1050"/>
      <c r="AK102" s="1388"/>
    </row>
    <row r="103" spans="2:37" s="325" customFormat="1" ht="15.75" customHeight="1">
      <c r="B103" s="1051">
        <v>58</v>
      </c>
      <c r="C103" s="332"/>
      <c r="D103" s="332"/>
      <c r="E103" s="326"/>
      <c r="F103" s="332"/>
      <c r="G103" s="333"/>
      <c r="H103" s="327"/>
      <c r="I103" s="333"/>
      <c r="J103" s="1097"/>
      <c r="K103" s="1098"/>
      <c r="L103" s="1097"/>
      <c r="M103" s="334"/>
      <c r="N103" s="334"/>
      <c r="O103" s="334"/>
      <c r="P103" s="335"/>
      <c r="Q103" s="334"/>
      <c r="R103" s="336"/>
      <c r="S103" s="336"/>
      <c r="T103" s="336"/>
      <c r="U103" s="335"/>
      <c r="V103" s="328"/>
      <c r="W103" s="331"/>
      <c r="X103" s="331"/>
      <c r="Y103" s="331"/>
      <c r="Z103" s="330"/>
      <c r="AA103" s="328"/>
      <c r="AB103" s="331"/>
      <c r="AC103" s="331"/>
      <c r="AD103" s="331"/>
      <c r="AE103" s="330"/>
      <c r="AF103" s="329"/>
      <c r="AG103" s="331"/>
      <c r="AH103" s="331"/>
      <c r="AI103" s="1049"/>
      <c r="AJ103" s="1050"/>
      <c r="AK103" s="1388"/>
    </row>
    <row r="104" spans="2:37" s="325" customFormat="1" ht="15.75" customHeight="1">
      <c r="B104" s="1051">
        <v>59</v>
      </c>
      <c r="C104" s="332"/>
      <c r="D104" s="332"/>
      <c r="E104" s="326"/>
      <c r="F104" s="332"/>
      <c r="G104" s="333"/>
      <c r="H104" s="327"/>
      <c r="I104" s="333"/>
      <c r="J104" s="1097"/>
      <c r="K104" s="1098"/>
      <c r="L104" s="1097"/>
      <c r="M104" s="334"/>
      <c r="N104" s="334"/>
      <c r="O104" s="334"/>
      <c r="P104" s="335"/>
      <c r="Q104" s="334"/>
      <c r="R104" s="336"/>
      <c r="S104" s="336"/>
      <c r="T104" s="336"/>
      <c r="U104" s="335"/>
      <c r="V104" s="328"/>
      <c r="W104" s="331"/>
      <c r="X104" s="331"/>
      <c r="Y104" s="331"/>
      <c r="Z104" s="330"/>
      <c r="AA104" s="328"/>
      <c r="AB104" s="331"/>
      <c r="AC104" s="331"/>
      <c r="AD104" s="331"/>
      <c r="AE104" s="330"/>
      <c r="AF104" s="329"/>
      <c r="AG104" s="331"/>
      <c r="AH104" s="331"/>
      <c r="AI104" s="1049"/>
      <c r="AJ104" s="1050"/>
      <c r="AK104" s="1388"/>
    </row>
    <row r="105" spans="2:37" s="325" customFormat="1" ht="15.75" customHeight="1">
      <c r="B105" s="1051">
        <v>60</v>
      </c>
      <c r="C105" s="332"/>
      <c r="D105" s="332"/>
      <c r="E105" s="326"/>
      <c r="F105" s="332"/>
      <c r="G105" s="333"/>
      <c r="H105" s="327"/>
      <c r="I105" s="333"/>
      <c r="J105" s="1097"/>
      <c r="K105" s="1098"/>
      <c r="L105" s="1097"/>
      <c r="M105" s="334"/>
      <c r="N105" s="334"/>
      <c r="O105" s="334"/>
      <c r="P105" s="335"/>
      <c r="Q105" s="334"/>
      <c r="R105" s="336"/>
      <c r="S105" s="336"/>
      <c r="T105" s="336"/>
      <c r="U105" s="335"/>
      <c r="V105" s="328"/>
      <c r="W105" s="331"/>
      <c r="X105" s="331"/>
      <c r="Y105" s="331"/>
      <c r="Z105" s="330"/>
      <c r="AA105" s="328"/>
      <c r="AB105" s="331"/>
      <c r="AC105" s="331"/>
      <c r="AD105" s="331"/>
      <c r="AE105" s="330"/>
      <c r="AF105" s="329"/>
      <c r="AG105" s="331"/>
      <c r="AH105" s="331"/>
      <c r="AI105" s="1049"/>
      <c r="AJ105" s="1050"/>
      <c r="AK105" s="1388"/>
    </row>
    <row r="106" spans="2:37" s="325" customFormat="1" ht="15.75" customHeight="1">
      <c r="B106" s="1051">
        <v>61</v>
      </c>
      <c r="C106" s="332"/>
      <c r="D106" s="332"/>
      <c r="E106" s="326"/>
      <c r="F106" s="332"/>
      <c r="G106" s="333"/>
      <c r="H106" s="327"/>
      <c r="I106" s="333"/>
      <c r="J106" s="1097"/>
      <c r="K106" s="1098"/>
      <c r="L106" s="1097"/>
      <c r="M106" s="334"/>
      <c r="N106" s="334"/>
      <c r="O106" s="334"/>
      <c r="P106" s="335"/>
      <c r="Q106" s="334"/>
      <c r="R106" s="336"/>
      <c r="S106" s="336"/>
      <c r="T106" s="336"/>
      <c r="U106" s="335"/>
      <c r="V106" s="328"/>
      <c r="W106" s="331"/>
      <c r="X106" s="331"/>
      <c r="Y106" s="331"/>
      <c r="Z106" s="330"/>
      <c r="AA106" s="328"/>
      <c r="AB106" s="331"/>
      <c r="AC106" s="331"/>
      <c r="AD106" s="331"/>
      <c r="AE106" s="330"/>
      <c r="AF106" s="329"/>
      <c r="AG106" s="331"/>
      <c r="AH106" s="331"/>
      <c r="AI106" s="1049"/>
      <c r="AJ106" s="1050"/>
      <c r="AK106" s="1388"/>
    </row>
    <row r="107" spans="2:37" s="325" customFormat="1" ht="15.75" customHeight="1">
      <c r="B107" s="1051">
        <v>62</v>
      </c>
      <c r="C107" s="332"/>
      <c r="D107" s="332"/>
      <c r="E107" s="326"/>
      <c r="F107" s="332"/>
      <c r="G107" s="333"/>
      <c r="H107" s="327"/>
      <c r="I107" s="333"/>
      <c r="J107" s="1097"/>
      <c r="K107" s="1098"/>
      <c r="L107" s="1097"/>
      <c r="M107" s="334"/>
      <c r="N107" s="334"/>
      <c r="O107" s="334"/>
      <c r="P107" s="335"/>
      <c r="Q107" s="334"/>
      <c r="R107" s="336"/>
      <c r="S107" s="336"/>
      <c r="T107" s="336"/>
      <c r="U107" s="335"/>
      <c r="V107" s="328"/>
      <c r="W107" s="331"/>
      <c r="X107" s="331"/>
      <c r="Y107" s="331"/>
      <c r="Z107" s="330"/>
      <c r="AA107" s="328"/>
      <c r="AB107" s="331"/>
      <c r="AC107" s="331"/>
      <c r="AD107" s="331"/>
      <c r="AE107" s="330"/>
      <c r="AF107" s="329"/>
      <c r="AG107" s="331"/>
      <c r="AH107" s="331"/>
      <c r="AI107" s="1049"/>
      <c r="AJ107" s="1050"/>
      <c r="AK107" s="1388"/>
    </row>
    <row r="108" spans="2:37" s="325" customFormat="1" ht="15.75" customHeight="1">
      <c r="B108" s="1051">
        <v>63</v>
      </c>
      <c r="C108" s="332"/>
      <c r="D108" s="332"/>
      <c r="E108" s="326"/>
      <c r="F108" s="332"/>
      <c r="G108" s="333"/>
      <c r="H108" s="327"/>
      <c r="I108" s="333"/>
      <c r="J108" s="1097"/>
      <c r="K108" s="1098"/>
      <c r="L108" s="1097"/>
      <c r="M108" s="334"/>
      <c r="N108" s="334"/>
      <c r="O108" s="334"/>
      <c r="P108" s="335"/>
      <c r="Q108" s="334"/>
      <c r="R108" s="336"/>
      <c r="S108" s="336"/>
      <c r="T108" s="336"/>
      <c r="U108" s="335"/>
      <c r="V108" s="328"/>
      <c r="W108" s="331"/>
      <c r="X108" s="331"/>
      <c r="Y108" s="331"/>
      <c r="Z108" s="330"/>
      <c r="AA108" s="328"/>
      <c r="AB108" s="331"/>
      <c r="AC108" s="331"/>
      <c r="AD108" s="331"/>
      <c r="AE108" s="330"/>
      <c r="AF108" s="329"/>
      <c r="AG108" s="331"/>
      <c r="AH108" s="331"/>
      <c r="AI108" s="1049"/>
      <c r="AJ108" s="1050"/>
      <c r="AK108" s="1388"/>
    </row>
    <row r="109" spans="2:37" ht="15.75" customHeight="1">
      <c r="B109" s="1051">
        <v>64</v>
      </c>
      <c r="C109" s="332"/>
      <c r="D109" s="332"/>
      <c r="E109" s="326"/>
      <c r="F109" s="332"/>
      <c r="G109" s="333"/>
      <c r="H109" s="327"/>
      <c r="I109" s="333"/>
      <c r="J109" s="1097"/>
      <c r="K109" s="1098"/>
      <c r="L109" s="1097"/>
      <c r="M109" s="334"/>
      <c r="N109" s="334"/>
      <c r="O109" s="334"/>
      <c r="P109" s="335"/>
      <c r="Q109" s="334"/>
      <c r="R109" s="336"/>
      <c r="S109" s="336"/>
      <c r="T109" s="336"/>
      <c r="U109" s="335"/>
      <c r="V109" s="328"/>
      <c r="W109" s="331"/>
      <c r="X109" s="331"/>
      <c r="Y109" s="331"/>
      <c r="Z109" s="330"/>
      <c r="AA109" s="328"/>
      <c r="AB109" s="331"/>
      <c r="AC109" s="331"/>
      <c r="AD109" s="331"/>
      <c r="AE109" s="330"/>
      <c r="AF109" s="329"/>
      <c r="AG109" s="331"/>
      <c r="AH109" s="331"/>
      <c r="AI109" s="1049"/>
      <c r="AJ109" s="1050"/>
      <c r="AK109" s="1388"/>
    </row>
    <row r="110" spans="2:37" ht="15.75" customHeight="1">
      <c r="B110" s="1051">
        <v>65</v>
      </c>
      <c r="C110" s="332"/>
      <c r="D110" s="332"/>
      <c r="E110" s="326"/>
      <c r="F110" s="332"/>
      <c r="G110" s="333"/>
      <c r="H110" s="327"/>
      <c r="I110" s="333"/>
      <c r="J110" s="1097"/>
      <c r="K110" s="1098"/>
      <c r="L110" s="1097"/>
      <c r="M110" s="334"/>
      <c r="N110" s="334"/>
      <c r="O110" s="334"/>
      <c r="P110" s="335"/>
      <c r="Q110" s="334"/>
      <c r="R110" s="336"/>
      <c r="S110" s="336"/>
      <c r="T110" s="336"/>
      <c r="U110" s="335"/>
      <c r="V110" s="328"/>
      <c r="W110" s="331"/>
      <c r="X110" s="331"/>
      <c r="Y110" s="331"/>
      <c r="Z110" s="330"/>
      <c r="AA110" s="328"/>
      <c r="AB110" s="331"/>
      <c r="AC110" s="331"/>
      <c r="AD110" s="331"/>
      <c r="AE110" s="330"/>
      <c r="AF110" s="329"/>
      <c r="AG110" s="331"/>
      <c r="AH110" s="331"/>
      <c r="AI110" s="1049"/>
      <c r="AJ110" s="1050"/>
      <c r="AK110" s="1388"/>
    </row>
    <row r="111" spans="2:37" ht="15.75" customHeight="1">
      <c r="B111" s="1051">
        <v>66</v>
      </c>
      <c r="C111" s="332"/>
      <c r="D111" s="332"/>
      <c r="E111" s="326"/>
      <c r="F111" s="332"/>
      <c r="G111" s="333"/>
      <c r="H111" s="327"/>
      <c r="I111" s="333"/>
      <c r="J111" s="1097"/>
      <c r="K111" s="1098"/>
      <c r="L111" s="1097"/>
      <c r="M111" s="334"/>
      <c r="N111" s="334"/>
      <c r="O111" s="334"/>
      <c r="P111" s="335"/>
      <c r="Q111" s="334"/>
      <c r="R111" s="336"/>
      <c r="S111" s="336"/>
      <c r="T111" s="336"/>
      <c r="U111" s="335"/>
      <c r="V111" s="328"/>
      <c r="W111" s="331"/>
      <c r="X111" s="331"/>
      <c r="Y111" s="331"/>
      <c r="Z111" s="330"/>
      <c r="AA111" s="328"/>
      <c r="AB111" s="331"/>
      <c r="AC111" s="331"/>
      <c r="AD111" s="331"/>
      <c r="AE111" s="330"/>
      <c r="AF111" s="329"/>
      <c r="AG111" s="331"/>
      <c r="AH111" s="331"/>
      <c r="AI111" s="1049"/>
      <c r="AJ111" s="1050"/>
      <c r="AK111" s="1388"/>
    </row>
    <row r="112" spans="2:37" ht="15.75" customHeight="1">
      <c r="B112" s="1051">
        <v>67</v>
      </c>
      <c r="C112" s="332"/>
      <c r="D112" s="332"/>
      <c r="E112" s="326"/>
      <c r="F112" s="332"/>
      <c r="G112" s="333"/>
      <c r="H112" s="327"/>
      <c r="I112" s="333"/>
      <c r="J112" s="1097"/>
      <c r="K112" s="1098"/>
      <c r="L112" s="1097"/>
      <c r="M112" s="334"/>
      <c r="N112" s="334"/>
      <c r="O112" s="334"/>
      <c r="P112" s="335"/>
      <c r="Q112" s="334"/>
      <c r="R112" s="336"/>
      <c r="S112" s="336"/>
      <c r="T112" s="336"/>
      <c r="U112" s="335"/>
      <c r="V112" s="328"/>
      <c r="W112" s="331"/>
      <c r="X112" s="331"/>
      <c r="Y112" s="331"/>
      <c r="Z112" s="330"/>
      <c r="AA112" s="328"/>
      <c r="AB112" s="331"/>
      <c r="AC112" s="331"/>
      <c r="AD112" s="331"/>
      <c r="AE112" s="330"/>
      <c r="AF112" s="329"/>
      <c r="AG112" s="331"/>
      <c r="AH112" s="331"/>
      <c r="AI112" s="1049"/>
      <c r="AJ112" s="1050"/>
      <c r="AK112" s="1388"/>
    </row>
    <row r="113" spans="2:37" ht="15.75" customHeight="1">
      <c r="B113" s="1051">
        <v>68</v>
      </c>
      <c r="C113" s="332"/>
      <c r="D113" s="332"/>
      <c r="E113" s="326"/>
      <c r="F113" s="332"/>
      <c r="G113" s="333"/>
      <c r="H113" s="327"/>
      <c r="I113" s="333"/>
      <c r="J113" s="1097"/>
      <c r="K113" s="1098"/>
      <c r="L113" s="1097"/>
      <c r="M113" s="334"/>
      <c r="N113" s="334"/>
      <c r="O113" s="334"/>
      <c r="P113" s="335"/>
      <c r="Q113" s="334"/>
      <c r="R113" s="336"/>
      <c r="S113" s="336"/>
      <c r="T113" s="336"/>
      <c r="U113" s="335"/>
      <c r="V113" s="328"/>
      <c r="W113" s="331"/>
      <c r="X113" s="331"/>
      <c r="Y113" s="331"/>
      <c r="Z113" s="330"/>
      <c r="AA113" s="328"/>
      <c r="AB113" s="331"/>
      <c r="AC113" s="331"/>
      <c r="AD113" s="331"/>
      <c r="AE113" s="330"/>
      <c r="AF113" s="329"/>
      <c r="AG113" s="331"/>
      <c r="AH113" s="331"/>
      <c r="AI113" s="1049"/>
      <c r="AJ113" s="1050"/>
      <c r="AK113" s="1388"/>
    </row>
    <row r="114" spans="2:37" ht="15.75" customHeight="1">
      <c r="B114" s="1051">
        <v>69</v>
      </c>
      <c r="C114" s="332"/>
      <c r="D114" s="332"/>
      <c r="E114" s="326"/>
      <c r="F114" s="332"/>
      <c r="G114" s="333"/>
      <c r="H114" s="327"/>
      <c r="I114" s="333"/>
      <c r="J114" s="1097"/>
      <c r="K114" s="1098"/>
      <c r="L114" s="1097"/>
      <c r="M114" s="334"/>
      <c r="N114" s="334"/>
      <c r="O114" s="334"/>
      <c r="P114" s="335"/>
      <c r="Q114" s="334"/>
      <c r="R114" s="336"/>
      <c r="S114" s="336"/>
      <c r="T114" s="336"/>
      <c r="U114" s="335"/>
      <c r="V114" s="328"/>
      <c r="W114" s="331"/>
      <c r="X114" s="331"/>
      <c r="Y114" s="331"/>
      <c r="Z114" s="330"/>
      <c r="AA114" s="328"/>
      <c r="AB114" s="331"/>
      <c r="AC114" s="331"/>
      <c r="AD114" s="331"/>
      <c r="AE114" s="330"/>
      <c r="AF114" s="329"/>
      <c r="AG114" s="331"/>
      <c r="AH114" s="331"/>
      <c r="AI114" s="1049"/>
      <c r="AJ114" s="1050"/>
      <c r="AK114" s="1388"/>
    </row>
    <row r="115" spans="2:37" ht="15.75" customHeight="1">
      <c r="B115" s="1051">
        <v>70</v>
      </c>
      <c r="C115" s="332"/>
      <c r="D115" s="332"/>
      <c r="E115" s="326"/>
      <c r="F115" s="332"/>
      <c r="G115" s="333"/>
      <c r="H115" s="327"/>
      <c r="I115" s="333"/>
      <c r="J115" s="1097"/>
      <c r="K115" s="1098"/>
      <c r="L115" s="1097"/>
      <c r="M115" s="334"/>
      <c r="N115" s="334"/>
      <c r="O115" s="334"/>
      <c r="P115" s="335"/>
      <c r="Q115" s="334"/>
      <c r="R115" s="336"/>
      <c r="S115" s="336"/>
      <c r="T115" s="336"/>
      <c r="U115" s="335"/>
      <c r="V115" s="328"/>
      <c r="W115" s="331"/>
      <c r="X115" s="331"/>
      <c r="Y115" s="331"/>
      <c r="Z115" s="330"/>
      <c r="AA115" s="328"/>
      <c r="AB115" s="331"/>
      <c r="AC115" s="331"/>
      <c r="AD115" s="331"/>
      <c r="AE115" s="330"/>
      <c r="AF115" s="329"/>
      <c r="AG115" s="331"/>
      <c r="AH115" s="331"/>
      <c r="AI115" s="1049"/>
      <c r="AJ115" s="1050"/>
      <c r="AK115" s="1388"/>
    </row>
    <row r="116" spans="2:37" s="325" customFormat="1" ht="15.75" customHeight="1" thickBot="1">
      <c r="B116" s="337"/>
      <c r="C116" s="1055" t="s">
        <v>246</v>
      </c>
      <c r="D116" s="338"/>
      <c r="E116" s="338"/>
      <c r="F116" s="338"/>
      <c r="G116" s="338"/>
      <c r="H116" s="338"/>
      <c r="I116" s="1056">
        <f t="shared" ref="I116:U116" si="9">SUM(I46:I115)</f>
        <v>551.90000000000009</v>
      </c>
      <c r="J116" s="339">
        <f t="shared" si="9"/>
        <v>66.029697503174646</v>
      </c>
      <c r="K116" s="1057">
        <f t="shared" si="9"/>
        <v>60.453438979164339</v>
      </c>
      <c r="L116" s="1058">
        <f t="shared" si="9"/>
        <v>0</v>
      </c>
      <c r="M116" s="340">
        <f t="shared" si="9"/>
        <v>0</v>
      </c>
      <c r="N116" s="340">
        <f t="shared" si="9"/>
        <v>0</v>
      </c>
      <c r="O116" s="340">
        <f t="shared" si="9"/>
        <v>1.385</v>
      </c>
      <c r="P116" s="341">
        <f t="shared" si="9"/>
        <v>1.3048018626765208</v>
      </c>
      <c r="Q116" s="342">
        <f t="shared" si="9"/>
        <v>10.039358492356207</v>
      </c>
      <c r="R116" s="340">
        <f t="shared" si="9"/>
        <v>17.616334344928696</v>
      </c>
      <c r="S116" s="1389">
        <f t="shared" si="9"/>
        <v>17.355273422580797</v>
      </c>
      <c r="T116" s="1389">
        <f t="shared" si="9"/>
        <v>9.2338575208365228</v>
      </c>
      <c r="U116" s="341">
        <f t="shared" si="9"/>
        <v>6.2086151984621125</v>
      </c>
      <c r="V116" s="1390">
        <f>SUM(V46:V115)</f>
        <v>691.92</v>
      </c>
      <c r="W116" s="1390">
        <f t="shared" ref="W116:AH116" si="10">SUM(W46:W115)</f>
        <v>661.9</v>
      </c>
      <c r="X116" s="1390">
        <f t="shared" si="10"/>
        <v>830.51</v>
      </c>
      <c r="Y116" s="1390">
        <f t="shared" si="10"/>
        <v>966.62496499999997</v>
      </c>
      <c r="Z116" s="1390">
        <f t="shared" si="10"/>
        <v>987.06726220499991</v>
      </c>
      <c r="AA116" s="1390">
        <f t="shared" si="10"/>
        <v>1001.3478511200324</v>
      </c>
      <c r="AB116" s="1390">
        <f t="shared" si="10"/>
        <v>1008.6811134491554</v>
      </c>
      <c r="AC116" s="1390">
        <f t="shared" si="10"/>
        <v>1012.6996944158151</v>
      </c>
      <c r="AD116" s="1390">
        <f t="shared" si="10"/>
        <v>1031.8420692747197</v>
      </c>
      <c r="AE116" s="1390">
        <f t="shared" si="10"/>
        <v>1055.7811324350114</v>
      </c>
      <c r="AF116" s="1390">
        <f t="shared" si="10"/>
        <v>1069.75</v>
      </c>
      <c r="AG116" s="1390">
        <f t="shared" si="10"/>
        <v>938.68</v>
      </c>
      <c r="AH116" s="1390">
        <f t="shared" si="10"/>
        <v>966.86000000000013</v>
      </c>
      <c r="AI116" s="1391"/>
      <c r="AJ116" s="1392"/>
      <c r="AK116" s="1393"/>
    </row>
    <row r="117" spans="2:37" s="325" customFormat="1"/>
    <row r="118" spans="2:37" s="325" customFormat="1"/>
    <row r="119" spans="2:37" s="325" customFormat="1"/>
    <row r="120" spans="2:37" s="325" customFormat="1"/>
    <row r="121" spans="2:37" s="325" customFormat="1"/>
    <row r="122" spans="2:37" s="325" customFormat="1"/>
    <row r="123" spans="2:37" s="325" customFormat="1"/>
    <row r="124" spans="2:37" s="325" customFormat="1"/>
    <row r="125" spans="2:37" s="325" customFormat="1"/>
    <row r="126" spans="2:37" s="325"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1DFFF"/>
  </sheetPr>
  <dimension ref="A1:S33"/>
  <sheetViews>
    <sheetView zoomScale="90" zoomScaleNormal="90" workbookViewId="0"/>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485" t="s">
        <v>858</v>
      </c>
      <c r="F1" s="241" t="s">
        <v>216</v>
      </c>
    </row>
    <row r="2" spans="1:19">
      <c r="A2" s="485"/>
    </row>
    <row r="3" spans="1:19">
      <c r="A3" s="485" t="s">
        <v>492</v>
      </c>
    </row>
    <row r="6" spans="1:19">
      <c r="B6" s="507" t="s">
        <v>493</v>
      </c>
      <c r="C6" s="542"/>
      <c r="D6" s="542"/>
      <c r="E6" s="542"/>
      <c r="F6" s="542"/>
      <c r="G6" s="542"/>
      <c r="H6" s="542"/>
      <c r="I6" s="542"/>
      <c r="J6" s="542"/>
      <c r="K6" s="542"/>
      <c r="L6" s="542"/>
      <c r="M6" s="542"/>
      <c r="N6" s="542"/>
      <c r="O6" s="542"/>
      <c r="P6" s="542"/>
      <c r="Q6" s="542"/>
      <c r="R6" s="542"/>
      <c r="S6" s="542"/>
    </row>
    <row r="7" spans="1:19" ht="13.5" thickBot="1">
      <c r="B7" s="542"/>
      <c r="C7" s="542"/>
      <c r="D7" s="542"/>
      <c r="E7" s="542"/>
      <c r="F7" s="542"/>
      <c r="G7" s="542"/>
      <c r="H7" s="542"/>
      <c r="I7" s="542"/>
      <c r="J7" s="542"/>
      <c r="K7" s="542"/>
      <c r="L7" s="542"/>
      <c r="M7" s="542"/>
      <c r="N7" s="542"/>
      <c r="O7" s="542"/>
      <c r="P7" s="542"/>
      <c r="Q7" s="542"/>
      <c r="R7" s="542"/>
      <c r="S7" s="542"/>
    </row>
    <row r="8" spans="1:19" ht="15" customHeight="1">
      <c r="B8" s="1932"/>
      <c r="C8" s="1933"/>
      <c r="D8" s="1395" t="s">
        <v>494</v>
      </c>
      <c r="E8" s="544"/>
      <c r="F8" s="545"/>
      <c r="G8" s="543" t="s">
        <v>477</v>
      </c>
      <c r="H8" s="544"/>
      <c r="I8" s="545"/>
      <c r="J8" s="542"/>
      <c r="K8" s="542"/>
      <c r="L8" s="542"/>
      <c r="M8" s="542"/>
      <c r="N8" s="542"/>
      <c r="O8" s="542"/>
      <c r="P8" s="542"/>
      <c r="Q8" s="542"/>
      <c r="R8" s="542"/>
      <c r="S8" s="542"/>
    </row>
    <row r="9" spans="1:19" ht="15" customHeight="1">
      <c r="B9" s="1934"/>
      <c r="C9" s="1935"/>
      <c r="D9" s="1396" t="s">
        <v>243</v>
      </c>
      <c r="E9" s="547" t="s">
        <v>245</v>
      </c>
      <c r="F9" s="548" t="s">
        <v>239</v>
      </c>
      <c r="G9" s="546" t="s">
        <v>243</v>
      </c>
      <c r="H9" s="547" t="s">
        <v>245</v>
      </c>
      <c r="I9" s="548" t="s">
        <v>239</v>
      </c>
      <c r="J9" s="542"/>
      <c r="K9" s="542"/>
      <c r="L9" s="542"/>
      <c r="M9" s="542"/>
      <c r="N9" s="542"/>
      <c r="O9" s="542"/>
      <c r="P9" s="542"/>
      <c r="Q9" s="542"/>
      <c r="R9" s="542"/>
      <c r="S9" s="542"/>
    </row>
    <row r="10" spans="1:19" ht="15" customHeight="1">
      <c r="B10" s="1938" t="s">
        <v>726</v>
      </c>
      <c r="C10" s="1939"/>
      <c r="D10" s="344">
        <v>47</v>
      </c>
      <c r="E10" s="344">
        <v>227</v>
      </c>
      <c r="F10" s="345">
        <v>367</v>
      </c>
      <c r="G10" s="343">
        <v>47</v>
      </c>
      <c r="H10" s="344">
        <v>227</v>
      </c>
      <c r="I10" s="345">
        <v>382</v>
      </c>
      <c r="J10" s="542"/>
      <c r="K10" s="542"/>
      <c r="L10" s="542"/>
      <c r="M10" s="542"/>
      <c r="N10" s="542"/>
      <c r="O10" s="542"/>
      <c r="P10" s="542"/>
      <c r="Q10" s="542"/>
      <c r="R10" s="542"/>
      <c r="S10" s="542"/>
    </row>
    <row r="11" spans="1:19" ht="27" customHeight="1">
      <c r="B11" s="1936" t="s">
        <v>464</v>
      </c>
      <c r="C11" s="1937"/>
      <c r="D11" s="347">
        <v>2</v>
      </c>
      <c r="E11" s="347">
        <v>8</v>
      </c>
      <c r="F11" s="348">
        <v>28</v>
      </c>
      <c r="G11" s="346">
        <v>2</v>
      </c>
      <c r="H11" s="347">
        <v>8</v>
      </c>
      <c r="I11" s="348">
        <v>27</v>
      </c>
      <c r="J11" s="542"/>
      <c r="K11" s="542"/>
      <c r="L11" s="542"/>
      <c r="M11" s="542"/>
      <c r="N11" s="542"/>
      <c r="O11" s="542"/>
      <c r="P11" s="542"/>
      <c r="Q11" s="542"/>
      <c r="R11" s="542"/>
      <c r="S11" s="542"/>
    </row>
    <row r="12" spans="1:19" ht="30" customHeight="1" thickBot="1">
      <c r="B12" s="1940" t="s">
        <v>613</v>
      </c>
      <c r="C12" s="1941"/>
      <c r="D12" s="347">
        <v>0</v>
      </c>
      <c r="E12" s="347">
        <v>5</v>
      </c>
      <c r="F12" s="348">
        <v>21</v>
      </c>
      <c r="G12" s="346">
        <v>0</v>
      </c>
      <c r="H12" s="347">
        <v>5</v>
      </c>
      <c r="I12" s="348">
        <v>20</v>
      </c>
      <c r="J12" s="542"/>
      <c r="K12" s="542"/>
      <c r="L12" s="542"/>
      <c r="M12" s="542"/>
      <c r="N12" s="542"/>
      <c r="O12" s="542"/>
      <c r="P12" s="542"/>
      <c r="Q12" s="542"/>
      <c r="R12" s="542"/>
      <c r="S12" s="542"/>
    </row>
    <row r="13" spans="1:19">
      <c r="B13" s="542"/>
      <c r="C13" s="542"/>
      <c r="D13" s="542"/>
      <c r="E13" s="542"/>
      <c r="F13" s="542"/>
      <c r="G13" s="542"/>
      <c r="H13" s="542"/>
      <c r="I13" s="542"/>
      <c r="J13" s="542"/>
      <c r="K13" s="542"/>
      <c r="L13" s="542"/>
      <c r="M13" s="542"/>
      <c r="N13" s="542"/>
      <c r="O13" s="542"/>
      <c r="P13" s="542"/>
      <c r="Q13" s="542"/>
      <c r="R13" s="542"/>
      <c r="S13" s="542"/>
    </row>
    <row r="14" spans="1:19">
      <c r="B14" s="507" t="s">
        <v>614</v>
      </c>
      <c r="C14" s="542"/>
      <c r="D14" s="542"/>
      <c r="E14" s="542"/>
      <c r="F14" s="542"/>
      <c r="G14" s="542"/>
      <c r="H14" s="542"/>
      <c r="I14" s="542"/>
      <c r="J14" s="542"/>
      <c r="K14" s="542"/>
      <c r="L14" s="542"/>
      <c r="M14" s="542"/>
      <c r="N14" s="542"/>
      <c r="O14" s="542"/>
      <c r="P14" s="542"/>
      <c r="Q14" s="542"/>
      <c r="R14" s="542"/>
      <c r="S14" s="542"/>
    </row>
    <row r="15" spans="1:19" ht="13.5" thickBot="1">
      <c r="B15" s="542"/>
      <c r="C15" s="542"/>
      <c r="D15" s="542"/>
      <c r="E15" s="542"/>
      <c r="F15" s="542"/>
      <c r="G15" s="542"/>
      <c r="H15" s="542"/>
      <c r="I15" s="542"/>
      <c r="J15" s="542"/>
      <c r="K15" s="542"/>
      <c r="L15" s="542"/>
      <c r="M15" s="542"/>
      <c r="N15" s="542"/>
      <c r="O15" s="542"/>
      <c r="P15" s="542"/>
      <c r="Q15" s="542"/>
      <c r="R15" s="542"/>
      <c r="S15" s="542"/>
    </row>
    <row r="16" spans="1:19">
      <c r="B16" s="1942" t="s">
        <v>486</v>
      </c>
      <c r="C16" s="1943"/>
      <c r="D16" s="543" t="s">
        <v>116</v>
      </c>
      <c r="E16" s="544"/>
      <c r="F16" s="545"/>
      <c r="G16" s="543" t="s">
        <v>117</v>
      </c>
      <c r="H16" s="544"/>
      <c r="I16" s="545"/>
      <c r="J16" s="542"/>
      <c r="K16" s="542"/>
      <c r="L16" s="542"/>
      <c r="M16" s="542"/>
      <c r="N16" s="542"/>
      <c r="O16" s="542"/>
      <c r="P16" s="542"/>
      <c r="Q16" s="542"/>
      <c r="R16" s="542"/>
      <c r="S16" s="542"/>
    </row>
    <row r="17" spans="2:19">
      <c r="B17" s="1944"/>
      <c r="C17" s="1945"/>
      <c r="D17" s="546" t="s">
        <v>243</v>
      </c>
      <c r="E17" s="547" t="s">
        <v>245</v>
      </c>
      <c r="F17" s="548" t="s">
        <v>239</v>
      </c>
      <c r="G17" s="546" t="s">
        <v>243</v>
      </c>
      <c r="H17" s="547" t="s">
        <v>245</v>
      </c>
      <c r="I17" s="548" t="s">
        <v>239</v>
      </c>
      <c r="J17" s="542"/>
      <c r="K17" s="542"/>
      <c r="L17" s="542"/>
      <c r="M17" s="542"/>
      <c r="N17" s="542"/>
      <c r="O17" s="542"/>
      <c r="P17" s="542"/>
      <c r="Q17" s="542"/>
      <c r="R17" s="542"/>
      <c r="S17" s="542"/>
    </row>
    <row r="18" spans="2:19" ht="15" customHeight="1">
      <c r="B18" s="1928" t="s">
        <v>487</v>
      </c>
      <c r="C18" s="1929"/>
      <c r="D18" s="346">
        <v>0</v>
      </c>
      <c r="E18" s="347">
        <v>4</v>
      </c>
      <c r="F18" s="351">
        <v>4</v>
      </c>
      <c r="G18" s="346">
        <v>0</v>
      </c>
      <c r="H18" s="347">
        <v>0</v>
      </c>
      <c r="I18" s="351">
        <v>2</v>
      </c>
      <c r="J18" s="542"/>
      <c r="K18" s="542"/>
      <c r="L18" s="542"/>
      <c r="M18" s="542"/>
      <c r="N18" s="542"/>
      <c r="O18" s="542"/>
      <c r="P18" s="542"/>
      <c r="Q18" s="542"/>
      <c r="R18" s="542"/>
      <c r="S18" s="542"/>
    </row>
    <row r="19" spans="2:19" ht="15" customHeight="1">
      <c r="B19" s="1928" t="s">
        <v>651</v>
      </c>
      <c r="C19" s="1929"/>
      <c r="D19" s="346">
        <v>1</v>
      </c>
      <c r="E19" s="347">
        <v>0</v>
      </c>
      <c r="F19" s="351">
        <v>0</v>
      </c>
      <c r="G19" s="346">
        <v>0</v>
      </c>
      <c r="H19" s="347">
        <v>0</v>
      </c>
      <c r="I19" s="351">
        <v>0</v>
      </c>
      <c r="J19" s="542"/>
      <c r="K19" s="542"/>
      <c r="L19" s="542"/>
      <c r="M19" s="542"/>
      <c r="N19" s="542"/>
      <c r="O19" s="542"/>
      <c r="P19" s="542"/>
      <c r="Q19" s="542"/>
      <c r="R19" s="542"/>
      <c r="S19" s="542"/>
    </row>
    <row r="20" spans="2:19" ht="15" customHeight="1" thickBot="1">
      <c r="B20" s="1930" t="s">
        <v>652</v>
      </c>
      <c r="C20" s="1931"/>
      <c r="D20" s="349">
        <v>0</v>
      </c>
      <c r="E20" s="352">
        <v>0</v>
      </c>
      <c r="F20" s="350">
        <v>0</v>
      </c>
      <c r="G20" s="349">
        <v>0</v>
      </c>
      <c r="H20" s="352">
        <v>0</v>
      </c>
      <c r="I20" s="350">
        <v>0</v>
      </c>
      <c r="J20" s="542"/>
      <c r="K20" s="542"/>
      <c r="L20" s="542"/>
      <c r="M20" s="542"/>
      <c r="N20" s="542"/>
      <c r="O20" s="542"/>
      <c r="P20" s="542"/>
      <c r="Q20" s="542"/>
      <c r="R20" s="542"/>
      <c r="S20" s="542"/>
    </row>
    <row r="21" spans="2:19">
      <c r="B21" s="542"/>
      <c r="C21" s="542"/>
      <c r="D21" s="542"/>
      <c r="E21" s="542"/>
      <c r="F21" s="542"/>
      <c r="G21" s="542"/>
      <c r="H21" s="542"/>
      <c r="I21" s="542"/>
      <c r="J21" s="542"/>
      <c r="K21" s="542"/>
      <c r="L21" s="542"/>
      <c r="M21" s="542"/>
      <c r="N21" s="542"/>
      <c r="O21" s="542"/>
      <c r="P21" s="542"/>
      <c r="Q21" s="542"/>
      <c r="R21" s="542"/>
      <c r="S21" s="542"/>
    </row>
    <row r="22" spans="2:19">
      <c r="B22" s="507" t="s">
        <v>653</v>
      </c>
      <c r="C22" s="542"/>
      <c r="D22" s="542"/>
      <c r="E22" s="542"/>
      <c r="F22" s="542"/>
      <c r="G22" s="542"/>
      <c r="H22" s="542"/>
      <c r="I22" s="542"/>
      <c r="J22" s="542"/>
      <c r="K22" s="542"/>
      <c r="L22" s="542"/>
      <c r="M22" s="542"/>
      <c r="N22" s="542"/>
      <c r="O22" s="542"/>
      <c r="P22" s="542"/>
      <c r="Q22" s="542"/>
      <c r="R22" s="542"/>
      <c r="S22" s="542"/>
    </row>
    <row r="23" spans="2:19" ht="13.5" thickBot="1">
      <c r="B23" s="507"/>
      <c r="C23" s="542"/>
      <c r="D23" s="542"/>
      <c r="E23" s="542"/>
      <c r="F23" s="542"/>
      <c r="G23" s="542"/>
      <c r="H23" s="542"/>
      <c r="I23" s="542"/>
      <c r="J23" s="542"/>
      <c r="K23" s="542"/>
      <c r="L23" s="542"/>
      <c r="M23" s="542"/>
      <c r="N23" s="542"/>
      <c r="O23" s="542"/>
      <c r="P23" s="542"/>
      <c r="Q23" s="542"/>
      <c r="R23" s="542"/>
      <c r="S23" s="542"/>
    </row>
    <row r="24" spans="2:19">
      <c r="B24" s="1922"/>
      <c r="C24" s="508" t="s">
        <v>116</v>
      </c>
      <c r="D24" s="509"/>
      <c r="E24" s="509"/>
      <c r="F24" s="509"/>
      <c r="G24" s="549"/>
      <c r="H24" s="508" t="s">
        <v>117</v>
      </c>
      <c r="I24" s="550"/>
      <c r="J24" s="550"/>
      <c r="K24" s="550"/>
      <c r="L24" s="549"/>
      <c r="M24" s="353"/>
      <c r="N24" s="510" t="s">
        <v>116</v>
      </c>
      <c r="O24" s="511"/>
      <c r="P24" s="512"/>
      <c r="Q24" s="353"/>
      <c r="R24" s="510" t="s">
        <v>117</v>
      </c>
      <c r="S24" s="512"/>
    </row>
    <row r="25" spans="2:19">
      <c r="B25" s="1923"/>
      <c r="C25" s="517" t="s">
        <v>32</v>
      </c>
      <c r="D25" s="518" t="s">
        <v>33</v>
      </c>
      <c r="E25" s="518" t="s">
        <v>29</v>
      </c>
      <c r="F25" s="518" t="s">
        <v>34</v>
      </c>
      <c r="G25" s="519" t="s">
        <v>35</v>
      </c>
      <c r="H25" s="517" t="s">
        <v>118</v>
      </c>
      <c r="I25" s="518" t="s">
        <v>136</v>
      </c>
      <c r="J25" s="518" t="s">
        <v>137</v>
      </c>
      <c r="K25" s="518" t="s">
        <v>138</v>
      </c>
      <c r="L25" s="519" t="s">
        <v>139</v>
      </c>
      <c r="M25" s="353"/>
      <c r="N25" s="517" t="s">
        <v>126</v>
      </c>
      <c r="O25" s="518" t="s">
        <v>127</v>
      </c>
      <c r="P25" s="519" t="s">
        <v>246</v>
      </c>
      <c r="Q25" s="353"/>
      <c r="R25" s="517" t="s">
        <v>127</v>
      </c>
      <c r="S25" s="519" t="s">
        <v>128</v>
      </c>
    </row>
    <row r="26" spans="2:19">
      <c r="B26" s="1924"/>
      <c r="C26" s="533" t="s">
        <v>735</v>
      </c>
      <c r="D26" s="534" t="s">
        <v>735</v>
      </c>
      <c r="E26" s="534" t="s">
        <v>735</v>
      </c>
      <c r="F26" s="534" t="s">
        <v>735</v>
      </c>
      <c r="G26" s="535" t="s">
        <v>735</v>
      </c>
      <c r="H26" s="533" t="s">
        <v>735</v>
      </c>
      <c r="I26" s="534" t="s">
        <v>735</v>
      </c>
      <c r="J26" s="534" t="s">
        <v>735</v>
      </c>
      <c r="K26" s="534" t="s">
        <v>735</v>
      </c>
      <c r="L26" s="535" t="s">
        <v>735</v>
      </c>
      <c r="M26" s="354"/>
      <c r="N26" s="533" t="s">
        <v>735</v>
      </c>
      <c r="O26" s="534" t="s">
        <v>735</v>
      </c>
      <c r="P26" s="535" t="s">
        <v>735</v>
      </c>
      <c r="Q26" s="354"/>
      <c r="R26" s="533" t="s">
        <v>735</v>
      </c>
      <c r="S26" s="535" t="s">
        <v>735</v>
      </c>
    </row>
    <row r="27" spans="2:19">
      <c r="B27" s="530" t="s">
        <v>736</v>
      </c>
      <c r="C27" s="551"/>
      <c r="D27" s="552"/>
      <c r="E27" s="552"/>
      <c r="F27" s="552"/>
      <c r="G27" s="553"/>
      <c r="H27" s="551"/>
      <c r="I27" s="552"/>
      <c r="J27" s="552"/>
      <c r="K27" s="552"/>
      <c r="L27" s="553"/>
      <c r="M27" s="354"/>
      <c r="N27" s="551"/>
      <c r="O27" s="554"/>
      <c r="P27" s="555"/>
      <c r="Q27" s="354"/>
      <c r="R27" s="551"/>
      <c r="S27" s="537"/>
    </row>
    <row r="28" spans="2:19">
      <c r="B28" s="1398" t="s">
        <v>737</v>
      </c>
      <c r="C28" s="288">
        <v>0</v>
      </c>
      <c r="D28" s="288">
        <v>0</v>
      </c>
      <c r="E28" s="288">
        <v>0</v>
      </c>
      <c r="F28" s="288">
        <v>0</v>
      </c>
      <c r="G28" s="289">
        <v>0</v>
      </c>
      <c r="H28" s="287">
        <v>0</v>
      </c>
      <c r="I28" s="290">
        <v>0</v>
      </c>
      <c r="J28" s="290">
        <v>0</v>
      </c>
      <c r="K28" s="290">
        <v>0</v>
      </c>
      <c r="L28" s="289">
        <v>0</v>
      </c>
      <c r="M28" s="353"/>
      <c r="N28" s="556">
        <v>0</v>
      </c>
      <c r="O28" s="557">
        <v>0</v>
      </c>
      <c r="P28" s="558">
        <v>0</v>
      </c>
      <c r="Q28" s="353"/>
      <c r="R28" s="556">
        <v>0</v>
      </c>
      <c r="S28" s="1094" t="s">
        <v>1020</v>
      </c>
    </row>
    <row r="29" spans="2:19">
      <c r="B29" s="1398" t="s">
        <v>239</v>
      </c>
      <c r="C29" s="288">
        <v>0.02</v>
      </c>
      <c r="D29" s="288">
        <v>0.06</v>
      </c>
      <c r="E29" s="288">
        <v>0.37813885780737833</v>
      </c>
      <c r="F29" s="288">
        <v>0.92710802547143045</v>
      </c>
      <c r="G29" s="289">
        <v>0.73856085354970036</v>
      </c>
      <c r="H29" s="287">
        <v>0.2344664443398706</v>
      </c>
      <c r="I29" s="290">
        <v>0.35075453761384212</v>
      </c>
      <c r="J29" s="290">
        <v>1.3677677806735886</v>
      </c>
      <c r="K29" s="290">
        <v>0.13981179561746443</v>
      </c>
      <c r="L29" s="289">
        <v>0.13908405076746447</v>
      </c>
      <c r="M29" s="353"/>
      <c r="N29" s="556">
        <v>1.3852468832788087</v>
      </c>
      <c r="O29" s="557">
        <v>0.73856085354970036</v>
      </c>
      <c r="P29" s="558">
        <v>2.1238077368285091</v>
      </c>
      <c r="Q29" s="353"/>
      <c r="R29" s="556">
        <v>2.23188460901223</v>
      </c>
      <c r="S29" s="1094">
        <v>5.0888256177610738E-2</v>
      </c>
    </row>
    <row r="30" spans="2:19">
      <c r="B30" s="1398" t="s">
        <v>738</v>
      </c>
      <c r="C30" s="288">
        <v>0.09</v>
      </c>
      <c r="D30" s="288">
        <v>0.77</v>
      </c>
      <c r="E30" s="288">
        <v>5.8255391974927781E-2</v>
      </c>
      <c r="F30" s="288">
        <v>0.4173587968774578</v>
      </c>
      <c r="G30" s="289">
        <v>1.3673073411280907</v>
      </c>
      <c r="H30" s="287">
        <v>0.24577190298694074</v>
      </c>
      <c r="I30" s="290">
        <v>0</v>
      </c>
      <c r="J30" s="290">
        <v>0</v>
      </c>
      <c r="K30" s="290">
        <v>0</v>
      </c>
      <c r="L30" s="289">
        <v>0</v>
      </c>
      <c r="M30" s="353"/>
      <c r="N30" s="556">
        <v>1.3356141888523856</v>
      </c>
      <c r="O30" s="557">
        <v>1.3673073411280907</v>
      </c>
      <c r="P30" s="558">
        <v>2.7029215299804763</v>
      </c>
      <c r="Q30" s="353"/>
      <c r="R30" s="556">
        <v>0.24577190298694074</v>
      </c>
      <c r="S30" s="1094">
        <v>-0.90907175799930973</v>
      </c>
    </row>
    <row r="31" spans="2:19">
      <c r="B31" s="1398" t="s">
        <v>739</v>
      </c>
      <c r="C31" s="288">
        <v>0</v>
      </c>
      <c r="D31" s="288">
        <v>0</v>
      </c>
      <c r="E31" s="288">
        <v>0</v>
      </c>
      <c r="F31" s="288">
        <v>0</v>
      </c>
      <c r="G31" s="289">
        <v>0</v>
      </c>
      <c r="H31" s="287">
        <v>0</v>
      </c>
      <c r="I31" s="290">
        <v>0</v>
      </c>
      <c r="J31" s="290">
        <v>0</v>
      </c>
      <c r="K31" s="290">
        <v>0</v>
      </c>
      <c r="L31" s="289">
        <v>0</v>
      </c>
      <c r="M31" s="353"/>
      <c r="N31" s="556">
        <v>0</v>
      </c>
      <c r="O31" s="557">
        <v>0</v>
      </c>
      <c r="P31" s="558">
        <v>0</v>
      </c>
      <c r="Q31" s="353"/>
      <c r="R31" s="556">
        <v>0</v>
      </c>
      <c r="S31" s="1094" t="s">
        <v>1020</v>
      </c>
    </row>
    <row r="32" spans="2:19" ht="13.5" thickBot="1">
      <c r="B32" s="1397" t="s">
        <v>740</v>
      </c>
      <c r="C32" s="1091">
        <v>0.11</v>
      </c>
      <c r="D32" s="1091">
        <v>0.83000000000000007</v>
      </c>
      <c r="E32" s="1091">
        <v>0.43639424978230612</v>
      </c>
      <c r="F32" s="1091">
        <v>1.3444668223488883</v>
      </c>
      <c r="G32" s="1092">
        <v>2.1058681946777913</v>
      </c>
      <c r="H32" s="1090">
        <v>0.48023834732681137</v>
      </c>
      <c r="I32" s="1093">
        <v>0.35075453761384212</v>
      </c>
      <c r="J32" s="1093">
        <v>1.3677677806735886</v>
      </c>
      <c r="K32" s="1093">
        <v>0.13981179561746443</v>
      </c>
      <c r="L32" s="1092">
        <v>0.13908405076746447</v>
      </c>
      <c r="M32" s="355"/>
      <c r="N32" s="1090">
        <v>2.7208610721311945</v>
      </c>
      <c r="O32" s="1093">
        <v>2.1058681946777913</v>
      </c>
      <c r="P32" s="1092">
        <v>4.8267292668089858</v>
      </c>
      <c r="Q32" s="355"/>
      <c r="R32" s="1090">
        <v>2.4776565119991707</v>
      </c>
      <c r="S32" s="1095">
        <v>-0.48668003216240424</v>
      </c>
    </row>
    <row r="33" spans="2:19">
      <c r="B33" s="242"/>
      <c r="C33" s="242"/>
      <c r="D33" s="242"/>
      <c r="E33" s="242"/>
      <c r="F33" s="242"/>
      <c r="G33" s="242"/>
      <c r="H33" s="242"/>
      <c r="I33" s="242"/>
      <c r="J33" s="242"/>
      <c r="K33" s="242"/>
      <c r="L33" s="242"/>
      <c r="M33" s="243"/>
      <c r="N33" s="242"/>
      <c r="O33" s="242"/>
      <c r="P33" s="242"/>
      <c r="Q33" s="243"/>
      <c r="R33" s="242"/>
      <c r="S33" s="242"/>
    </row>
  </sheetData>
  <mergeCells count="9">
    <mergeCell ref="B19:C19"/>
    <mergeCell ref="B20:C20"/>
    <mergeCell ref="B24:B26"/>
    <mergeCell ref="B8:C9"/>
    <mergeCell ref="B11:C11"/>
    <mergeCell ref="B10:C10"/>
    <mergeCell ref="B12:C12"/>
    <mergeCell ref="B16:C17"/>
    <mergeCell ref="B18:C18"/>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1DFFF"/>
  </sheetPr>
  <dimension ref="A1:W187"/>
  <sheetViews>
    <sheetView zoomScale="70" zoomScaleNormal="70" workbookViewId="0"/>
  </sheetViews>
  <sheetFormatPr defaultColWidth="8.85546875" defaultRowHeight="14.25"/>
  <cols>
    <col min="1" max="1" width="4.28515625" style="906" customWidth="1"/>
    <col min="2" max="2" width="45.85546875" style="908" customWidth="1"/>
    <col min="3" max="3" width="40.28515625" style="908" customWidth="1"/>
    <col min="4" max="8" width="10.28515625" style="908" customWidth="1"/>
    <col min="9" max="13" width="10.28515625" style="909" customWidth="1"/>
    <col min="14" max="14" width="4.140625" style="909" customWidth="1"/>
    <col min="15" max="17" width="13.7109375" style="909" customWidth="1"/>
    <col min="18" max="18" width="4.28515625" style="909" customWidth="1"/>
    <col min="19" max="20" width="11.85546875" style="909" customWidth="1"/>
    <col min="21" max="23" width="8.85546875" style="909"/>
    <col min="24" max="16384" width="8.85546875" style="908"/>
  </cols>
  <sheetData>
    <row r="1" spans="1:20" s="839" customFormat="1" ht="20.25">
      <c r="A1" s="838" t="s">
        <v>167</v>
      </c>
      <c r="G1" s="838" t="s">
        <v>859</v>
      </c>
    </row>
    <row r="2" spans="1:20" s="839" customFormat="1" ht="20.25">
      <c r="A2" s="840" t="s">
        <v>168</v>
      </c>
      <c r="B2" s="838"/>
    </row>
    <row r="3" spans="1:20" s="842" customFormat="1" ht="21" thickBot="1">
      <c r="A3" s="841" t="s">
        <v>860</v>
      </c>
    </row>
    <row r="4" spans="1:20" s="844" customFormat="1" ht="12.75">
      <c r="A4" s="843"/>
      <c r="S4" s="353"/>
      <c r="T4" s="353"/>
    </row>
    <row r="5" spans="1:20" s="1400" customFormat="1" ht="12.75">
      <c r="A5" s="1399"/>
      <c r="B5" s="845" t="s">
        <v>112</v>
      </c>
      <c r="O5" s="1401"/>
      <c r="P5" s="1401"/>
      <c r="Q5" s="1401"/>
      <c r="R5" s="1401"/>
      <c r="S5" s="1401"/>
      <c r="T5" s="1401"/>
    </row>
    <row r="6" spans="1:20" s="1404" customFormat="1" ht="13.5" thickBot="1">
      <c r="A6" s="1402"/>
      <c r="B6" s="847"/>
      <c r="C6" s="847"/>
      <c r="D6" s="847"/>
      <c r="E6" s="847"/>
      <c r="F6" s="847"/>
      <c r="G6" s="847"/>
      <c r="H6" s="847"/>
      <c r="I6" s="847"/>
      <c r="J6" s="847"/>
      <c r="K6" s="847"/>
      <c r="L6" s="847"/>
      <c r="M6" s="847"/>
      <c r="N6" s="1401"/>
      <c r="O6" s="1403"/>
      <c r="P6" s="1403"/>
      <c r="Q6" s="1403"/>
      <c r="R6" s="1401"/>
      <c r="S6" s="1403"/>
      <c r="T6" s="1403"/>
    </row>
    <row r="7" spans="1:20" s="1404" customFormat="1" ht="15" customHeight="1">
      <c r="A7" s="1402"/>
      <c r="B7" s="1946" t="s">
        <v>113</v>
      </c>
      <c r="C7" s="1947"/>
      <c r="D7" s="1405" t="s">
        <v>114</v>
      </c>
      <c r="E7" s="1406"/>
      <c r="F7" s="1406"/>
      <c r="G7" s="1406"/>
      <c r="H7" s="1407"/>
      <c r="I7" s="1405" t="s">
        <v>115</v>
      </c>
      <c r="J7" s="1406"/>
      <c r="K7" s="1406"/>
      <c r="L7" s="1406"/>
      <c r="M7" s="1407"/>
      <c r="N7" s="1401"/>
      <c r="O7" s="510" t="s">
        <v>116</v>
      </c>
      <c r="P7" s="511"/>
      <c r="Q7" s="512"/>
      <c r="R7" s="1401"/>
      <c r="S7" s="510" t="s">
        <v>117</v>
      </c>
      <c r="T7" s="512"/>
    </row>
    <row r="8" spans="1:20" s="1404" customFormat="1" ht="15" customHeight="1">
      <c r="A8" s="1402"/>
      <c r="B8" s="1948"/>
      <c r="C8" s="1949"/>
      <c r="D8" s="850" t="s">
        <v>32</v>
      </c>
      <c r="E8" s="851" t="s">
        <v>33</v>
      </c>
      <c r="F8" s="851" t="s">
        <v>29</v>
      </c>
      <c r="G8" s="851" t="s">
        <v>34</v>
      </c>
      <c r="H8" s="852" t="s">
        <v>35</v>
      </c>
      <c r="I8" s="850" t="s">
        <v>118</v>
      </c>
      <c r="J8" s="851" t="s">
        <v>136</v>
      </c>
      <c r="K8" s="851" t="s">
        <v>137</v>
      </c>
      <c r="L8" s="851" t="s">
        <v>138</v>
      </c>
      <c r="M8" s="852" t="s">
        <v>139</v>
      </c>
      <c r="N8" s="1401"/>
      <c r="O8" s="517" t="s">
        <v>126</v>
      </c>
      <c r="P8" s="518" t="s">
        <v>127</v>
      </c>
      <c r="Q8" s="519" t="s">
        <v>246</v>
      </c>
      <c r="R8" s="1401"/>
      <c r="S8" s="517" t="s">
        <v>127</v>
      </c>
      <c r="T8" s="519" t="s">
        <v>128</v>
      </c>
    </row>
    <row r="9" spans="1:20" s="1404" customFormat="1" ht="15" customHeight="1">
      <c r="A9" s="1402"/>
      <c r="B9" s="1950"/>
      <c r="C9" s="1951"/>
      <c r="D9" s="850" t="s">
        <v>14</v>
      </c>
      <c r="E9" s="851" t="s">
        <v>14</v>
      </c>
      <c r="F9" s="851" t="s">
        <v>14</v>
      </c>
      <c r="G9" s="851" t="s">
        <v>14</v>
      </c>
      <c r="H9" s="852" t="s">
        <v>14</v>
      </c>
      <c r="I9" s="853" t="s">
        <v>14</v>
      </c>
      <c r="J9" s="851" t="s">
        <v>14</v>
      </c>
      <c r="K9" s="851" t="s">
        <v>14</v>
      </c>
      <c r="L9" s="851" t="s">
        <v>14</v>
      </c>
      <c r="M9" s="852" t="s">
        <v>14</v>
      </c>
      <c r="N9" s="847"/>
      <c r="O9" s="854"/>
      <c r="P9" s="855"/>
      <c r="Q9" s="856"/>
      <c r="R9" s="1401"/>
      <c r="S9" s="857"/>
      <c r="T9" s="858"/>
    </row>
    <row r="10" spans="1:20" s="1404" customFormat="1" ht="15" customHeight="1">
      <c r="A10" s="1402"/>
      <c r="B10" s="1957" t="s">
        <v>103</v>
      </c>
      <c r="C10" s="1408" t="s">
        <v>104</v>
      </c>
      <c r="D10" s="1063">
        <v>0.29943695880503757</v>
      </c>
      <c r="E10" s="1064">
        <v>0.34314211987273269</v>
      </c>
      <c r="F10" s="1064">
        <v>0.49641498621763214</v>
      </c>
      <c r="G10" s="1064">
        <v>0.73847336213476156</v>
      </c>
      <c r="H10" s="1065">
        <v>0</v>
      </c>
      <c r="I10" s="1063">
        <v>0</v>
      </c>
      <c r="J10" s="1064">
        <v>0</v>
      </c>
      <c r="K10" s="1064">
        <v>0</v>
      </c>
      <c r="L10" s="1064">
        <v>0</v>
      </c>
      <c r="M10" s="1065">
        <v>0</v>
      </c>
      <c r="N10" s="847"/>
      <c r="O10" s="859">
        <f>SUM(D10:G10)</f>
        <v>1.8774674270301639</v>
      </c>
      <c r="P10" s="860">
        <f>H10</f>
        <v>0</v>
      </c>
      <c r="Q10" s="861">
        <f>SUM(D10:H10)</f>
        <v>1.8774674270301639</v>
      </c>
      <c r="R10" s="1401"/>
      <c r="S10" s="859">
        <f>SUM(I10:M10)</f>
        <v>0</v>
      </c>
      <c r="T10" s="650">
        <f>IF(Q10&lt;&gt;0,(S10-Q10)/Q10,"0")</f>
        <v>-1</v>
      </c>
    </row>
    <row r="11" spans="1:20" s="1404" customFormat="1" ht="15" customHeight="1">
      <c r="A11" s="1402"/>
      <c r="B11" s="1958"/>
      <c r="C11" s="863" t="s">
        <v>105</v>
      </c>
      <c r="D11" s="1066">
        <v>1.665766641298013</v>
      </c>
      <c r="E11" s="1067">
        <v>1.4447684713936488</v>
      </c>
      <c r="F11" s="1067">
        <v>3.4448341116867969</v>
      </c>
      <c r="G11" s="1067">
        <v>3.0803516469348824</v>
      </c>
      <c r="H11" s="1068">
        <v>2.2312420944391329</v>
      </c>
      <c r="I11" s="1066">
        <v>3.9538919436549795</v>
      </c>
      <c r="J11" s="1067">
        <v>3.3223401237012431</v>
      </c>
      <c r="K11" s="1067">
        <v>3.385176631815737</v>
      </c>
      <c r="L11" s="1067">
        <v>2.9094320841469639</v>
      </c>
      <c r="M11" s="1068">
        <v>2.875869987811889</v>
      </c>
      <c r="N11" s="847"/>
      <c r="O11" s="859">
        <f t="shared" ref="O11:O35" si="0">SUM(D11:G11)</f>
        <v>9.6357208713133407</v>
      </c>
      <c r="P11" s="860">
        <f t="shared" ref="P11:P35" si="1">H11</f>
        <v>2.2312420944391329</v>
      </c>
      <c r="Q11" s="861">
        <f>SUM(D11:H11)</f>
        <v>11.866962965752474</v>
      </c>
      <c r="R11" s="1401"/>
      <c r="S11" s="859">
        <f>SUM(I11:M11)</f>
        <v>16.44671077113081</v>
      </c>
      <c r="T11" s="650">
        <f>IF(Q11&lt;&gt;0,(S11-Q11)/Q11,"0")</f>
        <v>0.38592416767417947</v>
      </c>
    </row>
    <row r="12" spans="1:20" s="1404" customFormat="1" ht="15" customHeight="1">
      <c r="A12" s="1402"/>
      <c r="B12" s="1958" t="s">
        <v>106</v>
      </c>
      <c r="C12" s="863" t="s">
        <v>104</v>
      </c>
      <c r="D12" s="1066">
        <v>0</v>
      </c>
      <c r="E12" s="1067">
        <v>0</v>
      </c>
      <c r="F12" s="1067">
        <v>0</v>
      </c>
      <c r="G12" s="1067">
        <v>0</v>
      </c>
      <c r="H12" s="1068">
        <v>0</v>
      </c>
      <c r="I12" s="1066">
        <v>0</v>
      </c>
      <c r="J12" s="1067">
        <v>0</v>
      </c>
      <c r="K12" s="1067">
        <v>0</v>
      </c>
      <c r="L12" s="1067">
        <v>0</v>
      </c>
      <c r="M12" s="1068">
        <v>0</v>
      </c>
      <c r="N12" s="847"/>
      <c r="O12" s="859">
        <f t="shared" si="0"/>
        <v>0</v>
      </c>
      <c r="P12" s="860">
        <f t="shared" si="1"/>
        <v>0</v>
      </c>
      <c r="Q12" s="861">
        <f t="shared" ref="Q12:Q35" si="2">SUM(D12:H12)</f>
        <v>0</v>
      </c>
      <c r="R12" s="1401"/>
      <c r="S12" s="859">
        <f t="shared" ref="S12:S35" si="3">SUM(I12:M12)</f>
        <v>0</v>
      </c>
      <c r="T12" s="650" t="str">
        <f t="shared" ref="T12:T35" si="4">IF(Q12&lt;&gt;0,(S12-Q12)/Q12,"0")</f>
        <v>0</v>
      </c>
    </row>
    <row r="13" spans="1:20" s="1404" customFormat="1" ht="15" customHeight="1">
      <c r="A13" s="1402"/>
      <c r="B13" s="1958"/>
      <c r="C13" s="863" t="s">
        <v>105</v>
      </c>
      <c r="D13" s="1066">
        <v>2.1702727720480052E-2</v>
      </c>
      <c r="E13" s="1067">
        <v>-7.4288441301824711E-3</v>
      </c>
      <c r="F13" s="1067">
        <v>0.26690592453788359</v>
      </c>
      <c r="G13" s="1067">
        <v>6.684404033423455E-2</v>
      </c>
      <c r="H13" s="1068">
        <v>0.23754675212009477</v>
      </c>
      <c r="I13" s="1066">
        <v>0.24971769872009478</v>
      </c>
      <c r="J13" s="1067">
        <v>0.25641063692009475</v>
      </c>
      <c r="K13" s="1067">
        <v>0.26126021537009481</v>
      </c>
      <c r="L13" s="1067">
        <v>0.24654827912009475</v>
      </c>
      <c r="M13" s="1068">
        <v>0.24370419242009475</v>
      </c>
      <c r="N13" s="847"/>
      <c r="O13" s="859">
        <f t="shared" si="0"/>
        <v>0.34802384846241574</v>
      </c>
      <c r="P13" s="860">
        <f t="shared" si="1"/>
        <v>0.23754675212009477</v>
      </c>
      <c r="Q13" s="861">
        <f t="shared" si="2"/>
        <v>0.58557060058251054</v>
      </c>
      <c r="R13" s="1401"/>
      <c r="S13" s="859">
        <f t="shared" si="3"/>
        <v>1.2576410225504737</v>
      </c>
      <c r="T13" s="650">
        <f t="shared" si="4"/>
        <v>1.1477188596890022</v>
      </c>
    </row>
    <row r="14" spans="1:20" s="1404" customFormat="1" ht="15" customHeight="1">
      <c r="A14" s="1402"/>
      <c r="B14" s="1954" t="s">
        <v>848</v>
      </c>
      <c r="C14" s="863" t="s">
        <v>129</v>
      </c>
      <c r="D14" s="1066">
        <v>1.1413151966039032</v>
      </c>
      <c r="E14" s="1067">
        <v>1.2333847110440672</v>
      </c>
      <c r="F14" s="1067">
        <v>2.1699941436763783</v>
      </c>
      <c r="G14" s="1067">
        <v>1.0860318577015582</v>
      </c>
      <c r="H14" s="1068">
        <v>1.6872479589838507</v>
      </c>
      <c r="I14" s="1066">
        <v>7.0247689079204241</v>
      </c>
      <c r="J14" s="1067">
        <v>5.6554121787983513</v>
      </c>
      <c r="K14" s="1067">
        <v>4.6798948236076177</v>
      </c>
      <c r="L14" s="1067">
        <v>1.6282939306373858</v>
      </c>
      <c r="M14" s="1068">
        <v>1.6095105543009371</v>
      </c>
      <c r="N14" s="847"/>
      <c r="O14" s="859">
        <f t="shared" si="0"/>
        <v>5.630725909025907</v>
      </c>
      <c r="P14" s="860">
        <f t="shared" si="1"/>
        <v>1.6872479589838507</v>
      </c>
      <c r="Q14" s="861">
        <f t="shared" si="2"/>
        <v>7.3179738680097577</v>
      </c>
      <c r="R14" s="1401"/>
      <c r="S14" s="859">
        <f t="shared" si="3"/>
        <v>20.597880395264717</v>
      </c>
      <c r="T14" s="650">
        <f t="shared" si="4"/>
        <v>1.8146971780409822</v>
      </c>
    </row>
    <row r="15" spans="1:20" s="1404" customFormat="1" ht="15" customHeight="1">
      <c r="A15" s="1402"/>
      <c r="B15" s="1954"/>
      <c r="C15" s="863" t="s">
        <v>130</v>
      </c>
      <c r="D15" s="1066">
        <v>3.7012929872618234</v>
      </c>
      <c r="E15" s="1067">
        <v>4.7151035774017549</v>
      </c>
      <c r="F15" s="1067">
        <v>7.9283833739575034</v>
      </c>
      <c r="G15" s="1067">
        <v>7.6189741783397533</v>
      </c>
      <c r="H15" s="1068">
        <v>6.4010884313322345</v>
      </c>
      <c r="I15" s="1066">
        <v>5.7068118033005915</v>
      </c>
      <c r="J15" s="1067">
        <v>6.2968331946393361</v>
      </c>
      <c r="K15" s="1067">
        <v>6.3849975341844418</v>
      </c>
      <c r="L15" s="1067">
        <v>6.3108597748234549</v>
      </c>
      <c r="M15" s="1068">
        <v>6.5416231769979714</v>
      </c>
      <c r="N15" s="847"/>
      <c r="O15" s="859">
        <f t="shared" si="0"/>
        <v>23.963754116960835</v>
      </c>
      <c r="P15" s="860">
        <f t="shared" si="1"/>
        <v>6.4010884313322345</v>
      </c>
      <c r="Q15" s="861">
        <f t="shared" si="2"/>
        <v>30.364842548293069</v>
      </c>
      <c r="R15" s="1401"/>
      <c r="S15" s="859">
        <f t="shared" si="3"/>
        <v>31.241125483945794</v>
      </c>
      <c r="T15" s="650">
        <f t="shared" si="4"/>
        <v>2.8858471248749625E-2</v>
      </c>
    </row>
    <row r="16" spans="1:20" s="1404" customFormat="1" ht="15" customHeight="1">
      <c r="A16" s="1402"/>
      <c r="B16" s="1954"/>
      <c r="C16" s="862" t="s">
        <v>224</v>
      </c>
      <c r="D16" s="1066">
        <v>0.30818995772026564</v>
      </c>
      <c r="E16" s="1067">
        <v>0.14565821518070896</v>
      </c>
      <c r="F16" s="1067">
        <v>0.45304961075020383</v>
      </c>
      <c r="G16" s="1067">
        <v>0.82814625118588114</v>
      </c>
      <c r="H16" s="1068">
        <v>1.1793676441989054</v>
      </c>
      <c r="I16" s="1066">
        <v>1.0089988723374779</v>
      </c>
      <c r="J16" s="1067">
        <v>1.2277556458688326</v>
      </c>
      <c r="K16" s="1067">
        <v>1.2865517767139827</v>
      </c>
      <c r="L16" s="1067">
        <v>1.4581703470409069</v>
      </c>
      <c r="M16" s="1068">
        <v>1.7414157567270132</v>
      </c>
      <c r="N16" s="847"/>
      <c r="O16" s="859">
        <f t="shared" si="0"/>
        <v>1.7350440348370597</v>
      </c>
      <c r="P16" s="860">
        <f t="shared" si="1"/>
        <v>1.1793676441989054</v>
      </c>
      <c r="Q16" s="861">
        <f t="shared" si="2"/>
        <v>2.9144116790359651</v>
      </c>
      <c r="R16" s="1401"/>
      <c r="S16" s="859">
        <f t="shared" si="3"/>
        <v>6.722892398688213</v>
      </c>
      <c r="T16" s="650">
        <f t="shared" si="4"/>
        <v>1.3067751364872462</v>
      </c>
    </row>
    <row r="17" spans="1:20" s="1404" customFormat="1" ht="15" customHeight="1">
      <c r="A17" s="1402"/>
      <c r="B17" s="1954" t="s">
        <v>239</v>
      </c>
      <c r="C17" s="863" t="s">
        <v>225</v>
      </c>
      <c r="D17" s="1066">
        <v>4.8417882458104975</v>
      </c>
      <c r="E17" s="1067">
        <v>3.6531191082967447</v>
      </c>
      <c r="F17" s="1067">
        <v>3.9509381048745129</v>
      </c>
      <c r="G17" s="1067">
        <v>4.6011943559342603</v>
      </c>
      <c r="H17" s="1068">
        <v>5.6460014732326984</v>
      </c>
      <c r="I17" s="1066">
        <v>7.6997081336009137</v>
      </c>
      <c r="J17" s="1067">
        <v>15.421889915557122</v>
      </c>
      <c r="K17" s="1067">
        <v>9.6504629232756525</v>
      </c>
      <c r="L17" s="1067">
        <v>5.3692209467833738</v>
      </c>
      <c r="M17" s="1068">
        <v>5.3412732126506626</v>
      </c>
      <c r="N17" s="847"/>
      <c r="O17" s="859">
        <f t="shared" si="0"/>
        <v>17.047039814916015</v>
      </c>
      <c r="P17" s="860">
        <f t="shared" si="1"/>
        <v>5.6460014732326984</v>
      </c>
      <c r="Q17" s="861">
        <f t="shared" si="2"/>
        <v>22.693041288148713</v>
      </c>
      <c r="R17" s="1401"/>
      <c r="S17" s="859">
        <f t="shared" si="3"/>
        <v>43.48255513186772</v>
      </c>
      <c r="T17" s="650">
        <f t="shared" si="4"/>
        <v>0.91611845145569759</v>
      </c>
    </row>
    <row r="18" spans="1:20" s="1404" customFormat="1" ht="15" customHeight="1">
      <c r="A18" s="1402"/>
      <c r="B18" s="1954"/>
      <c r="C18" s="863" t="s">
        <v>878</v>
      </c>
      <c r="D18" s="1066">
        <v>0.92808627259375609</v>
      </c>
      <c r="E18" s="1067">
        <v>1.5841372278994461</v>
      </c>
      <c r="F18" s="1067">
        <v>2.6950610737186551</v>
      </c>
      <c r="G18" s="1067">
        <v>2.4510309203837473</v>
      </c>
      <c r="H18" s="1068">
        <v>2.386606181013728</v>
      </c>
      <c r="I18" s="1066">
        <v>3.2181385974600345</v>
      </c>
      <c r="J18" s="1067">
        <v>4.4051488459898867</v>
      </c>
      <c r="K18" s="1067">
        <v>4.0975366925523709</v>
      </c>
      <c r="L18" s="1067">
        <v>5.2496826059511914</v>
      </c>
      <c r="M18" s="1068">
        <v>5.8580818554309788</v>
      </c>
      <c r="N18" s="847"/>
      <c r="O18" s="859">
        <f t="shared" si="0"/>
        <v>7.6583154945956045</v>
      </c>
      <c r="P18" s="860">
        <f t="shared" si="1"/>
        <v>2.386606181013728</v>
      </c>
      <c r="Q18" s="861">
        <f t="shared" si="2"/>
        <v>10.044921675609332</v>
      </c>
      <c r="R18" s="1401"/>
      <c r="S18" s="859">
        <f t="shared" si="3"/>
        <v>22.828588597384464</v>
      </c>
      <c r="T18" s="650">
        <f t="shared" si="4"/>
        <v>1.272649736315606</v>
      </c>
    </row>
    <row r="19" spans="1:20" s="1404" customFormat="1" ht="15" customHeight="1">
      <c r="A19" s="1402"/>
      <c r="B19" s="1954"/>
      <c r="C19" s="862" t="s">
        <v>120</v>
      </c>
      <c r="D19" s="1066">
        <v>0</v>
      </c>
      <c r="E19" s="1067">
        <v>0</v>
      </c>
      <c r="F19" s="1067">
        <v>0</v>
      </c>
      <c r="G19" s="1067">
        <v>0</v>
      </c>
      <c r="H19" s="1068">
        <v>0</v>
      </c>
      <c r="I19" s="1066">
        <v>0</v>
      </c>
      <c r="J19" s="1067">
        <v>0</v>
      </c>
      <c r="K19" s="1067">
        <v>0</v>
      </c>
      <c r="L19" s="1067">
        <v>0</v>
      </c>
      <c r="M19" s="1068">
        <v>0</v>
      </c>
      <c r="N19" s="847"/>
      <c r="O19" s="859">
        <f t="shared" si="0"/>
        <v>0</v>
      </c>
      <c r="P19" s="860">
        <f t="shared" si="1"/>
        <v>0</v>
      </c>
      <c r="Q19" s="861">
        <f t="shared" si="2"/>
        <v>0</v>
      </c>
      <c r="R19" s="1401"/>
      <c r="S19" s="859">
        <f t="shared" si="3"/>
        <v>0</v>
      </c>
      <c r="T19" s="650" t="str">
        <f t="shared" si="4"/>
        <v>0</v>
      </c>
    </row>
    <row r="20" spans="1:20" s="1404" customFormat="1" ht="15" customHeight="1">
      <c r="A20" s="1402"/>
      <c r="B20" s="1954"/>
      <c r="C20" s="862" t="s">
        <v>224</v>
      </c>
      <c r="D20" s="1066">
        <v>2.3016836325420482</v>
      </c>
      <c r="E20" s="1067">
        <v>2.8986070473050329</v>
      </c>
      <c r="F20" s="1067">
        <v>3.7989188495811352</v>
      </c>
      <c r="G20" s="1067">
        <v>3.5700809059543301</v>
      </c>
      <c r="H20" s="1068">
        <v>3.4977983362719058</v>
      </c>
      <c r="I20" s="1066">
        <v>3.1531944804966363</v>
      </c>
      <c r="J20" s="1067">
        <v>7.062181752481445</v>
      </c>
      <c r="K20" s="1067">
        <v>5.4364236814138156</v>
      </c>
      <c r="L20" s="1067">
        <v>10.656603296391349</v>
      </c>
      <c r="M20" s="1068">
        <v>12.84042780640678</v>
      </c>
      <c r="N20" s="847"/>
      <c r="O20" s="859">
        <f t="shared" si="0"/>
        <v>12.569290435382545</v>
      </c>
      <c r="P20" s="860">
        <f t="shared" si="1"/>
        <v>3.4977983362719058</v>
      </c>
      <c r="Q20" s="861">
        <f t="shared" si="2"/>
        <v>16.067088771654451</v>
      </c>
      <c r="R20" s="1401"/>
      <c r="S20" s="859">
        <f t="shared" si="3"/>
        <v>39.148831017190027</v>
      </c>
      <c r="T20" s="650">
        <f t="shared" si="4"/>
        <v>1.4365852192374995</v>
      </c>
    </row>
    <row r="21" spans="1:20" s="1404" customFormat="1" ht="15" customHeight="1">
      <c r="A21" s="1402"/>
      <c r="B21" s="1954"/>
      <c r="C21" s="863" t="s">
        <v>868</v>
      </c>
      <c r="D21" s="1066">
        <v>1.0001372383832423</v>
      </c>
      <c r="E21" s="1067">
        <v>0.95540676470369701</v>
      </c>
      <c r="F21" s="1067">
        <v>1.1113831574263524</v>
      </c>
      <c r="G21" s="1067">
        <v>1.4716935021218946</v>
      </c>
      <c r="H21" s="1068">
        <v>1.6184212972289407</v>
      </c>
      <c r="I21" s="1066">
        <v>3.0137130094385167</v>
      </c>
      <c r="J21" s="1067">
        <v>3.9567940377787099</v>
      </c>
      <c r="K21" s="1067">
        <v>4.0566534037213318</v>
      </c>
      <c r="L21" s="1067">
        <v>4.3212259462208467</v>
      </c>
      <c r="M21" s="1068">
        <v>5.0834640516003082</v>
      </c>
      <c r="N21" s="847"/>
      <c r="O21" s="859">
        <f t="shared" si="0"/>
        <v>4.5386206626351866</v>
      </c>
      <c r="P21" s="860">
        <f t="shared" si="1"/>
        <v>1.6184212972289407</v>
      </c>
      <c r="Q21" s="861">
        <f t="shared" si="2"/>
        <v>6.1570419598641273</v>
      </c>
      <c r="R21" s="1401"/>
      <c r="S21" s="859">
        <f t="shared" si="3"/>
        <v>20.431850448759715</v>
      </c>
      <c r="T21" s="650">
        <f t="shared" si="4"/>
        <v>2.3184523642925767</v>
      </c>
    </row>
    <row r="22" spans="1:20" s="1404" customFormat="1" ht="15" customHeight="1">
      <c r="A22" s="1402"/>
      <c r="B22" s="1954"/>
      <c r="C22" s="863" t="s">
        <v>869</v>
      </c>
      <c r="D22" s="1066">
        <v>1.4808769402748174</v>
      </c>
      <c r="E22" s="1067">
        <v>1.9551936125964231</v>
      </c>
      <c r="F22" s="1067">
        <v>5.6965713049845066</v>
      </c>
      <c r="G22" s="1067">
        <v>3.0705473673499872</v>
      </c>
      <c r="H22" s="1068">
        <v>1.0384193936590156</v>
      </c>
      <c r="I22" s="1066">
        <v>1.6276005704736711</v>
      </c>
      <c r="J22" s="1067">
        <v>1.632775082218904</v>
      </c>
      <c r="K22" s="1067">
        <v>1.6891252475669729</v>
      </c>
      <c r="L22" s="1067">
        <v>1.5805846528282383</v>
      </c>
      <c r="M22" s="1068">
        <v>1.572357433257781</v>
      </c>
      <c r="N22" s="847"/>
      <c r="O22" s="859">
        <f t="shared" si="0"/>
        <v>12.203189225205733</v>
      </c>
      <c r="P22" s="860">
        <f t="shared" si="1"/>
        <v>1.0384193936590156</v>
      </c>
      <c r="Q22" s="861">
        <f t="shared" si="2"/>
        <v>13.241608618864749</v>
      </c>
      <c r="R22" s="1401"/>
      <c r="S22" s="859">
        <f t="shared" si="3"/>
        <v>8.1024429863455687</v>
      </c>
      <c r="T22" s="650">
        <f t="shared" si="4"/>
        <v>-0.38810735012947239</v>
      </c>
    </row>
    <row r="23" spans="1:20" s="1404" customFormat="1" ht="15" customHeight="1">
      <c r="A23" s="1402"/>
      <c r="B23" s="1954" t="s">
        <v>245</v>
      </c>
      <c r="C23" s="863" t="s">
        <v>225</v>
      </c>
      <c r="D23" s="1066">
        <v>1.4128408490660982</v>
      </c>
      <c r="E23" s="1067">
        <v>0.93899893474323826</v>
      </c>
      <c r="F23" s="1067">
        <v>1.0668936591236149</v>
      </c>
      <c r="G23" s="1067">
        <v>1.0231105445473696</v>
      </c>
      <c r="H23" s="1068">
        <v>1.387387956284845</v>
      </c>
      <c r="I23" s="1066">
        <v>2.8242609332095361</v>
      </c>
      <c r="J23" s="1067">
        <v>1.695591796369188</v>
      </c>
      <c r="K23" s="1067">
        <v>3.7480487341421096</v>
      </c>
      <c r="L23" s="1067">
        <v>1.0464280597943092</v>
      </c>
      <c r="M23" s="1068">
        <v>3.3829010906273407</v>
      </c>
      <c r="N23" s="847"/>
      <c r="O23" s="859">
        <f t="shared" si="0"/>
        <v>4.4418439874803211</v>
      </c>
      <c r="P23" s="860">
        <f t="shared" si="1"/>
        <v>1.387387956284845</v>
      </c>
      <c r="Q23" s="861">
        <f t="shared" si="2"/>
        <v>5.8292319437651656</v>
      </c>
      <c r="R23" s="1401"/>
      <c r="S23" s="859">
        <f t="shared" si="3"/>
        <v>12.697230614142482</v>
      </c>
      <c r="T23" s="650">
        <f t="shared" si="4"/>
        <v>1.1781995872926614</v>
      </c>
    </row>
    <row r="24" spans="1:20" s="1404" customFormat="1" ht="15" customHeight="1">
      <c r="A24" s="1402"/>
      <c r="B24" s="1954"/>
      <c r="C24" s="863" t="s">
        <v>878</v>
      </c>
      <c r="D24" s="1066">
        <v>2.5138835904107069</v>
      </c>
      <c r="E24" s="1067">
        <v>2.5538323936697078</v>
      </c>
      <c r="F24" s="1067">
        <v>5.235244059931853</v>
      </c>
      <c r="G24" s="1067">
        <v>7.0196003796643005</v>
      </c>
      <c r="H24" s="1068">
        <v>0.88105557496978137</v>
      </c>
      <c r="I24" s="1066">
        <v>1.9455756890812035</v>
      </c>
      <c r="J24" s="1067">
        <v>2.23624537057314</v>
      </c>
      <c r="K24" s="1067">
        <v>1.8877212367368394</v>
      </c>
      <c r="L24" s="1067">
        <v>4.5740512748414446</v>
      </c>
      <c r="M24" s="1068">
        <v>5.6648239721067855</v>
      </c>
      <c r="N24" s="847"/>
      <c r="O24" s="859">
        <f t="shared" si="0"/>
        <v>17.32256042367657</v>
      </c>
      <c r="P24" s="860">
        <f t="shared" si="1"/>
        <v>0.88105557496978137</v>
      </c>
      <c r="Q24" s="861">
        <f t="shared" si="2"/>
        <v>18.203615998646352</v>
      </c>
      <c r="R24" s="1401"/>
      <c r="S24" s="859">
        <f t="shared" si="3"/>
        <v>16.308417543339413</v>
      </c>
      <c r="T24" s="650">
        <f t="shared" si="4"/>
        <v>-0.10411109833605967</v>
      </c>
    </row>
    <row r="25" spans="1:20" s="1404" customFormat="1" ht="15" customHeight="1">
      <c r="A25" s="1402"/>
      <c r="B25" s="1954"/>
      <c r="C25" s="863" t="s">
        <v>120</v>
      </c>
      <c r="D25" s="1066">
        <v>0</v>
      </c>
      <c r="E25" s="1067">
        <v>0</v>
      </c>
      <c r="F25" s="1067">
        <v>0</v>
      </c>
      <c r="G25" s="1067">
        <v>0</v>
      </c>
      <c r="H25" s="1068">
        <v>0</v>
      </c>
      <c r="I25" s="1066">
        <v>0</v>
      </c>
      <c r="J25" s="1067">
        <v>0</v>
      </c>
      <c r="K25" s="1067">
        <v>0</v>
      </c>
      <c r="L25" s="1067">
        <v>0</v>
      </c>
      <c r="M25" s="1068">
        <v>0</v>
      </c>
      <c r="N25" s="847"/>
      <c r="O25" s="859">
        <f t="shared" si="0"/>
        <v>0</v>
      </c>
      <c r="P25" s="860">
        <f t="shared" si="1"/>
        <v>0</v>
      </c>
      <c r="Q25" s="861">
        <f t="shared" si="2"/>
        <v>0</v>
      </c>
      <c r="R25" s="1401"/>
      <c r="S25" s="859">
        <f t="shared" si="3"/>
        <v>0</v>
      </c>
      <c r="T25" s="650" t="str">
        <f t="shared" si="4"/>
        <v>0</v>
      </c>
    </row>
    <row r="26" spans="1:20" s="1404" customFormat="1" ht="15" customHeight="1">
      <c r="A26" s="1402"/>
      <c r="B26" s="1954"/>
      <c r="C26" s="863" t="s">
        <v>224</v>
      </c>
      <c r="D26" s="1066">
        <v>0.97900740122005747</v>
      </c>
      <c r="E26" s="1067">
        <v>0.59252535964318098</v>
      </c>
      <c r="F26" s="1067">
        <v>1.2475600057165788</v>
      </c>
      <c r="G26" s="1067">
        <v>0.77839278034302573</v>
      </c>
      <c r="H26" s="1068">
        <v>0.16782946217012026</v>
      </c>
      <c r="I26" s="1066">
        <v>0.55014918056235529</v>
      </c>
      <c r="J26" s="1067">
        <v>0.53878860819846797</v>
      </c>
      <c r="K26" s="1067">
        <v>1.7998831767234649</v>
      </c>
      <c r="L26" s="1067">
        <v>3.0927458773130465</v>
      </c>
      <c r="M26" s="1068">
        <v>5.3426802889023435</v>
      </c>
      <c r="N26" s="847"/>
      <c r="O26" s="859">
        <f t="shared" si="0"/>
        <v>3.5974855469228428</v>
      </c>
      <c r="P26" s="860">
        <f t="shared" si="1"/>
        <v>0.16782946217012026</v>
      </c>
      <c r="Q26" s="861">
        <f t="shared" si="2"/>
        <v>3.765315009092963</v>
      </c>
      <c r="R26" s="1401"/>
      <c r="S26" s="859">
        <f t="shared" si="3"/>
        <v>11.324247131699678</v>
      </c>
      <c r="T26" s="650">
        <f t="shared" si="4"/>
        <v>2.0075165303175013</v>
      </c>
    </row>
    <row r="27" spans="1:20" s="1404" customFormat="1" ht="15" customHeight="1">
      <c r="A27" s="1402"/>
      <c r="B27" s="1954"/>
      <c r="C27" s="863" t="s">
        <v>868</v>
      </c>
      <c r="D27" s="1066">
        <v>1.1515395421748051</v>
      </c>
      <c r="E27" s="1067">
        <v>2.0152166629489066</v>
      </c>
      <c r="F27" s="1067">
        <v>1.2579381367623044</v>
      </c>
      <c r="G27" s="1067">
        <v>1.6470130862124261</v>
      </c>
      <c r="H27" s="1068">
        <v>2.1175921438031842</v>
      </c>
      <c r="I27" s="1066">
        <v>2.8041639516418946</v>
      </c>
      <c r="J27" s="1067">
        <v>2.7661917812864898</v>
      </c>
      <c r="K27" s="1067">
        <v>3.8045262880150625</v>
      </c>
      <c r="L27" s="1067">
        <v>4.4155339059828167</v>
      </c>
      <c r="M27" s="1068">
        <v>1.337005157096768</v>
      </c>
      <c r="N27" s="847"/>
      <c r="O27" s="859">
        <f t="shared" si="0"/>
        <v>6.071707428098442</v>
      </c>
      <c r="P27" s="860">
        <f t="shared" si="1"/>
        <v>2.1175921438031842</v>
      </c>
      <c r="Q27" s="861">
        <f t="shared" si="2"/>
        <v>8.1892995719016266</v>
      </c>
      <c r="R27" s="1401"/>
      <c r="S27" s="859">
        <f t="shared" si="3"/>
        <v>15.12742108402303</v>
      </c>
      <c r="T27" s="650">
        <f t="shared" si="4"/>
        <v>0.84721793985005134</v>
      </c>
    </row>
    <row r="28" spans="1:20" s="1404" customFormat="1" ht="15" customHeight="1">
      <c r="A28" s="1402"/>
      <c r="B28" s="1954"/>
      <c r="C28" s="862" t="s">
        <v>869</v>
      </c>
      <c r="D28" s="1066">
        <v>0.68531117484757709</v>
      </c>
      <c r="E28" s="1067">
        <v>0.57054391942919724</v>
      </c>
      <c r="F28" s="1067">
        <v>2.2033037400495821</v>
      </c>
      <c r="G28" s="1067">
        <v>2.3447207071068257</v>
      </c>
      <c r="H28" s="1068">
        <v>0.3651020937591698</v>
      </c>
      <c r="I28" s="1066">
        <v>0.538591343961069</v>
      </c>
      <c r="J28" s="1067">
        <v>0.62088581955283495</v>
      </c>
      <c r="K28" s="1067">
        <v>1.3625483147734012</v>
      </c>
      <c r="L28" s="1067">
        <v>0.81644387082852687</v>
      </c>
      <c r="M28" s="1068">
        <v>0.90942526584505512</v>
      </c>
      <c r="N28" s="847"/>
      <c r="O28" s="859">
        <f t="shared" si="0"/>
        <v>5.8038795414331821</v>
      </c>
      <c r="P28" s="860">
        <f t="shared" si="1"/>
        <v>0.3651020937591698</v>
      </c>
      <c r="Q28" s="861">
        <f t="shared" si="2"/>
        <v>6.1689816351923517</v>
      </c>
      <c r="R28" s="1401"/>
      <c r="S28" s="859">
        <f t="shared" si="3"/>
        <v>4.2478946149608872</v>
      </c>
      <c r="T28" s="650">
        <f t="shared" si="4"/>
        <v>-0.31141072122377361</v>
      </c>
    </row>
    <row r="29" spans="1:20" s="1404" customFormat="1" ht="15" customHeight="1">
      <c r="A29" s="1402"/>
      <c r="B29" s="1954" t="s">
        <v>243</v>
      </c>
      <c r="C29" s="863" t="s">
        <v>225</v>
      </c>
      <c r="D29" s="1066">
        <v>4.5164012503985038</v>
      </c>
      <c r="E29" s="1067">
        <v>2.7911279343349804</v>
      </c>
      <c r="F29" s="1067">
        <v>1.6062992602216393</v>
      </c>
      <c r="G29" s="1067">
        <v>1.5523465068388831</v>
      </c>
      <c r="H29" s="1068">
        <v>6.0921200472344879</v>
      </c>
      <c r="I29" s="1066">
        <v>5.2673398639000242</v>
      </c>
      <c r="J29" s="1067">
        <v>5.3620947363569913</v>
      </c>
      <c r="K29" s="1067">
        <v>9.642654679855756</v>
      </c>
      <c r="L29" s="1067">
        <v>3.5344921376583591</v>
      </c>
      <c r="M29" s="1068">
        <v>3.4001243367731444</v>
      </c>
      <c r="N29" s="847"/>
      <c r="O29" s="859">
        <f t="shared" si="0"/>
        <v>10.466174951794008</v>
      </c>
      <c r="P29" s="860">
        <f t="shared" si="1"/>
        <v>6.0921200472344879</v>
      </c>
      <c r="Q29" s="861">
        <f t="shared" si="2"/>
        <v>16.558294999028497</v>
      </c>
      <c r="R29" s="1401"/>
      <c r="S29" s="859">
        <f t="shared" si="3"/>
        <v>27.206705754544274</v>
      </c>
      <c r="T29" s="650">
        <f t="shared" si="4"/>
        <v>0.64308618466699241</v>
      </c>
    </row>
    <row r="30" spans="1:20" s="1404" customFormat="1" ht="15" customHeight="1">
      <c r="A30" s="1402"/>
      <c r="B30" s="1954"/>
      <c r="C30" s="863" t="s">
        <v>878</v>
      </c>
      <c r="D30" s="1066">
        <v>2.2746686419985513</v>
      </c>
      <c r="E30" s="1067">
        <v>4.5285317950926505</v>
      </c>
      <c r="F30" s="1067">
        <v>3.9970783410269783</v>
      </c>
      <c r="G30" s="1067">
        <v>3.9025881610515665</v>
      </c>
      <c r="H30" s="1068">
        <v>0.75445026378038027</v>
      </c>
      <c r="I30" s="1066">
        <v>2.9989008174314642</v>
      </c>
      <c r="J30" s="1067">
        <v>1.4379104079686691</v>
      </c>
      <c r="K30" s="1067">
        <v>2.0940678119530034</v>
      </c>
      <c r="L30" s="1067">
        <v>0.83461642498041833</v>
      </c>
      <c r="M30" s="1068">
        <v>0</v>
      </c>
      <c r="N30" s="847"/>
      <c r="O30" s="859">
        <f t="shared" si="0"/>
        <v>14.702866939169747</v>
      </c>
      <c r="P30" s="860">
        <f t="shared" si="1"/>
        <v>0.75445026378038027</v>
      </c>
      <c r="Q30" s="861">
        <f t="shared" si="2"/>
        <v>15.457317202950128</v>
      </c>
      <c r="R30" s="1401"/>
      <c r="S30" s="859">
        <f t="shared" si="3"/>
        <v>7.3654954623335547</v>
      </c>
      <c r="T30" s="650">
        <f t="shared" si="4"/>
        <v>-0.52349457764069163</v>
      </c>
    </row>
    <row r="31" spans="1:20" s="1404" customFormat="1" ht="15" customHeight="1">
      <c r="A31" s="1402"/>
      <c r="B31" s="1954"/>
      <c r="C31" s="862" t="s">
        <v>879</v>
      </c>
      <c r="D31" s="1066">
        <v>0</v>
      </c>
      <c r="E31" s="1067">
        <v>0</v>
      </c>
      <c r="F31" s="1067">
        <v>0</v>
      </c>
      <c r="G31" s="1067">
        <v>0</v>
      </c>
      <c r="H31" s="1068">
        <v>0</v>
      </c>
      <c r="I31" s="1066">
        <v>0</v>
      </c>
      <c r="J31" s="1067">
        <v>0</v>
      </c>
      <c r="K31" s="1067">
        <v>0</v>
      </c>
      <c r="L31" s="1067">
        <v>0</v>
      </c>
      <c r="M31" s="1068">
        <v>0</v>
      </c>
      <c r="N31" s="847"/>
      <c r="O31" s="859">
        <f t="shared" si="0"/>
        <v>0</v>
      </c>
      <c r="P31" s="860">
        <f t="shared" si="1"/>
        <v>0</v>
      </c>
      <c r="Q31" s="861">
        <f t="shared" si="2"/>
        <v>0</v>
      </c>
      <c r="R31" s="1401"/>
      <c r="S31" s="859">
        <f t="shared" si="3"/>
        <v>0</v>
      </c>
      <c r="T31" s="650" t="str">
        <f t="shared" si="4"/>
        <v>0</v>
      </c>
    </row>
    <row r="32" spans="1:20" s="1404" customFormat="1" ht="15" customHeight="1">
      <c r="A32" s="1402"/>
      <c r="B32" s="1954"/>
      <c r="C32" s="862" t="s">
        <v>224</v>
      </c>
      <c r="D32" s="1066">
        <v>1.0768725640752552</v>
      </c>
      <c r="E32" s="1067">
        <v>4.9856304284907473</v>
      </c>
      <c r="F32" s="1067">
        <v>3.7643387425906738</v>
      </c>
      <c r="G32" s="1067">
        <v>5.6831053646087506</v>
      </c>
      <c r="H32" s="1068">
        <v>7.1322381040794021</v>
      </c>
      <c r="I32" s="1066">
        <v>4.6152325006506709</v>
      </c>
      <c r="J32" s="1067">
        <v>1.3168071912928616</v>
      </c>
      <c r="K32" s="1067">
        <v>4.9303033138373653</v>
      </c>
      <c r="L32" s="1067">
        <v>4.6697834198224006</v>
      </c>
      <c r="M32" s="1068">
        <v>4.9476903570576951</v>
      </c>
      <c r="N32" s="847"/>
      <c r="O32" s="859">
        <f t="shared" si="0"/>
        <v>15.509947099765427</v>
      </c>
      <c r="P32" s="860">
        <f t="shared" si="1"/>
        <v>7.1322381040794021</v>
      </c>
      <c r="Q32" s="861">
        <f t="shared" si="2"/>
        <v>22.642185203844829</v>
      </c>
      <c r="R32" s="1401"/>
      <c r="S32" s="859">
        <f t="shared" si="3"/>
        <v>20.479816782660993</v>
      </c>
      <c r="T32" s="650">
        <f t="shared" si="4"/>
        <v>-9.5501754875525327E-2</v>
      </c>
    </row>
    <row r="33" spans="1:20" s="1404" customFormat="1" ht="15" customHeight="1">
      <c r="A33" s="1402"/>
      <c r="B33" s="1954"/>
      <c r="C33" s="862" t="s">
        <v>868</v>
      </c>
      <c r="D33" s="1066">
        <v>0.3487470005793884</v>
      </c>
      <c r="E33" s="1067">
        <v>1.5711627570449711</v>
      </c>
      <c r="F33" s="1067">
        <v>0.48176895929979924</v>
      </c>
      <c r="G33" s="1067">
        <v>3.7991963210233144</v>
      </c>
      <c r="H33" s="1068">
        <v>2.8231775828647625</v>
      </c>
      <c r="I33" s="1066">
        <v>4.8568522979232274</v>
      </c>
      <c r="J33" s="1067">
        <v>6.0464839095762519</v>
      </c>
      <c r="K33" s="1067">
        <v>5.132868054635896</v>
      </c>
      <c r="L33" s="1067">
        <v>4.8183868118889359</v>
      </c>
      <c r="M33" s="1068">
        <v>2.2157993350521155</v>
      </c>
      <c r="N33" s="847"/>
      <c r="O33" s="859">
        <f t="shared" si="0"/>
        <v>6.2008750379474726</v>
      </c>
      <c r="P33" s="860">
        <f t="shared" si="1"/>
        <v>2.8231775828647625</v>
      </c>
      <c r="Q33" s="861">
        <f t="shared" si="2"/>
        <v>9.0240526208122347</v>
      </c>
      <c r="R33" s="1401"/>
      <c r="S33" s="859">
        <f t="shared" si="3"/>
        <v>23.070390409076424</v>
      </c>
      <c r="T33" s="650">
        <f t="shared" si="4"/>
        <v>1.5565443131247954</v>
      </c>
    </row>
    <row r="34" spans="1:20" s="1404" customFormat="1" ht="15" customHeight="1">
      <c r="A34" s="1402"/>
      <c r="B34" s="1954"/>
      <c r="C34" s="862" t="s">
        <v>869</v>
      </c>
      <c r="D34" s="1066">
        <v>0.56440142013187866</v>
      </c>
      <c r="E34" s="1067">
        <v>2.2542601623602696</v>
      </c>
      <c r="F34" s="1067">
        <v>1.6974241654593003</v>
      </c>
      <c r="G34" s="1067">
        <v>2.0570290322122262</v>
      </c>
      <c r="H34" s="1068">
        <v>0.1477865355103585</v>
      </c>
      <c r="I34" s="1066">
        <v>0.40038729204692436</v>
      </c>
      <c r="J34" s="1067">
        <v>0.37795542265531601</v>
      </c>
      <c r="K34" s="1067">
        <v>0.36695113527213846</v>
      </c>
      <c r="L34" s="1067">
        <v>0.35100690770204507</v>
      </c>
      <c r="M34" s="1068">
        <v>0.35368715816933477</v>
      </c>
      <c r="N34" s="847"/>
      <c r="O34" s="859">
        <f t="shared" si="0"/>
        <v>6.5731147801636745</v>
      </c>
      <c r="P34" s="860">
        <f t="shared" si="1"/>
        <v>0.1477865355103585</v>
      </c>
      <c r="Q34" s="861">
        <f t="shared" si="2"/>
        <v>6.7209013156740331</v>
      </c>
      <c r="R34" s="1401"/>
      <c r="S34" s="859">
        <f t="shared" si="3"/>
        <v>1.8499879158457586</v>
      </c>
      <c r="T34" s="650">
        <f t="shared" si="4"/>
        <v>-0.72474109811263832</v>
      </c>
    </row>
    <row r="35" spans="1:20" s="1404" customFormat="1" ht="15" customHeight="1" thickBot="1">
      <c r="A35" s="1402"/>
      <c r="B35" s="1409" t="s">
        <v>880</v>
      </c>
      <c r="C35" s="1410"/>
      <c r="D35" s="864">
        <v>33.213950233916712</v>
      </c>
      <c r="E35" s="865">
        <v>41.722922359321927</v>
      </c>
      <c r="F35" s="865">
        <v>54.570303711593894</v>
      </c>
      <c r="G35" s="865">
        <v>58.390471271983976</v>
      </c>
      <c r="H35" s="866">
        <v>47.792479326937006</v>
      </c>
      <c r="I35" s="864">
        <v>63.4579978878117</v>
      </c>
      <c r="J35" s="865">
        <v>71.636496457784119</v>
      </c>
      <c r="K35" s="865">
        <v>75.697655676167031</v>
      </c>
      <c r="L35" s="865">
        <v>67.88411055475612</v>
      </c>
      <c r="M35" s="866">
        <v>71.261864989235008</v>
      </c>
      <c r="N35" s="847"/>
      <c r="O35" s="867">
        <f t="shared" si="0"/>
        <v>187.8976475768165</v>
      </c>
      <c r="P35" s="868">
        <f t="shared" si="1"/>
        <v>47.792479326937006</v>
      </c>
      <c r="Q35" s="869">
        <f t="shared" si="2"/>
        <v>235.69012690375351</v>
      </c>
      <c r="R35" s="1401"/>
      <c r="S35" s="867">
        <f t="shared" si="3"/>
        <v>349.93812556575398</v>
      </c>
      <c r="T35" s="682">
        <f t="shared" si="4"/>
        <v>0.48473816091861505</v>
      </c>
    </row>
    <row r="36" spans="1:20" s="1404" customFormat="1" ht="12.75">
      <c r="A36" s="1402"/>
      <c r="B36" s="1411"/>
      <c r="C36" s="1411"/>
      <c r="D36" s="870"/>
      <c r="E36" s="870"/>
      <c r="F36" s="870"/>
      <c r="G36" s="870"/>
      <c r="H36" s="870"/>
      <c r="I36" s="870"/>
      <c r="J36" s="870"/>
      <c r="K36" s="870"/>
      <c r="L36" s="870"/>
      <c r="M36" s="870"/>
      <c r="N36" s="847"/>
      <c r="O36" s="847"/>
      <c r="P36" s="847"/>
      <c r="Q36" s="847"/>
    </row>
    <row r="37" spans="1:20" s="1404" customFormat="1" ht="12.75">
      <c r="A37" s="1402"/>
      <c r="B37" s="847"/>
      <c r="C37" s="847"/>
      <c r="D37" s="847"/>
      <c r="E37" s="847"/>
      <c r="F37" s="847"/>
      <c r="G37" s="847"/>
      <c r="H37" s="847"/>
      <c r="I37" s="847"/>
      <c r="J37" s="847"/>
      <c r="K37" s="847"/>
      <c r="L37" s="847"/>
      <c r="M37" s="847"/>
      <c r="N37" s="847"/>
      <c r="O37" s="847"/>
      <c r="P37" s="847"/>
      <c r="Q37" s="847"/>
    </row>
    <row r="38" spans="1:20" s="1404" customFormat="1" ht="15" customHeight="1">
      <c r="A38" s="1402"/>
      <c r="B38" s="845" t="s">
        <v>884</v>
      </c>
      <c r="C38" s="847"/>
      <c r="D38" s="847"/>
      <c r="E38" s="847"/>
      <c r="F38" s="847"/>
      <c r="G38" s="847"/>
      <c r="H38" s="847"/>
      <c r="I38" s="847"/>
      <c r="J38" s="847"/>
      <c r="K38" s="847"/>
      <c r="L38" s="847"/>
      <c r="M38" s="847"/>
      <c r="O38" s="847"/>
      <c r="P38" s="847"/>
      <c r="Q38" s="847"/>
    </row>
    <row r="39" spans="1:20" s="1404" customFormat="1" ht="13.5" thickBot="1">
      <c r="A39" s="1402"/>
      <c r="B39" s="847"/>
      <c r="C39" s="847"/>
      <c r="D39" s="847"/>
      <c r="E39" s="847"/>
      <c r="F39" s="847"/>
      <c r="G39" s="847"/>
      <c r="H39" s="847"/>
      <c r="I39" s="847"/>
      <c r="J39" s="847"/>
      <c r="K39" s="847"/>
      <c r="L39" s="847"/>
      <c r="M39" s="847"/>
      <c r="N39" s="1401"/>
      <c r="O39" s="847"/>
      <c r="P39" s="847"/>
      <c r="Q39" s="847"/>
    </row>
    <row r="40" spans="1:20" s="1404" customFormat="1" ht="15" customHeight="1">
      <c r="A40" s="1402"/>
      <c r="B40" s="1946" t="s">
        <v>113</v>
      </c>
      <c r="C40" s="1947"/>
      <c r="D40" s="1406" t="s">
        <v>114</v>
      </c>
      <c r="E40" s="1406"/>
      <c r="F40" s="1406"/>
      <c r="G40" s="1406"/>
      <c r="H40" s="1407"/>
      <c r="I40" s="1405" t="s">
        <v>115</v>
      </c>
      <c r="J40" s="1406"/>
      <c r="K40" s="1406"/>
      <c r="L40" s="1406"/>
      <c r="M40" s="1407"/>
      <c r="N40" s="1401"/>
      <c r="O40" s="510" t="s">
        <v>116</v>
      </c>
      <c r="P40" s="511"/>
      <c r="Q40" s="512"/>
      <c r="R40" s="1401"/>
      <c r="S40" s="510" t="s">
        <v>117</v>
      </c>
      <c r="T40" s="512"/>
    </row>
    <row r="41" spans="1:20" s="1404" customFormat="1" ht="15" customHeight="1">
      <c r="A41" s="1402"/>
      <c r="B41" s="1948"/>
      <c r="C41" s="1949"/>
      <c r="D41" s="853" t="s">
        <v>32</v>
      </c>
      <c r="E41" s="851" t="s">
        <v>33</v>
      </c>
      <c r="F41" s="851" t="s">
        <v>29</v>
      </c>
      <c r="G41" s="851" t="s">
        <v>34</v>
      </c>
      <c r="H41" s="852" t="s">
        <v>35</v>
      </c>
      <c r="I41" s="850" t="s">
        <v>118</v>
      </c>
      <c r="J41" s="851" t="s">
        <v>136</v>
      </c>
      <c r="K41" s="851" t="s">
        <v>137</v>
      </c>
      <c r="L41" s="851" t="s">
        <v>138</v>
      </c>
      <c r="M41" s="852" t="s">
        <v>139</v>
      </c>
      <c r="N41" s="1401"/>
      <c r="O41" s="517" t="s">
        <v>126</v>
      </c>
      <c r="P41" s="518" t="s">
        <v>127</v>
      </c>
      <c r="Q41" s="519" t="s">
        <v>246</v>
      </c>
      <c r="R41" s="1401"/>
      <c r="S41" s="517" t="s">
        <v>127</v>
      </c>
      <c r="T41" s="519" t="s">
        <v>128</v>
      </c>
    </row>
    <row r="42" spans="1:20" s="1404" customFormat="1" ht="15" customHeight="1">
      <c r="A42" s="1402"/>
      <c r="B42" s="1950"/>
      <c r="C42" s="1951"/>
      <c r="D42" s="853" t="s">
        <v>14</v>
      </c>
      <c r="E42" s="851" t="s">
        <v>14</v>
      </c>
      <c r="F42" s="851" t="s">
        <v>14</v>
      </c>
      <c r="G42" s="851" t="s">
        <v>14</v>
      </c>
      <c r="H42" s="852" t="s">
        <v>14</v>
      </c>
      <c r="I42" s="853" t="s">
        <v>14</v>
      </c>
      <c r="J42" s="851" t="s">
        <v>14</v>
      </c>
      <c r="K42" s="851" t="s">
        <v>14</v>
      </c>
      <c r="L42" s="851" t="s">
        <v>14</v>
      </c>
      <c r="M42" s="852" t="s">
        <v>14</v>
      </c>
      <c r="N42" s="847"/>
      <c r="O42" s="854"/>
      <c r="P42" s="855"/>
      <c r="Q42" s="856"/>
      <c r="R42" s="1401"/>
      <c r="S42" s="857"/>
      <c r="T42" s="858"/>
    </row>
    <row r="43" spans="1:20" s="1404" customFormat="1" ht="15" customHeight="1">
      <c r="A43" s="1402"/>
      <c r="B43" s="1957" t="s">
        <v>103</v>
      </c>
      <c r="C43" s="1408" t="s">
        <v>104</v>
      </c>
      <c r="D43" s="1069">
        <v>0.29943695880503757</v>
      </c>
      <c r="E43" s="1069">
        <v>0.34314211987273269</v>
      </c>
      <c r="F43" s="1069">
        <v>0.49641498621763214</v>
      </c>
      <c r="G43" s="1069">
        <v>0.7245404419894147</v>
      </c>
      <c r="H43" s="1070">
        <v>0</v>
      </c>
      <c r="I43" s="1071">
        <v>0</v>
      </c>
      <c r="J43" s="1072">
        <v>0</v>
      </c>
      <c r="K43" s="1072">
        <v>0</v>
      </c>
      <c r="L43" s="1072">
        <v>0</v>
      </c>
      <c r="M43" s="1073">
        <v>0</v>
      </c>
      <c r="N43" s="847"/>
      <c r="O43" s="859">
        <f t="shared" ref="O43:O68" si="5">SUM(D43:G43)</f>
        <v>1.8635345068848173</v>
      </c>
      <c r="P43" s="860">
        <f t="shared" ref="P43:P68" si="6">H43</f>
        <v>0</v>
      </c>
      <c r="Q43" s="861">
        <f t="shared" ref="Q43:Q68" si="7">SUM(D43:H43)</f>
        <v>1.8635345068848173</v>
      </c>
      <c r="R43" s="1401"/>
      <c r="S43" s="859">
        <f t="shared" ref="S43:S68" si="8">SUM(I43:M43)</f>
        <v>0</v>
      </c>
      <c r="T43" s="650">
        <f t="shared" ref="T43:T68" si="9">IF(Q43&lt;&gt;0,(S43-Q43)/Q43,"0")</f>
        <v>-1</v>
      </c>
    </row>
    <row r="44" spans="1:20" s="1404" customFormat="1" ht="15" customHeight="1">
      <c r="A44" s="1402"/>
      <c r="B44" s="1958"/>
      <c r="C44" s="863" t="s">
        <v>105</v>
      </c>
      <c r="D44" s="1074">
        <v>1.665766641298013</v>
      </c>
      <c r="E44" s="1074">
        <v>1.4447684713936488</v>
      </c>
      <c r="F44" s="1074">
        <v>3.4424859961766026</v>
      </c>
      <c r="G44" s="1074">
        <v>2.755198980953748</v>
      </c>
      <c r="H44" s="1075">
        <v>2.2312420944391329</v>
      </c>
      <c r="I44" s="1076">
        <v>3.9538919436549795</v>
      </c>
      <c r="J44" s="1077">
        <v>3.3223401237012431</v>
      </c>
      <c r="K44" s="1077">
        <v>3.385176631815737</v>
      </c>
      <c r="L44" s="1077">
        <v>2.9094320841469639</v>
      </c>
      <c r="M44" s="1078">
        <v>2.875869987811889</v>
      </c>
      <c r="N44" s="847"/>
      <c r="O44" s="859">
        <f t="shared" si="5"/>
        <v>9.3082200898220133</v>
      </c>
      <c r="P44" s="860">
        <f t="shared" si="6"/>
        <v>2.2312420944391329</v>
      </c>
      <c r="Q44" s="861">
        <f t="shared" si="7"/>
        <v>11.539462184261147</v>
      </c>
      <c r="R44" s="1401"/>
      <c r="S44" s="859">
        <f t="shared" si="8"/>
        <v>16.44671077113081</v>
      </c>
      <c r="T44" s="650">
        <f t="shared" si="9"/>
        <v>0.42525799803414893</v>
      </c>
    </row>
    <row r="45" spans="1:20" s="1404" customFormat="1" ht="15" customHeight="1">
      <c r="A45" s="1402"/>
      <c r="B45" s="1958" t="s">
        <v>106</v>
      </c>
      <c r="C45" s="863" t="s">
        <v>104</v>
      </c>
      <c r="D45" s="1074">
        <v>0</v>
      </c>
      <c r="E45" s="1074">
        <v>0</v>
      </c>
      <c r="F45" s="1074">
        <v>0</v>
      </c>
      <c r="G45" s="1074">
        <v>0</v>
      </c>
      <c r="H45" s="1075">
        <v>0</v>
      </c>
      <c r="I45" s="1076">
        <v>0</v>
      </c>
      <c r="J45" s="1077">
        <v>0</v>
      </c>
      <c r="K45" s="1077">
        <v>0</v>
      </c>
      <c r="L45" s="1077">
        <v>0</v>
      </c>
      <c r="M45" s="1078">
        <v>0</v>
      </c>
      <c r="N45" s="847"/>
      <c r="O45" s="859">
        <f t="shared" si="5"/>
        <v>0</v>
      </c>
      <c r="P45" s="860">
        <f t="shared" si="6"/>
        <v>0</v>
      </c>
      <c r="Q45" s="861">
        <f t="shared" si="7"/>
        <v>0</v>
      </c>
      <c r="R45" s="1401"/>
      <c r="S45" s="859">
        <f t="shared" si="8"/>
        <v>0</v>
      </c>
      <c r="T45" s="650" t="str">
        <f t="shared" si="9"/>
        <v>0</v>
      </c>
    </row>
    <row r="46" spans="1:20" s="1404" customFormat="1" ht="15" customHeight="1">
      <c r="A46" s="1402"/>
      <c r="B46" s="1958"/>
      <c r="C46" s="863" t="s">
        <v>105</v>
      </c>
      <c r="D46" s="1074">
        <v>2.1702727720480052E-2</v>
      </c>
      <c r="E46" s="1077">
        <v>-7.4288441301824711E-3</v>
      </c>
      <c r="F46" s="1077">
        <v>0.26690592453788359</v>
      </c>
      <c r="G46" s="1077">
        <v>6.684404033423455E-2</v>
      </c>
      <c r="H46" s="1078">
        <v>0</v>
      </c>
      <c r="I46" s="1076">
        <v>0</v>
      </c>
      <c r="J46" s="1077">
        <v>0</v>
      </c>
      <c r="K46" s="1077">
        <v>0</v>
      </c>
      <c r="L46" s="1077">
        <v>0</v>
      </c>
      <c r="M46" s="1078">
        <v>0</v>
      </c>
      <c r="N46" s="847"/>
      <c r="O46" s="859">
        <f t="shared" si="5"/>
        <v>0.34802384846241574</v>
      </c>
      <c r="P46" s="860">
        <f t="shared" si="6"/>
        <v>0</v>
      </c>
      <c r="Q46" s="861">
        <f t="shared" si="7"/>
        <v>0.34802384846241574</v>
      </c>
      <c r="R46" s="1401"/>
      <c r="S46" s="859">
        <f t="shared" si="8"/>
        <v>0</v>
      </c>
      <c r="T46" s="650">
        <f t="shared" si="9"/>
        <v>-1</v>
      </c>
    </row>
    <row r="47" spans="1:20" s="1404" customFormat="1" ht="15" customHeight="1">
      <c r="A47" s="1402"/>
      <c r="B47" s="1954" t="s">
        <v>848</v>
      </c>
      <c r="C47" s="863" t="s">
        <v>129</v>
      </c>
      <c r="D47" s="1079">
        <v>1.1413151966039032</v>
      </c>
      <c r="E47" s="1080">
        <v>1.2333847110440672</v>
      </c>
      <c r="F47" s="1080">
        <v>2.1560512995080727</v>
      </c>
      <c r="G47" s="1080">
        <v>1.0860318577015582</v>
      </c>
      <c r="H47" s="1081">
        <v>1.6872479589838507</v>
      </c>
      <c r="I47" s="1082">
        <v>7.0247689079204241</v>
      </c>
      <c r="J47" s="1080">
        <v>5.6554121787983513</v>
      </c>
      <c r="K47" s="1080">
        <v>4.6798948236076177</v>
      </c>
      <c r="L47" s="1080">
        <v>1.6282939306373858</v>
      </c>
      <c r="M47" s="1081">
        <v>1.6095105543009371</v>
      </c>
      <c r="N47" s="847"/>
      <c r="O47" s="859">
        <f t="shared" si="5"/>
        <v>5.6167830648576018</v>
      </c>
      <c r="P47" s="860">
        <f t="shared" si="6"/>
        <v>1.6872479589838507</v>
      </c>
      <c r="Q47" s="861">
        <f t="shared" si="7"/>
        <v>7.3040310238414525</v>
      </c>
      <c r="R47" s="1401"/>
      <c r="S47" s="859">
        <f t="shared" si="8"/>
        <v>20.597880395264717</v>
      </c>
      <c r="T47" s="650">
        <f t="shared" si="9"/>
        <v>1.8200702225976513</v>
      </c>
    </row>
    <row r="48" spans="1:20" s="1404" customFormat="1" ht="15" customHeight="1">
      <c r="A48" s="1402"/>
      <c r="B48" s="1954"/>
      <c r="C48" s="863" t="s">
        <v>130</v>
      </c>
      <c r="D48" s="1074">
        <v>3.7012929872618234</v>
      </c>
      <c r="E48" s="1077">
        <v>4.7151035774017549</v>
      </c>
      <c r="F48" s="1077">
        <v>2.7613224029886569</v>
      </c>
      <c r="G48" s="1077">
        <v>2.8830735955112941</v>
      </c>
      <c r="H48" s="1078">
        <v>2.3914399863204299</v>
      </c>
      <c r="I48" s="1076">
        <v>1.5144356451814061</v>
      </c>
      <c r="J48" s="1077">
        <v>1.9920928962078686</v>
      </c>
      <c r="K48" s="1077">
        <v>1.9988402710167348</v>
      </c>
      <c r="L48" s="1077">
        <v>2.1716932980132801</v>
      </c>
      <c r="M48" s="1078">
        <v>2.4502045423864742</v>
      </c>
      <c r="N48" s="874"/>
      <c r="O48" s="859">
        <f t="shared" si="5"/>
        <v>14.060792563163531</v>
      </c>
      <c r="P48" s="860">
        <f t="shared" si="6"/>
        <v>2.3914399863204299</v>
      </c>
      <c r="Q48" s="861">
        <f t="shared" si="7"/>
        <v>16.452232549483959</v>
      </c>
      <c r="R48" s="1401"/>
      <c r="S48" s="859">
        <f t="shared" si="8"/>
        <v>10.127266652805764</v>
      </c>
      <c r="T48" s="650">
        <f t="shared" si="9"/>
        <v>-0.38444423136217976</v>
      </c>
    </row>
    <row r="49" spans="1:20" s="1404" customFormat="1" ht="15" customHeight="1">
      <c r="A49" s="1402"/>
      <c r="B49" s="1954"/>
      <c r="C49" s="862" t="s">
        <v>224</v>
      </c>
      <c r="D49" s="1074">
        <v>0.30818995772026564</v>
      </c>
      <c r="E49" s="1077">
        <v>0.14565821518070896</v>
      </c>
      <c r="F49" s="1077">
        <v>0.45302301110745147</v>
      </c>
      <c r="G49" s="1077">
        <v>0.82814625118588114</v>
      </c>
      <c r="H49" s="1078">
        <v>1.1744271347498312</v>
      </c>
      <c r="I49" s="1076">
        <v>1.0038052309211392</v>
      </c>
      <c r="J49" s="1077">
        <v>1.2224228043829326</v>
      </c>
      <c r="K49" s="1077">
        <v>1.2811180734484859</v>
      </c>
      <c r="L49" s="1077">
        <v>1.4530426233748304</v>
      </c>
      <c r="M49" s="1078">
        <v>1.7363471845209753</v>
      </c>
      <c r="N49" s="874"/>
      <c r="O49" s="859">
        <f t="shared" si="5"/>
        <v>1.7350174351943073</v>
      </c>
      <c r="P49" s="860">
        <f t="shared" si="6"/>
        <v>1.1744271347498312</v>
      </c>
      <c r="Q49" s="861">
        <f t="shared" si="7"/>
        <v>2.9094445699441387</v>
      </c>
      <c r="R49" s="1401"/>
      <c r="S49" s="859">
        <f t="shared" si="8"/>
        <v>6.6967359166483629</v>
      </c>
      <c r="T49" s="650">
        <f t="shared" si="9"/>
        <v>1.3017231487510141</v>
      </c>
    </row>
    <row r="50" spans="1:20" s="1404" customFormat="1" ht="15" customHeight="1">
      <c r="A50" s="1402"/>
      <c r="B50" s="1954" t="s">
        <v>239</v>
      </c>
      <c r="C50" s="863" t="s">
        <v>225</v>
      </c>
      <c r="D50" s="1079">
        <v>4.8417882458104975</v>
      </c>
      <c r="E50" s="1080">
        <v>3.6531191082967447</v>
      </c>
      <c r="F50" s="1080">
        <v>3.9509381048745129</v>
      </c>
      <c r="G50" s="1080">
        <v>4.6011943559342603</v>
      </c>
      <c r="H50" s="1081">
        <v>5.6460014732326984</v>
      </c>
      <c r="I50" s="1082">
        <v>7.6997081336009137</v>
      </c>
      <c r="J50" s="1080">
        <v>15.421889915557122</v>
      </c>
      <c r="K50" s="1080">
        <v>9.6504629232756525</v>
      </c>
      <c r="L50" s="1080">
        <v>5.3692209467833738</v>
      </c>
      <c r="M50" s="1081">
        <v>5.3412732126506626</v>
      </c>
      <c r="N50" s="847"/>
      <c r="O50" s="859">
        <f t="shared" si="5"/>
        <v>17.047039814916015</v>
      </c>
      <c r="P50" s="860">
        <f t="shared" si="6"/>
        <v>5.6460014732326984</v>
      </c>
      <c r="Q50" s="861">
        <f t="shared" si="7"/>
        <v>22.693041288148713</v>
      </c>
      <c r="R50" s="1401"/>
      <c r="S50" s="859">
        <f t="shared" si="8"/>
        <v>43.48255513186772</v>
      </c>
      <c r="T50" s="650">
        <f t="shared" si="9"/>
        <v>0.91611845145569759</v>
      </c>
    </row>
    <row r="51" spans="1:20" s="1404" customFormat="1" ht="15" customHeight="1">
      <c r="A51" s="1402"/>
      <c r="B51" s="1954"/>
      <c r="C51" s="863" t="s">
        <v>878</v>
      </c>
      <c r="D51" s="1074">
        <v>0.92808627259375609</v>
      </c>
      <c r="E51" s="1077">
        <v>1.5841372278994461</v>
      </c>
      <c r="F51" s="1077">
        <v>2.6594733765620209</v>
      </c>
      <c r="G51" s="1077">
        <v>1.4469851901415287</v>
      </c>
      <c r="H51" s="1078">
        <v>1.2286970338918062</v>
      </c>
      <c r="I51" s="1076">
        <v>1.9176566476852011</v>
      </c>
      <c r="J51" s="1077">
        <v>3.1005323688342874</v>
      </c>
      <c r="K51" s="1077">
        <v>2.7478954260034727</v>
      </c>
      <c r="L51" s="1077">
        <v>3.9867672148020965</v>
      </c>
      <c r="M51" s="1078">
        <v>4.6017401597832936</v>
      </c>
      <c r="N51" s="847"/>
      <c r="O51" s="859">
        <f t="shared" si="5"/>
        <v>6.6186820671967519</v>
      </c>
      <c r="P51" s="860">
        <f t="shared" si="6"/>
        <v>1.2286970338918062</v>
      </c>
      <c r="Q51" s="861">
        <f t="shared" si="7"/>
        <v>7.8473791010885581</v>
      </c>
      <c r="R51" s="1401"/>
      <c r="S51" s="859">
        <f t="shared" si="8"/>
        <v>16.35459181710835</v>
      </c>
      <c r="T51" s="650">
        <f t="shared" si="9"/>
        <v>1.0840833106737133</v>
      </c>
    </row>
    <row r="52" spans="1:20" s="1404" customFormat="1" ht="15" customHeight="1">
      <c r="A52" s="1402"/>
      <c r="B52" s="1954"/>
      <c r="C52" s="862" t="s">
        <v>120</v>
      </c>
      <c r="D52" s="1074">
        <v>0</v>
      </c>
      <c r="E52" s="1077">
        <v>0</v>
      </c>
      <c r="F52" s="1077">
        <v>0</v>
      </c>
      <c r="G52" s="1077">
        <v>0</v>
      </c>
      <c r="H52" s="1078">
        <v>0</v>
      </c>
      <c r="I52" s="1076">
        <v>0</v>
      </c>
      <c r="J52" s="1077">
        <v>0</v>
      </c>
      <c r="K52" s="1077">
        <v>0</v>
      </c>
      <c r="L52" s="1077">
        <v>0</v>
      </c>
      <c r="M52" s="1078">
        <v>0</v>
      </c>
      <c r="N52" s="847"/>
      <c r="O52" s="859">
        <f t="shared" si="5"/>
        <v>0</v>
      </c>
      <c r="P52" s="860">
        <f t="shared" si="6"/>
        <v>0</v>
      </c>
      <c r="Q52" s="861">
        <f t="shared" si="7"/>
        <v>0</v>
      </c>
      <c r="R52" s="1401"/>
      <c r="S52" s="859">
        <f t="shared" si="8"/>
        <v>0</v>
      </c>
      <c r="T52" s="650" t="str">
        <f t="shared" si="9"/>
        <v>0</v>
      </c>
    </row>
    <row r="53" spans="1:20" s="1404" customFormat="1" ht="15" customHeight="1">
      <c r="A53" s="1402"/>
      <c r="B53" s="1954"/>
      <c r="C53" s="862" t="s">
        <v>224</v>
      </c>
      <c r="D53" s="1074">
        <v>2.3016836325420482</v>
      </c>
      <c r="E53" s="1077">
        <v>2.8986070473050329</v>
      </c>
      <c r="F53" s="1077">
        <v>3.6869017861568509</v>
      </c>
      <c r="G53" s="1077">
        <v>3.5239777257285776</v>
      </c>
      <c r="H53" s="1078">
        <v>3.4977983362719058</v>
      </c>
      <c r="I53" s="1076">
        <v>3.1531944804966363</v>
      </c>
      <c r="J53" s="1077">
        <v>7.062181752481445</v>
      </c>
      <c r="K53" s="1077">
        <v>5.4364236814138156</v>
      </c>
      <c r="L53" s="1077">
        <v>10.656603296391349</v>
      </c>
      <c r="M53" s="1078">
        <v>12.84042780640678</v>
      </c>
      <c r="N53" s="847"/>
      <c r="O53" s="859">
        <f t="shared" si="5"/>
        <v>12.411170191732509</v>
      </c>
      <c r="P53" s="860">
        <f t="shared" si="6"/>
        <v>3.4977983362719058</v>
      </c>
      <c r="Q53" s="861">
        <f t="shared" si="7"/>
        <v>15.908968528004415</v>
      </c>
      <c r="R53" s="1401"/>
      <c r="S53" s="859">
        <f t="shared" si="8"/>
        <v>39.148831017190027</v>
      </c>
      <c r="T53" s="650">
        <f t="shared" si="9"/>
        <v>1.460802593724206</v>
      </c>
    </row>
    <row r="54" spans="1:20" s="1404" customFormat="1" ht="15" customHeight="1">
      <c r="A54" s="1402"/>
      <c r="B54" s="1954"/>
      <c r="C54" s="863" t="s">
        <v>868</v>
      </c>
      <c r="D54" s="1074">
        <v>1.0001372383832423</v>
      </c>
      <c r="E54" s="1077">
        <v>0.95540676470369701</v>
      </c>
      <c r="F54" s="1077">
        <v>1.0293844000394241</v>
      </c>
      <c r="G54" s="1077">
        <v>1.4716935021218946</v>
      </c>
      <c r="H54" s="1078">
        <v>1.3006960361051128</v>
      </c>
      <c r="I54" s="1076">
        <v>2.6568663880036083</v>
      </c>
      <c r="J54" s="1077">
        <v>3.5988129199155261</v>
      </c>
      <c r="K54" s="1077">
        <v>3.6863176784154232</v>
      </c>
      <c r="L54" s="1077">
        <v>3.9746874259686211</v>
      </c>
      <c r="M54" s="1078">
        <v>4.7387293249573874</v>
      </c>
      <c r="N54" s="847"/>
      <c r="O54" s="859">
        <f t="shared" si="5"/>
        <v>4.4566219052482579</v>
      </c>
      <c r="P54" s="860">
        <f t="shared" si="6"/>
        <v>1.3006960361051128</v>
      </c>
      <c r="Q54" s="861">
        <f t="shared" si="7"/>
        <v>5.7573179413533708</v>
      </c>
      <c r="R54" s="1401"/>
      <c r="S54" s="859">
        <f t="shared" si="8"/>
        <v>18.655413737260567</v>
      </c>
      <c r="T54" s="650">
        <f t="shared" si="9"/>
        <v>2.2402959029348386</v>
      </c>
    </row>
    <row r="55" spans="1:20" s="1404" customFormat="1" ht="15" customHeight="1">
      <c r="A55" s="1402"/>
      <c r="B55" s="1954"/>
      <c r="C55" s="863" t="s">
        <v>869</v>
      </c>
      <c r="D55" s="1074">
        <v>1.4808769402748174</v>
      </c>
      <c r="E55" s="1077">
        <v>1.9551936125964231</v>
      </c>
      <c r="F55" s="1077">
        <v>5.6965713049845066</v>
      </c>
      <c r="G55" s="1077">
        <v>3.0705473673499872</v>
      </c>
      <c r="H55" s="1078">
        <v>1.0268652916619312</v>
      </c>
      <c r="I55" s="1076">
        <v>1.6146238173921243</v>
      </c>
      <c r="J55" s="1077">
        <v>1.6197570730930588</v>
      </c>
      <c r="K55" s="1077">
        <v>1.6756579622519376</v>
      </c>
      <c r="L55" s="1077">
        <v>1.5679827545883862</v>
      </c>
      <c r="M55" s="1078">
        <v>1.559821130102405</v>
      </c>
      <c r="N55" s="847"/>
      <c r="O55" s="859">
        <f t="shared" si="5"/>
        <v>12.203189225205733</v>
      </c>
      <c r="P55" s="860">
        <f t="shared" si="6"/>
        <v>1.0268652916619312</v>
      </c>
      <c r="Q55" s="861">
        <f t="shared" si="7"/>
        <v>13.230054516867664</v>
      </c>
      <c r="R55" s="1401"/>
      <c r="S55" s="859">
        <f t="shared" si="8"/>
        <v>8.037842737427912</v>
      </c>
      <c r="T55" s="650">
        <f t="shared" si="9"/>
        <v>-0.39245581133622232</v>
      </c>
    </row>
    <row r="56" spans="1:20" s="1404" customFormat="1" ht="15" customHeight="1">
      <c r="A56" s="1402"/>
      <c r="B56" s="1954" t="s">
        <v>245</v>
      </c>
      <c r="C56" s="863" t="s">
        <v>225</v>
      </c>
      <c r="D56" s="1079">
        <v>1.4128408490660982</v>
      </c>
      <c r="E56" s="1080">
        <v>0.93899893474323826</v>
      </c>
      <c r="F56" s="1080">
        <v>1.0668936591236149</v>
      </c>
      <c r="G56" s="1080">
        <v>1.0231105445473696</v>
      </c>
      <c r="H56" s="1081">
        <v>1.387387956284845</v>
      </c>
      <c r="I56" s="1082">
        <v>2.8242609332095361</v>
      </c>
      <c r="J56" s="1080">
        <v>1.695591796369188</v>
      </c>
      <c r="K56" s="1080">
        <v>3.7480487341421096</v>
      </c>
      <c r="L56" s="1080">
        <v>1.0464280597943092</v>
      </c>
      <c r="M56" s="1081">
        <v>3.3829010906273407</v>
      </c>
      <c r="N56" s="847"/>
      <c r="O56" s="859">
        <f t="shared" si="5"/>
        <v>4.4418439874803211</v>
      </c>
      <c r="P56" s="860">
        <f t="shared" si="6"/>
        <v>1.387387956284845</v>
      </c>
      <c r="Q56" s="861">
        <f t="shared" si="7"/>
        <v>5.8292319437651656</v>
      </c>
      <c r="R56" s="1401"/>
      <c r="S56" s="859">
        <f t="shared" si="8"/>
        <v>12.697230614142482</v>
      </c>
      <c r="T56" s="650">
        <f t="shared" si="9"/>
        <v>1.1781995872926614</v>
      </c>
    </row>
    <row r="57" spans="1:20" s="1404" customFormat="1" ht="15" customHeight="1">
      <c r="A57" s="1402"/>
      <c r="B57" s="1954"/>
      <c r="C57" s="863" t="s">
        <v>878</v>
      </c>
      <c r="D57" s="1074">
        <v>1.757757926923027</v>
      </c>
      <c r="E57" s="1077">
        <v>2.5538323936697078</v>
      </c>
      <c r="F57" s="1077">
        <v>5.235244059931853</v>
      </c>
      <c r="G57" s="1077">
        <v>7.0196003796643005</v>
      </c>
      <c r="H57" s="1078">
        <v>0.88105557496978137</v>
      </c>
      <c r="I57" s="1076">
        <v>1.9455756890812035</v>
      </c>
      <c r="J57" s="1077">
        <v>2.23624537057314</v>
      </c>
      <c r="K57" s="1077">
        <v>1.8877212367368394</v>
      </c>
      <c r="L57" s="1077">
        <v>4.5740512748414446</v>
      </c>
      <c r="M57" s="1078">
        <v>5.6648239721067855</v>
      </c>
      <c r="N57" s="847"/>
      <c r="O57" s="859">
        <f t="shared" si="5"/>
        <v>16.566434760188891</v>
      </c>
      <c r="P57" s="860">
        <f t="shared" si="6"/>
        <v>0.88105557496978137</v>
      </c>
      <c r="Q57" s="861">
        <f t="shared" si="7"/>
        <v>17.447490335158673</v>
      </c>
      <c r="R57" s="1401"/>
      <c r="S57" s="859">
        <f t="shared" si="8"/>
        <v>16.308417543339413</v>
      </c>
      <c r="T57" s="650">
        <f t="shared" si="9"/>
        <v>-6.5285767175574744E-2</v>
      </c>
    </row>
    <row r="58" spans="1:20" s="1404" customFormat="1" ht="15" customHeight="1">
      <c r="A58" s="1402"/>
      <c r="B58" s="1954"/>
      <c r="C58" s="863" t="s">
        <v>120</v>
      </c>
      <c r="D58" s="1074">
        <v>0</v>
      </c>
      <c r="E58" s="1077">
        <v>0</v>
      </c>
      <c r="F58" s="1077">
        <v>0</v>
      </c>
      <c r="G58" s="1077">
        <v>0</v>
      </c>
      <c r="H58" s="1078">
        <v>0</v>
      </c>
      <c r="I58" s="1076">
        <v>0</v>
      </c>
      <c r="J58" s="1077">
        <v>0</v>
      </c>
      <c r="K58" s="1077">
        <v>0</v>
      </c>
      <c r="L58" s="1077">
        <v>0</v>
      </c>
      <c r="M58" s="1078">
        <v>0</v>
      </c>
      <c r="N58" s="847"/>
      <c r="O58" s="859">
        <f t="shared" si="5"/>
        <v>0</v>
      </c>
      <c r="P58" s="860">
        <f t="shared" si="6"/>
        <v>0</v>
      </c>
      <c r="Q58" s="861">
        <f t="shared" si="7"/>
        <v>0</v>
      </c>
      <c r="R58" s="1401"/>
      <c r="S58" s="859">
        <f t="shared" si="8"/>
        <v>0</v>
      </c>
      <c r="T58" s="650" t="str">
        <f t="shared" si="9"/>
        <v>0</v>
      </c>
    </row>
    <row r="59" spans="1:20" s="1404" customFormat="1" ht="15" customHeight="1">
      <c r="A59" s="1402"/>
      <c r="B59" s="1954"/>
      <c r="C59" s="863" t="s">
        <v>224</v>
      </c>
      <c r="D59" s="1074">
        <v>0.97900740122005747</v>
      </c>
      <c r="E59" s="1077">
        <v>0.59252535964318098</v>
      </c>
      <c r="F59" s="1077">
        <v>1.2475600057165788</v>
      </c>
      <c r="G59" s="1077">
        <v>0.77839278034302573</v>
      </c>
      <c r="H59" s="1078">
        <v>0.16782946217012026</v>
      </c>
      <c r="I59" s="1076">
        <v>0.55014918056235529</v>
      </c>
      <c r="J59" s="1077">
        <v>0.53878860819846797</v>
      </c>
      <c r="K59" s="1077">
        <v>1.7998831767234649</v>
      </c>
      <c r="L59" s="1077">
        <v>3.0927458773130465</v>
      </c>
      <c r="M59" s="1078">
        <v>5.3426802889023435</v>
      </c>
      <c r="N59" s="847"/>
      <c r="O59" s="859">
        <f t="shared" si="5"/>
        <v>3.5974855469228428</v>
      </c>
      <c r="P59" s="860">
        <f t="shared" si="6"/>
        <v>0.16782946217012026</v>
      </c>
      <c r="Q59" s="861">
        <f t="shared" si="7"/>
        <v>3.765315009092963</v>
      </c>
      <c r="R59" s="1401"/>
      <c r="S59" s="859">
        <f t="shared" si="8"/>
        <v>11.324247131699678</v>
      </c>
      <c r="T59" s="650">
        <f t="shared" si="9"/>
        <v>2.0075165303175013</v>
      </c>
    </row>
    <row r="60" spans="1:20" s="1404" customFormat="1" ht="15" customHeight="1">
      <c r="A60" s="1402"/>
      <c r="B60" s="1954"/>
      <c r="C60" s="863" t="s">
        <v>868</v>
      </c>
      <c r="D60" s="1074">
        <v>1.1515395421748051</v>
      </c>
      <c r="E60" s="1077">
        <v>2.0152166629489066</v>
      </c>
      <c r="F60" s="1077">
        <v>1.2579381367623044</v>
      </c>
      <c r="G60" s="1077">
        <v>1.6470130862124261</v>
      </c>
      <c r="H60" s="1078">
        <v>2.1175921438031842</v>
      </c>
      <c r="I60" s="1076">
        <v>2.8041639516418946</v>
      </c>
      <c r="J60" s="1077">
        <v>2.7661917812864898</v>
      </c>
      <c r="K60" s="1077">
        <v>3.8045262880150625</v>
      </c>
      <c r="L60" s="1077">
        <v>4.4155339059828167</v>
      </c>
      <c r="M60" s="1078">
        <v>1.337005157096768</v>
      </c>
      <c r="N60" s="847"/>
      <c r="O60" s="859">
        <f t="shared" si="5"/>
        <v>6.071707428098442</v>
      </c>
      <c r="P60" s="860">
        <f t="shared" si="6"/>
        <v>2.1175921438031842</v>
      </c>
      <c r="Q60" s="861">
        <f t="shared" si="7"/>
        <v>8.1892995719016266</v>
      </c>
      <c r="R60" s="1401"/>
      <c r="S60" s="859">
        <f t="shared" si="8"/>
        <v>15.12742108402303</v>
      </c>
      <c r="T60" s="650">
        <f t="shared" si="9"/>
        <v>0.84721793985005134</v>
      </c>
    </row>
    <row r="61" spans="1:20" s="1404" customFormat="1" ht="15" customHeight="1">
      <c r="A61" s="1402"/>
      <c r="B61" s="1954"/>
      <c r="C61" s="862" t="s">
        <v>869</v>
      </c>
      <c r="D61" s="1074">
        <v>0.88082366783510568</v>
      </c>
      <c r="E61" s="1077">
        <v>0.57054391942919724</v>
      </c>
      <c r="F61" s="1077">
        <v>2.2033037400495821</v>
      </c>
      <c r="G61" s="1077">
        <v>2.3447207071068257</v>
      </c>
      <c r="H61" s="1078">
        <v>0.3651020937591698</v>
      </c>
      <c r="I61" s="1076">
        <v>0.538591343961069</v>
      </c>
      <c r="J61" s="1077">
        <v>0.62088581955283495</v>
      </c>
      <c r="K61" s="1077">
        <v>1.3625483147734012</v>
      </c>
      <c r="L61" s="1077">
        <v>0.81644387082852687</v>
      </c>
      <c r="M61" s="1078">
        <v>0.90942526584505512</v>
      </c>
      <c r="N61" s="847"/>
      <c r="O61" s="859">
        <f t="shared" si="5"/>
        <v>5.9993920344207101</v>
      </c>
      <c r="P61" s="860">
        <f t="shared" si="6"/>
        <v>0.3651020937591698</v>
      </c>
      <c r="Q61" s="861">
        <f t="shared" si="7"/>
        <v>6.3644941281798797</v>
      </c>
      <c r="R61" s="1401"/>
      <c r="S61" s="859">
        <f t="shared" si="8"/>
        <v>4.2478946149608872</v>
      </c>
      <c r="T61" s="650">
        <f t="shared" si="9"/>
        <v>-0.33256366815508376</v>
      </c>
    </row>
    <row r="62" spans="1:20" s="1404" customFormat="1" ht="15" customHeight="1">
      <c r="A62" s="1402"/>
      <c r="B62" s="1954" t="s">
        <v>243</v>
      </c>
      <c r="C62" s="863" t="s">
        <v>225</v>
      </c>
      <c r="D62" s="1079">
        <v>4.5164012503985038</v>
      </c>
      <c r="E62" s="1080">
        <v>2.7911279343349804</v>
      </c>
      <c r="F62" s="1080">
        <v>1.6062992602216393</v>
      </c>
      <c r="G62" s="1080">
        <v>1.5523465068388831</v>
      </c>
      <c r="H62" s="1081">
        <v>6.0921200472344879</v>
      </c>
      <c r="I62" s="1082">
        <v>5.2673398639000242</v>
      </c>
      <c r="J62" s="1080">
        <v>5.3620947363569913</v>
      </c>
      <c r="K62" s="1080">
        <v>9.642654679855756</v>
      </c>
      <c r="L62" s="1080">
        <v>3.5344921376583591</v>
      </c>
      <c r="M62" s="1081">
        <v>3.4001243367731444</v>
      </c>
      <c r="N62" s="847"/>
      <c r="O62" s="859">
        <f t="shared" si="5"/>
        <v>10.466174951794008</v>
      </c>
      <c r="P62" s="860">
        <f t="shared" si="6"/>
        <v>6.0921200472344879</v>
      </c>
      <c r="Q62" s="861">
        <f t="shared" si="7"/>
        <v>16.558294999028497</v>
      </c>
      <c r="R62" s="1401"/>
      <c r="S62" s="859">
        <f t="shared" si="8"/>
        <v>27.206705754544274</v>
      </c>
      <c r="T62" s="650">
        <f t="shared" si="9"/>
        <v>0.64308618466699241</v>
      </c>
    </row>
    <row r="63" spans="1:20" s="1404" customFormat="1" ht="15" customHeight="1">
      <c r="A63" s="1402"/>
      <c r="B63" s="1954"/>
      <c r="C63" s="863" t="s">
        <v>878</v>
      </c>
      <c r="D63" s="1074">
        <v>2.2746686419985513</v>
      </c>
      <c r="E63" s="1077">
        <v>4.5285317950926505</v>
      </c>
      <c r="F63" s="1077">
        <v>3.9970783410269783</v>
      </c>
      <c r="G63" s="1077">
        <v>3.9025881610515665</v>
      </c>
      <c r="H63" s="1078">
        <v>0.75445026378038027</v>
      </c>
      <c r="I63" s="1076">
        <v>2.9989008174314642</v>
      </c>
      <c r="J63" s="1077">
        <v>1.4379104079686691</v>
      </c>
      <c r="K63" s="1077">
        <v>2.0940678119530034</v>
      </c>
      <c r="L63" s="1077">
        <v>0.83461642498041833</v>
      </c>
      <c r="M63" s="1078">
        <v>0</v>
      </c>
      <c r="N63" s="847"/>
      <c r="O63" s="859">
        <f t="shared" si="5"/>
        <v>14.702866939169747</v>
      </c>
      <c r="P63" s="860">
        <f t="shared" si="6"/>
        <v>0.75445026378038027</v>
      </c>
      <c r="Q63" s="861">
        <f t="shared" si="7"/>
        <v>15.457317202950128</v>
      </c>
      <c r="R63" s="1401"/>
      <c r="S63" s="859">
        <f t="shared" si="8"/>
        <v>7.3654954623335547</v>
      </c>
      <c r="T63" s="650">
        <f t="shared" si="9"/>
        <v>-0.52349457764069163</v>
      </c>
    </row>
    <row r="64" spans="1:20" s="1404" customFormat="1" ht="15" customHeight="1">
      <c r="A64" s="1402"/>
      <c r="B64" s="1954"/>
      <c r="C64" s="862" t="s">
        <v>879</v>
      </c>
      <c r="D64" s="1074">
        <v>0</v>
      </c>
      <c r="E64" s="1077">
        <v>0</v>
      </c>
      <c r="F64" s="1077">
        <v>0</v>
      </c>
      <c r="G64" s="1077">
        <v>0</v>
      </c>
      <c r="H64" s="1078">
        <v>0</v>
      </c>
      <c r="I64" s="1076">
        <v>0</v>
      </c>
      <c r="J64" s="1077">
        <v>0</v>
      </c>
      <c r="K64" s="1077">
        <v>0</v>
      </c>
      <c r="L64" s="1077">
        <v>0</v>
      </c>
      <c r="M64" s="1078">
        <v>0</v>
      </c>
      <c r="N64" s="847"/>
      <c r="O64" s="859">
        <f t="shared" si="5"/>
        <v>0</v>
      </c>
      <c r="P64" s="860">
        <f t="shared" si="6"/>
        <v>0</v>
      </c>
      <c r="Q64" s="861">
        <f t="shared" si="7"/>
        <v>0</v>
      </c>
      <c r="R64" s="1401"/>
      <c r="S64" s="859">
        <f t="shared" si="8"/>
        <v>0</v>
      </c>
      <c r="T64" s="650" t="str">
        <f t="shared" si="9"/>
        <v>0</v>
      </c>
    </row>
    <row r="65" spans="1:20" s="1404" customFormat="1" ht="15" customHeight="1">
      <c r="A65" s="1402"/>
      <c r="B65" s="1954"/>
      <c r="C65" s="862" t="s">
        <v>224</v>
      </c>
      <c r="D65" s="1074">
        <v>1.0768725640752552</v>
      </c>
      <c r="E65" s="1077">
        <v>4.9856304284907473</v>
      </c>
      <c r="F65" s="1077">
        <v>3.7643387425906738</v>
      </c>
      <c r="G65" s="1077">
        <v>5.6831053646087506</v>
      </c>
      <c r="H65" s="1078">
        <v>7.1322381040794021</v>
      </c>
      <c r="I65" s="1076">
        <v>4.6152325006506709</v>
      </c>
      <c r="J65" s="1077">
        <v>1.3168071912928616</v>
      </c>
      <c r="K65" s="1077">
        <v>4.9303033138373653</v>
      </c>
      <c r="L65" s="1077">
        <v>4.6697834198224006</v>
      </c>
      <c r="M65" s="1078">
        <v>4.9476903570576951</v>
      </c>
      <c r="N65" s="847"/>
      <c r="O65" s="859">
        <f t="shared" si="5"/>
        <v>15.509947099765427</v>
      </c>
      <c r="P65" s="860">
        <f t="shared" si="6"/>
        <v>7.1322381040794021</v>
      </c>
      <c r="Q65" s="861">
        <f t="shared" si="7"/>
        <v>22.642185203844829</v>
      </c>
      <c r="R65" s="1401"/>
      <c r="S65" s="859">
        <f t="shared" si="8"/>
        <v>20.479816782660993</v>
      </c>
      <c r="T65" s="650">
        <f t="shared" si="9"/>
        <v>-9.5501754875525327E-2</v>
      </c>
    </row>
    <row r="66" spans="1:20" s="1404" customFormat="1" ht="15" customHeight="1">
      <c r="A66" s="1402"/>
      <c r="B66" s="1954"/>
      <c r="C66" s="862" t="s">
        <v>868</v>
      </c>
      <c r="D66" s="1074">
        <v>0.3487470005793884</v>
      </c>
      <c r="E66" s="1077">
        <v>1.5711627570449711</v>
      </c>
      <c r="F66" s="1077">
        <v>0.48176895929979924</v>
      </c>
      <c r="G66" s="1077">
        <v>3.7991963210233144</v>
      </c>
      <c r="H66" s="1078">
        <v>2.8231775828647625</v>
      </c>
      <c r="I66" s="1076">
        <v>4.8568522979232274</v>
      </c>
      <c r="J66" s="1077">
        <v>6.0464839095762519</v>
      </c>
      <c r="K66" s="1077">
        <v>5.132868054635896</v>
      </c>
      <c r="L66" s="1077">
        <v>4.8183868118889359</v>
      </c>
      <c r="M66" s="1078">
        <v>2.2157993350521155</v>
      </c>
      <c r="N66" s="847"/>
      <c r="O66" s="859">
        <f t="shared" si="5"/>
        <v>6.2008750379474726</v>
      </c>
      <c r="P66" s="860">
        <f t="shared" si="6"/>
        <v>2.8231775828647625</v>
      </c>
      <c r="Q66" s="861">
        <f t="shared" si="7"/>
        <v>9.0240526208122347</v>
      </c>
      <c r="R66" s="1401"/>
      <c r="S66" s="859">
        <f t="shared" si="8"/>
        <v>23.070390409076424</v>
      </c>
      <c r="T66" s="650">
        <f t="shared" si="9"/>
        <v>1.5565443131247954</v>
      </c>
    </row>
    <row r="67" spans="1:20" s="1404" customFormat="1" ht="15" customHeight="1" thickBot="1">
      <c r="A67" s="1402"/>
      <c r="B67" s="1959"/>
      <c r="C67" s="875" t="s">
        <v>869</v>
      </c>
      <c r="D67" s="1083">
        <v>0.56440142013187866</v>
      </c>
      <c r="E67" s="1084">
        <v>2.2542601623602696</v>
      </c>
      <c r="F67" s="1084">
        <v>1.6974241654593003</v>
      </c>
      <c r="G67" s="1084">
        <v>2.0570290322122262</v>
      </c>
      <c r="H67" s="1085">
        <v>0.1477865355103585</v>
      </c>
      <c r="I67" s="1086">
        <v>0.40038729204692436</v>
      </c>
      <c r="J67" s="1084">
        <v>0.37795542265531601</v>
      </c>
      <c r="K67" s="1084">
        <v>0.36695113527213846</v>
      </c>
      <c r="L67" s="1084">
        <v>0.35100690770204507</v>
      </c>
      <c r="M67" s="1085">
        <v>0.35368715816933477</v>
      </c>
      <c r="N67" s="847"/>
      <c r="O67" s="859">
        <f t="shared" si="5"/>
        <v>6.5731147801636745</v>
      </c>
      <c r="P67" s="860">
        <f t="shared" si="6"/>
        <v>0.1477865355103585</v>
      </c>
      <c r="Q67" s="861">
        <f t="shared" si="7"/>
        <v>6.7209013156740331</v>
      </c>
      <c r="R67" s="1401"/>
      <c r="S67" s="859">
        <f t="shared" si="8"/>
        <v>1.8499879158457586</v>
      </c>
      <c r="T67" s="650">
        <f t="shared" si="9"/>
        <v>-0.72474109811263832</v>
      </c>
    </row>
    <row r="68" spans="1:20" s="1404" customFormat="1" ht="15" customHeight="1" thickBot="1">
      <c r="A68" s="1402"/>
      <c r="B68" s="1412" t="s">
        <v>620</v>
      </c>
      <c r="C68" s="1413"/>
      <c r="D68" s="876">
        <v>32.653337063416558</v>
      </c>
      <c r="E68" s="877">
        <v>41.722922359321927</v>
      </c>
      <c r="F68" s="877">
        <v>49.157321663335949</v>
      </c>
      <c r="G68" s="877">
        <v>52.265336192561065</v>
      </c>
      <c r="H68" s="878">
        <v>42.053155110113195</v>
      </c>
      <c r="I68" s="879">
        <v>57.340405065264797</v>
      </c>
      <c r="J68" s="877">
        <v>65.394397076802022</v>
      </c>
      <c r="K68" s="877">
        <v>69.311360217193894</v>
      </c>
      <c r="L68" s="877">
        <v>61.871212265518594</v>
      </c>
      <c r="M68" s="878">
        <v>65.308060864551393</v>
      </c>
      <c r="N68" s="847"/>
      <c r="O68" s="867">
        <f t="shared" si="5"/>
        <v>175.79891727863549</v>
      </c>
      <c r="P68" s="868">
        <f t="shared" si="6"/>
        <v>42.053155110113195</v>
      </c>
      <c r="Q68" s="869">
        <f t="shared" si="7"/>
        <v>217.8520723887487</v>
      </c>
      <c r="R68" s="1401"/>
      <c r="S68" s="867">
        <f t="shared" si="8"/>
        <v>319.22543548933072</v>
      </c>
      <c r="T68" s="682">
        <f t="shared" si="9"/>
        <v>0.46533118546462637</v>
      </c>
    </row>
    <row r="69" spans="1:20" s="1404" customFormat="1" ht="12.75">
      <c r="A69" s="1402"/>
      <c r="B69" s="1411"/>
      <c r="C69" s="1411"/>
      <c r="D69" s="1401"/>
      <c r="E69" s="1401"/>
      <c r="F69" s="1401"/>
      <c r="G69" s="1401"/>
      <c r="H69" s="1401"/>
      <c r="I69" s="1401"/>
      <c r="J69" s="1401"/>
      <c r="K69" s="1401"/>
      <c r="L69" s="1401"/>
      <c r="M69" s="1401"/>
      <c r="N69" s="847"/>
      <c r="O69" s="847"/>
      <c r="P69" s="847"/>
      <c r="Q69" s="847"/>
    </row>
    <row r="70" spans="1:20" s="1404" customFormat="1" ht="12.75">
      <c r="A70" s="1402"/>
      <c r="B70" s="847"/>
      <c r="C70" s="847"/>
      <c r="D70" s="847"/>
      <c r="E70" s="847"/>
      <c r="F70" s="847"/>
      <c r="G70" s="847"/>
      <c r="H70" s="847"/>
      <c r="I70" s="847"/>
      <c r="J70" s="847"/>
      <c r="K70" s="847"/>
      <c r="L70" s="847"/>
      <c r="M70" s="847"/>
      <c r="N70" s="847"/>
      <c r="O70" s="847"/>
      <c r="P70" s="847"/>
      <c r="Q70" s="847"/>
    </row>
    <row r="71" spans="1:20" s="1404" customFormat="1" ht="12.75">
      <c r="A71" s="1402"/>
      <c r="B71" s="845" t="s">
        <v>621</v>
      </c>
      <c r="C71" s="847"/>
      <c r="D71" s="847"/>
      <c r="E71" s="847"/>
      <c r="F71" s="847"/>
      <c r="G71" s="847"/>
      <c r="H71" s="847"/>
      <c r="I71" s="847"/>
      <c r="J71" s="847"/>
      <c r="K71" s="847"/>
      <c r="L71" s="847"/>
      <c r="M71" s="847"/>
      <c r="N71" s="1401"/>
      <c r="O71" s="847"/>
      <c r="P71" s="847"/>
      <c r="Q71" s="847"/>
    </row>
    <row r="72" spans="1:20" s="1404" customFormat="1" ht="13.5" thickBot="1">
      <c r="A72" s="1402"/>
      <c r="B72" s="847"/>
      <c r="C72" s="847"/>
      <c r="D72" s="847"/>
      <c r="E72" s="847"/>
      <c r="F72" s="847"/>
      <c r="G72" s="847"/>
      <c r="H72" s="847"/>
      <c r="I72" s="847"/>
      <c r="J72" s="847"/>
      <c r="K72" s="847"/>
      <c r="L72" s="847"/>
      <c r="M72" s="847"/>
      <c r="N72" s="1401"/>
      <c r="O72" s="847"/>
      <c r="P72" s="847"/>
      <c r="Q72" s="847"/>
    </row>
    <row r="73" spans="1:20" s="1404" customFormat="1" ht="12.75">
      <c r="A73" s="1402"/>
      <c r="B73" s="1946" t="s">
        <v>113</v>
      </c>
      <c r="C73" s="1947"/>
      <c r="D73" s="1406" t="s">
        <v>114</v>
      </c>
      <c r="E73" s="1406"/>
      <c r="F73" s="1406"/>
      <c r="G73" s="1406"/>
      <c r="H73" s="1407"/>
      <c r="I73" s="1405" t="s">
        <v>115</v>
      </c>
      <c r="J73" s="1406"/>
      <c r="K73" s="1406"/>
      <c r="L73" s="1406"/>
      <c r="M73" s="1407"/>
      <c r="N73" s="1401"/>
      <c r="O73" s="510" t="s">
        <v>116</v>
      </c>
      <c r="P73" s="511"/>
      <c r="Q73" s="512"/>
      <c r="R73" s="1401"/>
      <c r="S73" s="510" t="s">
        <v>117</v>
      </c>
      <c r="T73" s="512"/>
    </row>
    <row r="74" spans="1:20" s="1404" customFormat="1" ht="12.75">
      <c r="A74" s="1402"/>
      <c r="B74" s="1948"/>
      <c r="C74" s="1949"/>
      <c r="D74" s="853" t="s">
        <v>32</v>
      </c>
      <c r="E74" s="851" t="s">
        <v>33</v>
      </c>
      <c r="F74" s="851" t="s">
        <v>29</v>
      </c>
      <c r="G74" s="851" t="s">
        <v>34</v>
      </c>
      <c r="H74" s="852" t="s">
        <v>35</v>
      </c>
      <c r="I74" s="850" t="s">
        <v>118</v>
      </c>
      <c r="J74" s="851" t="s">
        <v>136</v>
      </c>
      <c r="K74" s="851" t="s">
        <v>137</v>
      </c>
      <c r="L74" s="851" t="s">
        <v>138</v>
      </c>
      <c r="M74" s="852" t="s">
        <v>139</v>
      </c>
      <c r="N74" s="1401"/>
      <c r="O74" s="517" t="s">
        <v>126</v>
      </c>
      <c r="P74" s="518" t="s">
        <v>127</v>
      </c>
      <c r="Q74" s="519" t="s">
        <v>246</v>
      </c>
      <c r="R74" s="1401"/>
      <c r="S74" s="517" t="s">
        <v>127</v>
      </c>
      <c r="T74" s="519" t="s">
        <v>128</v>
      </c>
    </row>
    <row r="75" spans="1:20" s="1404" customFormat="1" ht="12.75">
      <c r="A75" s="1402"/>
      <c r="B75" s="1950"/>
      <c r="C75" s="1951"/>
      <c r="D75" s="853" t="s">
        <v>14</v>
      </c>
      <c r="E75" s="851" t="s">
        <v>14</v>
      </c>
      <c r="F75" s="851" t="s">
        <v>14</v>
      </c>
      <c r="G75" s="851" t="s">
        <v>14</v>
      </c>
      <c r="H75" s="852" t="s">
        <v>14</v>
      </c>
      <c r="I75" s="850" t="s">
        <v>14</v>
      </c>
      <c r="J75" s="851" t="s">
        <v>14</v>
      </c>
      <c r="K75" s="851" t="s">
        <v>14</v>
      </c>
      <c r="L75" s="851" t="s">
        <v>14</v>
      </c>
      <c r="M75" s="852" t="s">
        <v>14</v>
      </c>
      <c r="N75" s="847"/>
      <c r="O75" s="854"/>
      <c r="P75" s="855"/>
      <c r="Q75" s="856"/>
      <c r="R75" s="1401"/>
      <c r="S75" s="857"/>
      <c r="T75" s="858"/>
    </row>
    <row r="76" spans="1:20" s="1404" customFormat="1" ht="14.25" customHeight="1">
      <c r="A76" s="1402"/>
      <c r="B76" s="1957" t="s">
        <v>103</v>
      </c>
      <c r="C76" s="1408" t="s">
        <v>104</v>
      </c>
      <c r="D76" s="1069">
        <v>0</v>
      </c>
      <c r="E76" s="1069">
        <v>0</v>
      </c>
      <c r="F76" s="1069">
        <v>0</v>
      </c>
      <c r="G76" s="1069">
        <v>1.3932920145346897E-2</v>
      </c>
      <c r="H76" s="1070">
        <v>0</v>
      </c>
      <c r="I76" s="1071">
        <v>0</v>
      </c>
      <c r="J76" s="1072">
        <v>0</v>
      </c>
      <c r="K76" s="1072">
        <v>0</v>
      </c>
      <c r="L76" s="1072">
        <v>0</v>
      </c>
      <c r="M76" s="1073">
        <v>0</v>
      </c>
      <c r="N76" s="847"/>
      <c r="O76" s="859">
        <f t="shared" ref="O76:O101" si="10">SUM(D76:G76)</f>
        <v>1.3932920145346897E-2</v>
      </c>
      <c r="P76" s="860">
        <f t="shared" ref="P76:P101" si="11">H76</f>
        <v>0</v>
      </c>
      <c r="Q76" s="861">
        <f t="shared" ref="Q76:Q101" si="12">SUM(D76:H76)</f>
        <v>1.3932920145346897E-2</v>
      </c>
      <c r="R76" s="1401"/>
      <c r="S76" s="859">
        <f t="shared" ref="S76:S101" si="13">SUM(I76:M76)</f>
        <v>0</v>
      </c>
      <c r="T76" s="650">
        <f>IF(Q76&lt;&gt;0,(S76-Q76)/Q76,"0")</f>
        <v>-1</v>
      </c>
    </row>
    <row r="77" spans="1:20" s="1404" customFormat="1" ht="15" customHeight="1">
      <c r="A77" s="1402"/>
      <c r="B77" s="1958"/>
      <c r="C77" s="863" t="s">
        <v>105</v>
      </c>
      <c r="D77" s="1074">
        <v>0</v>
      </c>
      <c r="E77" s="1074">
        <v>0</v>
      </c>
      <c r="F77" s="1074">
        <v>2.3481155101942415E-3</v>
      </c>
      <c r="G77" s="1074">
        <v>0.32515266598113446</v>
      </c>
      <c r="H77" s="1075">
        <v>0</v>
      </c>
      <c r="I77" s="1076">
        <v>0</v>
      </c>
      <c r="J77" s="1077">
        <v>0</v>
      </c>
      <c r="K77" s="1077">
        <v>0</v>
      </c>
      <c r="L77" s="1077">
        <v>0</v>
      </c>
      <c r="M77" s="1078">
        <v>0</v>
      </c>
      <c r="N77" s="847"/>
      <c r="O77" s="859">
        <f t="shared" si="10"/>
        <v>0.32750078149132872</v>
      </c>
      <c r="P77" s="860">
        <f t="shared" si="11"/>
        <v>0</v>
      </c>
      <c r="Q77" s="861">
        <f t="shared" si="12"/>
        <v>0.32750078149132872</v>
      </c>
      <c r="R77" s="1401"/>
      <c r="S77" s="859">
        <f t="shared" si="13"/>
        <v>0</v>
      </c>
      <c r="T77" s="650">
        <f t="shared" ref="T77:T101" si="14">IF(Q77&lt;&gt;0,(S77-Q77)/Q77,"0")</f>
        <v>-1</v>
      </c>
    </row>
    <row r="78" spans="1:20" s="1404" customFormat="1" ht="14.25" customHeight="1">
      <c r="A78" s="1402"/>
      <c r="B78" s="1958" t="s">
        <v>106</v>
      </c>
      <c r="C78" s="863" t="s">
        <v>104</v>
      </c>
      <c r="D78" s="1074">
        <v>0</v>
      </c>
      <c r="E78" s="1074">
        <v>0</v>
      </c>
      <c r="F78" s="1074">
        <v>0</v>
      </c>
      <c r="G78" s="1074">
        <v>0</v>
      </c>
      <c r="H78" s="1075">
        <v>0</v>
      </c>
      <c r="I78" s="1076">
        <v>0</v>
      </c>
      <c r="J78" s="1077">
        <v>0</v>
      </c>
      <c r="K78" s="1077">
        <v>0</v>
      </c>
      <c r="L78" s="1077">
        <v>0</v>
      </c>
      <c r="M78" s="1078">
        <v>0</v>
      </c>
      <c r="N78" s="847"/>
      <c r="O78" s="859">
        <f t="shared" si="10"/>
        <v>0</v>
      </c>
      <c r="P78" s="860">
        <f t="shared" si="11"/>
        <v>0</v>
      </c>
      <c r="Q78" s="861">
        <f t="shared" si="12"/>
        <v>0</v>
      </c>
      <c r="R78" s="1401"/>
      <c r="S78" s="859">
        <f t="shared" si="13"/>
        <v>0</v>
      </c>
      <c r="T78" s="650" t="str">
        <f t="shared" si="14"/>
        <v>0</v>
      </c>
    </row>
    <row r="79" spans="1:20" s="1404" customFormat="1" ht="15" customHeight="1">
      <c r="A79" s="1402"/>
      <c r="B79" s="1958"/>
      <c r="C79" s="863" t="s">
        <v>105</v>
      </c>
      <c r="D79" s="1074">
        <v>0</v>
      </c>
      <c r="E79" s="1074">
        <v>0</v>
      </c>
      <c r="F79" s="1074">
        <v>0</v>
      </c>
      <c r="G79" s="1074">
        <v>0</v>
      </c>
      <c r="H79" s="1075">
        <v>0.23754675212009477</v>
      </c>
      <c r="I79" s="1076">
        <v>0.24971769872009478</v>
      </c>
      <c r="J79" s="1077">
        <v>0.25641063692009475</v>
      </c>
      <c r="K79" s="1077">
        <v>0.26126021537009481</v>
      </c>
      <c r="L79" s="1077">
        <v>0.24654827912009475</v>
      </c>
      <c r="M79" s="1078">
        <v>0.24370419242009475</v>
      </c>
      <c r="N79" s="847"/>
      <c r="O79" s="859">
        <f t="shared" si="10"/>
        <v>0</v>
      </c>
      <c r="P79" s="860">
        <f t="shared" si="11"/>
        <v>0.23754675212009477</v>
      </c>
      <c r="Q79" s="861">
        <f t="shared" si="12"/>
        <v>0.23754675212009477</v>
      </c>
      <c r="R79" s="1401"/>
      <c r="S79" s="859">
        <f t="shared" si="13"/>
        <v>1.2576410225504737</v>
      </c>
      <c r="T79" s="650">
        <f t="shared" si="14"/>
        <v>4.2942884351231099</v>
      </c>
    </row>
    <row r="80" spans="1:20" s="1404" customFormat="1" ht="14.25" customHeight="1">
      <c r="A80" s="1402"/>
      <c r="B80" s="1954" t="s">
        <v>848</v>
      </c>
      <c r="C80" s="863" t="s">
        <v>129</v>
      </c>
      <c r="D80" s="1074">
        <v>0</v>
      </c>
      <c r="E80" s="1074">
        <v>0</v>
      </c>
      <c r="F80" s="1074">
        <v>1.3942844168305482E-2</v>
      </c>
      <c r="G80" s="1074">
        <v>0</v>
      </c>
      <c r="H80" s="1075">
        <v>0</v>
      </c>
      <c r="I80" s="1076">
        <v>0</v>
      </c>
      <c r="J80" s="1077">
        <v>0</v>
      </c>
      <c r="K80" s="1077">
        <v>0</v>
      </c>
      <c r="L80" s="1077">
        <v>0</v>
      </c>
      <c r="M80" s="1078">
        <v>0</v>
      </c>
      <c r="N80" s="847"/>
      <c r="O80" s="859">
        <f t="shared" si="10"/>
        <v>1.3942844168305482E-2</v>
      </c>
      <c r="P80" s="860">
        <f t="shared" si="11"/>
        <v>0</v>
      </c>
      <c r="Q80" s="861">
        <f t="shared" si="12"/>
        <v>1.3942844168305482E-2</v>
      </c>
      <c r="R80" s="1401"/>
      <c r="S80" s="859">
        <f t="shared" si="13"/>
        <v>0</v>
      </c>
      <c r="T80" s="650">
        <f t="shared" si="14"/>
        <v>-1</v>
      </c>
    </row>
    <row r="81" spans="1:20" s="1404" customFormat="1" ht="14.25" customHeight="1">
      <c r="A81" s="1402"/>
      <c r="B81" s="1954"/>
      <c r="C81" s="863" t="s">
        <v>130</v>
      </c>
      <c r="D81" s="1074">
        <v>0</v>
      </c>
      <c r="E81" s="1074">
        <v>0</v>
      </c>
      <c r="F81" s="1074">
        <v>5.1670609709688469</v>
      </c>
      <c r="G81" s="1074">
        <v>4.7359005828284593</v>
      </c>
      <c r="H81" s="1075">
        <v>4.0096484450118046</v>
      </c>
      <c r="I81" s="1076">
        <v>4.1923761581191856</v>
      </c>
      <c r="J81" s="1077">
        <v>4.3047402984314678</v>
      </c>
      <c r="K81" s="1077">
        <v>4.386157263167707</v>
      </c>
      <c r="L81" s="1077">
        <v>4.1391664768101748</v>
      </c>
      <c r="M81" s="1078">
        <v>4.0914186346114976</v>
      </c>
      <c r="N81" s="847"/>
      <c r="O81" s="859">
        <f t="shared" si="10"/>
        <v>9.9029615537973061</v>
      </c>
      <c r="P81" s="860">
        <f t="shared" si="11"/>
        <v>4.0096484450118046</v>
      </c>
      <c r="Q81" s="861">
        <f t="shared" si="12"/>
        <v>13.91260999880911</v>
      </c>
      <c r="R81" s="1401"/>
      <c r="S81" s="859">
        <f t="shared" si="13"/>
        <v>21.113858831140032</v>
      </c>
      <c r="T81" s="650">
        <f t="shared" si="14"/>
        <v>0.51760588652649175</v>
      </c>
    </row>
    <row r="82" spans="1:20" s="1404" customFormat="1" ht="15" customHeight="1">
      <c r="A82" s="1402"/>
      <c r="B82" s="1954"/>
      <c r="C82" s="862" t="s">
        <v>224</v>
      </c>
      <c r="D82" s="1074">
        <v>0</v>
      </c>
      <c r="E82" s="1074">
        <v>0</v>
      </c>
      <c r="F82" s="1074">
        <v>2.6599642752375088E-5</v>
      </c>
      <c r="G82" s="1074">
        <v>0</v>
      </c>
      <c r="H82" s="1075">
        <v>4.9405094490742015E-3</v>
      </c>
      <c r="I82" s="1076">
        <v>5.1936414163388086E-3</v>
      </c>
      <c r="J82" s="1077">
        <v>5.3328414859000724E-3</v>
      </c>
      <c r="K82" s="1077">
        <v>5.4337032654967841E-3</v>
      </c>
      <c r="L82" s="1077">
        <v>5.1277236660764733E-3</v>
      </c>
      <c r="M82" s="1078">
        <v>5.0685722060378521E-3</v>
      </c>
      <c r="N82" s="847"/>
      <c r="O82" s="859">
        <f t="shared" si="10"/>
        <v>2.6599642752375088E-5</v>
      </c>
      <c r="P82" s="860">
        <f t="shared" si="11"/>
        <v>4.9405094490742015E-3</v>
      </c>
      <c r="Q82" s="861">
        <f t="shared" si="12"/>
        <v>4.9671090918265767E-3</v>
      </c>
      <c r="R82" s="1401"/>
      <c r="S82" s="859">
        <f t="shared" si="13"/>
        <v>2.6156482039849993E-2</v>
      </c>
      <c r="T82" s="650">
        <f t="shared" si="14"/>
        <v>4.2659366960332559</v>
      </c>
    </row>
    <row r="83" spans="1:20" s="1404" customFormat="1" ht="14.25" customHeight="1">
      <c r="A83" s="1402"/>
      <c r="B83" s="1954" t="s">
        <v>239</v>
      </c>
      <c r="C83" s="863" t="s">
        <v>225</v>
      </c>
      <c r="D83" s="1074">
        <v>0</v>
      </c>
      <c r="E83" s="1074">
        <v>0</v>
      </c>
      <c r="F83" s="1074">
        <v>0</v>
      </c>
      <c r="G83" s="1074">
        <v>0</v>
      </c>
      <c r="H83" s="1075">
        <v>0</v>
      </c>
      <c r="I83" s="1076">
        <v>0</v>
      </c>
      <c r="J83" s="1077">
        <v>0</v>
      </c>
      <c r="K83" s="1077">
        <v>0</v>
      </c>
      <c r="L83" s="1077">
        <v>0</v>
      </c>
      <c r="M83" s="1078">
        <v>0</v>
      </c>
      <c r="N83" s="847"/>
      <c r="O83" s="859">
        <f t="shared" si="10"/>
        <v>0</v>
      </c>
      <c r="P83" s="860">
        <f t="shared" si="11"/>
        <v>0</v>
      </c>
      <c r="Q83" s="861">
        <f t="shared" si="12"/>
        <v>0</v>
      </c>
      <c r="R83" s="1401"/>
      <c r="S83" s="859">
        <f t="shared" si="13"/>
        <v>0</v>
      </c>
      <c r="T83" s="650" t="str">
        <f t="shared" si="14"/>
        <v>0</v>
      </c>
    </row>
    <row r="84" spans="1:20" s="1404" customFormat="1" ht="14.25" customHeight="1">
      <c r="A84" s="1402"/>
      <c r="B84" s="1954"/>
      <c r="C84" s="863" t="s">
        <v>878</v>
      </c>
      <c r="D84" s="1074">
        <v>0</v>
      </c>
      <c r="E84" s="1074">
        <v>0</v>
      </c>
      <c r="F84" s="1074">
        <v>3.5587697156634096E-2</v>
      </c>
      <c r="G84" s="1074">
        <v>1.0040457302422188</v>
      </c>
      <c r="H84" s="1075">
        <v>1.1579091471219216</v>
      </c>
      <c r="I84" s="1076">
        <v>1.3004819497748334</v>
      </c>
      <c r="J84" s="1077">
        <v>1.3046164771555993</v>
      </c>
      <c r="K84" s="1077">
        <v>1.3496412665488986</v>
      </c>
      <c r="L84" s="1077">
        <v>1.2629153911490945</v>
      </c>
      <c r="M84" s="1078">
        <v>1.2563416956476854</v>
      </c>
      <c r="N84" s="847"/>
      <c r="O84" s="859">
        <f t="shared" si="10"/>
        <v>1.0396334273988528</v>
      </c>
      <c r="P84" s="860">
        <f t="shared" si="11"/>
        <v>1.1579091471219216</v>
      </c>
      <c r="Q84" s="861">
        <f t="shared" si="12"/>
        <v>2.1975425745207744</v>
      </c>
      <c r="R84" s="1401"/>
      <c r="S84" s="859">
        <f t="shared" si="13"/>
        <v>6.4739967802761109</v>
      </c>
      <c r="T84" s="650">
        <f t="shared" si="14"/>
        <v>1.9460165438150465</v>
      </c>
    </row>
    <row r="85" spans="1:20" s="1404" customFormat="1" ht="14.25" customHeight="1">
      <c r="A85" s="1402"/>
      <c r="B85" s="1954"/>
      <c r="C85" s="862" t="s">
        <v>120</v>
      </c>
      <c r="D85" s="1074">
        <v>0</v>
      </c>
      <c r="E85" s="1074">
        <v>0</v>
      </c>
      <c r="F85" s="1074">
        <v>0</v>
      </c>
      <c r="G85" s="1074">
        <v>0</v>
      </c>
      <c r="H85" s="1075">
        <v>0</v>
      </c>
      <c r="I85" s="1076">
        <v>0</v>
      </c>
      <c r="J85" s="1077">
        <v>0</v>
      </c>
      <c r="K85" s="1077">
        <v>0</v>
      </c>
      <c r="L85" s="1077">
        <v>0</v>
      </c>
      <c r="M85" s="1078">
        <v>0</v>
      </c>
      <c r="N85" s="847"/>
      <c r="O85" s="859">
        <f t="shared" si="10"/>
        <v>0</v>
      </c>
      <c r="P85" s="860">
        <f t="shared" si="11"/>
        <v>0</v>
      </c>
      <c r="Q85" s="861">
        <f t="shared" si="12"/>
        <v>0</v>
      </c>
      <c r="R85" s="1401"/>
      <c r="S85" s="859">
        <f t="shared" si="13"/>
        <v>0</v>
      </c>
      <c r="T85" s="650" t="str">
        <f t="shared" si="14"/>
        <v>0</v>
      </c>
    </row>
    <row r="86" spans="1:20" s="1404" customFormat="1" ht="14.25" customHeight="1">
      <c r="A86" s="1402"/>
      <c r="B86" s="1954"/>
      <c r="C86" s="862" t="s">
        <v>224</v>
      </c>
      <c r="D86" s="1074">
        <v>0</v>
      </c>
      <c r="E86" s="1074">
        <v>0</v>
      </c>
      <c r="F86" s="1074">
        <v>0.1120170634242843</v>
      </c>
      <c r="G86" s="1074">
        <v>4.6103180225752771E-2</v>
      </c>
      <c r="H86" s="1075">
        <v>0</v>
      </c>
      <c r="I86" s="1076">
        <v>0</v>
      </c>
      <c r="J86" s="1077">
        <v>0</v>
      </c>
      <c r="K86" s="1077">
        <v>0</v>
      </c>
      <c r="L86" s="1077">
        <v>0</v>
      </c>
      <c r="M86" s="1078">
        <v>0</v>
      </c>
      <c r="N86" s="847"/>
      <c r="O86" s="859">
        <f t="shared" si="10"/>
        <v>0.15812024365003707</v>
      </c>
      <c r="P86" s="860">
        <f t="shared" si="11"/>
        <v>0</v>
      </c>
      <c r="Q86" s="861">
        <f t="shared" si="12"/>
        <v>0.15812024365003707</v>
      </c>
      <c r="R86" s="1401"/>
      <c r="S86" s="859">
        <f t="shared" si="13"/>
        <v>0</v>
      </c>
      <c r="T86" s="650">
        <f t="shared" si="14"/>
        <v>-1</v>
      </c>
    </row>
    <row r="87" spans="1:20" s="1404" customFormat="1" ht="14.25" customHeight="1">
      <c r="A87" s="1402"/>
      <c r="B87" s="1954"/>
      <c r="C87" s="863" t="s">
        <v>868</v>
      </c>
      <c r="D87" s="1074">
        <v>0</v>
      </c>
      <c r="E87" s="1074">
        <v>0</v>
      </c>
      <c r="F87" s="1074">
        <v>8.199875738692837E-2</v>
      </c>
      <c r="G87" s="1074">
        <v>0</v>
      </c>
      <c r="H87" s="1075">
        <v>0.31772526112382798</v>
      </c>
      <c r="I87" s="1076">
        <v>0.35684662143490825</v>
      </c>
      <c r="J87" s="1077">
        <v>0.35798111786318376</v>
      </c>
      <c r="K87" s="1077">
        <v>0.37033572530590847</v>
      </c>
      <c r="L87" s="1077">
        <v>0.3465385202522257</v>
      </c>
      <c r="M87" s="1078">
        <v>0.34473472664292104</v>
      </c>
      <c r="N87" s="847"/>
      <c r="O87" s="859">
        <f t="shared" si="10"/>
        <v>8.199875738692837E-2</v>
      </c>
      <c r="P87" s="860">
        <f t="shared" si="11"/>
        <v>0.31772526112382798</v>
      </c>
      <c r="Q87" s="861">
        <f t="shared" si="12"/>
        <v>0.39972401851075634</v>
      </c>
      <c r="R87" s="1401"/>
      <c r="S87" s="859">
        <f t="shared" si="13"/>
        <v>1.7764367114991473</v>
      </c>
      <c r="T87" s="650">
        <f t="shared" si="14"/>
        <v>3.444158042135125</v>
      </c>
    </row>
    <row r="88" spans="1:20" s="1404" customFormat="1" ht="15" customHeight="1">
      <c r="A88" s="1402"/>
      <c r="B88" s="1954"/>
      <c r="C88" s="863" t="s">
        <v>869</v>
      </c>
      <c r="D88" s="1074">
        <v>0</v>
      </c>
      <c r="E88" s="1074">
        <v>0</v>
      </c>
      <c r="F88" s="1074">
        <v>0</v>
      </c>
      <c r="G88" s="1074">
        <v>0</v>
      </c>
      <c r="H88" s="1075">
        <v>1.155410199708439E-2</v>
      </c>
      <c r="I88" s="1076">
        <v>1.2976753081546782E-2</v>
      </c>
      <c r="J88" s="1077">
        <v>1.3018009125845114E-2</v>
      </c>
      <c r="K88" s="1077">
        <v>1.3467285315035327E-2</v>
      </c>
      <c r="L88" s="1077">
        <v>1.2601898239852079E-2</v>
      </c>
      <c r="M88" s="1078">
        <v>1.2536303155376025E-2</v>
      </c>
      <c r="N88" s="847"/>
      <c r="O88" s="859">
        <f t="shared" si="10"/>
        <v>0</v>
      </c>
      <c r="P88" s="860">
        <f t="shared" si="11"/>
        <v>1.155410199708439E-2</v>
      </c>
      <c r="Q88" s="861">
        <f t="shared" si="12"/>
        <v>1.155410199708439E-2</v>
      </c>
      <c r="R88" s="1401"/>
      <c r="S88" s="859">
        <f t="shared" si="13"/>
        <v>6.460024891765534E-2</v>
      </c>
      <c r="T88" s="650">
        <f t="shared" si="14"/>
        <v>4.5911094548028775</v>
      </c>
    </row>
    <row r="89" spans="1:20" s="1404" customFormat="1" ht="14.25" customHeight="1">
      <c r="A89" s="1402"/>
      <c r="B89" s="1954" t="s">
        <v>245</v>
      </c>
      <c r="C89" s="863" t="s">
        <v>225</v>
      </c>
      <c r="D89" s="1074">
        <v>0</v>
      </c>
      <c r="E89" s="1074">
        <v>0</v>
      </c>
      <c r="F89" s="1074">
        <v>0</v>
      </c>
      <c r="G89" s="1074">
        <v>0</v>
      </c>
      <c r="H89" s="1075">
        <v>0</v>
      </c>
      <c r="I89" s="1076">
        <v>0</v>
      </c>
      <c r="J89" s="1077">
        <v>0</v>
      </c>
      <c r="K89" s="1077">
        <v>0</v>
      </c>
      <c r="L89" s="1077">
        <v>0</v>
      </c>
      <c r="M89" s="1078">
        <v>0</v>
      </c>
      <c r="N89" s="847"/>
      <c r="O89" s="859">
        <f t="shared" si="10"/>
        <v>0</v>
      </c>
      <c r="P89" s="860">
        <f t="shared" si="11"/>
        <v>0</v>
      </c>
      <c r="Q89" s="861">
        <f t="shared" si="12"/>
        <v>0</v>
      </c>
      <c r="R89" s="1401"/>
      <c r="S89" s="859">
        <f t="shared" si="13"/>
        <v>0</v>
      </c>
      <c r="T89" s="650" t="str">
        <f t="shared" si="14"/>
        <v>0</v>
      </c>
    </row>
    <row r="90" spans="1:20" s="1404" customFormat="1" ht="14.25" customHeight="1">
      <c r="A90" s="1402"/>
      <c r="B90" s="1954"/>
      <c r="C90" s="863" t="s">
        <v>878</v>
      </c>
      <c r="D90" s="1074">
        <v>0.75612566348767984</v>
      </c>
      <c r="E90" s="1074">
        <v>0</v>
      </c>
      <c r="F90" s="1074">
        <v>0</v>
      </c>
      <c r="G90" s="1074">
        <v>0</v>
      </c>
      <c r="H90" s="1075">
        <v>0</v>
      </c>
      <c r="I90" s="1076">
        <v>0</v>
      </c>
      <c r="J90" s="1077">
        <v>0</v>
      </c>
      <c r="K90" s="1077">
        <v>0</v>
      </c>
      <c r="L90" s="1077">
        <v>0</v>
      </c>
      <c r="M90" s="1078">
        <v>0</v>
      </c>
      <c r="N90" s="847"/>
      <c r="O90" s="859">
        <f t="shared" si="10"/>
        <v>0.75612566348767984</v>
      </c>
      <c r="P90" s="860">
        <f t="shared" si="11"/>
        <v>0</v>
      </c>
      <c r="Q90" s="861">
        <f t="shared" si="12"/>
        <v>0.75612566348767984</v>
      </c>
      <c r="R90" s="1401"/>
      <c r="S90" s="859">
        <f t="shared" si="13"/>
        <v>0</v>
      </c>
      <c r="T90" s="650">
        <f t="shared" si="14"/>
        <v>-1</v>
      </c>
    </row>
    <row r="91" spans="1:20" s="1404" customFormat="1" ht="14.25" customHeight="1">
      <c r="A91" s="1402"/>
      <c r="B91" s="1954"/>
      <c r="C91" s="863" t="s">
        <v>120</v>
      </c>
      <c r="D91" s="1074">
        <v>0</v>
      </c>
      <c r="E91" s="1074">
        <v>0</v>
      </c>
      <c r="F91" s="1074">
        <v>0</v>
      </c>
      <c r="G91" s="1074">
        <v>0</v>
      </c>
      <c r="H91" s="1075">
        <v>0</v>
      </c>
      <c r="I91" s="1076">
        <v>0</v>
      </c>
      <c r="J91" s="1077">
        <v>0</v>
      </c>
      <c r="K91" s="1077">
        <v>0</v>
      </c>
      <c r="L91" s="1077">
        <v>0</v>
      </c>
      <c r="M91" s="1078">
        <v>0</v>
      </c>
      <c r="N91" s="847"/>
      <c r="O91" s="859">
        <f t="shared" si="10"/>
        <v>0</v>
      </c>
      <c r="P91" s="860">
        <f t="shared" si="11"/>
        <v>0</v>
      </c>
      <c r="Q91" s="861">
        <f t="shared" si="12"/>
        <v>0</v>
      </c>
      <c r="R91" s="1401"/>
      <c r="S91" s="859">
        <f t="shared" si="13"/>
        <v>0</v>
      </c>
      <c r="T91" s="650" t="str">
        <f t="shared" si="14"/>
        <v>0</v>
      </c>
    </row>
    <row r="92" spans="1:20" s="1404" customFormat="1" ht="14.25" customHeight="1">
      <c r="A92" s="1402"/>
      <c r="B92" s="1954"/>
      <c r="C92" s="863" t="s">
        <v>224</v>
      </c>
      <c r="D92" s="1074">
        <v>0</v>
      </c>
      <c r="E92" s="1074">
        <v>0</v>
      </c>
      <c r="F92" s="1074">
        <v>0</v>
      </c>
      <c r="G92" s="1074">
        <v>0</v>
      </c>
      <c r="H92" s="1075">
        <v>0</v>
      </c>
      <c r="I92" s="1076">
        <v>0</v>
      </c>
      <c r="J92" s="1077">
        <v>0</v>
      </c>
      <c r="K92" s="1077">
        <v>0</v>
      </c>
      <c r="L92" s="1077">
        <v>0</v>
      </c>
      <c r="M92" s="1078">
        <v>0</v>
      </c>
      <c r="N92" s="847"/>
      <c r="O92" s="859">
        <f t="shared" si="10"/>
        <v>0</v>
      </c>
      <c r="P92" s="860">
        <f t="shared" si="11"/>
        <v>0</v>
      </c>
      <c r="Q92" s="861">
        <f t="shared" si="12"/>
        <v>0</v>
      </c>
      <c r="R92" s="1401"/>
      <c r="S92" s="859">
        <f t="shared" si="13"/>
        <v>0</v>
      </c>
      <c r="T92" s="650" t="str">
        <f t="shared" si="14"/>
        <v>0</v>
      </c>
    </row>
    <row r="93" spans="1:20" s="1404" customFormat="1" ht="14.25" customHeight="1">
      <c r="A93" s="1402"/>
      <c r="B93" s="1954"/>
      <c r="C93" s="863" t="s">
        <v>868</v>
      </c>
      <c r="D93" s="1074">
        <v>0</v>
      </c>
      <c r="E93" s="1074">
        <v>0</v>
      </c>
      <c r="F93" s="1074">
        <v>0</v>
      </c>
      <c r="G93" s="1074">
        <v>0</v>
      </c>
      <c r="H93" s="1075">
        <v>0</v>
      </c>
      <c r="I93" s="1076">
        <v>0</v>
      </c>
      <c r="J93" s="1077">
        <v>0</v>
      </c>
      <c r="K93" s="1077">
        <v>0</v>
      </c>
      <c r="L93" s="1077">
        <v>0</v>
      </c>
      <c r="M93" s="1078">
        <v>0</v>
      </c>
      <c r="N93" s="847"/>
      <c r="O93" s="859">
        <f t="shared" si="10"/>
        <v>0</v>
      </c>
      <c r="P93" s="860">
        <f t="shared" si="11"/>
        <v>0</v>
      </c>
      <c r="Q93" s="861">
        <f t="shared" si="12"/>
        <v>0</v>
      </c>
      <c r="R93" s="1401"/>
      <c r="S93" s="859">
        <f t="shared" si="13"/>
        <v>0</v>
      </c>
      <c r="T93" s="650" t="str">
        <f t="shared" si="14"/>
        <v>0</v>
      </c>
    </row>
    <row r="94" spans="1:20" s="1404" customFormat="1" ht="15" customHeight="1">
      <c r="A94" s="1402"/>
      <c r="B94" s="1954"/>
      <c r="C94" s="862" t="s">
        <v>869</v>
      </c>
      <c r="D94" s="1074">
        <v>-0.19551249298752865</v>
      </c>
      <c r="E94" s="1074">
        <v>0</v>
      </c>
      <c r="F94" s="1074">
        <v>0</v>
      </c>
      <c r="G94" s="1074">
        <v>0</v>
      </c>
      <c r="H94" s="1075">
        <v>0</v>
      </c>
      <c r="I94" s="1076">
        <v>0</v>
      </c>
      <c r="J94" s="1077">
        <v>0</v>
      </c>
      <c r="K94" s="1077">
        <v>0</v>
      </c>
      <c r="L94" s="1077">
        <v>0</v>
      </c>
      <c r="M94" s="1078">
        <v>0</v>
      </c>
      <c r="N94" s="847"/>
      <c r="O94" s="859">
        <f t="shared" si="10"/>
        <v>-0.19551249298752865</v>
      </c>
      <c r="P94" s="860">
        <f t="shared" si="11"/>
        <v>0</v>
      </c>
      <c r="Q94" s="861">
        <f t="shared" si="12"/>
        <v>-0.19551249298752865</v>
      </c>
      <c r="R94" s="1401"/>
      <c r="S94" s="859">
        <f t="shared" si="13"/>
        <v>0</v>
      </c>
      <c r="T94" s="650">
        <f t="shared" si="14"/>
        <v>-1</v>
      </c>
    </row>
    <row r="95" spans="1:20" s="1404" customFormat="1" ht="14.25" customHeight="1">
      <c r="A95" s="1402"/>
      <c r="B95" s="1954" t="s">
        <v>243</v>
      </c>
      <c r="C95" s="863" t="s">
        <v>225</v>
      </c>
      <c r="D95" s="1074">
        <v>0</v>
      </c>
      <c r="E95" s="1074">
        <v>0</v>
      </c>
      <c r="F95" s="1074">
        <v>0</v>
      </c>
      <c r="G95" s="1074">
        <v>0</v>
      </c>
      <c r="H95" s="1075">
        <v>0</v>
      </c>
      <c r="I95" s="1076">
        <v>0</v>
      </c>
      <c r="J95" s="1077">
        <v>0</v>
      </c>
      <c r="K95" s="1077">
        <v>0</v>
      </c>
      <c r="L95" s="1077">
        <v>0</v>
      </c>
      <c r="M95" s="1078">
        <v>0</v>
      </c>
      <c r="N95" s="847"/>
      <c r="O95" s="859">
        <f t="shared" si="10"/>
        <v>0</v>
      </c>
      <c r="P95" s="860">
        <f t="shared" si="11"/>
        <v>0</v>
      </c>
      <c r="Q95" s="861">
        <f t="shared" si="12"/>
        <v>0</v>
      </c>
      <c r="R95" s="1401"/>
      <c r="S95" s="859">
        <f t="shared" si="13"/>
        <v>0</v>
      </c>
      <c r="T95" s="650" t="str">
        <f t="shared" si="14"/>
        <v>0</v>
      </c>
    </row>
    <row r="96" spans="1:20" s="1404" customFormat="1" ht="14.25" customHeight="1">
      <c r="A96" s="1402"/>
      <c r="B96" s="1954"/>
      <c r="C96" s="863" t="s">
        <v>878</v>
      </c>
      <c r="D96" s="1074">
        <v>0</v>
      </c>
      <c r="E96" s="1074">
        <v>0</v>
      </c>
      <c r="F96" s="1074">
        <v>0</v>
      </c>
      <c r="G96" s="1074">
        <v>0</v>
      </c>
      <c r="H96" s="1075">
        <v>0</v>
      </c>
      <c r="I96" s="1076">
        <v>0</v>
      </c>
      <c r="J96" s="1077">
        <v>0</v>
      </c>
      <c r="K96" s="1077">
        <v>0</v>
      </c>
      <c r="L96" s="1077">
        <v>0</v>
      </c>
      <c r="M96" s="1078">
        <v>0</v>
      </c>
      <c r="N96" s="847"/>
      <c r="O96" s="859">
        <f t="shared" si="10"/>
        <v>0</v>
      </c>
      <c r="P96" s="860">
        <f t="shared" si="11"/>
        <v>0</v>
      </c>
      <c r="Q96" s="861">
        <f t="shared" si="12"/>
        <v>0</v>
      </c>
      <c r="R96" s="1401"/>
      <c r="S96" s="859">
        <f t="shared" si="13"/>
        <v>0</v>
      </c>
      <c r="T96" s="650" t="str">
        <f t="shared" si="14"/>
        <v>0</v>
      </c>
    </row>
    <row r="97" spans="1:20" s="1404" customFormat="1" ht="14.25" customHeight="1">
      <c r="A97" s="1402"/>
      <c r="B97" s="1954"/>
      <c r="C97" s="862" t="s">
        <v>879</v>
      </c>
      <c r="D97" s="1074">
        <v>0</v>
      </c>
      <c r="E97" s="1074">
        <v>0</v>
      </c>
      <c r="F97" s="1074">
        <v>0</v>
      </c>
      <c r="G97" s="1074">
        <v>0</v>
      </c>
      <c r="H97" s="1075">
        <v>0</v>
      </c>
      <c r="I97" s="1076">
        <v>0</v>
      </c>
      <c r="J97" s="1077">
        <v>0</v>
      </c>
      <c r="K97" s="1077">
        <v>0</v>
      </c>
      <c r="L97" s="1077">
        <v>0</v>
      </c>
      <c r="M97" s="1078">
        <v>0</v>
      </c>
      <c r="N97" s="847"/>
      <c r="O97" s="859">
        <f t="shared" si="10"/>
        <v>0</v>
      </c>
      <c r="P97" s="860">
        <f t="shared" si="11"/>
        <v>0</v>
      </c>
      <c r="Q97" s="861">
        <f t="shared" si="12"/>
        <v>0</v>
      </c>
      <c r="R97" s="1401"/>
      <c r="S97" s="859">
        <f t="shared" si="13"/>
        <v>0</v>
      </c>
      <c r="T97" s="650" t="str">
        <f t="shared" si="14"/>
        <v>0</v>
      </c>
    </row>
    <row r="98" spans="1:20" s="1404" customFormat="1" ht="14.25" customHeight="1">
      <c r="A98" s="1402"/>
      <c r="B98" s="1954"/>
      <c r="C98" s="862" t="s">
        <v>224</v>
      </c>
      <c r="D98" s="1074">
        <v>0</v>
      </c>
      <c r="E98" s="1074">
        <v>0</v>
      </c>
      <c r="F98" s="1074">
        <v>0</v>
      </c>
      <c r="G98" s="1074">
        <v>0</v>
      </c>
      <c r="H98" s="1075">
        <v>0</v>
      </c>
      <c r="I98" s="1076">
        <v>0</v>
      </c>
      <c r="J98" s="1077">
        <v>0</v>
      </c>
      <c r="K98" s="1077">
        <v>0</v>
      </c>
      <c r="L98" s="1077">
        <v>0</v>
      </c>
      <c r="M98" s="1078">
        <v>0</v>
      </c>
      <c r="N98" s="847"/>
      <c r="O98" s="859">
        <f t="shared" si="10"/>
        <v>0</v>
      </c>
      <c r="P98" s="860">
        <f t="shared" si="11"/>
        <v>0</v>
      </c>
      <c r="Q98" s="861">
        <f t="shared" si="12"/>
        <v>0</v>
      </c>
      <c r="R98" s="1401"/>
      <c r="S98" s="859">
        <f t="shared" si="13"/>
        <v>0</v>
      </c>
      <c r="T98" s="650" t="str">
        <f t="shared" si="14"/>
        <v>0</v>
      </c>
    </row>
    <row r="99" spans="1:20" s="1404" customFormat="1" ht="14.25" customHeight="1">
      <c r="A99" s="1402"/>
      <c r="B99" s="1954"/>
      <c r="C99" s="862" t="s">
        <v>868</v>
      </c>
      <c r="D99" s="1074">
        <v>0</v>
      </c>
      <c r="E99" s="1074">
        <v>0</v>
      </c>
      <c r="F99" s="1074">
        <v>0</v>
      </c>
      <c r="G99" s="1074">
        <v>0</v>
      </c>
      <c r="H99" s="1075">
        <v>0</v>
      </c>
      <c r="I99" s="1076">
        <v>0</v>
      </c>
      <c r="J99" s="1077">
        <v>0</v>
      </c>
      <c r="K99" s="1077">
        <v>0</v>
      </c>
      <c r="L99" s="1077">
        <v>0</v>
      </c>
      <c r="M99" s="1078">
        <v>0</v>
      </c>
      <c r="N99" s="847"/>
      <c r="O99" s="859">
        <f t="shared" si="10"/>
        <v>0</v>
      </c>
      <c r="P99" s="860">
        <f t="shared" si="11"/>
        <v>0</v>
      </c>
      <c r="Q99" s="861">
        <f t="shared" si="12"/>
        <v>0</v>
      </c>
      <c r="R99" s="1401"/>
      <c r="S99" s="859">
        <f t="shared" si="13"/>
        <v>0</v>
      </c>
      <c r="T99" s="650" t="str">
        <f t="shared" si="14"/>
        <v>0</v>
      </c>
    </row>
    <row r="100" spans="1:20" s="1404" customFormat="1" ht="15" customHeight="1">
      <c r="A100" s="1402"/>
      <c r="B100" s="1954"/>
      <c r="C100" s="862" t="s">
        <v>869</v>
      </c>
      <c r="D100" s="1074">
        <v>0</v>
      </c>
      <c r="E100" s="1074">
        <v>0</v>
      </c>
      <c r="F100" s="1074">
        <v>0</v>
      </c>
      <c r="G100" s="1074">
        <v>0</v>
      </c>
      <c r="H100" s="1075">
        <v>0</v>
      </c>
      <c r="I100" s="1076">
        <v>0</v>
      </c>
      <c r="J100" s="1077">
        <v>0</v>
      </c>
      <c r="K100" s="1077">
        <v>0</v>
      </c>
      <c r="L100" s="1077">
        <v>0</v>
      </c>
      <c r="M100" s="1078">
        <v>0</v>
      </c>
      <c r="N100" s="847"/>
      <c r="O100" s="859">
        <f t="shared" si="10"/>
        <v>0</v>
      </c>
      <c r="P100" s="860">
        <f t="shared" si="11"/>
        <v>0</v>
      </c>
      <c r="Q100" s="861">
        <f t="shared" si="12"/>
        <v>0</v>
      </c>
      <c r="R100" s="1401"/>
      <c r="S100" s="859">
        <f t="shared" si="13"/>
        <v>0</v>
      </c>
      <c r="T100" s="650" t="str">
        <f t="shared" si="14"/>
        <v>0</v>
      </c>
    </row>
    <row r="101" spans="1:20" s="1404" customFormat="1" ht="15" customHeight="1" thickBot="1">
      <c r="A101" s="1402"/>
      <c r="B101" s="1409" t="s">
        <v>622</v>
      </c>
      <c r="C101" s="1410"/>
      <c r="D101" s="880">
        <v>0.56061317050015114</v>
      </c>
      <c r="E101" s="881">
        <v>0</v>
      </c>
      <c r="F101" s="881">
        <v>5.4129820482579465</v>
      </c>
      <c r="G101" s="881">
        <v>6.1251350794229129</v>
      </c>
      <c r="H101" s="882">
        <v>5.7393242168238077</v>
      </c>
      <c r="I101" s="883">
        <v>6.1175928225469072</v>
      </c>
      <c r="J101" s="881">
        <v>6.2420993809820899</v>
      </c>
      <c r="K101" s="881">
        <v>6.3862954589731409</v>
      </c>
      <c r="L101" s="881">
        <v>6.0128982892375191</v>
      </c>
      <c r="M101" s="882">
        <v>5.9538041246836126</v>
      </c>
      <c r="N101" s="847"/>
      <c r="O101" s="867">
        <f t="shared" si="10"/>
        <v>12.09873029818101</v>
      </c>
      <c r="P101" s="868">
        <f t="shared" si="11"/>
        <v>5.7393242168238077</v>
      </c>
      <c r="Q101" s="869">
        <f t="shared" si="12"/>
        <v>17.838054515004817</v>
      </c>
      <c r="R101" s="1401"/>
      <c r="S101" s="867">
        <f t="shared" si="13"/>
        <v>30.712690076423272</v>
      </c>
      <c r="T101" s="682">
        <f t="shared" si="14"/>
        <v>0.72175110523340491</v>
      </c>
    </row>
    <row r="102" spans="1:20" s="1404" customFormat="1" ht="15" customHeight="1">
      <c r="A102" s="1402"/>
      <c r="B102" s="847"/>
      <c r="C102" s="847"/>
      <c r="D102" s="847"/>
      <c r="E102" s="847"/>
      <c r="F102" s="847"/>
      <c r="G102" s="847"/>
      <c r="H102" s="847"/>
      <c r="I102" s="847"/>
      <c r="J102" s="847"/>
      <c r="K102" s="847"/>
      <c r="L102" s="847"/>
      <c r="M102" s="847"/>
      <c r="N102" s="847"/>
      <c r="O102" s="847"/>
      <c r="P102" s="847"/>
      <c r="Q102" s="847"/>
    </row>
    <row r="103" spans="1:20" s="1404" customFormat="1" ht="15" customHeight="1">
      <c r="A103" s="1402"/>
      <c r="B103" s="847"/>
      <c r="C103" s="847"/>
      <c r="D103" s="847"/>
      <c r="E103" s="847"/>
      <c r="F103" s="847"/>
      <c r="G103" s="847"/>
      <c r="H103" s="847"/>
      <c r="I103" s="847"/>
      <c r="J103" s="847"/>
      <c r="K103" s="847"/>
      <c r="L103" s="847"/>
      <c r="M103" s="847"/>
      <c r="N103" s="847"/>
      <c r="O103" s="847"/>
      <c r="P103" s="847"/>
      <c r="Q103" s="847"/>
    </row>
    <row r="104" spans="1:20" s="1404" customFormat="1" ht="15" customHeight="1">
      <c r="A104" s="1402"/>
      <c r="B104" s="845" t="s">
        <v>623</v>
      </c>
      <c r="C104" s="847"/>
      <c r="D104" s="847"/>
      <c r="E104" s="847"/>
      <c r="F104" s="847"/>
      <c r="G104" s="847"/>
      <c r="H104" s="847"/>
      <c r="I104" s="847"/>
      <c r="J104" s="847"/>
      <c r="K104" s="847"/>
      <c r="L104" s="847"/>
      <c r="M104" s="847"/>
      <c r="N104" s="847"/>
      <c r="O104" s="847"/>
      <c r="P104" s="847"/>
      <c r="Q104" s="847"/>
    </row>
    <row r="105" spans="1:20" s="1404" customFormat="1" ht="15" customHeight="1" thickBot="1">
      <c r="A105" s="1402"/>
      <c r="B105" s="847"/>
      <c r="C105" s="847"/>
      <c r="D105" s="847"/>
      <c r="E105" s="847"/>
      <c r="F105" s="847"/>
      <c r="G105" s="847"/>
      <c r="H105" s="847"/>
      <c r="I105" s="847"/>
      <c r="J105" s="847"/>
      <c r="K105" s="847"/>
      <c r="L105" s="847"/>
      <c r="M105" s="847"/>
      <c r="N105" s="847"/>
      <c r="O105" s="847"/>
      <c r="P105" s="847"/>
      <c r="Q105" s="847"/>
    </row>
    <row r="106" spans="1:20" s="1404" customFormat="1" ht="15" customHeight="1">
      <c r="A106" s="1402"/>
      <c r="B106" s="1946" t="s">
        <v>113</v>
      </c>
      <c r="C106" s="1947"/>
      <c r="D106" s="1406" t="s">
        <v>114</v>
      </c>
      <c r="E106" s="1406"/>
      <c r="F106" s="1406"/>
      <c r="G106" s="1406"/>
      <c r="H106" s="1407"/>
      <c r="I106" s="1405" t="s">
        <v>115</v>
      </c>
      <c r="J106" s="1406"/>
      <c r="K106" s="1406"/>
      <c r="L106" s="1406"/>
      <c r="M106" s="1407"/>
      <c r="N106" s="847"/>
      <c r="O106" s="510" t="s">
        <v>116</v>
      </c>
      <c r="P106" s="511"/>
      <c r="Q106" s="512"/>
      <c r="R106" s="1401"/>
      <c r="S106" s="510" t="s">
        <v>117</v>
      </c>
      <c r="T106" s="512"/>
    </row>
    <row r="107" spans="1:20" s="1404" customFormat="1" ht="15" customHeight="1">
      <c r="A107" s="1402"/>
      <c r="B107" s="1948"/>
      <c r="C107" s="1949"/>
      <c r="D107" s="853" t="s">
        <v>32</v>
      </c>
      <c r="E107" s="851" t="s">
        <v>33</v>
      </c>
      <c r="F107" s="851" t="s">
        <v>29</v>
      </c>
      <c r="G107" s="851" t="s">
        <v>34</v>
      </c>
      <c r="H107" s="852" t="s">
        <v>35</v>
      </c>
      <c r="I107" s="850" t="s">
        <v>118</v>
      </c>
      <c r="J107" s="851" t="s">
        <v>136</v>
      </c>
      <c r="K107" s="851" t="s">
        <v>137</v>
      </c>
      <c r="L107" s="851" t="s">
        <v>138</v>
      </c>
      <c r="M107" s="852" t="s">
        <v>624</v>
      </c>
      <c r="N107" s="847"/>
      <c r="O107" s="517" t="s">
        <v>126</v>
      </c>
      <c r="P107" s="518" t="s">
        <v>127</v>
      </c>
      <c r="Q107" s="519" t="s">
        <v>246</v>
      </c>
      <c r="R107" s="1401"/>
      <c r="S107" s="517" t="s">
        <v>127</v>
      </c>
      <c r="T107" s="519" t="s">
        <v>128</v>
      </c>
    </row>
    <row r="108" spans="1:20" s="1404" customFormat="1" ht="15" customHeight="1">
      <c r="A108" s="1402"/>
      <c r="B108" s="1950"/>
      <c r="C108" s="1951"/>
      <c r="D108" s="853" t="s">
        <v>14</v>
      </c>
      <c r="E108" s="851" t="s">
        <v>14</v>
      </c>
      <c r="F108" s="851" t="s">
        <v>14</v>
      </c>
      <c r="G108" s="851" t="s">
        <v>14</v>
      </c>
      <c r="H108" s="852" t="s">
        <v>14</v>
      </c>
      <c r="I108" s="850" t="s">
        <v>14</v>
      </c>
      <c r="J108" s="851" t="s">
        <v>14</v>
      </c>
      <c r="K108" s="851" t="s">
        <v>14</v>
      </c>
      <c r="L108" s="851" t="s">
        <v>14</v>
      </c>
      <c r="M108" s="852" t="s">
        <v>14</v>
      </c>
      <c r="N108" s="847"/>
      <c r="O108" s="854"/>
      <c r="P108" s="855"/>
      <c r="Q108" s="856"/>
      <c r="R108" s="1401"/>
      <c r="S108" s="857"/>
      <c r="T108" s="858"/>
    </row>
    <row r="109" spans="1:20" s="1404" customFormat="1" ht="15" customHeight="1">
      <c r="A109" s="1402"/>
      <c r="B109" s="1953" t="s">
        <v>625</v>
      </c>
      <c r="C109" s="884" t="s">
        <v>626</v>
      </c>
      <c r="D109" s="1069">
        <v>1.1413151966039032</v>
      </c>
      <c r="E109" s="1072">
        <v>1.2333847110440672</v>
      </c>
      <c r="F109" s="1072">
        <v>2.1560512995080727</v>
      </c>
      <c r="G109" s="1072">
        <v>1.0860318577015582</v>
      </c>
      <c r="H109" s="1073">
        <v>1.6132458555196467</v>
      </c>
      <c r="I109" s="1071">
        <v>6.9780927025521819</v>
      </c>
      <c r="J109" s="1072">
        <v>5.6074849569441279</v>
      </c>
      <c r="K109" s="1072">
        <v>4.6310611384917122</v>
      </c>
      <c r="L109" s="1072">
        <v>0.3533090604213196</v>
      </c>
      <c r="M109" s="1073">
        <v>0.34923342215963732</v>
      </c>
      <c r="N109" s="847"/>
      <c r="O109" s="859">
        <f t="shared" ref="O109:O138" si="15">SUM(D109:G109)</f>
        <v>5.6167830648576018</v>
      </c>
      <c r="P109" s="860">
        <f t="shared" ref="P109:P138" si="16">H109</f>
        <v>1.6132458555196467</v>
      </c>
      <c r="Q109" s="861">
        <f t="shared" ref="Q109:Q138" si="17">SUM(D109:H109)</f>
        <v>7.230028920377249</v>
      </c>
      <c r="R109" s="1401"/>
      <c r="S109" s="859">
        <f t="shared" ref="S109:S138" si="18">SUM(I109:M109)</f>
        <v>17.919181280568981</v>
      </c>
      <c r="T109" s="885">
        <f>IF(Q109&lt;&gt;0,(S109-Q109)/Q109,"0")</f>
        <v>1.4784383960159861</v>
      </c>
    </row>
    <row r="110" spans="1:20" s="1404" customFormat="1" ht="15" customHeight="1">
      <c r="A110" s="1402"/>
      <c r="B110" s="1955"/>
      <c r="C110" s="884" t="s">
        <v>627</v>
      </c>
      <c r="D110" s="1074">
        <v>0</v>
      </c>
      <c r="E110" s="1077">
        <v>0</v>
      </c>
      <c r="F110" s="1077">
        <v>0</v>
      </c>
      <c r="G110" s="1077">
        <v>0</v>
      </c>
      <c r="H110" s="1078">
        <v>0</v>
      </c>
      <c r="I110" s="1076">
        <v>0</v>
      </c>
      <c r="J110" s="1077">
        <v>0</v>
      </c>
      <c r="K110" s="1077">
        <v>0</v>
      </c>
      <c r="L110" s="1077">
        <v>0</v>
      </c>
      <c r="M110" s="1078">
        <v>0</v>
      </c>
      <c r="N110" s="847"/>
      <c r="O110" s="859">
        <f t="shared" si="15"/>
        <v>0</v>
      </c>
      <c r="P110" s="860">
        <f t="shared" si="16"/>
        <v>0</v>
      </c>
      <c r="Q110" s="861">
        <f t="shared" si="17"/>
        <v>0</v>
      </c>
      <c r="R110" s="1401"/>
      <c r="S110" s="859">
        <f t="shared" si="18"/>
        <v>0</v>
      </c>
      <c r="T110" s="885" t="str">
        <f t="shared" ref="T110:T138" si="19">IF(Q110&lt;&gt;0,(S110-Q110)/Q110,"0")</f>
        <v>0</v>
      </c>
    </row>
    <row r="111" spans="1:20" s="1404" customFormat="1" ht="15" customHeight="1">
      <c r="A111" s="1402"/>
      <c r="B111" s="1955"/>
      <c r="C111" s="884" t="s">
        <v>628</v>
      </c>
      <c r="D111" s="1074">
        <v>0</v>
      </c>
      <c r="E111" s="1077">
        <v>0</v>
      </c>
      <c r="F111" s="1077">
        <v>0</v>
      </c>
      <c r="G111" s="1077">
        <v>0</v>
      </c>
      <c r="H111" s="1078">
        <v>0</v>
      </c>
      <c r="I111" s="1076">
        <v>0</v>
      </c>
      <c r="J111" s="1077">
        <v>0</v>
      </c>
      <c r="K111" s="1077">
        <v>0</v>
      </c>
      <c r="L111" s="1077">
        <v>0</v>
      </c>
      <c r="M111" s="1078">
        <v>0</v>
      </c>
      <c r="N111" s="847"/>
      <c r="O111" s="859">
        <f t="shared" si="15"/>
        <v>0</v>
      </c>
      <c r="P111" s="860">
        <f t="shared" si="16"/>
        <v>0</v>
      </c>
      <c r="Q111" s="861">
        <f t="shared" si="17"/>
        <v>0</v>
      </c>
      <c r="R111" s="1401"/>
      <c r="S111" s="859">
        <f t="shared" si="18"/>
        <v>0</v>
      </c>
      <c r="T111" s="885" t="str">
        <f t="shared" si="19"/>
        <v>0</v>
      </c>
    </row>
    <row r="112" spans="1:20" s="1404" customFormat="1" ht="15" customHeight="1">
      <c r="A112" s="1402"/>
      <c r="B112" s="1955"/>
      <c r="C112" s="884" t="s">
        <v>629</v>
      </c>
      <c r="D112" s="1074">
        <v>0</v>
      </c>
      <c r="E112" s="1077">
        <v>0</v>
      </c>
      <c r="F112" s="1077">
        <v>0</v>
      </c>
      <c r="G112" s="1077">
        <v>0</v>
      </c>
      <c r="H112" s="1078">
        <v>0</v>
      </c>
      <c r="I112" s="1076">
        <v>0</v>
      </c>
      <c r="J112" s="1077">
        <v>0</v>
      </c>
      <c r="K112" s="1077">
        <v>0</v>
      </c>
      <c r="L112" s="1077">
        <v>0</v>
      </c>
      <c r="M112" s="1078">
        <v>0</v>
      </c>
      <c r="N112" s="847"/>
      <c r="O112" s="859">
        <f t="shared" si="15"/>
        <v>0</v>
      </c>
      <c r="P112" s="860">
        <f t="shared" si="16"/>
        <v>0</v>
      </c>
      <c r="Q112" s="861">
        <f t="shared" si="17"/>
        <v>0</v>
      </c>
      <c r="R112" s="1401"/>
      <c r="S112" s="859">
        <f t="shared" si="18"/>
        <v>0</v>
      </c>
      <c r="T112" s="885" t="str">
        <f t="shared" si="19"/>
        <v>0</v>
      </c>
    </row>
    <row r="113" spans="1:20" s="1404" customFormat="1" ht="15" customHeight="1">
      <c r="A113" s="1402"/>
      <c r="B113" s="1955"/>
      <c r="C113" s="884" t="s">
        <v>630</v>
      </c>
      <c r="D113" s="1074">
        <v>0</v>
      </c>
      <c r="E113" s="1077">
        <v>0</v>
      </c>
      <c r="F113" s="1077">
        <v>0</v>
      </c>
      <c r="G113" s="1077">
        <v>0</v>
      </c>
      <c r="H113" s="1078">
        <v>7.400210346420398E-2</v>
      </c>
      <c r="I113" s="1076">
        <v>4.6676205368242012E-2</v>
      </c>
      <c r="J113" s="1077">
        <v>4.7927221854223309E-2</v>
      </c>
      <c r="K113" s="1077">
        <v>4.8833685115905565E-2</v>
      </c>
      <c r="L113" s="1077">
        <v>1.2749848702160662</v>
      </c>
      <c r="M113" s="1078">
        <v>1.2602771321412998</v>
      </c>
      <c r="N113" s="847"/>
      <c r="O113" s="859">
        <f t="shared" si="15"/>
        <v>0</v>
      </c>
      <c r="P113" s="860">
        <f t="shared" si="16"/>
        <v>7.400210346420398E-2</v>
      </c>
      <c r="Q113" s="861">
        <f t="shared" si="17"/>
        <v>7.400210346420398E-2</v>
      </c>
      <c r="R113" s="1401"/>
      <c r="S113" s="859">
        <f t="shared" si="18"/>
        <v>2.6786991146957368</v>
      </c>
      <c r="T113" s="885">
        <f t="shared" si="19"/>
        <v>35.197607761128943</v>
      </c>
    </row>
    <row r="114" spans="1:20" s="1404" customFormat="1" ht="15" customHeight="1">
      <c r="A114" s="1402"/>
      <c r="B114" s="1956"/>
      <c r="C114" s="1414" t="s">
        <v>717</v>
      </c>
      <c r="D114" s="1087">
        <v>1.1413151966039032</v>
      </c>
      <c r="E114" s="1087">
        <v>1.2333847110440672</v>
      </c>
      <c r="F114" s="1087">
        <v>2.1560512995080727</v>
      </c>
      <c r="G114" s="1087">
        <v>1.0860318577015582</v>
      </c>
      <c r="H114" s="1088">
        <v>1.6872479589838507</v>
      </c>
      <c r="I114" s="1089">
        <v>7.0247689079204241</v>
      </c>
      <c r="J114" s="1087">
        <v>5.6554121787983513</v>
      </c>
      <c r="K114" s="1087">
        <v>4.6798948236076177</v>
      </c>
      <c r="L114" s="1087">
        <v>1.6282939306373858</v>
      </c>
      <c r="M114" s="1088">
        <v>1.6095105543009371</v>
      </c>
      <c r="N114" s="847"/>
      <c r="O114" s="859">
        <f t="shared" si="15"/>
        <v>5.6167830648576018</v>
      </c>
      <c r="P114" s="860">
        <f t="shared" si="16"/>
        <v>1.6872479589838507</v>
      </c>
      <c r="Q114" s="861">
        <f t="shared" si="17"/>
        <v>7.3040310238414525</v>
      </c>
      <c r="R114" s="1401"/>
      <c r="S114" s="859">
        <f t="shared" si="18"/>
        <v>20.597880395264717</v>
      </c>
      <c r="T114" s="885">
        <f t="shared" si="19"/>
        <v>1.8200702225976513</v>
      </c>
    </row>
    <row r="115" spans="1:20" s="1404" customFormat="1" ht="15" customHeight="1">
      <c r="A115" s="1402"/>
      <c r="B115" s="1953" t="s">
        <v>239</v>
      </c>
      <c r="C115" s="884" t="s">
        <v>626</v>
      </c>
      <c r="D115" s="1074">
        <v>4.8417882458104975</v>
      </c>
      <c r="E115" s="1077">
        <v>3.6531191082967447</v>
      </c>
      <c r="F115" s="1077">
        <v>3.9509381048745129</v>
      </c>
      <c r="G115" s="1077">
        <v>4.6011943559342603</v>
      </c>
      <c r="H115" s="1078">
        <v>5.5775437871219031</v>
      </c>
      <c r="I115" s="1076">
        <v>7.5979583635566526</v>
      </c>
      <c r="J115" s="1077">
        <v>15.319816659892544</v>
      </c>
      <c r="K115" s="1077">
        <v>9.5448669259322276</v>
      </c>
      <c r="L115" s="1077">
        <v>3.0911660019028186</v>
      </c>
      <c r="M115" s="1078">
        <v>3.0750759422018832</v>
      </c>
      <c r="N115" s="847"/>
      <c r="O115" s="859">
        <f t="shared" si="15"/>
        <v>17.047039814916015</v>
      </c>
      <c r="P115" s="860">
        <f t="shared" si="16"/>
        <v>5.5775437871219031</v>
      </c>
      <c r="Q115" s="861">
        <f t="shared" si="17"/>
        <v>22.624583602037919</v>
      </c>
      <c r="R115" s="1401"/>
      <c r="S115" s="859">
        <f t="shared" si="18"/>
        <v>38.628883893486126</v>
      </c>
      <c r="T115" s="885">
        <f t="shared" si="19"/>
        <v>0.70738540752664336</v>
      </c>
    </row>
    <row r="116" spans="1:20" s="1404" customFormat="1" ht="15" customHeight="1">
      <c r="A116" s="1402"/>
      <c r="B116" s="1955"/>
      <c r="C116" s="884" t="s">
        <v>627</v>
      </c>
      <c r="D116" s="1074">
        <v>0</v>
      </c>
      <c r="E116" s="1077">
        <v>0</v>
      </c>
      <c r="F116" s="1077">
        <v>0</v>
      </c>
      <c r="G116" s="1077">
        <v>0</v>
      </c>
      <c r="H116" s="1078">
        <v>0</v>
      </c>
      <c r="I116" s="1076">
        <v>0</v>
      </c>
      <c r="J116" s="1077">
        <v>0</v>
      </c>
      <c r="K116" s="1077">
        <v>0</v>
      </c>
      <c r="L116" s="1077">
        <v>0</v>
      </c>
      <c r="M116" s="1078">
        <v>0</v>
      </c>
      <c r="N116" s="847"/>
      <c r="O116" s="859">
        <f t="shared" si="15"/>
        <v>0</v>
      </c>
      <c r="P116" s="860">
        <f t="shared" si="16"/>
        <v>0</v>
      </c>
      <c r="Q116" s="861">
        <f t="shared" si="17"/>
        <v>0</v>
      </c>
      <c r="R116" s="1401"/>
      <c r="S116" s="859">
        <f t="shared" si="18"/>
        <v>0</v>
      </c>
      <c r="T116" s="885" t="str">
        <f t="shared" si="19"/>
        <v>0</v>
      </c>
    </row>
    <row r="117" spans="1:20" s="1404" customFormat="1" ht="15" customHeight="1">
      <c r="A117" s="1402"/>
      <c r="B117" s="1955"/>
      <c r="C117" s="884" t="s">
        <v>628</v>
      </c>
      <c r="D117" s="1074">
        <v>0</v>
      </c>
      <c r="E117" s="1077">
        <v>0</v>
      </c>
      <c r="F117" s="1077">
        <v>0</v>
      </c>
      <c r="G117" s="1077">
        <v>0</v>
      </c>
      <c r="H117" s="1078">
        <v>0</v>
      </c>
      <c r="I117" s="1076">
        <v>0</v>
      </c>
      <c r="J117" s="1077">
        <v>0</v>
      </c>
      <c r="K117" s="1077">
        <v>0</v>
      </c>
      <c r="L117" s="1077">
        <v>0</v>
      </c>
      <c r="M117" s="1078">
        <v>0</v>
      </c>
      <c r="N117" s="847"/>
      <c r="O117" s="859">
        <f t="shared" si="15"/>
        <v>0</v>
      </c>
      <c r="P117" s="860">
        <f t="shared" si="16"/>
        <v>0</v>
      </c>
      <c r="Q117" s="861">
        <f t="shared" si="17"/>
        <v>0</v>
      </c>
      <c r="R117" s="1401"/>
      <c r="S117" s="859">
        <f t="shared" si="18"/>
        <v>0</v>
      </c>
      <c r="T117" s="885" t="str">
        <f t="shared" si="19"/>
        <v>0</v>
      </c>
    </row>
    <row r="118" spans="1:20" s="1404" customFormat="1" ht="15" customHeight="1">
      <c r="A118" s="1402"/>
      <c r="B118" s="1955"/>
      <c r="C118" s="884" t="s">
        <v>629</v>
      </c>
      <c r="D118" s="1074">
        <v>0</v>
      </c>
      <c r="E118" s="1077">
        <v>0</v>
      </c>
      <c r="F118" s="1077">
        <v>0</v>
      </c>
      <c r="G118" s="1077">
        <v>0</v>
      </c>
      <c r="H118" s="1078">
        <v>0</v>
      </c>
      <c r="I118" s="1076">
        <v>0</v>
      </c>
      <c r="J118" s="1077">
        <v>0</v>
      </c>
      <c r="K118" s="1077">
        <v>0</v>
      </c>
      <c r="L118" s="1077">
        <v>0</v>
      </c>
      <c r="M118" s="1078">
        <v>0</v>
      </c>
      <c r="N118" s="847"/>
      <c r="O118" s="859">
        <f t="shared" si="15"/>
        <v>0</v>
      </c>
      <c r="P118" s="860">
        <f t="shared" si="16"/>
        <v>0</v>
      </c>
      <c r="Q118" s="861">
        <f t="shared" si="17"/>
        <v>0</v>
      </c>
      <c r="R118" s="1401"/>
      <c r="S118" s="859">
        <f t="shared" si="18"/>
        <v>0</v>
      </c>
      <c r="T118" s="885" t="str">
        <f t="shared" si="19"/>
        <v>0</v>
      </c>
    </row>
    <row r="119" spans="1:20" s="1404" customFormat="1" ht="15" customHeight="1">
      <c r="A119" s="1402"/>
      <c r="B119" s="1955"/>
      <c r="C119" s="884" t="s">
        <v>630</v>
      </c>
      <c r="D119" s="1074">
        <v>0</v>
      </c>
      <c r="E119" s="1077">
        <v>0</v>
      </c>
      <c r="F119" s="1077">
        <v>0</v>
      </c>
      <c r="G119" s="1077">
        <v>0</v>
      </c>
      <c r="H119" s="1078">
        <v>6.8457686110795418E-2</v>
      </c>
      <c r="I119" s="1076">
        <v>0.10174977004426111</v>
      </c>
      <c r="J119" s="1077">
        <v>0.1020732556645786</v>
      </c>
      <c r="K119" s="1077">
        <v>0.10559599734342522</v>
      </c>
      <c r="L119" s="1077">
        <v>2.2780549448805552</v>
      </c>
      <c r="M119" s="1078">
        <v>2.2661972704487798</v>
      </c>
      <c r="N119" s="847"/>
      <c r="O119" s="859">
        <f t="shared" si="15"/>
        <v>0</v>
      </c>
      <c r="P119" s="860">
        <f t="shared" si="16"/>
        <v>6.8457686110795418E-2</v>
      </c>
      <c r="Q119" s="861">
        <f t="shared" si="17"/>
        <v>6.8457686110795418E-2</v>
      </c>
      <c r="R119" s="1401"/>
      <c r="S119" s="859">
        <f t="shared" si="18"/>
        <v>4.8536712383816001</v>
      </c>
      <c r="T119" s="885">
        <f t="shared" si="19"/>
        <v>69.900311040694106</v>
      </c>
    </row>
    <row r="120" spans="1:20" s="1404" customFormat="1" ht="15" customHeight="1">
      <c r="A120" s="1402"/>
      <c r="B120" s="1956"/>
      <c r="C120" s="1414" t="s">
        <v>717</v>
      </c>
      <c r="D120" s="1087">
        <v>4.8417882458104975</v>
      </c>
      <c r="E120" s="1087">
        <v>3.6531191082967447</v>
      </c>
      <c r="F120" s="1087">
        <v>3.9509381048745129</v>
      </c>
      <c r="G120" s="1087">
        <v>4.6011943559342603</v>
      </c>
      <c r="H120" s="1088">
        <v>5.6460014732326984</v>
      </c>
      <c r="I120" s="1089">
        <v>7.6997081336009137</v>
      </c>
      <c r="J120" s="1087">
        <v>15.421889915557122</v>
      </c>
      <c r="K120" s="1087">
        <v>9.6504629232756525</v>
      </c>
      <c r="L120" s="1087">
        <v>5.3692209467833738</v>
      </c>
      <c r="M120" s="1088">
        <v>5.3412732126506626</v>
      </c>
      <c r="N120" s="847"/>
      <c r="O120" s="859">
        <f t="shared" si="15"/>
        <v>17.047039814916015</v>
      </c>
      <c r="P120" s="860">
        <f t="shared" si="16"/>
        <v>5.6460014732326984</v>
      </c>
      <c r="Q120" s="861">
        <f t="shared" si="17"/>
        <v>22.693041288148713</v>
      </c>
      <c r="R120" s="1401"/>
      <c r="S120" s="859">
        <f t="shared" si="18"/>
        <v>43.48255513186772</v>
      </c>
      <c r="T120" s="885">
        <f t="shared" si="19"/>
        <v>0.91611845145569759</v>
      </c>
    </row>
    <row r="121" spans="1:20" s="1404" customFormat="1" ht="15" customHeight="1">
      <c r="A121" s="1402"/>
      <c r="B121" s="1952" t="s">
        <v>718</v>
      </c>
      <c r="C121" s="884" t="s">
        <v>626</v>
      </c>
      <c r="D121" s="1074">
        <v>1.4128408490660982</v>
      </c>
      <c r="E121" s="1077">
        <v>0.93899893474323826</v>
      </c>
      <c r="F121" s="1077">
        <v>1.0668936591236149</v>
      </c>
      <c r="G121" s="1077">
        <v>1.0231105445473696</v>
      </c>
      <c r="H121" s="1078">
        <v>1.3143675375330111</v>
      </c>
      <c r="I121" s="1076">
        <v>5.5443226584227692E-2</v>
      </c>
      <c r="J121" s="1077">
        <v>5.8182071444040778E-2</v>
      </c>
      <c r="K121" s="1077">
        <v>1.1294058681331518</v>
      </c>
      <c r="L121" s="1077">
        <v>0.66695414800076858</v>
      </c>
      <c r="M121" s="1078">
        <v>0.67623930024375911</v>
      </c>
      <c r="N121" s="847"/>
      <c r="O121" s="859">
        <f t="shared" si="15"/>
        <v>4.4418439874803211</v>
      </c>
      <c r="P121" s="860">
        <f t="shared" si="16"/>
        <v>1.3143675375330111</v>
      </c>
      <c r="Q121" s="861">
        <f t="shared" si="17"/>
        <v>5.7562115250133319</v>
      </c>
      <c r="R121" s="1401"/>
      <c r="S121" s="859">
        <f t="shared" si="18"/>
        <v>2.586224614405948</v>
      </c>
      <c r="T121" s="885">
        <f t="shared" si="19"/>
        <v>-0.55070716161703981</v>
      </c>
    </row>
    <row r="122" spans="1:20" s="1404" customFormat="1" ht="15" customHeight="1">
      <c r="A122" s="1402"/>
      <c r="B122" s="1953"/>
      <c r="C122" s="884" t="s">
        <v>627</v>
      </c>
      <c r="D122" s="1074">
        <v>0</v>
      </c>
      <c r="E122" s="1077">
        <v>0</v>
      </c>
      <c r="F122" s="1077">
        <v>0</v>
      </c>
      <c r="G122" s="1077">
        <v>0</v>
      </c>
      <c r="H122" s="1078">
        <v>0</v>
      </c>
      <c r="I122" s="1076">
        <v>0.61808782235276971</v>
      </c>
      <c r="J122" s="1077">
        <v>9.9740693904069866E-2</v>
      </c>
      <c r="K122" s="1077">
        <v>1.9167977908119276</v>
      </c>
      <c r="L122" s="1077">
        <v>5.7496047241445553E-2</v>
      </c>
      <c r="M122" s="1078">
        <v>1.3864001629035387</v>
      </c>
      <c r="N122" s="847"/>
      <c r="O122" s="859">
        <f t="shared" si="15"/>
        <v>0</v>
      </c>
      <c r="P122" s="860">
        <f t="shared" si="16"/>
        <v>0</v>
      </c>
      <c r="Q122" s="861">
        <f t="shared" si="17"/>
        <v>0</v>
      </c>
      <c r="R122" s="1401"/>
      <c r="S122" s="859">
        <f t="shared" si="18"/>
        <v>4.0785225172137514</v>
      </c>
      <c r="T122" s="885" t="str">
        <f t="shared" si="19"/>
        <v>0</v>
      </c>
    </row>
    <row r="123" spans="1:20" s="1404" customFormat="1" ht="15" customHeight="1">
      <c r="A123" s="1402"/>
      <c r="B123" s="1953"/>
      <c r="C123" s="884" t="s">
        <v>628</v>
      </c>
      <c r="D123" s="1074">
        <v>0</v>
      </c>
      <c r="E123" s="1077">
        <v>0</v>
      </c>
      <c r="F123" s="1077">
        <v>0</v>
      </c>
      <c r="G123" s="1077">
        <v>0</v>
      </c>
      <c r="H123" s="1078">
        <v>0</v>
      </c>
      <c r="I123" s="1076">
        <v>0.7920460940603955</v>
      </c>
      <c r="J123" s="1077">
        <v>0.83117244920058242</v>
      </c>
      <c r="K123" s="1077">
        <v>0.40335923861898287</v>
      </c>
      <c r="L123" s="1077">
        <v>0</v>
      </c>
      <c r="M123" s="1078">
        <v>0</v>
      </c>
      <c r="N123" s="847"/>
      <c r="O123" s="859">
        <f t="shared" si="15"/>
        <v>0</v>
      </c>
      <c r="P123" s="860">
        <f t="shared" si="16"/>
        <v>0</v>
      </c>
      <c r="Q123" s="861">
        <f t="shared" si="17"/>
        <v>0</v>
      </c>
      <c r="R123" s="1401"/>
      <c r="S123" s="859">
        <f t="shared" si="18"/>
        <v>2.0265777818799608</v>
      </c>
      <c r="T123" s="885" t="str">
        <f t="shared" si="19"/>
        <v>0</v>
      </c>
    </row>
    <row r="124" spans="1:20" s="1404" customFormat="1" ht="15" customHeight="1">
      <c r="A124" s="1402"/>
      <c r="B124" s="1953"/>
      <c r="C124" s="884" t="s">
        <v>630</v>
      </c>
      <c r="D124" s="1074">
        <v>0</v>
      </c>
      <c r="E124" s="1077">
        <v>0</v>
      </c>
      <c r="F124" s="1077">
        <v>0</v>
      </c>
      <c r="G124" s="1077">
        <v>0</v>
      </c>
      <c r="H124" s="1078">
        <v>7.3020418751833946E-2</v>
      </c>
      <c r="I124" s="1076">
        <v>0.47522765643623727</v>
      </c>
      <c r="J124" s="1077">
        <v>0.49870346952034944</v>
      </c>
      <c r="K124" s="1077">
        <v>9.6806217268555858E-2</v>
      </c>
      <c r="L124" s="1077">
        <v>9.1993675586312884E-2</v>
      </c>
      <c r="M124" s="1078">
        <v>9.3274386240518481E-2</v>
      </c>
      <c r="N124" s="847"/>
      <c r="O124" s="859">
        <f t="shared" si="15"/>
        <v>0</v>
      </c>
      <c r="P124" s="860">
        <f t="shared" si="16"/>
        <v>7.3020418751833946E-2</v>
      </c>
      <c r="Q124" s="861">
        <f t="shared" si="17"/>
        <v>7.3020418751833946E-2</v>
      </c>
      <c r="R124" s="1401"/>
      <c r="S124" s="859">
        <f t="shared" si="18"/>
        <v>1.256005405051974</v>
      </c>
      <c r="T124" s="885">
        <f t="shared" si="19"/>
        <v>16.200742292653981</v>
      </c>
    </row>
    <row r="125" spans="1:20" s="1404" customFormat="1" ht="15" customHeight="1">
      <c r="A125" s="1402"/>
      <c r="B125" s="1952" t="s">
        <v>719</v>
      </c>
      <c r="C125" s="884" t="s">
        <v>720</v>
      </c>
      <c r="D125" s="1074">
        <v>0</v>
      </c>
      <c r="E125" s="1077">
        <v>0</v>
      </c>
      <c r="F125" s="1077">
        <v>0</v>
      </c>
      <c r="G125" s="1077">
        <v>0</v>
      </c>
      <c r="H125" s="1078">
        <v>0</v>
      </c>
      <c r="I125" s="1076">
        <v>0.19801152351509888</v>
      </c>
      <c r="J125" s="1077">
        <v>0.2077931123001456</v>
      </c>
      <c r="K125" s="1077">
        <v>0.20167961930949144</v>
      </c>
      <c r="L125" s="1077">
        <v>0.19165349080481855</v>
      </c>
      <c r="M125" s="1078">
        <v>0.19432163800108018</v>
      </c>
      <c r="N125" s="847"/>
      <c r="O125" s="859">
        <f t="shared" si="15"/>
        <v>0</v>
      </c>
      <c r="P125" s="860">
        <f t="shared" si="16"/>
        <v>0</v>
      </c>
      <c r="Q125" s="861">
        <f t="shared" si="17"/>
        <v>0</v>
      </c>
      <c r="R125" s="1401"/>
      <c r="S125" s="859">
        <f t="shared" si="18"/>
        <v>0.9934593839306346</v>
      </c>
      <c r="T125" s="885" t="str">
        <f t="shared" si="19"/>
        <v>0</v>
      </c>
    </row>
    <row r="126" spans="1:20" s="1404" customFormat="1" ht="15" customHeight="1">
      <c r="A126" s="1402"/>
      <c r="B126" s="1953"/>
      <c r="C126" s="1414" t="s">
        <v>721</v>
      </c>
      <c r="D126" s="1074">
        <v>0</v>
      </c>
      <c r="E126" s="1077">
        <v>0</v>
      </c>
      <c r="F126" s="1077">
        <v>0</v>
      </c>
      <c r="G126" s="1077">
        <v>0</v>
      </c>
      <c r="H126" s="1078">
        <v>0</v>
      </c>
      <c r="I126" s="1076">
        <v>0</v>
      </c>
      <c r="J126" s="1077">
        <v>0</v>
      </c>
      <c r="K126" s="1077">
        <v>0</v>
      </c>
      <c r="L126" s="1077">
        <v>0</v>
      </c>
      <c r="M126" s="1078">
        <v>0</v>
      </c>
      <c r="N126" s="847"/>
      <c r="O126" s="859">
        <f t="shared" si="15"/>
        <v>0</v>
      </c>
      <c r="P126" s="860">
        <f t="shared" si="16"/>
        <v>0</v>
      </c>
      <c r="Q126" s="861">
        <f t="shared" si="17"/>
        <v>0</v>
      </c>
      <c r="R126" s="1401"/>
      <c r="S126" s="859">
        <f t="shared" si="18"/>
        <v>0</v>
      </c>
      <c r="T126" s="885" t="str">
        <f t="shared" si="19"/>
        <v>0</v>
      </c>
    </row>
    <row r="127" spans="1:20" s="1404" customFormat="1" ht="15" customHeight="1">
      <c r="A127" s="1402"/>
      <c r="B127" s="1953"/>
      <c r="C127" s="884" t="s">
        <v>628</v>
      </c>
      <c r="D127" s="1074">
        <v>0</v>
      </c>
      <c r="E127" s="1074">
        <v>0</v>
      </c>
      <c r="F127" s="1074">
        <v>0</v>
      </c>
      <c r="G127" s="1074">
        <v>0</v>
      </c>
      <c r="H127" s="1075">
        <v>0</v>
      </c>
      <c r="I127" s="1076">
        <v>0</v>
      </c>
      <c r="J127" s="1074">
        <v>0</v>
      </c>
      <c r="K127" s="1074">
        <v>0</v>
      </c>
      <c r="L127" s="1074">
        <v>0</v>
      </c>
      <c r="M127" s="1075">
        <v>0</v>
      </c>
      <c r="N127" s="847"/>
      <c r="O127" s="859">
        <f t="shared" si="15"/>
        <v>0</v>
      </c>
      <c r="P127" s="860">
        <f t="shared" si="16"/>
        <v>0</v>
      </c>
      <c r="Q127" s="861">
        <f t="shared" si="17"/>
        <v>0</v>
      </c>
      <c r="R127" s="1401"/>
      <c r="S127" s="859">
        <f t="shared" si="18"/>
        <v>0</v>
      </c>
      <c r="T127" s="885" t="str">
        <f t="shared" si="19"/>
        <v>0</v>
      </c>
    </row>
    <row r="128" spans="1:20" s="1404" customFormat="1" ht="15" customHeight="1">
      <c r="A128" s="1402"/>
      <c r="B128" s="1953"/>
      <c r="C128" s="884" t="s">
        <v>722</v>
      </c>
      <c r="D128" s="1074">
        <v>0</v>
      </c>
      <c r="E128" s="1074">
        <v>0</v>
      </c>
      <c r="F128" s="1074">
        <v>0</v>
      </c>
      <c r="G128" s="1074">
        <v>0</v>
      </c>
      <c r="H128" s="1075">
        <v>0</v>
      </c>
      <c r="I128" s="1076">
        <v>0.68544461026080694</v>
      </c>
      <c r="J128" s="1074">
        <v>0</v>
      </c>
      <c r="K128" s="1074">
        <v>0</v>
      </c>
      <c r="L128" s="1074">
        <v>3.8330698160963704E-2</v>
      </c>
      <c r="M128" s="1075">
        <v>1.0326656032384443</v>
      </c>
      <c r="N128" s="847"/>
      <c r="O128" s="859">
        <f t="shared" si="15"/>
        <v>0</v>
      </c>
      <c r="P128" s="860">
        <f t="shared" si="16"/>
        <v>0</v>
      </c>
      <c r="Q128" s="861">
        <f t="shared" si="17"/>
        <v>0</v>
      </c>
      <c r="R128" s="1401"/>
      <c r="S128" s="859">
        <f t="shared" si="18"/>
        <v>1.7564409116602149</v>
      </c>
      <c r="T128" s="885" t="str">
        <f t="shared" si="19"/>
        <v>0</v>
      </c>
    </row>
    <row r="129" spans="1:20" s="1404" customFormat="1" ht="15" customHeight="1">
      <c r="A129" s="1402"/>
      <c r="B129" s="887" t="s">
        <v>723</v>
      </c>
      <c r="C129" s="1414" t="s">
        <v>717</v>
      </c>
      <c r="D129" s="1087">
        <v>1.4128408490660982</v>
      </c>
      <c r="E129" s="1087">
        <v>0.93899893474323826</v>
      </c>
      <c r="F129" s="1087">
        <v>1.0668936591236149</v>
      </c>
      <c r="G129" s="1087">
        <v>1.0231105445473696</v>
      </c>
      <c r="H129" s="1088">
        <v>1.387387956284845</v>
      </c>
      <c r="I129" s="1089">
        <v>2.8242609332095361</v>
      </c>
      <c r="J129" s="1087">
        <v>1.695591796369188</v>
      </c>
      <c r="K129" s="1087">
        <v>3.7480487341421096</v>
      </c>
      <c r="L129" s="1087">
        <v>1.0464280597943092</v>
      </c>
      <c r="M129" s="1088">
        <v>3.3829010906273407</v>
      </c>
      <c r="N129" s="847"/>
      <c r="O129" s="859">
        <f t="shared" si="15"/>
        <v>4.4418439874803211</v>
      </c>
      <c r="P129" s="860">
        <f t="shared" si="16"/>
        <v>1.387387956284845</v>
      </c>
      <c r="Q129" s="861">
        <f t="shared" si="17"/>
        <v>5.8292319437651656</v>
      </c>
      <c r="R129" s="1401"/>
      <c r="S129" s="859">
        <f t="shared" si="18"/>
        <v>12.697230614142482</v>
      </c>
      <c r="T129" s="885">
        <f t="shared" si="19"/>
        <v>1.1781995872926614</v>
      </c>
    </row>
    <row r="130" spans="1:20" s="1404" customFormat="1" ht="15" customHeight="1">
      <c r="A130" s="1402"/>
      <c r="B130" s="1952" t="s">
        <v>724</v>
      </c>
      <c r="C130" s="884" t="s">
        <v>626</v>
      </c>
      <c r="D130" s="1074">
        <v>4.5164012503985038</v>
      </c>
      <c r="E130" s="1077">
        <v>2.7911279343349804</v>
      </c>
      <c r="F130" s="1077">
        <v>1.6062992602216393</v>
      </c>
      <c r="G130" s="1077">
        <v>1.5523465068388831</v>
      </c>
      <c r="H130" s="1078">
        <v>0</v>
      </c>
      <c r="I130" s="1076">
        <v>0</v>
      </c>
      <c r="J130" s="1077">
        <v>0</v>
      </c>
      <c r="K130" s="1077">
        <v>0</v>
      </c>
      <c r="L130" s="1077">
        <v>0</v>
      </c>
      <c r="M130" s="1078">
        <v>0</v>
      </c>
      <c r="N130" s="847"/>
      <c r="O130" s="859">
        <f t="shared" si="15"/>
        <v>10.466174951794008</v>
      </c>
      <c r="P130" s="860">
        <f t="shared" si="16"/>
        <v>0</v>
      </c>
      <c r="Q130" s="861">
        <f t="shared" si="17"/>
        <v>10.466174951794008</v>
      </c>
      <c r="R130" s="1401"/>
      <c r="S130" s="859">
        <f t="shared" si="18"/>
        <v>0</v>
      </c>
      <c r="T130" s="885">
        <f t="shared" si="19"/>
        <v>-1</v>
      </c>
    </row>
    <row r="131" spans="1:20" s="1404" customFormat="1" ht="15" customHeight="1">
      <c r="A131" s="1402"/>
      <c r="B131" s="1953"/>
      <c r="C131" s="884" t="s">
        <v>627</v>
      </c>
      <c r="D131" s="1074">
        <v>0</v>
      </c>
      <c r="E131" s="1077">
        <v>0</v>
      </c>
      <c r="F131" s="1077">
        <v>0</v>
      </c>
      <c r="G131" s="1077">
        <v>0</v>
      </c>
      <c r="H131" s="1078">
        <v>0</v>
      </c>
      <c r="I131" s="1076">
        <v>0</v>
      </c>
      <c r="J131" s="1077">
        <v>0</v>
      </c>
      <c r="K131" s="1077">
        <v>0</v>
      </c>
      <c r="L131" s="1077">
        <v>0</v>
      </c>
      <c r="M131" s="1078">
        <v>0</v>
      </c>
      <c r="N131" s="847"/>
      <c r="O131" s="859">
        <f t="shared" si="15"/>
        <v>0</v>
      </c>
      <c r="P131" s="860">
        <f t="shared" si="16"/>
        <v>0</v>
      </c>
      <c r="Q131" s="861">
        <f t="shared" si="17"/>
        <v>0</v>
      </c>
      <c r="R131" s="1401"/>
      <c r="S131" s="859">
        <f t="shared" si="18"/>
        <v>0</v>
      </c>
      <c r="T131" s="885" t="str">
        <f t="shared" si="19"/>
        <v>0</v>
      </c>
    </row>
    <row r="132" spans="1:20" s="1404" customFormat="1" ht="15" customHeight="1">
      <c r="A132" s="1402"/>
      <c r="B132" s="1953"/>
      <c r="C132" s="884" t="s">
        <v>628</v>
      </c>
      <c r="D132" s="1074">
        <v>0</v>
      </c>
      <c r="E132" s="1077">
        <v>0</v>
      </c>
      <c r="F132" s="1077">
        <v>0</v>
      </c>
      <c r="G132" s="1077">
        <v>0</v>
      </c>
      <c r="H132" s="1078">
        <v>0</v>
      </c>
      <c r="I132" s="1076">
        <v>0</v>
      </c>
      <c r="J132" s="1077">
        <v>0</v>
      </c>
      <c r="K132" s="1077">
        <v>0</v>
      </c>
      <c r="L132" s="1077">
        <v>0</v>
      </c>
      <c r="M132" s="1078">
        <v>0</v>
      </c>
      <c r="N132" s="847"/>
      <c r="O132" s="859">
        <f t="shared" si="15"/>
        <v>0</v>
      </c>
      <c r="P132" s="860">
        <f t="shared" si="16"/>
        <v>0</v>
      </c>
      <c r="Q132" s="861">
        <f t="shared" si="17"/>
        <v>0</v>
      </c>
      <c r="R132" s="1401"/>
      <c r="S132" s="859">
        <f t="shared" si="18"/>
        <v>0</v>
      </c>
      <c r="T132" s="885" t="str">
        <f t="shared" si="19"/>
        <v>0</v>
      </c>
    </row>
    <row r="133" spans="1:20" s="1404" customFormat="1" ht="15" customHeight="1">
      <c r="A133" s="1402"/>
      <c r="B133" s="1953"/>
      <c r="C133" s="884" t="s">
        <v>630</v>
      </c>
      <c r="D133" s="1074">
        <v>0</v>
      </c>
      <c r="E133" s="1077">
        <v>0</v>
      </c>
      <c r="F133" s="1077">
        <v>0</v>
      </c>
      <c r="G133" s="1077">
        <v>0</v>
      </c>
      <c r="H133" s="1078">
        <v>0</v>
      </c>
      <c r="I133" s="1076">
        <v>0</v>
      </c>
      <c r="J133" s="1077">
        <v>0</v>
      </c>
      <c r="K133" s="1077">
        <v>0</v>
      </c>
      <c r="L133" s="1077">
        <v>0</v>
      </c>
      <c r="M133" s="1078">
        <v>0</v>
      </c>
      <c r="N133" s="847"/>
      <c r="O133" s="859">
        <f t="shared" si="15"/>
        <v>0</v>
      </c>
      <c r="P133" s="860">
        <f t="shared" si="16"/>
        <v>0</v>
      </c>
      <c r="Q133" s="861">
        <f t="shared" si="17"/>
        <v>0</v>
      </c>
      <c r="R133" s="1401"/>
      <c r="S133" s="859">
        <f t="shared" si="18"/>
        <v>0</v>
      </c>
      <c r="T133" s="885" t="str">
        <f t="shared" si="19"/>
        <v>0</v>
      </c>
    </row>
    <row r="134" spans="1:20" s="1404" customFormat="1" ht="15" customHeight="1">
      <c r="A134" s="1402"/>
      <c r="B134" s="1952" t="s">
        <v>725</v>
      </c>
      <c r="C134" s="884" t="s">
        <v>720</v>
      </c>
      <c r="D134" s="1074">
        <v>0</v>
      </c>
      <c r="E134" s="1077">
        <v>0</v>
      </c>
      <c r="F134" s="1077">
        <v>0</v>
      </c>
      <c r="G134" s="1077">
        <v>0</v>
      </c>
      <c r="H134" s="1078">
        <v>0</v>
      </c>
      <c r="I134" s="1076">
        <v>0.24023237522815463</v>
      </c>
      <c r="J134" s="1077">
        <v>0.25197028177021075</v>
      </c>
      <c r="K134" s="1077">
        <v>0.24463409018142565</v>
      </c>
      <c r="L134" s="1077">
        <v>0.2340046051346967</v>
      </c>
      <c r="M134" s="1078">
        <v>0.23579143877955649</v>
      </c>
      <c r="N134" s="847"/>
      <c r="O134" s="859">
        <f t="shared" si="15"/>
        <v>0</v>
      </c>
      <c r="P134" s="860">
        <f t="shared" si="16"/>
        <v>0</v>
      </c>
      <c r="Q134" s="861">
        <f t="shared" si="17"/>
        <v>0</v>
      </c>
      <c r="R134" s="1401"/>
      <c r="S134" s="859">
        <f t="shared" si="18"/>
        <v>1.2066327910940442</v>
      </c>
      <c r="T134" s="885" t="str">
        <f t="shared" si="19"/>
        <v>0</v>
      </c>
    </row>
    <row r="135" spans="1:20" s="1404" customFormat="1" ht="15" customHeight="1">
      <c r="A135" s="1402"/>
      <c r="B135" s="1953"/>
      <c r="C135" s="1414" t="s">
        <v>721</v>
      </c>
      <c r="D135" s="1074">
        <v>0</v>
      </c>
      <c r="E135" s="1077">
        <v>0</v>
      </c>
      <c r="F135" s="1077">
        <v>0</v>
      </c>
      <c r="G135" s="1077">
        <v>0</v>
      </c>
      <c r="H135" s="1078">
        <v>0</v>
      </c>
      <c r="I135" s="1076">
        <v>4.6267201966249445</v>
      </c>
      <c r="J135" s="1077">
        <v>2.5904216368846735</v>
      </c>
      <c r="K135" s="1077">
        <v>3.4958154405638013</v>
      </c>
      <c r="L135" s="1077">
        <v>3.1600847694428444</v>
      </c>
      <c r="M135" s="1078">
        <v>2.1681195709501995</v>
      </c>
      <c r="N135" s="847"/>
      <c r="O135" s="859">
        <f t="shared" si="15"/>
        <v>0</v>
      </c>
      <c r="P135" s="860">
        <f t="shared" si="16"/>
        <v>0</v>
      </c>
      <c r="Q135" s="861">
        <f t="shared" si="17"/>
        <v>0</v>
      </c>
      <c r="R135" s="1401"/>
      <c r="S135" s="859">
        <f t="shared" si="18"/>
        <v>16.041161614466464</v>
      </c>
      <c r="T135" s="885" t="str">
        <f t="shared" si="19"/>
        <v>0</v>
      </c>
    </row>
    <row r="136" spans="1:20" s="1404" customFormat="1" ht="15" customHeight="1">
      <c r="A136" s="1402"/>
      <c r="B136" s="1953"/>
      <c r="C136" s="884" t="s">
        <v>628</v>
      </c>
      <c r="D136" s="1074">
        <v>0</v>
      </c>
      <c r="E136" s="1077">
        <v>0</v>
      </c>
      <c r="F136" s="1077">
        <v>0</v>
      </c>
      <c r="G136" s="1077">
        <v>0</v>
      </c>
      <c r="H136" s="1078">
        <v>0</v>
      </c>
      <c r="I136" s="1076">
        <v>0.40038729204692436</v>
      </c>
      <c r="J136" s="1077">
        <v>2.519702817702107</v>
      </c>
      <c r="K136" s="1077">
        <v>5.8712181643542154</v>
      </c>
      <c r="L136" s="1077">
        <v>0</v>
      </c>
      <c r="M136" s="1078">
        <v>0</v>
      </c>
      <c r="N136" s="847"/>
      <c r="O136" s="859">
        <f t="shared" si="15"/>
        <v>0</v>
      </c>
      <c r="P136" s="860">
        <f t="shared" si="16"/>
        <v>0</v>
      </c>
      <c r="Q136" s="861">
        <f t="shared" si="17"/>
        <v>0</v>
      </c>
      <c r="R136" s="1401"/>
      <c r="S136" s="859">
        <f t="shared" si="18"/>
        <v>8.7913082741032476</v>
      </c>
      <c r="T136" s="885" t="str">
        <f t="shared" si="19"/>
        <v>0</v>
      </c>
    </row>
    <row r="137" spans="1:20" s="1404" customFormat="1" ht="15" customHeight="1">
      <c r="A137" s="1402"/>
      <c r="B137" s="1953"/>
      <c r="C137" s="884" t="s">
        <v>722</v>
      </c>
      <c r="D137" s="1074">
        <v>0</v>
      </c>
      <c r="E137" s="1077">
        <v>0</v>
      </c>
      <c r="F137" s="1077">
        <v>0</v>
      </c>
      <c r="G137" s="1077">
        <v>0</v>
      </c>
      <c r="H137" s="1078">
        <v>6.0921200472344879</v>
      </c>
      <c r="I137" s="1076">
        <v>0</v>
      </c>
      <c r="J137" s="1077">
        <v>0</v>
      </c>
      <c r="K137" s="1077">
        <v>3.0986984756313913E-2</v>
      </c>
      <c r="L137" s="1077">
        <v>0.140402763080818</v>
      </c>
      <c r="M137" s="1078">
        <v>0.99621332704338816</v>
      </c>
      <c r="N137" s="847"/>
      <c r="O137" s="859">
        <f t="shared" si="15"/>
        <v>0</v>
      </c>
      <c r="P137" s="860">
        <f t="shared" si="16"/>
        <v>6.0921200472344879</v>
      </c>
      <c r="Q137" s="861">
        <f t="shared" si="17"/>
        <v>6.0921200472344879</v>
      </c>
      <c r="R137" s="1401"/>
      <c r="S137" s="859">
        <f t="shared" si="18"/>
        <v>1.1676030748805202</v>
      </c>
      <c r="T137" s="885">
        <f t="shared" si="19"/>
        <v>-0.80834207700641869</v>
      </c>
    </row>
    <row r="138" spans="1:20" s="1404" customFormat="1" ht="15" customHeight="1" thickBot="1">
      <c r="A138" s="1402"/>
      <c r="B138" s="888" t="s">
        <v>632</v>
      </c>
      <c r="C138" s="1415" t="s">
        <v>717</v>
      </c>
      <c r="D138" s="889">
        <v>4.5164012503985038</v>
      </c>
      <c r="E138" s="889">
        <v>2.7911279343349804</v>
      </c>
      <c r="F138" s="889">
        <v>1.6062992602216393</v>
      </c>
      <c r="G138" s="889">
        <v>1.5523465068388831</v>
      </c>
      <c r="H138" s="890">
        <v>6.0921200472344879</v>
      </c>
      <c r="I138" s="891">
        <v>5.2673398639000242</v>
      </c>
      <c r="J138" s="889">
        <v>5.3620947363569913</v>
      </c>
      <c r="K138" s="889">
        <v>9.642654679855756</v>
      </c>
      <c r="L138" s="889">
        <v>3.5344921376583591</v>
      </c>
      <c r="M138" s="890">
        <v>3.4001243367731444</v>
      </c>
      <c r="N138" s="847"/>
      <c r="O138" s="867">
        <f t="shared" si="15"/>
        <v>10.466174951794008</v>
      </c>
      <c r="P138" s="868">
        <f t="shared" si="16"/>
        <v>6.0921200472344879</v>
      </c>
      <c r="Q138" s="869">
        <f t="shared" si="17"/>
        <v>16.558294999028497</v>
      </c>
      <c r="R138" s="1401"/>
      <c r="S138" s="867">
        <f t="shared" si="18"/>
        <v>27.206705754544274</v>
      </c>
      <c r="T138" s="892">
        <f t="shared" si="19"/>
        <v>0.64308618466699241</v>
      </c>
    </row>
    <row r="139" spans="1:20" s="1404" customFormat="1" ht="15" customHeight="1">
      <c r="A139" s="1402"/>
      <c r="B139" s="847"/>
      <c r="C139" s="847"/>
      <c r="D139" s="847"/>
      <c r="E139" s="847"/>
      <c r="F139" s="847"/>
      <c r="G139" s="847"/>
      <c r="H139" s="847"/>
      <c r="I139" s="847"/>
      <c r="J139" s="847"/>
      <c r="K139" s="847"/>
      <c r="L139" s="847"/>
      <c r="M139" s="847"/>
      <c r="N139" s="847"/>
      <c r="O139" s="847"/>
      <c r="P139" s="847"/>
      <c r="Q139" s="847"/>
    </row>
    <row r="140" spans="1:20" s="1404" customFormat="1" ht="15" customHeight="1">
      <c r="A140" s="1402"/>
      <c r="B140" s="1424" t="s">
        <v>249</v>
      </c>
      <c r="C140" s="847"/>
      <c r="D140" s="847"/>
      <c r="E140" s="847"/>
      <c r="F140" s="847"/>
      <c r="G140" s="847"/>
      <c r="H140" s="847"/>
      <c r="I140" s="847"/>
      <c r="J140" s="847"/>
      <c r="K140" s="847"/>
      <c r="L140" s="847"/>
      <c r="M140" s="847"/>
      <c r="N140" s="847"/>
      <c r="O140" s="847"/>
      <c r="P140" s="847"/>
      <c r="Q140" s="847"/>
    </row>
    <row r="141" spans="1:20" s="1404" customFormat="1" ht="15" customHeight="1" thickBot="1">
      <c r="A141" s="1402"/>
      <c r="B141" s="847"/>
      <c r="C141" s="847"/>
      <c r="E141" s="847"/>
      <c r="F141" s="847"/>
      <c r="G141" s="847"/>
      <c r="H141" s="847"/>
      <c r="I141" s="847"/>
      <c r="J141" s="847"/>
      <c r="K141" s="847"/>
      <c r="L141" s="847"/>
      <c r="M141" s="847"/>
      <c r="N141" s="847"/>
      <c r="O141" s="847"/>
      <c r="P141" s="847"/>
      <c r="Q141" s="847"/>
    </row>
    <row r="142" spans="1:20" s="1404" customFormat="1" ht="15" customHeight="1">
      <c r="A142" s="1402"/>
      <c r="B142" s="1946" t="s">
        <v>113</v>
      </c>
      <c r="C142" s="1947"/>
      <c r="D142" s="1405" t="s">
        <v>114</v>
      </c>
      <c r="E142" s="1406"/>
      <c r="F142" s="1406"/>
      <c r="G142" s="1406"/>
      <c r="H142" s="1407"/>
      <c r="I142" s="1405" t="s">
        <v>115</v>
      </c>
      <c r="J142" s="1406"/>
      <c r="K142" s="1406"/>
      <c r="L142" s="1406"/>
      <c r="M142" s="1407"/>
      <c r="N142" s="847"/>
      <c r="O142" s="510" t="s">
        <v>116</v>
      </c>
      <c r="P142" s="511"/>
      <c r="Q142" s="512"/>
      <c r="R142" s="1401"/>
      <c r="S142" s="510" t="s">
        <v>117</v>
      </c>
      <c r="T142" s="512"/>
    </row>
    <row r="143" spans="1:20" s="1404" customFormat="1" ht="15" customHeight="1">
      <c r="A143" s="1402"/>
      <c r="B143" s="1948"/>
      <c r="C143" s="1949"/>
      <c r="D143" s="850" t="s">
        <v>32</v>
      </c>
      <c r="E143" s="851" t="s">
        <v>33</v>
      </c>
      <c r="F143" s="851" t="s">
        <v>29</v>
      </c>
      <c r="G143" s="851" t="s">
        <v>34</v>
      </c>
      <c r="H143" s="852" t="s">
        <v>35</v>
      </c>
      <c r="I143" s="850" t="s">
        <v>118</v>
      </c>
      <c r="J143" s="851" t="s">
        <v>136</v>
      </c>
      <c r="K143" s="851" t="s">
        <v>137</v>
      </c>
      <c r="L143" s="851" t="s">
        <v>138</v>
      </c>
      <c r="M143" s="852" t="s">
        <v>624</v>
      </c>
      <c r="N143" s="847"/>
      <c r="O143" s="517" t="s">
        <v>126</v>
      </c>
      <c r="P143" s="518" t="s">
        <v>127</v>
      </c>
      <c r="Q143" s="519" t="s">
        <v>246</v>
      </c>
      <c r="R143" s="1401"/>
      <c r="S143" s="517" t="s">
        <v>127</v>
      </c>
      <c r="T143" s="519" t="s">
        <v>128</v>
      </c>
    </row>
    <row r="144" spans="1:20" s="1404" customFormat="1" ht="15" customHeight="1">
      <c r="A144" s="1402"/>
      <c r="B144" s="1950"/>
      <c r="C144" s="1951"/>
      <c r="D144" s="850" t="s">
        <v>14</v>
      </c>
      <c r="E144" s="851" t="s">
        <v>14</v>
      </c>
      <c r="F144" s="851" t="s">
        <v>14</v>
      </c>
      <c r="G144" s="851" t="s">
        <v>14</v>
      </c>
      <c r="H144" s="852" t="s">
        <v>14</v>
      </c>
      <c r="I144" s="850" t="s">
        <v>14</v>
      </c>
      <c r="J144" s="851" t="s">
        <v>14</v>
      </c>
      <c r="K144" s="851" t="s">
        <v>14</v>
      </c>
      <c r="L144" s="851" t="s">
        <v>14</v>
      </c>
      <c r="M144" s="852" t="s">
        <v>14</v>
      </c>
      <c r="N144" s="847"/>
      <c r="O144" s="854"/>
      <c r="P144" s="855"/>
      <c r="Q144" s="856"/>
      <c r="R144" s="1401"/>
      <c r="S144" s="857"/>
      <c r="T144" s="858"/>
    </row>
    <row r="145" spans="1:20" s="1404" customFormat="1" ht="15" customHeight="1">
      <c r="A145" s="1402"/>
      <c r="B145" s="1416" t="s">
        <v>250</v>
      </c>
      <c r="C145" s="1417" t="s">
        <v>251</v>
      </c>
      <c r="D145" s="1418"/>
      <c r="E145" s="847"/>
      <c r="F145" s="847"/>
      <c r="G145" s="847"/>
      <c r="H145" s="893"/>
      <c r="I145" s="894"/>
      <c r="J145" s="847"/>
      <c r="K145" s="847"/>
      <c r="L145" s="847"/>
      <c r="M145" s="893"/>
      <c r="N145" s="847"/>
      <c r="O145" s="894"/>
      <c r="P145" s="847"/>
      <c r="Q145" s="893"/>
      <c r="S145" s="1418"/>
      <c r="T145" s="1419"/>
    </row>
    <row r="146" spans="1:20" s="1404" customFormat="1" ht="15" customHeight="1">
      <c r="A146" s="1402"/>
      <c r="B146" s="894"/>
      <c r="C146" s="1420" t="s">
        <v>252</v>
      </c>
      <c r="D146" s="895"/>
      <c r="E146" s="896"/>
      <c r="F146" s="896"/>
      <c r="G146" s="896"/>
      <c r="H146" s="897"/>
      <c r="I146" s="895"/>
      <c r="J146" s="896"/>
      <c r="K146" s="896"/>
      <c r="L146" s="896"/>
      <c r="M146" s="897"/>
      <c r="N146" s="847"/>
      <c r="O146" s="859">
        <f t="shared" ref="O146:O153" si="20">SUM(D146:G146)</f>
        <v>0</v>
      </c>
      <c r="P146" s="860">
        <f t="shared" ref="P146:P153" si="21">H146</f>
        <v>0</v>
      </c>
      <c r="Q146" s="861">
        <f t="shared" ref="Q146:Q153" si="22">SUM(D146:H146)</f>
        <v>0</v>
      </c>
      <c r="R146" s="1401"/>
      <c r="S146" s="859">
        <f t="shared" ref="S146:S153" si="23">SUM(I146:M146)</f>
        <v>0</v>
      </c>
      <c r="T146" s="885" t="str">
        <f t="shared" ref="T146:T153" si="24">IF(Q146&lt;&gt;0,(S146-Q146)/Q146,"0")</f>
        <v>0</v>
      </c>
    </row>
    <row r="147" spans="1:20" s="1404" customFormat="1" ht="15" customHeight="1">
      <c r="A147" s="1402"/>
      <c r="B147" s="894"/>
      <c r="C147" s="1420" t="s">
        <v>253</v>
      </c>
      <c r="D147" s="871"/>
      <c r="E147" s="872"/>
      <c r="F147" s="872"/>
      <c r="G147" s="872"/>
      <c r="H147" s="873"/>
      <c r="I147" s="871"/>
      <c r="J147" s="872"/>
      <c r="K147" s="872"/>
      <c r="L147" s="872"/>
      <c r="M147" s="873"/>
      <c r="N147" s="847"/>
      <c r="O147" s="859">
        <f t="shared" si="20"/>
        <v>0</v>
      </c>
      <c r="P147" s="860">
        <f t="shared" si="21"/>
        <v>0</v>
      </c>
      <c r="Q147" s="861">
        <f t="shared" si="22"/>
        <v>0</v>
      </c>
      <c r="R147" s="1401"/>
      <c r="S147" s="859">
        <f t="shared" si="23"/>
        <v>0</v>
      </c>
      <c r="T147" s="885" t="str">
        <f t="shared" si="24"/>
        <v>0</v>
      </c>
    </row>
    <row r="148" spans="1:20" s="1404" customFormat="1" ht="15" customHeight="1">
      <c r="A148" s="1402"/>
      <c r="B148" s="894"/>
      <c r="C148" s="1421"/>
      <c r="D148" s="871"/>
      <c r="E148" s="872"/>
      <c r="F148" s="872"/>
      <c r="G148" s="872"/>
      <c r="H148" s="873"/>
      <c r="I148" s="871"/>
      <c r="J148" s="872"/>
      <c r="K148" s="872"/>
      <c r="L148" s="872"/>
      <c r="M148" s="873"/>
      <c r="N148" s="847"/>
      <c r="O148" s="859">
        <f t="shared" si="20"/>
        <v>0</v>
      </c>
      <c r="P148" s="860">
        <f t="shared" si="21"/>
        <v>0</v>
      </c>
      <c r="Q148" s="861">
        <f t="shared" si="22"/>
        <v>0</v>
      </c>
      <c r="R148" s="1401"/>
      <c r="S148" s="859">
        <f t="shared" si="23"/>
        <v>0</v>
      </c>
      <c r="T148" s="885" t="str">
        <f t="shared" si="24"/>
        <v>0</v>
      </c>
    </row>
    <row r="149" spans="1:20" s="1404" customFormat="1" ht="15" customHeight="1">
      <c r="A149" s="1402"/>
      <c r="B149" s="894"/>
      <c r="C149" s="1417"/>
      <c r="D149" s="1418"/>
      <c r="E149" s="847"/>
      <c r="F149" s="847"/>
      <c r="G149" s="847"/>
      <c r="H149" s="893"/>
      <c r="I149" s="894"/>
      <c r="J149" s="847"/>
      <c r="K149" s="847"/>
      <c r="L149" s="847"/>
      <c r="M149" s="893"/>
      <c r="N149" s="847"/>
      <c r="O149" s="898"/>
      <c r="P149" s="899"/>
      <c r="Q149" s="900"/>
      <c r="R149" s="1422"/>
      <c r="S149" s="898"/>
      <c r="T149" s="901"/>
    </row>
    <row r="150" spans="1:20" s="1404" customFormat="1" ht="15" customHeight="1">
      <c r="A150" s="1402"/>
      <c r="B150" s="894"/>
      <c r="C150" s="1417" t="s">
        <v>254</v>
      </c>
      <c r="D150" s="1418"/>
      <c r="E150" s="847"/>
      <c r="F150" s="847"/>
      <c r="G150" s="847"/>
      <c r="H150" s="893"/>
      <c r="I150" s="894"/>
      <c r="J150" s="847"/>
      <c r="K150" s="847"/>
      <c r="L150" s="847"/>
      <c r="M150" s="893"/>
      <c r="N150" s="847"/>
      <c r="O150" s="898"/>
      <c r="P150" s="899"/>
      <c r="Q150" s="900"/>
      <c r="R150" s="1422"/>
      <c r="S150" s="898"/>
      <c r="T150" s="901"/>
    </row>
    <row r="151" spans="1:20" s="1404" customFormat="1" ht="15" customHeight="1">
      <c r="A151" s="1402"/>
      <c r="B151" s="894"/>
      <c r="C151" s="1420" t="s">
        <v>252</v>
      </c>
      <c r="D151" s="895"/>
      <c r="E151" s="896"/>
      <c r="F151" s="896"/>
      <c r="G151" s="896"/>
      <c r="H151" s="897"/>
      <c r="I151" s="895"/>
      <c r="J151" s="896"/>
      <c r="K151" s="896"/>
      <c r="L151" s="896"/>
      <c r="M151" s="897"/>
      <c r="N151" s="847"/>
      <c r="O151" s="859">
        <f t="shared" si="20"/>
        <v>0</v>
      </c>
      <c r="P151" s="860">
        <f t="shared" si="21"/>
        <v>0</v>
      </c>
      <c r="Q151" s="861">
        <f t="shared" si="22"/>
        <v>0</v>
      </c>
      <c r="R151" s="1401"/>
      <c r="S151" s="859">
        <f t="shared" si="23"/>
        <v>0</v>
      </c>
      <c r="T151" s="885" t="str">
        <f t="shared" si="24"/>
        <v>0</v>
      </c>
    </row>
    <row r="152" spans="1:20" s="1404" customFormat="1" ht="15" customHeight="1">
      <c r="A152" s="1402"/>
      <c r="B152" s="894"/>
      <c r="C152" s="1420" t="s">
        <v>253</v>
      </c>
      <c r="D152" s="871"/>
      <c r="E152" s="872"/>
      <c r="F152" s="872"/>
      <c r="G152" s="872"/>
      <c r="H152" s="873"/>
      <c r="I152" s="871"/>
      <c r="J152" s="872"/>
      <c r="K152" s="872"/>
      <c r="L152" s="872"/>
      <c r="M152" s="873"/>
      <c r="N152" s="847"/>
      <c r="O152" s="859">
        <f t="shared" si="20"/>
        <v>0</v>
      </c>
      <c r="P152" s="860">
        <f t="shared" si="21"/>
        <v>0</v>
      </c>
      <c r="Q152" s="861">
        <f t="shared" si="22"/>
        <v>0</v>
      </c>
      <c r="R152" s="1401"/>
      <c r="S152" s="859">
        <f t="shared" si="23"/>
        <v>0</v>
      </c>
      <c r="T152" s="885" t="str">
        <f t="shared" si="24"/>
        <v>0</v>
      </c>
    </row>
    <row r="153" spans="1:20" s="1404" customFormat="1" ht="15" customHeight="1" thickBot="1">
      <c r="A153" s="1402"/>
      <c r="B153" s="902"/>
      <c r="C153" s="1423"/>
      <c r="D153" s="903"/>
      <c r="E153" s="904"/>
      <c r="F153" s="904"/>
      <c r="G153" s="904"/>
      <c r="H153" s="905"/>
      <c r="I153" s="903"/>
      <c r="J153" s="904"/>
      <c r="K153" s="904"/>
      <c r="L153" s="904"/>
      <c r="M153" s="905"/>
      <c r="N153" s="847"/>
      <c r="O153" s="867">
        <f t="shared" si="20"/>
        <v>0</v>
      </c>
      <c r="P153" s="868">
        <f t="shared" si="21"/>
        <v>0</v>
      </c>
      <c r="Q153" s="869">
        <f t="shared" si="22"/>
        <v>0</v>
      </c>
      <c r="R153" s="1401"/>
      <c r="S153" s="867">
        <f t="shared" si="23"/>
        <v>0</v>
      </c>
      <c r="T153" s="892" t="str">
        <f t="shared" si="24"/>
        <v>0</v>
      </c>
    </row>
    <row r="154" spans="1:20" s="849" customFormat="1" ht="15" customHeight="1">
      <c r="A154" s="846"/>
      <c r="B154" s="847"/>
      <c r="E154" s="847"/>
      <c r="F154" s="847"/>
      <c r="G154" s="847"/>
      <c r="H154" s="847"/>
      <c r="I154" s="847"/>
      <c r="J154" s="847"/>
      <c r="K154" s="847"/>
      <c r="L154" s="847"/>
      <c r="M154" s="847"/>
      <c r="N154" s="847"/>
      <c r="O154" s="847"/>
      <c r="P154" s="847"/>
      <c r="Q154" s="847"/>
    </row>
    <row r="155" spans="1:20" s="849" customFormat="1" ht="15" customHeight="1">
      <c r="A155" s="846"/>
      <c r="B155" s="847"/>
      <c r="C155" s="847"/>
      <c r="E155" s="847"/>
      <c r="F155" s="847"/>
      <c r="G155" s="847"/>
      <c r="H155" s="847"/>
      <c r="I155" s="847"/>
      <c r="J155" s="847"/>
      <c r="K155" s="847"/>
      <c r="L155" s="847"/>
      <c r="M155" s="847"/>
      <c r="N155" s="847"/>
      <c r="O155" s="847"/>
      <c r="P155" s="847"/>
      <c r="Q155" s="847"/>
    </row>
    <row r="156" spans="1:20" s="849" customFormat="1" ht="15" customHeight="1">
      <c r="A156" s="846"/>
      <c r="B156" s="847"/>
      <c r="C156" s="847"/>
      <c r="E156" s="847"/>
      <c r="F156" s="847"/>
      <c r="G156" s="847"/>
      <c r="H156" s="847"/>
      <c r="I156" s="847"/>
      <c r="J156" s="847"/>
      <c r="K156" s="847"/>
      <c r="L156" s="847"/>
      <c r="M156" s="847"/>
      <c r="N156" s="847"/>
      <c r="O156" s="847"/>
      <c r="P156" s="847"/>
      <c r="Q156" s="847"/>
    </row>
    <row r="157" spans="1:20" s="849" customFormat="1" ht="15" customHeight="1">
      <c r="A157" s="846"/>
      <c r="B157" s="847"/>
      <c r="C157" s="847"/>
      <c r="E157" s="847"/>
      <c r="F157" s="847"/>
      <c r="G157" s="847"/>
      <c r="H157" s="847"/>
      <c r="I157" s="847"/>
      <c r="J157" s="847"/>
      <c r="K157" s="847"/>
      <c r="L157" s="847"/>
      <c r="M157" s="847"/>
      <c r="N157" s="847"/>
      <c r="O157" s="847"/>
      <c r="P157" s="847"/>
      <c r="Q157" s="847"/>
    </row>
    <row r="158" spans="1:20" s="849" customFormat="1" ht="15" customHeight="1">
      <c r="A158" s="846"/>
      <c r="B158" s="847"/>
      <c r="C158" s="847"/>
      <c r="E158" s="847"/>
      <c r="F158" s="847"/>
      <c r="G158" s="847"/>
      <c r="H158" s="847"/>
      <c r="I158" s="847"/>
      <c r="J158" s="847"/>
      <c r="K158" s="847"/>
      <c r="L158" s="847"/>
      <c r="M158" s="847"/>
      <c r="N158" s="847"/>
      <c r="O158" s="847"/>
      <c r="P158" s="847"/>
      <c r="Q158" s="847"/>
    </row>
    <row r="159" spans="1:20" s="849" customFormat="1" ht="15" customHeight="1">
      <c r="A159" s="846"/>
      <c r="B159" s="847"/>
      <c r="C159" s="847"/>
      <c r="E159" s="847"/>
      <c r="F159" s="847"/>
      <c r="G159" s="847"/>
      <c r="H159" s="847"/>
      <c r="I159" s="847"/>
      <c r="J159" s="847"/>
      <c r="K159" s="847"/>
      <c r="L159" s="847"/>
      <c r="M159" s="847"/>
      <c r="N159" s="847"/>
      <c r="O159" s="847"/>
      <c r="P159" s="847"/>
      <c r="Q159" s="847"/>
    </row>
    <row r="160" spans="1:20" s="849" customFormat="1" ht="15" customHeight="1">
      <c r="A160" s="846"/>
      <c r="B160" s="847"/>
      <c r="C160" s="847"/>
      <c r="E160" s="847"/>
      <c r="F160" s="847"/>
      <c r="G160" s="847"/>
      <c r="H160" s="847"/>
      <c r="I160" s="847"/>
      <c r="J160" s="847"/>
      <c r="K160" s="847"/>
      <c r="L160" s="847"/>
      <c r="M160" s="847"/>
      <c r="N160" s="847"/>
      <c r="O160" s="847"/>
      <c r="P160" s="847"/>
      <c r="Q160" s="847"/>
    </row>
    <row r="161" spans="1:17" s="849" customFormat="1" ht="15" customHeight="1">
      <c r="A161" s="846"/>
      <c r="B161" s="847"/>
      <c r="C161" s="847"/>
      <c r="E161" s="847"/>
      <c r="F161" s="847"/>
      <c r="G161" s="847"/>
      <c r="H161" s="847"/>
      <c r="I161" s="847"/>
      <c r="J161" s="847"/>
      <c r="K161" s="847"/>
      <c r="L161" s="847"/>
      <c r="M161" s="847"/>
      <c r="N161" s="847"/>
      <c r="O161" s="847"/>
      <c r="P161" s="847"/>
      <c r="Q161" s="847"/>
    </row>
    <row r="162" spans="1:17" s="849" customFormat="1" ht="15" customHeight="1">
      <c r="A162" s="846"/>
      <c r="B162" s="847"/>
      <c r="C162" s="847"/>
      <c r="E162" s="847"/>
      <c r="F162" s="847"/>
      <c r="G162" s="847"/>
      <c r="H162" s="847"/>
      <c r="I162" s="847"/>
      <c r="J162" s="847"/>
      <c r="K162" s="847"/>
      <c r="L162" s="847"/>
      <c r="M162" s="847"/>
      <c r="N162" s="847"/>
      <c r="O162" s="847"/>
      <c r="P162" s="847"/>
      <c r="Q162" s="847"/>
    </row>
    <row r="163" spans="1:17" s="849" customFormat="1" ht="15" customHeight="1">
      <c r="A163" s="846"/>
      <c r="B163" s="847"/>
      <c r="C163" s="847"/>
      <c r="E163" s="847"/>
      <c r="F163" s="847"/>
      <c r="G163" s="847"/>
      <c r="H163" s="847"/>
      <c r="I163" s="847"/>
      <c r="J163" s="847"/>
      <c r="K163" s="847"/>
      <c r="L163" s="847"/>
      <c r="M163" s="847"/>
      <c r="N163" s="847"/>
      <c r="O163" s="847"/>
      <c r="P163" s="847"/>
      <c r="Q163" s="847"/>
    </row>
    <row r="164" spans="1:17" s="849" customFormat="1" ht="15" customHeight="1">
      <c r="A164" s="846"/>
      <c r="B164" s="847"/>
      <c r="C164" s="847"/>
      <c r="E164" s="847"/>
      <c r="F164" s="847"/>
      <c r="G164" s="847"/>
      <c r="H164" s="847"/>
      <c r="I164" s="847"/>
      <c r="J164" s="847"/>
      <c r="K164" s="847"/>
      <c r="L164" s="847"/>
      <c r="M164" s="847"/>
      <c r="N164" s="847"/>
      <c r="O164" s="847"/>
      <c r="P164" s="847"/>
      <c r="Q164" s="847"/>
    </row>
    <row r="165" spans="1:17" s="849" customFormat="1" ht="15" customHeight="1">
      <c r="A165" s="846"/>
      <c r="B165" s="847"/>
      <c r="C165" s="847"/>
      <c r="E165" s="847"/>
      <c r="F165" s="847"/>
      <c r="G165" s="847"/>
      <c r="H165" s="847"/>
      <c r="I165" s="847"/>
      <c r="J165" s="847"/>
      <c r="K165" s="847"/>
      <c r="L165" s="847"/>
      <c r="M165" s="847"/>
      <c r="N165" s="847"/>
      <c r="O165" s="847"/>
      <c r="P165" s="847"/>
      <c r="Q165" s="847"/>
    </row>
    <row r="166" spans="1:17" s="849" customFormat="1" ht="15" customHeight="1">
      <c r="A166" s="846"/>
      <c r="B166" s="847"/>
      <c r="C166" s="847"/>
      <c r="E166" s="847"/>
      <c r="F166" s="847"/>
      <c r="G166" s="847"/>
      <c r="H166" s="847"/>
      <c r="I166" s="847"/>
      <c r="J166" s="847"/>
      <c r="K166" s="847"/>
      <c r="L166" s="847"/>
      <c r="M166" s="847"/>
      <c r="N166" s="847"/>
      <c r="O166" s="847"/>
      <c r="P166" s="847"/>
      <c r="Q166" s="847"/>
    </row>
    <row r="167" spans="1:17" s="849" customFormat="1" ht="15" customHeight="1">
      <c r="A167" s="846"/>
      <c r="B167" s="847"/>
      <c r="C167" s="847"/>
      <c r="E167" s="847"/>
      <c r="F167" s="847"/>
      <c r="G167" s="847"/>
      <c r="H167" s="847"/>
      <c r="I167" s="847"/>
      <c r="J167" s="847"/>
      <c r="K167" s="847"/>
      <c r="L167" s="847"/>
      <c r="M167" s="847"/>
      <c r="N167" s="847"/>
      <c r="O167" s="847"/>
      <c r="P167" s="847"/>
      <c r="Q167" s="847"/>
    </row>
    <row r="168" spans="1:17" s="849" customFormat="1" ht="15" customHeight="1">
      <c r="A168" s="846"/>
      <c r="B168" s="847"/>
      <c r="C168" s="847"/>
      <c r="E168" s="847"/>
      <c r="F168" s="847"/>
      <c r="G168" s="847"/>
      <c r="H168" s="847"/>
      <c r="I168" s="847"/>
      <c r="J168" s="847"/>
      <c r="K168" s="847"/>
      <c r="L168" s="847"/>
      <c r="M168" s="847"/>
      <c r="N168" s="847"/>
      <c r="O168" s="847"/>
      <c r="P168" s="847"/>
      <c r="Q168" s="847"/>
    </row>
    <row r="169" spans="1:17" s="849" customFormat="1" ht="15" customHeight="1">
      <c r="A169" s="846"/>
      <c r="B169" s="847"/>
      <c r="C169" s="847"/>
      <c r="E169" s="847"/>
      <c r="F169" s="847"/>
      <c r="G169" s="847"/>
      <c r="H169" s="847"/>
      <c r="I169" s="847"/>
      <c r="J169" s="847"/>
      <c r="K169" s="847"/>
      <c r="L169" s="847"/>
      <c r="M169" s="847"/>
      <c r="N169" s="847"/>
      <c r="O169" s="847"/>
      <c r="P169" s="847"/>
      <c r="Q169" s="847"/>
    </row>
    <row r="170" spans="1:17" s="849" customFormat="1" ht="15" customHeight="1">
      <c r="A170" s="846"/>
      <c r="B170" s="847"/>
      <c r="C170" s="847"/>
      <c r="E170" s="847"/>
      <c r="F170" s="847"/>
      <c r="G170" s="847"/>
      <c r="H170" s="847"/>
      <c r="I170" s="847"/>
      <c r="J170" s="847"/>
      <c r="K170" s="847"/>
      <c r="L170" s="847"/>
      <c r="M170" s="847"/>
      <c r="N170" s="847"/>
      <c r="O170" s="847"/>
      <c r="P170" s="847"/>
      <c r="Q170" s="847"/>
    </row>
    <row r="171" spans="1:17" s="849" customFormat="1" ht="15" customHeight="1">
      <c r="A171" s="846"/>
      <c r="B171" s="847"/>
      <c r="C171" s="847"/>
      <c r="E171" s="847"/>
      <c r="F171" s="847"/>
      <c r="G171" s="847"/>
      <c r="H171" s="847"/>
      <c r="I171" s="847"/>
      <c r="J171" s="847"/>
      <c r="K171" s="847"/>
      <c r="L171" s="847"/>
      <c r="M171" s="847"/>
      <c r="N171" s="847"/>
      <c r="O171" s="847"/>
      <c r="P171" s="847"/>
      <c r="Q171" s="847"/>
    </row>
    <row r="172" spans="1:17" s="849" customFormat="1" ht="15" customHeight="1">
      <c r="A172" s="846"/>
      <c r="B172" s="847"/>
      <c r="C172" s="847"/>
      <c r="E172" s="847"/>
      <c r="F172" s="847"/>
      <c r="G172" s="847"/>
      <c r="H172" s="847"/>
      <c r="I172" s="847"/>
      <c r="J172" s="847"/>
      <c r="K172" s="847"/>
      <c r="L172" s="847"/>
      <c r="M172" s="847"/>
      <c r="N172" s="847"/>
      <c r="O172" s="847"/>
      <c r="P172" s="847"/>
      <c r="Q172" s="847"/>
    </row>
    <row r="173" spans="1:17" s="849" customFormat="1" ht="15" customHeight="1">
      <c r="A173" s="846"/>
      <c r="B173" s="847"/>
      <c r="C173" s="847"/>
      <c r="E173" s="847"/>
      <c r="F173" s="847"/>
      <c r="G173" s="847"/>
      <c r="H173" s="847"/>
      <c r="I173" s="847"/>
      <c r="J173" s="847"/>
      <c r="K173" s="847"/>
      <c r="L173" s="847"/>
      <c r="M173" s="847"/>
      <c r="N173" s="847"/>
      <c r="O173" s="847"/>
      <c r="P173" s="847"/>
      <c r="Q173" s="847"/>
    </row>
    <row r="174" spans="1:17" s="849" customFormat="1" ht="15" customHeight="1">
      <c r="A174" s="846"/>
      <c r="B174" s="847"/>
      <c r="C174" s="847"/>
      <c r="E174" s="847"/>
      <c r="F174" s="847"/>
      <c r="G174" s="847"/>
      <c r="H174" s="847"/>
      <c r="I174" s="847"/>
      <c r="J174" s="847"/>
      <c r="K174" s="847"/>
      <c r="L174" s="847"/>
      <c r="M174" s="847"/>
      <c r="N174" s="847"/>
      <c r="O174" s="847"/>
      <c r="P174" s="847"/>
      <c r="Q174" s="847"/>
    </row>
    <row r="175" spans="1:17" s="849" customFormat="1" ht="15" customHeight="1">
      <c r="A175" s="846"/>
      <c r="B175" s="847"/>
      <c r="C175" s="847"/>
      <c r="E175" s="847"/>
      <c r="F175" s="847"/>
      <c r="G175" s="847"/>
      <c r="H175" s="847"/>
      <c r="I175" s="847"/>
      <c r="J175" s="847"/>
      <c r="K175" s="847"/>
      <c r="L175" s="847"/>
      <c r="M175" s="847"/>
      <c r="N175" s="847"/>
      <c r="O175" s="847"/>
      <c r="P175" s="847"/>
      <c r="Q175" s="847"/>
    </row>
    <row r="176" spans="1:17" s="849" customFormat="1" ht="15" customHeight="1">
      <c r="A176" s="846"/>
      <c r="B176" s="847"/>
      <c r="C176" s="847"/>
      <c r="E176" s="847"/>
      <c r="F176" s="847"/>
      <c r="G176" s="847"/>
      <c r="H176" s="847"/>
      <c r="I176" s="847"/>
      <c r="J176" s="847"/>
      <c r="K176" s="847"/>
      <c r="L176" s="847"/>
      <c r="M176" s="847"/>
      <c r="N176" s="847"/>
      <c r="O176" s="847"/>
      <c r="P176" s="847"/>
      <c r="Q176" s="847"/>
    </row>
    <row r="177" spans="1:23" s="849" customFormat="1" ht="15" customHeight="1">
      <c r="A177" s="846"/>
      <c r="B177" s="847"/>
      <c r="C177" s="847"/>
      <c r="E177" s="847"/>
      <c r="F177" s="847"/>
      <c r="G177" s="847"/>
      <c r="H177" s="847"/>
      <c r="I177" s="847"/>
      <c r="J177" s="847"/>
      <c r="K177" s="847"/>
      <c r="L177" s="847"/>
      <c r="M177" s="847"/>
      <c r="N177" s="847"/>
      <c r="O177" s="847"/>
      <c r="P177" s="847"/>
      <c r="Q177" s="847"/>
    </row>
    <row r="178" spans="1:23" s="849" customFormat="1" ht="15" customHeight="1">
      <c r="A178" s="846"/>
      <c r="B178" s="847"/>
      <c r="C178" s="847"/>
      <c r="E178" s="847"/>
      <c r="F178" s="847"/>
      <c r="G178" s="847"/>
      <c r="H178" s="847"/>
      <c r="I178" s="847"/>
      <c r="J178" s="847"/>
      <c r="K178" s="847"/>
      <c r="L178" s="847"/>
      <c r="M178" s="847"/>
      <c r="N178" s="847"/>
      <c r="O178" s="847"/>
      <c r="P178" s="847"/>
      <c r="Q178" s="847"/>
    </row>
    <row r="179" spans="1:23" s="849" customFormat="1" ht="15" customHeight="1">
      <c r="A179" s="846"/>
      <c r="B179" s="847"/>
      <c r="C179" s="847"/>
      <c r="E179" s="847"/>
      <c r="F179" s="847"/>
      <c r="G179" s="847"/>
      <c r="H179" s="847"/>
      <c r="I179" s="847"/>
      <c r="J179" s="847"/>
      <c r="K179" s="847"/>
      <c r="L179" s="847"/>
      <c r="M179" s="847"/>
      <c r="N179" s="847"/>
      <c r="O179" s="847"/>
      <c r="P179" s="847"/>
      <c r="Q179" s="847"/>
    </row>
    <row r="180" spans="1:23" s="849" customFormat="1" ht="15" customHeight="1">
      <c r="A180" s="846"/>
      <c r="B180" s="847"/>
      <c r="C180" s="847"/>
      <c r="E180" s="847"/>
      <c r="F180" s="847"/>
      <c r="G180" s="847"/>
      <c r="H180" s="847"/>
      <c r="I180" s="847"/>
      <c r="J180" s="847"/>
      <c r="K180" s="847"/>
      <c r="L180" s="847"/>
      <c r="M180" s="847"/>
      <c r="N180" s="847"/>
      <c r="O180" s="847"/>
      <c r="P180" s="847"/>
      <c r="Q180" s="847"/>
    </row>
    <row r="181" spans="1:23" s="849" customFormat="1" ht="15" customHeight="1">
      <c r="A181" s="846"/>
      <c r="B181" s="847"/>
      <c r="C181" s="847"/>
      <c r="E181" s="847"/>
      <c r="F181" s="847"/>
      <c r="G181" s="847"/>
      <c r="H181" s="847"/>
      <c r="I181" s="847"/>
      <c r="J181" s="847"/>
      <c r="K181" s="847"/>
      <c r="L181" s="847"/>
      <c r="M181" s="847"/>
      <c r="N181" s="847"/>
      <c r="O181" s="847"/>
      <c r="P181" s="847"/>
      <c r="Q181" s="847"/>
    </row>
    <row r="182" spans="1:23" s="849" customFormat="1" ht="15" customHeight="1">
      <c r="A182" s="846"/>
      <c r="B182" s="847"/>
      <c r="C182" s="847"/>
      <c r="E182" s="847"/>
      <c r="F182" s="847"/>
      <c r="G182" s="847"/>
      <c r="H182" s="847"/>
      <c r="I182" s="847"/>
      <c r="J182" s="847"/>
      <c r="K182" s="847"/>
      <c r="L182" s="847"/>
      <c r="M182" s="847"/>
      <c r="N182" s="847"/>
      <c r="O182" s="847"/>
      <c r="P182" s="847"/>
      <c r="Q182" s="847"/>
    </row>
    <row r="183" spans="1:23" s="849" customFormat="1" ht="15" customHeight="1">
      <c r="A183" s="846"/>
      <c r="B183" s="847"/>
      <c r="C183" s="847"/>
      <c r="E183" s="847"/>
      <c r="F183" s="847"/>
      <c r="G183" s="847"/>
      <c r="H183" s="847"/>
      <c r="I183" s="847"/>
      <c r="J183" s="847"/>
      <c r="K183" s="847"/>
      <c r="L183" s="847"/>
      <c r="M183" s="847"/>
      <c r="N183" s="847"/>
      <c r="O183" s="847"/>
      <c r="P183" s="847"/>
      <c r="Q183" s="847"/>
    </row>
    <row r="184" spans="1:23" ht="15" customHeight="1">
      <c r="B184" s="907"/>
      <c r="C184" s="907"/>
      <c r="E184" s="907"/>
      <c r="F184" s="907"/>
      <c r="G184" s="907"/>
      <c r="H184" s="907"/>
      <c r="I184" s="907"/>
      <c r="J184" s="907"/>
      <c r="K184" s="907"/>
      <c r="L184" s="907"/>
      <c r="M184" s="907"/>
      <c r="N184" s="907"/>
      <c r="O184" s="907"/>
      <c r="P184" s="907"/>
      <c r="Q184" s="907"/>
      <c r="R184" s="908"/>
      <c r="S184" s="908"/>
      <c r="T184" s="908"/>
      <c r="U184" s="908"/>
      <c r="V184" s="908"/>
      <c r="W184" s="908"/>
    </row>
    <row r="185" spans="1:23" ht="15" customHeight="1">
      <c r="B185" s="907"/>
      <c r="C185" s="907"/>
      <c r="E185" s="907"/>
      <c r="F185" s="907"/>
      <c r="G185" s="907"/>
      <c r="H185" s="907"/>
      <c r="I185" s="907"/>
      <c r="J185" s="907"/>
      <c r="K185" s="907"/>
      <c r="L185" s="907"/>
      <c r="M185" s="907"/>
    </row>
    <row r="186" spans="1:23">
      <c r="B186" s="907"/>
      <c r="C186" s="907"/>
      <c r="E186" s="907"/>
      <c r="F186" s="907"/>
      <c r="G186" s="907"/>
      <c r="H186" s="907"/>
      <c r="I186" s="907"/>
      <c r="J186" s="907"/>
      <c r="K186" s="907"/>
      <c r="L186" s="907"/>
      <c r="M186" s="907"/>
    </row>
    <row r="187" spans="1:23">
      <c r="B187" s="907"/>
      <c r="C187" s="907"/>
      <c r="E187" s="907"/>
      <c r="F187" s="907"/>
      <c r="G187" s="907"/>
      <c r="H187" s="907"/>
      <c r="I187" s="907"/>
      <c r="J187" s="907"/>
      <c r="K187" s="907"/>
      <c r="L187" s="907"/>
      <c r="M187" s="907"/>
    </row>
  </sheetData>
  <mergeCells count="29">
    <mergeCell ref="B23:B28"/>
    <mergeCell ref="B29:B34"/>
    <mergeCell ref="B43:B44"/>
    <mergeCell ref="B45:B46"/>
    <mergeCell ref="B10:B11"/>
    <mergeCell ref="B12:B13"/>
    <mergeCell ref="B14:B16"/>
    <mergeCell ref="B17:B22"/>
    <mergeCell ref="B83:B88"/>
    <mergeCell ref="B47:B49"/>
    <mergeCell ref="B50:B55"/>
    <mergeCell ref="B56:B61"/>
    <mergeCell ref="B62:B67"/>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RRP 1.3</vt:lpstr>
      <vt:lpstr>RRP 2.3</vt:lpstr>
      <vt:lpstr>RRP 2.4</vt:lpstr>
      <vt:lpstr>RRP 2.6</vt:lpstr>
      <vt:lpstr>RRP 5.1</vt:lpstr>
      <vt:lpstr>Summary of revenue</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Greaves</dc:creator>
  <cp:keywords/>
  <dc:description/>
  <cp:lastModifiedBy>Hannah Greaves</cp:lastModifiedBy>
  <dcterms:created xsi:type="dcterms:W3CDTF">2009-07-13T08:35:25Z</dcterms:created>
  <dcterms:modified xsi:type="dcterms:W3CDTF">2017-06-07T10:47:54Z</dcterms:modified>
  <cp:category/>
</cp:coreProperties>
</file>