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fileSharing readOnlyRecommended="1"/>
  <workbookPr/>
  <mc:AlternateContent xmlns:mc="http://schemas.openxmlformats.org/markup-compatibility/2006">
    <mc:Choice Requires="x15">
      <x15ac:absPath xmlns:x15ac="http://schemas.microsoft.com/office/spreadsheetml/2010/11/ac" url="C:\Users\hannah.greaves\Desktop\ENW\Regulatory Information\Use of System Charges\Historical charges\2013-2014\"/>
    </mc:Choice>
  </mc:AlternateContent>
  <bookViews>
    <workbookView xWindow="0" yWindow="0" windowWidth="25200" windowHeight="11985" activeTab="3"/>
  </bookViews>
  <sheets>
    <sheet name="Overview" sheetId="1" r:id="rId1"/>
    <sheet name="CDCM Revenues" sheetId="26" r:id="rId2"/>
    <sheet name="Input" sheetId="2" r:id="rId3"/>
    <sheet name="Tariffs" sheetId="20" r:id="rId4"/>
    <sheet name="Summary" sheetId="21" r:id="rId5"/>
    <sheet name="M-ATW" sheetId="22" r:id="rId6"/>
    <sheet name="M-Rev" sheetId="23" r:id="rId7"/>
    <sheet name="LAFs" sheetId="3" r:id="rId8"/>
    <sheet name="DRM" sheetId="4" r:id="rId9"/>
    <sheet name="SM" sheetId="5" r:id="rId10"/>
    <sheet name="Loads" sheetId="6" r:id="rId11"/>
    <sheet name="Multi" sheetId="7" r:id="rId12"/>
    <sheet name="SMD" sheetId="8" r:id="rId13"/>
    <sheet name="AMD" sheetId="9" r:id="rId14"/>
    <sheet name="Otex" sheetId="10" r:id="rId15"/>
    <sheet name="Contrib" sheetId="11" r:id="rId16"/>
    <sheet name="Yard" sheetId="12" r:id="rId17"/>
    <sheet name="Standing" sheetId="13" r:id="rId18"/>
    <sheet name="NHH" sheetId="14" r:id="rId19"/>
    <sheet name="Reactive" sheetId="15" r:id="rId20"/>
    <sheet name="Aggreg" sheetId="16" r:id="rId21"/>
    <sheet name="Revenue" sheetId="17" r:id="rId22"/>
    <sheet name="Scaler" sheetId="18" r:id="rId23"/>
    <sheet name="Adjust" sheetId="19" r:id="rId24"/>
    <sheet name="CData" sheetId="24" r:id="rId25"/>
    <sheet name="CTables" sheetId="25" r:id="rId26"/>
  </sheets>
  <externalReferences>
    <externalReference r:id="rId27"/>
  </externalReferences>
  <definedNames>
    <definedName name="_xlnm._FilterDatabase" localSheetId="0" hidden="1">Overview!$A$36:$C$234</definedName>
    <definedName name="_xlnm.Print_Area" localSheetId="11">Multi!$A:$V</definedName>
  </definedNames>
  <calcPr calcId="152511"/>
</workbook>
</file>

<file path=xl/calcChain.xml><?xml version="1.0" encoding="utf-8"?>
<calcChain xmlns="http://schemas.openxmlformats.org/spreadsheetml/2006/main">
  <c r="D32" i="26" l="1"/>
  <c r="D43" i="26" l="1"/>
  <c r="D37" i="26"/>
  <c r="D30" i="26"/>
  <c r="D29" i="26"/>
  <c r="D28" i="26"/>
  <c r="D14" i="26"/>
  <c r="D12" i="26"/>
  <c r="D11" i="26"/>
  <c r="D10" i="26"/>
  <c r="D7" i="26"/>
  <c r="D6" i="26"/>
  <c r="D5" i="26"/>
  <c r="D9" i="26" l="1"/>
  <c r="D15" i="26"/>
  <c r="D31" i="26" s="1"/>
  <c r="D38" i="26" s="1"/>
  <c r="D44" i="26" s="1"/>
  <c r="B321" i="2" s="1"/>
  <c r="B56" i="17" s="1"/>
  <c r="A1" i="19" l="1"/>
  <c r="A1" i="16"/>
  <c r="C245" i="16"/>
  <c r="C247" i="16"/>
  <c r="C248" i="16"/>
  <c r="C250" i="16"/>
  <c r="C258" i="16"/>
  <c r="C259" i="16"/>
  <c r="C260" i="16"/>
  <c r="C261" i="16"/>
  <c r="C263" i="16"/>
  <c r="C264" i="16"/>
  <c r="C265" i="16"/>
  <c r="C267" i="16"/>
  <c r="C269" i="16"/>
  <c r="C271" i="16"/>
  <c r="D245" i="16"/>
  <c r="D246" i="16"/>
  <c r="D247" i="16"/>
  <c r="D248" i="16"/>
  <c r="D249" i="16"/>
  <c r="D250" i="16"/>
  <c r="D251" i="16"/>
  <c r="D252" i="16"/>
  <c r="D253" i="16"/>
  <c r="D258" i="16"/>
  <c r="D259" i="16"/>
  <c r="D260" i="16"/>
  <c r="D261" i="16"/>
  <c r="D263" i="16"/>
  <c r="D264" i="16"/>
  <c r="D265" i="16"/>
  <c r="D267" i="16"/>
  <c r="D269" i="16"/>
  <c r="D271" i="16"/>
  <c r="E247" i="16"/>
  <c r="E250" i="16"/>
  <c r="E258" i="16"/>
  <c r="E259" i="16"/>
  <c r="E260" i="16"/>
  <c r="E261" i="16"/>
  <c r="E262" i="16"/>
  <c r="F245" i="16"/>
  <c r="F246" i="16"/>
  <c r="F247" i="16"/>
  <c r="F248" i="16"/>
  <c r="F249" i="16"/>
  <c r="F250" i="16"/>
  <c r="F251" i="16"/>
  <c r="F252" i="16"/>
  <c r="F253" i="16"/>
  <c r="F258" i="16"/>
  <c r="F259" i="16"/>
  <c r="F260" i="16"/>
  <c r="F261" i="16"/>
  <c r="F262" i="16"/>
  <c r="F263" i="16"/>
  <c r="F264" i="16"/>
  <c r="F265" i="16"/>
  <c r="F266" i="16"/>
  <c r="F267" i="16"/>
  <c r="F268" i="16"/>
  <c r="F269" i="16"/>
  <c r="F270" i="16"/>
  <c r="F271" i="16"/>
  <c r="F272" i="16"/>
  <c r="G245" i="16"/>
  <c r="G246" i="16"/>
  <c r="G247" i="16"/>
  <c r="G248" i="16"/>
  <c r="G249" i="16"/>
  <c r="G250" i="16"/>
  <c r="G251" i="16"/>
  <c r="G252" i="16"/>
  <c r="G253" i="16"/>
  <c r="G258" i="16"/>
  <c r="G259" i="16"/>
  <c r="G260" i="16"/>
  <c r="G261" i="16"/>
  <c r="G262" i="16"/>
  <c r="G263" i="16"/>
  <c r="G264" i="16"/>
  <c r="A1" i="9"/>
  <c r="K13" i="9"/>
  <c r="K14" i="9"/>
  <c r="K15" i="9"/>
  <c r="C42" i="9" s="1"/>
  <c r="K16" i="9"/>
  <c r="C43" i="9" s="1"/>
  <c r="K17" i="9"/>
  <c r="K18" i="9"/>
  <c r="C45" i="9" s="1"/>
  <c r="K19" i="9"/>
  <c r="K20" i="9"/>
  <c r="K21" i="9"/>
  <c r="K22" i="9"/>
  <c r="K23" i="9"/>
  <c r="C50" i="9" s="1"/>
  <c r="K24" i="9"/>
  <c r="C51" i="9" s="1"/>
  <c r="K25" i="9"/>
  <c r="K26" i="9"/>
  <c r="C53" i="9" s="1"/>
  <c r="K27" i="9"/>
  <c r="K28" i="9"/>
  <c r="K29" i="9"/>
  <c r="K30" i="9"/>
  <c r="B40" i="9"/>
  <c r="B41" i="9"/>
  <c r="B42" i="9"/>
  <c r="B43" i="9"/>
  <c r="B44" i="9"/>
  <c r="B45" i="9"/>
  <c r="B46" i="9"/>
  <c r="B47" i="9"/>
  <c r="B48" i="9"/>
  <c r="B49" i="9"/>
  <c r="B50" i="9"/>
  <c r="B51" i="9"/>
  <c r="B52" i="9"/>
  <c r="B53" i="9"/>
  <c r="B54" i="9"/>
  <c r="B55" i="9"/>
  <c r="B56" i="9"/>
  <c r="B57" i="9"/>
  <c r="C40" i="9"/>
  <c r="C41" i="9"/>
  <c r="C44" i="9"/>
  <c r="C46" i="9"/>
  <c r="C47" i="9"/>
  <c r="C48" i="9"/>
  <c r="C49" i="9"/>
  <c r="C52" i="9"/>
  <c r="C54" i="9"/>
  <c r="C55" i="9"/>
  <c r="C56" i="9"/>
  <c r="C57" i="9"/>
  <c r="D40" i="9"/>
  <c r="D41" i="9"/>
  <c r="D42" i="9"/>
  <c r="D43" i="9"/>
  <c r="D44" i="9"/>
  <c r="D45" i="9"/>
  <c r="D46" i="9"/>
  <c r="D47" i="9"/>
  <c r="D48" i="9"/>
  <c r="D49" i="9"/>
  <c r="D50" i="9"/>
  <c r="D51" i="9"/>
  <c r="D52" i="9"/>
  <c r="D53" i="9"/>
  <c r="D54" i="9"/>
  <c r="D55" i="9"/>
  <c r="D56" i="9"/>
  <c r="D57" i="9"/>
  <c r="E40" i="9"/>
  <c r="E41" i="9"/>
  <c r="E42" i="9"/>
  <c r="E43" i="9"/>
  <c r="E44" i="9"/>
  <c r="E45" i="9"/>
  <c r="E46" i="9"/>
  <c r="E47" i="9"/>
  <c r="E48" i="9"/>
  <c r="E49" i="9"/>
  <c r="E50" i="9"/>
  <c r="E51" i="9"/>
  <c r="E52" i="9"/>
  <c r="E53" i="9"/>
  <c r="E54" i="9"/>
  <c r="E55" i="9"/>
  <c r="E56" i="9"/>
  <c r="E57" i="9"/>
  <c r="F40" i="9"/>
  <c r="F41" i="9"/>
  <c r="F42" i="9"/>
  <c r="F43" i="9"/>
  <c r="F44" i="9"/>
  <c r="F45" i="9"/>
  <c r="F46" i="9"/>
  <c r="F47" i="9"/>
  <c r="F48" i="9"/>
  <c r="F49" i="9"/>
  <c r="F50" i="9"/>
  <c r="F51" i="9"/>
  <c r="F52" i="9"/>
  <c r="F53" i="9"/>
  <c r="F54" i="9"/>
  <c r="F55" i="9"/>
  <c r="F56" i="9"/>
  <c r="F57" i="9"/>
  <c r="H40" i="9"/>
  <c r="H41" i="9"/>
  <c r="H42" i="9"/>
  <c r="H43" i="9"/>
  <c r="H44" i="9"/>
  <c r="H45" i="9"/>
  <c r="H46" i="9"/>
  <c r="H47" i="9"/>
  <c r="H48" i="9"/>
  <c r="H49" i="9"/>
  <c r="H50" i="9"/>
  <c r="H51" i="9"/>
  <c r="H52" i="9"/>
  <c r="H53" i="9"/>
  <c r="H54" i="9"/>
  <c r="H55" i="9"/>
  <c r="H56" i="9"/>
  <c r="H57" i="9"/>
  <c r="I40" i="9"/>
  <c r="I41" i="9"/>
  <c r="I42" i="9"/>
  <c r="I43" i="9"/>
  <c r="I44" i="9"/>
  <c r="I45" i="9"/>
  <c r="I46" i="9"/>
  <c r="I47" i="9"/>
  <c r="I48" i="9"/>
  <c r="I49" i="9"/>
  <c r="I50" i="9"/>
  <c r="I51" i="9"/>
  <c r="I52" i="9"/>
  <c r="I53" i="9"/>
  <c r="I54" i="9"/>
  <c r="I55" i="9"/>
  <c r="I56" i="9"/>
  <c r="I57" i="9"/>
  <c r="J40" i="9"/>
  <c r="J41" i="9"/>
  <c r="J42" i="9"/>
  <c r="J43" i="9"/>
  <c r="J44" i="9"/>
  <c r="J45" i="9"/>
  <c r="J46" i="9"/>
  <c r="J47" i="9"/>
  <c r="J48" i="9"/>
  <c r="J49" i="9"/>
  <c r="J50" i="9"/>
  <c r="J51" i="9"/>
  <c r="J52" i="9"/>
  <c r="J53" i="9"/>
  <c r="J54" i="9"/>
  <c r="J55" i="9"/>
  <c r="J56" i="9"/>
  <c r="J57" i="9"/>
  <c r="A1" i="24"/>
  <c r="B23" i="24"/>
  <c r="B24" i="24"/>
  <c r="B25" i="24"/>
  <c r="B26" i="24"/>
  <c r="B27" i="24"/>
  <c r="B28" i="24"/>
  <c r="B29" i="24"/>
  <c r="B30" i="24"/>
  <c r="B31" i="24"/>
  <c r="B32" i="24"/>
  <c r="B33" i="24"/>
  <c r="B34" i="24"/>
  <c r="B35" i="24"/>
  <c r="B36" i="24"/>
  <c r="B37" i="24"/>
  <c r="B38" i="24"/>
  <c r="B39" i="24"/>
  <c r="B40" i="24"/>
  <c r="B55" i="24"/>
  <c r="B56" i="24"/>
  <c r="B57" i="24"/>
  <c r="B58" i="24"/>
  <c r="B59" i="24"/>
  <c r="B60" i="24"/>
  <c r="B61" i="24"/>
  <c r="B62" i="24"/>
  <c r="B63" i="24"/>
  <c r="B64" i="24"/>
  <c r="B65" i="24"/>
  <c r="B66" i="24"/>
  <c r="B67" i="24"/>
  <c r="B68" i="24"/>
  <c r="B69" i="24"/>
  <c r="B192" i="24" s="1"/>
  <c r="B70" i="24"/>
  <c r="B71" i="24"/>
  <c r="B72" i="24"/>
  <c r="B73" i="24"/>
  <c r="B74" i="24"/>
  <c r="B75" i="24"/>
  <c r="B76" i="24"/>
  <c r="B77" i="24"/>
  <c r="B78" i="24"/>
  <c r="B79" i="24"/>
  <c r="B80" i="24"/>
  <c r="B81" i="24"/>
  <c r="B82" i="24"/>
  <c r="C55" i="24"/>
  <c r="C56" i="24"/>
  <c r="C57" i="24"/>
  <c r="C58" i="24"/>
  <c r="C59" i="24"/>
  <c r="C60" i="24"/>
  <c r="C61" i="24"/>
  <c r="C62" i="24"/>
  <c r="C63" i="24"/>
  <c r="C64" i="24"/>
  <c r="C176" i="24" s="1"/>
  <c r="C65" i="24"/>
  <c r="C66" i="24"/>
  <c r="C67" i="24"/>
  <c r="C68" i="24"/>
  <c r="C69" i="24"/>
  <c r="C70" i="24"/>
  <c r="C71" i="24"/>
  <c r="C72" i="24"/>
  <c r="C73" i="24"/>
  <c r="C74" i="24"/>
  <c r="C75" i="24"/>
  <c r="C76" i="24"/>
  <c r="C77" i="24"/>
  <c r="C78" i="24"/>
  <c r="C79" i="24"/>
  <c r="C80" i="24"/>
  <c r="C81" i="24"/>
  <c r="C82" i="24"/>
  <c r="D55" i="24"/>
  <c r="D56" i="24"/>
  <c r="D57" i="24"/>
  <c r="D58" i="24"/>
  <c r="D59" i="24"/>
  <c r="D60" i="24"/>
  <c r="D61" i="24"/>
  <c r="D62" i="24"/>
  <c r="D63" i="24"/>
  <c r="D64" i="24"/>
  <c r="D65" i="24"/>
  <c r="D66" i="24"/>
  <c r="D67" i="24"/>
  <c r="D68" i="24"/>
  <c r="D69" i="24"/>
  <c r="D70" i="24"/>
  <c r="D71" i="24"/>
  <c r="D72" i="24"/>
  <c r="D73" i="24"/>
  <c r="D74" i="24"/>
  <c r="D75" i="24"/>
  <c r="D76" i="24"/>
  <c r="D221" i="24" s="1"/>
  <c r="D77" i="24"/>
  <c r="D224" i="24" s="1"/>
  <c r="D78" i="24"/>
  <c r="D79" i="24"/>
  <c r="D80" i="24"/>
  <c r="D81" i="24"/>
  <c r="D82" i="24"/>
  <c r="E55" i="24"/>
  <c r="E146" i="24" s="1"/>
  <c r="E56" i="24"/>
  <c r="E150" i="24" s="1"/>
  <c r="E57" i="24"/>
  <c r="E58" i="24"/>
  <c r="E59" i="24"/>
  <c r="E162" i="24" s="1"/>
  <c r="E60" i="24"/>
  <c r="E61" i="24"/>
  <c r="E62" i="24"/>
  <c r="E63" i="24"/>
  <c r="E64" i="24"/>
  <c r="E177" i="24" s="1"/>
  <c r="E65" i="24"/>
  <c r="E66" i="24"/>
  <c r="E67" i="24"/>
  <c r="E68" i="24"/>
  <c r="E69" i="24"/>
  <c r="E70" i="24"/>
  <c r="E71" i="24"/>
  <c r="E72" i="24"/>
  <c r="E73" i="24"/>
  <c r="E74" i="24"/>
  <c r="E75" i="24"/>
  <c r="E76" i="24"/>
  <c r="E77" i="24"/>
  <c r="E78" i="24"/>
  <c r="E79" i="24"/>
  <c r="E80" i="24"/>
  <c r="E81" i="24"/>
  <c r="E235" i="24" s="1"/>
  <c r="E82" i="24"/>
  <c r="F55" i="24"/>
  <c r="F145" i="24" s="1"/>
  <c r="F56" i="24"/>
  <c r="F57" i="24"/>
  <c r="F58" i="24"/>
  <c r="F59" i="24"/>
  <c r="F60" i="24"/>
  <c r="F164" i="24" s="1"/>
  <c r="F61" i="24"/>
  <c r="F62" i="24"/>
  <c r="F63" i="24"/>
  <c r="F174" i="24" s="1"/>
  <c r="F64" i="24"/>
  <c r="F65" i="24"/>
  <c r="F66" i="24"/>
  <c r="F67" i="24"/>
  <c r="F68" i="24"/>
  <c r="F69" i="24"/>
  <c r="F70" i="24"/>
  <c r="F71" i="24"/>
  <c r="F72" i="24"/>
  <c r="F73" i="24"/>
  <c r="F74" i="24"/>
  <c r="F75" i="24"/>
  <c r="F76" i="24"/>
  <c r="F220" i="24" s="1"/>
  <c r="F77" i="24"/>
  <c r="F78" i="24"/>
  <c r="F79" i="24"/>
  <c r="F80" i="24"/>
  <c r="F81" i="24"/>
  <c r="F82" i="24"/>
  <c r="G55" i="24"/>
  <c r="G144" i="24" s="1"/>
  <c r="G56" i="24"/>
  <c r="G149" i="24" s="1"/>
  <c r="G57" i="24"/>
  <c r="G58" i="24"/>
  <c r="G59" i="24"/>
  <c r="G161" i="24" s="1"/>
  <c r="G60" i="24"/>
  <c r="G61" i="24"/>
  <c r="G62" i="24"/>
  <c r="G63" i="24"/>
  <c r="G64" i="24"/>
  <c r="G176" i="24" s="1"/>
  <c r="G65" i="24"/>
  <c r="G66" i="24"/>
  <c r="G67" i="24"/>
  <c r="G68" i="24"/>
  <c r="G69" i="24"/>
  <c r="G70" i="24"/>
  <c r="G71" i="24"/>
  <c r="G72" i="24"/>
  <c r="G73" i="24"/>
  <c r="G74" i="24"/>
  <c r="G75" i="24"/>
  <c r="G76" i="24"/>
  <c r="G77" i="24"/>
  <c r="G78" i="24"/>
  <c r="G79" i="24"/>
  <c r="G80" i="24"/>
  <c r="G81" i="24"/>
  <c r="G82" i="24"/>
  <c r="A1" i="11"/>
  <c r="B43" i="11"/>
  <c r="B44" i="11"/>
  <c r="B45" i="11"/>
  <c r="B46" i="11"/>
  <c r="B47" i="11"/>
  <c r="F82" i="11" s="1"/>
  <c r="G119" i="11" s="1"/>
  <c r="B48" i="11"/>
  <c r="G76" i="11" s="1"/>
  <c r="H113" i="11" s="1"/>
  <c r="B49" i="11"/>
  <c r="B50" i="11"/>
  <c r="C43" i="11"/>
  <c r="C44" i="11"/>
  <c r="C45" i="11"/>
  <c r="C46" i="11"/>
  <c r="C47" i="11"/>
  <c r="C48" i="11"/>
  <c r="C49" i="11"/>
  <c r="C50" i="11"/>
  <c r="D43" i="11"/>
  <c r="D44" i="11"/>
  <c r="D45" i="11"/>
  <c r="D46" i="11"/>
  <c r="D47" i="11"/>
  <c r="D48" i="11"/>
  <c r="D49" i="11"/>
  <c r="D50" i="11"/>
  <c r="E43" i="11"/>
  <c r="E44" i="11"/>
  <c r="E45" i="11"/>
  <c r="E46" i="11"/>
  <c r="E47" i="11"/>
  <c r="E48" i="11"/>
  <c r="E49" i="11"/>
  <c r="E50" i="11"/>
  <c r="B59" i="11"/>
  <c r="C96" i="11" s="1"/>
  <c r="C85" i="11"/>
  <c r="D122" i="11" s="1"/>
  <c r="D59" i="11"/>
  <c r="E96" i="11" s="1"/>
  <c r="D62" i="11"/>
  <c r="E99" i="11" s="1"/>
  <c r="D63" i="11"/>
  <c r="E100" i="11" s="1"/>
  <c r="D65" i="11"/>
  <c r="E102" i="11" s="1"/>
  <c r="D66" i="11"/>
  <c r="E103" i="11" s="1"/>
  <c r="D67" i="11"/>
  <c r="E104" i="11" s="1"/>
  <c r="D69" i="11"/>
  <c r="E106" i="11" s="1"/>
  <c r="D70" i="11"/>
  <c r="D71" i="11"/>
  <c r="E108" i="11" s="1"/>
  <c r="D73" i="11"/>
  <c r="D74" i="11"/>
  <c r="E111" i="11" s="1"/>
  <c r="D75" i="11"/>
  <c r="E112" i="11" s="1"/>
  <c r="D77" i="11"/>
  <c r="E114" i="11" s="1"/>
  <c r="D78" i="11"/>
  <c r="E115" i="11" s="1"/>
  <c r="D79" i="11"/>
  <c r="E116" i="11" s="1"/>
  <c r="D81" i="11"/>
  <c r="E118" i="11" s="1"/>
  <c r="D82" i="11"/>
  <c r="E119" i="11" s="1"/>
  <c r="D83" i="11"/>
  <c r="E120" i="11" s="1"/>
  <c r="D85" i="11"/>
  <c r="E122" i="11" s="1"/>
  <c r="D86" i="11"/>
  <c r="E123" i="11" s="1"/>
  <c r="E59" i="11"/>
  <c r="E62" i="11"/>
  <c r="F99" i="11" s="1"/>
  <c r="E63" i="11"/>
  <c r="F100" i="11" s="1"/>
  <c r="E66" i="11"/>
  <c r="E67" i="11"/>
  <c r="E70" i="11"/>
  <c r="F107" i="11" s="1"/>
  <c r="E71" i="11"/>
  <c r="F108" i="11" s="1"/>
  <c r="E74" i="11"/>
  <c r="F111" i="11" s="1"/>
  <c r="E75" i="11"/>
  <c r="E78" i="11"/>
  <c r="F115" i="11" s="1"/>
  <c r="E79" i="11"/>
  <c r="F116" i="11" s="1"/>
  <c r="E82" i="11"/>
  <c r="E83" i="11"/>
  <c r="E86" i="11"/>
  <c r="F123" i="11" s="1"/>
  <c r="G68" i="11"/>
  <c r="H105" i="11" s="1"/>
  <c r="H59" i="11"/>
  <c r="I96" i="11" s="1"/>
  <c r="H74" i="11"/>
  <c r="I111" i="11" s="1"/>
  <c r="I59" i="11"/>
  <c r="J96" i="11" s="1"/>
  <c r="I63" i="11"/>
  <c r="J100" i="11" s="1"/>
  <c r="I67" i="11"/>
  <c r="J104" i="11" s="1"/>
  <c r="I71" i="11"/>
  <c r="J108" i="11" s="1"/>
  <c r="I75" i="11"/>
  <c r="J112" i="11" s="1"/>
  <c r="I79" i="11"/>
  <c r="J116" i="11" s="1"/>
  <c r="I83" i="11"/>
  <c r="J120" i="11" s="1"/>
  <c r="E107" i="11"/>
  <c r="E110" i="11"/>
  <c r="F96" i="11"/>
  <c r="F103" i="11"/>
  <c r="F104" i="11"/>
  <c r="F112" i="11"/>
  <c r="F119" i="11"/>
  <c r="F120" i="11"/>
  <c r="A1" i="25"/>
  <c r="D14" i="25"/>
  <c r="D15" i="25"/>
  <c r="D16" i="25"/>
  <c r="D17" i="25"/>
  <c r="D18" i="25"/>
  <c r="D19" i="25"/>
  <c r="D20" i="25"/>
  <c r="D21" i="25"/>
  <c r="D22" i="25"/>
  <c r="D23" i="25"/>
  <c r="D24" i="25"/>
  <c r="D25" i="25"/>
  <c r="D26" i="25"/>
  <c r="D27" i="25"/>
  <c r="D28" i="25"/>
  <c r="D29" i="25"/>
  <c r="D30" i="25"/>
  <c r="D31" i="25"/>
  <c r="B44" i="25"/>
  <c r="B45" i="25"/>
  <c r="B46" i="25"/>
  <c r="B47" i="25"/>
  <c r="B48" i="25"/>
  <c r="B49" i="25"/>
  <c r="B50" i="25"/>
  <c r="B51" i="25"/>
  <c r="B52" i="25"/>
  <c r="B53" i="25"/>
  <c r="B54" i="25"/>
  <c r="B55" i="25"/>
  <c r="B56" i="25"/>
  <c r="B57" i="25"/>
  <c r="B58" i="25"/>
  <c r="B59" i="25"/>
  <c r="B60" i="25"/>
  <c r="B61" i="25"/>
  <c r="B62" i="25"/>
  <c r="B63" i="25"/>
  <c r="B64" i="25"/>
  <c r="B65" i="25"/>
  <c r="B66" i="25"/>
  <c r="A1" i="4"/>
  <c r="B12" i="4"/>
  <c r="C123" i="5" s="1"/>
  <c r="C21" i="4"/>
  <c r="D21" i="4"/>
  <c r="E21" i="4"/>
  <c r="F21" i="4"/>
  <c r="G21" i="4"/>
  <c r="H21" i="4"/>
  <c r="I21" i="4"/>
  <c r="B31" i="4"/>
  <c r="B32" i="4"/>
  <c r="B33" i="4"/>
  <c r="B34" i="4"/>
  <c r="B35" i="4"/>
  <c r="B36" i="4"/>
  <c r="B37" i="4"/>
  <c r="B38" i="4"/>
  <c r="C32" i="4"/>
  <c r="C33" i="4"/>
  <c r="C34" i="4"/>
  <c r="C35" i="4"/>
  <c r="C36" i="4"/>
  <c r="C37" i="4"/>
  <c r="C38" i="4"/>
  <c r="B49" i="4"/>
  <c r="B64" i="4" s="1"/>
  <c r="C48" i="4"/>
  <c r="C49" i="4" s="1"/>
  <c r="F101" i="4"/>
  <c r="A1" i="2"/>
  <c r="A1" i="3"/>
  <c r="I14" i="3"/>
  <c r="I15" i="3"/>
  <c r="I16" i="3"/>
  <c r="I17" i="3"/>
  <c r="I18" i="3"/>
  <c r="I245" i="3" s="1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34" i="3"/>
  <c r="I35" i="3"/>
  <c r="I36" i="3"/>
  <c r="I37" i="3"/>
  <c r="I38" i="3"/>
  <c r="I39" i="3"/>
  <c r="I40" i="3"/>
  <c r="I41" i="3"/>
  <c r="E268" i="3" s="1"/>
  <c r="B62" i="3"/>
  <c r="B63" i="3"/>
  <c r="B64" i="3"/>
  <c r="B65" i="3"/>
  <c r="B66" i="3"/>
  <c r="B67" i="3"/>
  <c r="B68" i="3"/>
  <c r="B69" i="3"/>
  <c r="J78" i="3" s="1"/>
  <c r="J257" i="3" s="1"/>
  <c r="C78" i="3"/>
  <c r="D78" i="3"/>
  <c r="E78" i="3"/>
  <c r="F78" i="3"/>
  <c r="G78" i="3"/>
  <c r="H78" i="3"/>
  <c r="I78" i="3"/>
  <c r="B121" i="3"/>
  <c r="C99" i="4" s="1"/>
  <c r="B129" i="3"/>
  <c r="B137" i="3"/>
  <c r="F155" i="3"/>
  <c r="G167" i="3" s="1"/>
  <c r="G204" i="3" s="1"/>
  <c r="B167" i="3"/>
  <c r="B168" i="3"/>
  <c r="B205" i="3" s="1"/>
  <c r="B169" i="3"/>
  <c r="B170" i="3"/>
  <c r="B207" i="3" s="1"/>
  <c r="B171" i="3"/>
  <c r="B172" i="3"/>
  <c r="B209" i="3" s="1"/>
  <c r="B246" i="3" s="1"/>
  <c r="B173" i="3"/>
  <c r="B174" i="3"/>
  <c r="B175" i="3"/>
  <c r="B176" i="3"/>
  <c r="B213" i="3" s="1"/>
  <c r="B177" i="3"/>
  <c r="B178" i="3"/>
  <c r="B215" i="3" s="1"/>
  <c r="B179" i="3"/>
  <c r="B180" i="3"/>
  <c r="B217" i="3" s="1"/>
  <c r="B181" i="3"/>
  <c r="B182" i="3"/>
  <c r="B219" i="3" s="1"/>
  <c r="B183" i="3"/>
  <c r="B220" i="3" s="1"/>
  <c r="B184" i="3"/>
  <c r="B185" i="3"/>
  <c r="B186" i="3"/>
  <c r="B223" i="3"/>
  <c r="B260" i="3" s="1"/>
  <c r="B42" i="12" s="1"/>
  <c r="B35" i="16" s="1"/>
  <c r="B187" i="3"/>
  <c r="B224" i="3" s="1"/>
  <c r="B261" i="3" s="1"/>
  <c r="B43" i="12" s="1"/>
  <c r="B36" i="16" s="1"/>
  <c r="B188" i="3"/>
  <c r="B225" i="3" s="1"/>
  <c r="B189" i="3"/>
  <c r="B190" i="3"/>
  <c r="B227" i="3" s="1"/>
  <c r="B191" i="3"/>
  <c r="B228" i="3" s="1"/>
  <c r="B265" i="3" s="1"/>
  <c r="B47" i="12" s="1"/>
  <c r="B40" i="16" s="1"/>
  <c r="B192" i="3"/>
  <c r="B193" i="3"/>
  <c r="B194" i="3"/>
  <c r="C167" i="3"/>
  <c r="C204" i="3" s="1"/>
  <c r="C241" i="3" s="1"/>
  <c r="C168" i="3"/>
  <c r="C169" i="3"/>
  <c r="C206" i="3" s="1"/>
  <c r="C170" i="3"/>
  <c r="C171" i="3"/>
  <c r="C208" i="3" s="1"/>
  <c r="C172" i="3"/>
  <c r="C173" i="3"/>
  <c r="C210" i="3" s="1"/>
  <c r="C174" i="3"/>
  <c r="C211" i="3" s="1"/>
  <c r="C175" i="3"/>
  <c r="C212" i="3" s="1"/>
  <c r="C176" i="3"/>
  <c r="C177" i="3"/>
  <c r="C178" i="3"/>
  <c r="C179" i="3"/>
  <c r="C180" i="3"/>
  <c r="C181" i="3"/>
  <c r="C182" i="3"/>
  <c r="C183" i="3"/>
  <c r="C220" i="3" s="1"/>
  <c r="C184" i="3"/>
  <c r="C185" i="3"/>
  <c r="C222" i="3" s="1"/>
  <c r="C186" i="3"/>
  <c r="C187" i="3"/>
  <c r="C224" i="3" s="1"/>
  <c r="C188" i="3"/>
  <c r="C189" i="3"/>
  <c r="C190" i="3"/>
  <c r="C227" i="3" s="1"/>
  <c r="C191" i="3"/>
  <c r="C228" i="3" s="1"/>
  <c r="C192" i="3"/>
  <c r="C193" i="3"/>
  <c r="C194" i="3"/>
  <c r="G187" i="3"/>
  <c r="G224" i="3" s="1"/>
  <c r="H167" i="3"/>
  <c r="H204" i="3" s="1"/>
  <c r="H168" i="3"/>
  <c r="H205" i="3" s="1"/>
  <c r="H169" i="3"/>
  <c r="H206" i="3" s="1"/>
  <c r="H170" i="3"/>
  <c r="H207" i="3" s="1"/>
  <c r="H171" i="3"/>
  <c r="H208" i="3" s="1"/>
  <c r="H172" i="3"/>
  <c r="H209" i="3" s="1"/>
  <c r="H173" i="3"/>
  <c r="H174" i="3"/>
  <c r="H211" i="3" s="1"/>
  <c r="H175" i="3"/>
  <c r="H212" i="3" s="1"/>
  <c r="H176" i="3"/>
  <c r="H213" i="3" s="1"/>
  <c r="H177" i="3"/>
  <c r="H214" i="3" s="1"/>
  <c r="H251" i="3" s="1"/>
  <c r="H178" i="3"/>
  <c r="H215" i="3" s="1"/>
  <c r="H179" i="3"/>
  <c r="H180" i="3"/>
  <c r="H181" i="3"/>
  <c r="H182" i="3"/>
  <c r="H219" i="3" s="1"/>
  <c r="H183" i="3"/>
  <c r="H220" i="3"/>
  <c r="H184" i="3"/>
  <c r="H185" i="3"/>
  <c r="H186" i="3"/>
  <c r="H187" i="3"/>
  <c r="H224" i="3" s="1"/>
  <c r="H188" i="3"/>
  <c r="H225" i="3" s="1"/>
  <c r="H189" i="3"/>
  <c r="H190" i="3"/>
  <c r="H227" i="3" s="1"/>
  <c r="H191" i="3"/>
  <c r="H228" i="3" s="1"/>
  <c r="H192" i="3"/>
  <c r="H193" i="3"/>
  <c r="H194" i="3"/>
  <c r="I167" i="3"/>
  <c r="I204" i="3" s="1"/>
  <c r="I168" i="3"/>
  <c r="I169" i="3"/>
  <c r="I206" i="3"/>
  <c r="I243" i="3" s="1"/>
  <c r="I170" i="3"/>
  <c r="I207" i="3"/>
  <c r="I171" i="3"/>
  <c r="I208" i="3"/>
  <c r="I172" i="3"/>
  <c r="I173" i="3"/>
  <c r="I210" i="3" s="1"/>
  <c r="I174" i="3"/>
  <c r="I211" i="3" s="1"/>
  <c r="I175" i="3"/>
  <c r="I212" i="3" s="1"/>
  <c r="I249" i="3" s="1"/>
  <c r="I176" i="3"/>
  <c r="I213" i="3" s="1"/>
  <c r="I177" i="3"/>
  <c r="I214" i="3" s="1"/>
  <c r="I178" i="3"/>
  <c r="I215" i="3" s="1"/>
  <c r="I179" i="3"/>
  <c r="I180" i="3"/>
  <c r="I217" i="3" s="1"/>
  <c r="I181" i="3"/>
  <c r="I218" i="3" s="1"/>
  <c r="I182" i="3"/>
  <c r="I219" i="3" s="1"/>
  <c r="I183" i="3"/>
  <c r="I220" i="3" s="1"/>
  <c r="I184" i="3"/>
  <c r="I221" i="3" s="1"/>
  <c r="I185" i="3"/>
  <c r="I186" i="3"/>
  <c r="I223" i="3" s="1"/>
  <c r="I187" i="3"/>
  <c r="I224" i="3" s="1"/>
  <c r="I188" i="3"/>
  <c r="I225" i="3" s="1"/>
  <c r="I189" i="3"/>
  <c r="I226" i="3" s="1"/>
  <c r="I263" i="3" s="1"/>
  <c r="I190" i="3"/>
  <c r="I227" i="3" s="1"/>
  <c r="I191" i="3"/>
  <c r="I228" i="3" s="1"/>
  <c r="I192" i="3"/>
  <c r="I229" i="3" s="1"/>
  <c r="I193" i="3"/>
  <c r="I194" i="3"/>
  <c r="J167" i="3"/>
  <c r="J204" i="3"/>
  <c r="J168" i="3"/>
  <c r="J205" i="3" s="1"/>
  <c r="J169" i="3"/>
  <c r="J206" i="3" s="1"/>
  <c r="J170" i="3"/>
  <c r="J207" i="3" s="1"/>
  <c r="J171" i="3"/>
  <c r="J208" i="3" s="1"/>
  <c r="J172" i="3"/>
  <c r="J173" i="3"/>
  <c r="J210" i="3" s="1"/>
  <c r="J174" i="3"/>
  <c r="J211" i="3" s="1"/>
  <c r="J175" i="3"/>
  <c r="J212" i="3" s="1"/>
  <c r="J176" i="3"/>
  <c r="J177" i="3"/>
  <c r="J214" i="3" s="1"/>
  <c r="J178" i="3"/>
  <c r="J215" i="3"/>
  <c r="J179" i="3"/>
  <c r="J180" i="3"/>
  <c r="J181" i="3"/>
  <c r="J218" i="3" s="1"/>
  <c r="J255" i="3" s="1"/>
  <c r="J182" i="3"/>
  <c r="J219" i="3" s="1"/>
  <c r="J183" i="3"/>
  <c r="J220" i="3"/>
  <c r="J184" i="3"/>
  <c r="J221" i="3" s="1"/>
  <c r="J185" i="3"/>
  <c r="J222" i="3" s="1"/>
  <c r="J186" i="3"/>
  <c r="J223" i="3" s="1"/>
  <c r="J187" i="3"/>
  <c r="J224" i="3" s="1"/>
  <c r="J188" i="3"/>
  <c r="J225" i="3" s="1"/>
  <c r="J189" i="3"/>
  <c r="J226" i="3" s="1"/>
  <c r="J190" i="3"/>
  <c r="J227" i="3"/>
  <c r="J191" i="3"/>
  <c r="J228" i="3" s="1"/>
  <c r="J192" i="3"/>
  <c r="J193" i="3"/>
  <c r="J194" i="3"/>
  <c r="B204" i="3"/>
  <c r="B206" i="3"/>
  <c r="B208" i="3"/>
  <c r="B210" i="3"/>
  <c r="B211" i="3"/>
  <c r="B248" i="3" s="1"/>
  <c r="B212" i="3"/>
  <c r="B249" i="3" s="1"/>
  <c r="B214" i="3"/>
  <c r="B218" i="3"/>
  <c r="B255" i="3" s="1"/>
  <c r="B221" i="3"/>
  <c r="B258" i="3" s="1"/>
  <c r="B222" i="3"/>
  <c r="B226" i="3"/>
  <c r="B229" i="3"/>
  <c r="C205" i="3"/>
  <c r="C207" i="3"/>
  <c r="C209" i="3"/>
  <c r="C213" i="3"/>
  <c r="C214" i="3"/>
  <c r="C215" i="3"/>
  <c r="C217" i="3"/>
  <c r="C218" i="3"/>
  <c r="C219" i="3"/>
  <c r="C221" i="3"/>
  <c r="C223" i="3"/>
  <c r="C225" i="3"/>
  <c r="C226" i="3"/>
  <c r="C229" i="3"/>
  <c r="H210" i="3"/>
  <c r="H217" i="3"/>
  <c r="H218" i="3"/>
  <c r="H221" i="3"/>
  <c r="H222" i="3"/>
  <c r="H223" i="3"/>
  <c r="H226" i="3"/>
  <c r="H263" i="3" s="1"/>
  <c r="H229" i="3"/>
  <c r="I205" i="3"/>
  <c r="I209" i="3"/>
  <c r="I222" i="3"/>
  <c r="J209" i="3"/>
  <c r="J213" i="3"/>
  <c r="J217" i="3"/>
  <c r="J229" i="3"/>
  <c r="B242" i="3"/>
  <c r="B251" i="3"/>
  <c r="I244" i="3"/>
  <c r="I259" i="3"/>
  <c r="A1" i="6"/>
  <c r="B19" i="6"/>
  <c r="B20" i="6"/>
  <c r="B46" i="6" s="1"/>
  <c r="B21" i="6"/>
  <c r="B47" i="6" s="1"/>
  <c r="C198" i="7" s="1"/>
  <c r="B22" i="6"/>
  <c r="B48" i="6" s="1"/>
  <c r="B23" i="6"/>
  <c r="B49" i="6" s="1"/>
  <c r="B24" i="6"/>
  <c r="B50" i="6" s="1"/>
  <c r="B25" i="6"/>
  <c r="B51" i="6" s="1"/>
  <c r="B26" i="6"/>
  <c r="B52" i="6" s="1"/>
  <c r="B27" i="6"/>
  <c r="B53" i="6" s="1"/>
  <c r="B28" i="6"/>
  <c r="B54" i="6" s="1"/>
  <c r="B29" i="6"/>
  <c r="B55" i="6" s="1"/>
  <c r="B30" i="6"/>
  <c r="B56" i="6" s="1"/>
  <c r="B31" i="6"/>
  <c r="B57" i="6" s="1"/>
  <c r="B32" i="6"/>
  <c r="B58" i="6" s="1"/>
  <c r="B33" i="6"/>
  <c r="B59" i="6" s="1"/>
  <c r="B34" i="6"/>
  <c r="B60" i="6" s="1"/>
  <c r="B35" i="6"/>
  <c r="B61" i="6" s="1"/>
  <c r="B36" i="6"/>
  <c r="B62" i="6" s="1"/>
  <c r="B45" i="6"/>
  <c r="B191" i="6"/>
  <c r="B192" i="6"/>
  <c r="C192" i="6" s="1"/>
  <c r="G192" i="6" s="1"/>
  <c r="B193" i="6"/>
  <c r="E193" i="6" s="1"/>
  <c r="B195" i="6"/>
  <c r="B196" i="6"/>
  <c r="I196" i="6" s="1"/>
  <c r="B197" i="6"/>
  <c r="B199" i="6"/>
  <c r="B200" i="6"/>
  <c r="B201" i="6"/>
  <c r="B203" i="6"/>
  <c r="B204" i="6"/>
  <c r="I204" i="6" s="1"/>
  <c r="B205" i="6"/>
  <c r="B207" i="6"/>
  <c r="F207" i="6" s="1"/>
  <c r="B208" i="6"/>
  <c r="B209" i="6"/>
  <c r="B211" i="6"/>
  <c r="C211" i="6" s="1"/>
  <c r="B212" i="6"/>
  <c r="I212" i="6" s="1"/>
  <c r="B213" i="6"/>
  <c r="C213" i="6" s="1"/>
  <c r="B215" i="6"/>
  <c r="D251" i="19" s="1"/>
  <c r="B216" i="6"/>
  <c r="B217" i="6"/>
  <c r="B219" i="6"/>
  <c r="B221" i="6"/>
  <c r="B223" i="6"/>
  <c r="C223" i="6" s="1"/>
  <c r="G223" i="6" s="1"/>
  <c r="B224" i="6"/>
  <c r="B225" i="6"/>
  <c r="F225" i="6" s="1"/>
  <c r="B227" i="6"/>
  <c r="E227" i="6" s="1"/>
  <c r="B228" i="6"/>
  <c r="C228" i="6" s="1"/>
  <c r="G228" i="6" s="1"/>
  <c r="B230" i="6"/>
  <c r="B231" i="6"/>
  <c r="C231" i="6" s="1"/>
  <c r="G231" i="6" s="1"/>
  <c r="B233" i="6"/>
  <c r="B235" i="6"/>
  <c r="D235" i="6" s="1"/>
  <c r="B236" i="6"/>
  <c r="I236" i="6" s="1"/>
  <c r="B237" i="6"/>
  <c r="B239" i="6"/>
  <c r="C239" i="6" s="1"/>
  <c r="G239" i="6" s="1"/>
  <c r="B240" i="6"/>
  <c r="B241" i="6"/>
  <c r="B243" i="6"/>
  <c r="B244" i="6"/>
  <c r="B245" i="6"/>
  <c r="C245" i="6" s="1"/>
  <c r="G245" i="6" s="1"/>
  <c r="B247" i="6"/>
  <c r="B248" i="6"/>
  <c r="B249" i="6"/>
  <c r="H249" i="6" s="1"/>
  <c r="B251" i="6"/>
  <c r="B252" i="6"/>
  <c r="B253" i="6"/>
  <c r="H253" i="6" s="1"/>
  <c r="B255" i="6"/>
  <c r="B256" i="6"/>
  <c r="D256" i="6" s="1"/>
  <c r="B257" i="6"/>
  <c r="E257" i="6" s="1"/>
  <c r="B259" i="6"/>
  <c r="H259" i="6" s="1"/>
  <c r="B260" i="6"/>
  <c r="D260" i="6" s="1"/>
  <c r="B262" i="6"/>
  <c r="B263" i="6"/>
  <c r="B264" i="6"/>
  <c r="F264" i="6" s="1"/>
  <c r="B266" i="6"/>
  <c r="B267" i="6"/>
  <c r="D267" i="6" s="1"/>
  <c r="B268" i="6"/>
  <c r="F268" i="6" s="1"/>
  <c r="B270" i="6"/>
  <c r="B271" i="6"/>
  <c r="H271" i="6" s="1"/>
  <c r="B273" i="6"/>
  <c r="I273" i="6" s="1"/>
  <c r="B274" i="6"/>
  <c r="B276" i="6"/>
  <c r="B277" i="6"/>
  <c r="H277" i="6" s="1"/>
  <c r="B279" i="6"/>
  <c r="C279" i="6" s="1"/>
  <c r="G279" i="6" s="1"/>
  <c r="B280" i="6"/>
  <c r="E280" i="6" s="1"/>
  <c r="B282" i="6"/>
  <c r="F282" i="6" s="1"/>
  <c r="D324" i="6" s="1"/>
  <c r="B284" i="6"/>
  <c r="D284" i="6" s="1"/>
  <c r="B325" i="6" s="1"/>
  <c r="B937" i="22" s="1"/>
  <c r="C193" i="6"/>
  <c r="G193" i="6" s="1"/>
  <c r="C197" i="6"/>
  <c r="G197" i="6" s="1"/>
  <c r="C200" i="6"/>
  <c r="C203" i="6"/>
  <c r="G203" i="6" s="1"/>
  <c r="C208" i="6"/>
  <c r="G208" i="6" s="1"/>
  <c r="C221" i="6"/>
  <c r="G221" i="6" s="1"/>
  <c r="E306" i="6" s="1"/>
  <c r="D301" i="22" s="1"/>
  <c r="C225" i="6"/>
  <c r="G225" i="6" s="1"/>
  <c r="C227" i="6"/>
  <c r="G227" i="6" s="1"/>
  <c r="C237" i="6"/>
  <c r="C243" i="6"/>
  <c r="E279" i="19" s="1"/>
  <c r="C248" i="6"/>
  <c r="E284" i="19" s="1"/>
  <c r="G54" i="20" s="1"/>
  <c r="C249" i="6"/>
  <c r="C270" i="6"/>
  <c r="G270" i="6" s="1"/>
  <c r="D197" i="6"/>
  <c r="D200" i="6"/>
  <c r="D203" i="6"/>
  <c r="D205" i="6"/>
  <c r="D213" i="6"/>
  <c r="D225" i="6"/>
  <c r="D237" i="6"/>
  <c r="D243" i="6"/>
  <c r="D244" i="6"/>
  <c r="D245" i="6"/>
  <c r="D248" i="6"/>
  <c r="D276" i="6"/>
  <c r="D277" i="6"/>
  <c r="E191" i="6"/>
  <c r="E200" i="6"/>
  <c r="E209" i="6"/>
  <c r="E233" i="6"/>
  <c r="C310" i="6" s="1"/>
  <c r="C437" i="22" s="1"/>
  <c r="E245" i="6"/>
  <c r="E255" i="6"/>
  <c r="E266" i="6"/>
  <c r="E277" i="6"/>
  <c r="F197" i="6"/>
  <c r="F200" i="6"/>
  <c r="F203" i="6"/>
  <c r="F208" i="6"/>
  <c r="F219" i="6"/>
  <c r="D305" i="6" s="1"/>
  <c r="F224" i="6"/>
  <c r="F231" i="6"/>
  <c r="F237" i="6"/>
  <c r="F243" i="6"/>
  <c r="F245" i="6"/>
  <c r="F248" i="6"/>
  <c r="F259" i="6"/>
  <c r="F276" i="6"/>
  <c r="G256" i="6"/>
  <c r="G257" i="6"/>
  <c r="G260" i="6"/>
  <c r="G263" i="6"/>
  <c r="G264" i="6"/>
  <c r="G267" i="6"/>
  <c r="G268" i="6"/>
  <c r="G271" i="6"/>
  <c r="G274" i="6"/>
  <c r="G277" i="6"/>
  <c r="G280" i="6"/>
  <c r="H195" i="6"/>
  <c r="H197" i="6"/>
  <c r="H200" i="6"/>
  <c r="H203" i="6"/>
  <c r="H209" i="6"/>
  <c r="H213" i="6"/>
  <c r="H215" i="6"/>
  <c r="H216" i="6"/>
  <c r="H221" i="6"/>
  <c r="F306" i="6" s="1"/>
  <c r="H225" i="6"/>
  <c r="H233" i="6"/>
  <c r="F310" i="6" s="1"/>
  <c r="H237" i="6"/>
  <c r="H243" i="6"/>
  <c r="H245" i="6"/>
  <c r="H248" i="6"/>
  <c r="H255" i="6"/>
  <c r="H266" i="6"/>
  <c r="H276" i="6"/>
  <c r="F322" i="6" s="1"/>
  <c r="H279" i="6"/>
  <c r="I200" i="6"/>
  <c r="I209" i="6"/>
  <c r="I221" i="6"/>
  <c r="G306" i="6" s="1"/>
  <c r="I233" i="6"/>
  <c r="G310" i="6" s="1"/>
  <c r="G437" i="22" s="1"/>
  <c r="I244" i="6"/>
  <c r="I245" i="6"/>
  <c r="I263" i="6"/>
  <c r="I277" i="6"/>
  <c r="A1" i="22"/>
  <c r="A1" i="23"/>
  <c r="A1" i="7"/>
  <c r="B13" i="7"/>
  <c r="B26" i="7"/>
  <c r="B27" i="7"/>
  <c r="B28" i="7"/>
  <c r="B29" i="7"/>
  <c r="B30" i="7"/>
  <c r="E30" i="7" s="1"/>
  <c r="D45" i="7" s="1"/>
  <c r="B31" i="7"/>
  <c r="E31" i="7" s="1"/>
  <c r="D46" i="7" s="1"/>
  <c r="B32" i="7"/>
  <c r="B68" i="7"/>
  <c r="B69" i="7"/>
  <c r="C69" i="7" s="1"/>
  <c r="B82" i="7" s="1"/>
  <c r="B70" i="7"/>
  <c r="B71" i="7"/>
  <c r="B72" i="7"/>
  <c r="C208" i="7"/>
  <c r="C209" i="7"/>
  <c r="C210" i="7"/>
  <c r="C211" i="7"/>
  <c r="B224" i="7"/>
  <c r="B225" i="7"/>
  <c r="E225" i="7" s="1"/>
  <c r="D499" i="7" s="1"/>
  <c r="D517" i="7" s="1"/>
  <c r="I532" i="7" s="1"/>
  <c r="B226" i="7"/>
  <c r="B227" i="7"/>
  <c r="B228" i="7"/>
  <c r="D228" i="7" s="1"/>
  <c r="B229" i="7"/>
  <c r="B230" i="7"/>
  <c r="B231" i="7"/>
  <c r="B232" i="7"/>
  <c r="E232" i="7" s="1"/>
  <c r="B337" i="7"/>
  <c r="C337" i="7" s="1"/>
  <c r="B350" i="7"/>
  <c r="B351" i="7"/>
  <c r="B352" i="7"/>
  <c r="D352" i="7" s="1"/>
  <c r="C364" i="7" s="1"/>
  <c r="B353" i="7"/>
  <c r="A1" i="14"/>
  <c r="A1" i="10"/>
  <c r="B10" i="10"/>
  <c r="B79" i="10"/>
  <c r="A1" i="1"/>
  <c r="A1" i="15"/>
  <c r="B47" i="15"/>
  <c r="B48" i="15"/>
  <c r="B49" i="15"/>
  <c r="B70" i="15" s="1"/>
  <c r="B87" i="15" s="1"/>
  <c r="B226" i="16" s="1"/>
  <c r="B50" i="15"/>
  <c r="B51" i="15"/>
  <c r="B72" i="15" s="1"/>
  <c r="B89" i="15" s="1"/>
  <c r="B228" i="16" s="1"/>
  <c r="B52" i="15"/>
  <c r="B53" i="15"/>
  <c r="B54" i="15"/>
  <c r="A1" i="17"/>
  <c r="A1" i="18"/>
  <c r="B225" i="18"/>
  <c r="B227" i="18"/>
  <c r="B228" i="18"/>
  <c r="B230" i="18"/>
  <c r="B238" i="18"/>
  <c r="B239" i="18"/>
  <c r="B240" i="18"/>
  <c r="B241" i="18"/>
  <c r="B243" i="18"/>
  <c r="B244" i="18"/>
  <c r="B245" i="18"/>
  <c r="B247" i="18"/>
  <c r="B249" i="18"/>
  <c r="B251" i="18"/>
  <c r="B253" i="18"/>
  <c r="B254" i="18"/>
  <c r="B255" i="18"/>
  <c r="B256" i="18"/>
  <c r="B257" i="18"/>
  <c r="B258" i="18"/>
  <c r="B259" i="18"/>
  <c r="B260" i="18"/>
  <c r="B261" i="18"/>
  <c r="B266" i="18"/>
  <c r="B267" i="18"/>
  <c r="B268" i="18"/>
  <c r="B269" i="18"/>
  <c r="B271" i="18"/>
  <c r="B272" i="18"/>
  <c r="B273" i="18"/>
  <c r="B275" i="18"/>
  <c r="B277" i="18"/>
  <c r="B279" i="18"/>
  <c r="B283" i="18"/>
  <c r="B286" i="18"/>
  <c r="B294" i="18"/>
  <c r="B295" i="18"/>
  <c r="B296" i="18"/>
  <c r="B297" i="18"/>
  <c r="B298" i="18"/>
  <c r="B309" i="18"/>
  <c r="B310" i="18"/>
  <c r="B311" i="18"/>
  <c r="B312" i="18"/>
  <c r="B313" i="18"/>
  <c r="B314" i="18"/>
  <c r="B315" i="18"/>
  <c r="B316" i="18"/>
  <c r="B317" i="18"/>
  <c r="B322" i="18"/>
  <c r="B323" i="18"/>
  <c r="B324" i="18"/>
  <c r="B325" i="18"/>
  <c r="B326" i="18"/>
  <c r="B327" i="18"/>
  <c r="B328" i="18"/>
  <c r="B329" i="18"/>
  <c r="B330" i="18"/>
  <c r="B331" i="18"/>
  <c r="B332" i="18"/>
  <c r="B333" i="18"/>
  <c r="B334" i="18"/>
  <c r="B335" i="18"/>
  <c r="B336" i="18"/>
  <c r="B337" i="18"/>
  <c r="B338" i="18"/>
  <c r="B339" i="18"/>
  <c r="B340" i="18"/>
  <c r="B341" i="18"/>
  <c r="B342" i="18"/>
  <c r="B343" i="18"/>
  <c r="B344" i="18"/>
  <c r="B345" i="18"/>
  <c r="B350" i="18"/>
  <c r="B351" i="18"/>
  <c r="B352" i="18"/>
  <c r="B353" i="18"/>
  <c r="B354" i="18"/>
  <c r="B355" i="18"/>
  <c r="B356" i="18"/>
  <c r="H196" i="18"/>
  <c r="A1" i="5"/>
  <c r="B11" i="5"/>
  <c r="B12" i="5"/>
  <c r="B68" i="5" s="1"/>
  <c r="B13" i="5"/>
  <c r="B70" i="5" s="1"/>
  <c r="B14" i="5"/>
  <c r="B71" i="5" s="1"/>
  <c r="B15" i="5"/>
  <c r="B73" i="5" s="1"/>
  <c r="B114" i="5" s="1"/>
  <c r="B16" i="5"/>
  <c r="B17" i="5"/>
  <c r="B76" i="5" s="1"/>
  <c r="B18" i="5"/>
  <c r="B77" i="5" s="1"/>
  <c r="B19" i="5"/>
  <c r="B85" i="5" s="1"/>
  <c r="B20" i="5"/>
  <c r="B86" i="5" s="1"/>
  <c r="B21" i="5"/>
  <c r="B87" i="5" s="1"/>
  <c r="B22" i="5"/>
  <c r="B88" i="5" s="1"/>
  <c r="B23" i="5"/>
  <c r="B89" i="5" s="1"/>
  <c r="B130" i="5" s="1"/>
  <c r="C779" i="22" s="1"/>
  <c r="B24" i="5"/>
  <c r="B90" i="5" s="1"/>
  <c r="B33" i="5"/>
  <c r="B52" i="5"/>
  <c r="C75" i="5" s="1"/>
  <c r="B53" i="5"/>
  <c r="C78" i="5" s="1"/>
  <c r="B54" i="5"/>
  <c r="C79" i="5" s="1"/>
  <c r="B55" i="5"/>
  <c r="C91" i="5" s="1"/>
  <c r="B56" i="5"/>
  <c r="C92" i="5" s="1"/>
  <c r="B57" i="5"/>
  <c r="C93" i="5" s="1"/>
  <c r="C134" i="5" s="1"/>
  <c r="B58" i="5"/>
  <c r="C94" i="5" s="1"/>
  <c r="B67" i="5"/>
  <c r="B74" i="5"/>
  <c r="C111" i="5"/>
  <c r="C118" i="5"/>
  <c r="A1" i="8"/>
  <c r="A1" i="13"/>
  <c r="A1" i="21"/>
  <c r="B25" i="21"/>
  <c r="B57" i="21"/>
  <c r="B58" i="21"/>
  <c r="B59" i="21"/>
  <c r="B61" i="21"/>
  <c r="H56" i="24" s="1"/>
  <c r="B62" i="21"/>
  <c r="B63" i="21"/>
  <c r="B65" i="21"/>
  <c r="H57" i="24" s="1"/>
  <c r="B66" i="21"/>
  <c r="B67" i="21"/>
  <c r="B69" i="21"/>
  <c r="H58" i="24" s="1"/>
  <c r="D157" i="24" s="1"/>
  <c r="B70" i="21"/>
  <c r="B71" i="21"/>
  <c r="B73" i="21"/>
  <c r="H59" i="24" s="1"/>
  <c r="B74" i="21"/>
  <c r="B75" i="21"/>
  <c r="B77" i="21"/>
  <c r="B78" i="21"/>
  <c r="B79" i="21"/>
  <c r="B81" i="21"/>
  <c r="B82" i="21"/>
  <c r="B83" i="21"/>
  <c r="B85" i="21"/>
  <c r="H62" i="24" s="1"/>
  <c r="B172" i="24" s="1"/>
  <c r="B87" i="21"/>
  <c r="B89" i="21"/>
  <c r="B90" i="21"/>
  <c r="B91" i="21"/>
  <c r="B93" i="21"/>
  <c r="H65" i="24" s="1"/>
  <c r="B94" i="21"/>
  <c r="B96" i="21"/>
  <c r="H66" i="24" s="1"/>
  <c r="B97" i="21"/>
  <c r="B99" i="21"/>
  <c r="H67" i="24" s="1"/>
  <c r="B101" i="21"/>
  <c r="B102" i="21"/>
  <c r="B103" i="21"/>
  <c r="B105" i="21"/>
  <c r="H69" i="24" s="1"/>
  <c r="B106" i="21"/>
  <c r="B107" i="21"/>
  <c r="B109" i="21"/>
  <c r="H70" i="24" s="1"/>
  <c r="E197" i="24" s="1"/>
  <c r="B110" i="21"/>
  <c r="B111" i="21"/>
  <c r="B113" i="21"/>
  <c r="H71" i="24" s="1"/>
  <c r="B114" i="21"/>
  <c r="B115" i="21"/>
  <c r="B117" i="21"/>
  <c r="H72" i="24" s="1"/>
  <c r="B118" i="21"/>
  <c r="B119" i="21"/>
  <c r="B121" i="21"/>
  <c r="H73" i="24" s="1"/>
  <c r="B122" i="21"/>
  <c r="B123" i="21"/>
  <c r="B125" i="21"/>
  <c r="H74" i="24" s="1"/>
  <c r="B126" i="21"/>
  <c r="B128" i="21"/>
  <c r="H75" i="24" s="1"/>
  <c r="B129" i="21"/>
  <c r="B130" i="21"/>
  <c r="B132" i="21"/>
  <c r="B133" i="21"/>
  <c r="B134" i="21"/>
  <c r="B136" i="21"/>
  <c r="H77" i="24" s="1"/>
  <c r="B137" i="21"/>
  <c r="B139" i="21"/>
  <c r="H78" i="24" s="1"/>
  <c r="D227" i="24" s="1"/>
  <c r="B140" i="21"/>
  <c r="B142" i="21"/>
  <c r="H79" i="24" s="1"/>
  <c r="B143" i="21"/>
  <c r="B145" i="21"/>
  <c r="B146" i="21"/>
  <c r="B148" i="21"/>
  <c r="H81" i="24" s="1"/>
  <c r="B150" i="21"/>
  <c r="H82" i="24" s="1"/>
  <c r="C57" i="21"/>
  <c r="C58" i="21"/>
  <c r="C59" i="21"/>
  <c r="C61" i="21"/>
  <c r="C62" i="21"/>
  <c r="C63" i="21"/>
  <c r="C65" i="21"/>
  <c r="C66" i="21"/>
  <c r="C67" i="21"/>
  <c r="C69" i="21"/>
  <c r="C70" i="21"/>
  <c r="C71" i="21"/>
  <c r="C73" i="21"/>
  <c r="C74" i="21"/>
  <c r="C75" i="21"/>
  <c r="C77" i="21"/>
  <c r="C78" i="21"/>
  <c r="C79" i="21"/>
  <c r="C81" i="21"/>
  <c r="C82" i="21"/>
  <c r="C83" i="21"/>
  <c r="C85" i="21"/>
  <c r="C87" i="21"/>
  <c r="C89" i="21"/>
  <c r="C90" i="21"/>
  <c r="C91" i="21"/>
  <c r="C93" i="21"/>
  <c r="C94" i="21"/>
  <c r="C96" i="21"/>
  <c r="C97" i="21"/>
  <c r="C99" i="21"/>
  <c r="C101" i="21"/>
  <c r="C102" i="21"/>
  <c r="C103" i="21"/>
  <c r="C105" i="21"/>
  <c r="C106" i="21"/>
  <c r="C107" i="21"/>
  <c r="C109" i="21"/>
  <c r="C110" i="21"/>
  <c r="C111" i="21"/>
  <c r="C113" i="21"/>
  <c r="C114" i="21"/>
  <c r="C115" i="21"/>
  <c r="C117" i="21"/>
  <c r="C118" i="21"/>
  <c r="C119" i="21"/>
  <c r="C121" i="21"/>
  <c r="C122" i="21"/>
  <c r="C123" i="21"/>
  <c r="C125" i="21"/>
  <c r="C126" i="21"/>
  <c r="C128" i="21"/>
  <c r="C129" i="21"/>
  <c r="C130" i="21"/>
  <c r="C132" i="21"/>
  <c r="C133" i="21"/>
  <c r="C134" i="21"/>
  <c r="C136" i="21"/>
  <c r="C137" i="21"/>
  <c r="C139" i="21"/>
  <c r="C140" i="21"/>
  <c r="C142" i="21"/>
  <c r="C143" i="21"/>
  <c r="C145" i="21"/>
  <c r="C146" i="21"/>
  <c r="C148" i="21"/>
  <c r="C150" i="21"/>
  <c r="F109" i="21"/>
  <c r="A1" i="20"/>
  <c r="G30" i="20"/>
  <c r="A1" i="12"/>
  <c r="E337" i="7"/>
  <c r="E230" i="7"/>
  <c r="D225" i="7"/>
  <c r="H240" i="7" s="1"/>
  <c r="C244" i="6"/>
  <c r="C229" i="19"/>
  <c r="E59" i="20" s="1"/>
  <c r="D337" i="7"/>
  <c r="D232" i="7"/>
  <c r="D230" i="7"/>
  <c r="AB240" i="7" s="1"/>
  <c r="C225" i="7"/>
  <c r="B499" i="7" s="1"/>
  <c r="H76" i="24"/>
  <c r="H63" i="24"/>
  <c r="C499" i="7"/>
  <c r="H61" i="24"/>
  <c r="H80" i="24"/>
  <c r="D232" i="24" s="1"/>
  <c r="H68" i="24"/>
  <c r="H64" i="24"/>
  <c r="H60" i="24"/>
  <c r="C504" i="7"/>
  <c r="F80" i="11"/>
  <c r="G117" i="11" s="1"/>
  <c r="F79" i="11"/>
  <c r="G116" i="11" s="1"/>
  <c r="B61" i="11"/>
  <c r="C98" i="11" s="1"/>
  <c r="B65" i="11"/>
  <c r="C102" i="11" s="1"/>
  <c r="B69" i="11"/>
  <c r="C106" i="11" s="1"/>
  <c r="B73" i="11"/>
  <c r="C110" i="11" s="1"/>
  <c r="B77" i="11"/>
  <c r="C114" i="11" s="1"/>
  <c r="B81" i="11"/>
  <c r="C118" i="11" s="1"/>
  <c r="B85" i="11"/>
  <c r="C122" i="11" s="1"/>
  <c r="B60" i="11"/>
  <c r="C97" i="11" s="1"/>
  <c r="B64" i="11"/>
  <c r="C101" i="11" s="1"/>
  <c r="B68" i="11"/>
  <c r="C105" i="11" s="1"/>
  <c r="B72" i="11"/>
  <c r="C109" i="11" s="1"/>
  <c r="B76" i="11"/>
  <c r="C113" i="11" s="1"/>
  <c r="B80" i="11"/>
  <c r="C117" i="11" s="1"/>
  <c r="B84" i="11"/>
  <c r="C121" i="11" s="1"/>
  <c r="B66" i="11"/>
  <c r="C103" i="11" s="1"/>
  <c r="B74" i="11"/>
  <c r="C111" i="11" s="1"/>
  <c r="B82" i="11"/>
  <c r="C119" i="11" s="1"/>
  <c r="B63" i="11"/>
  <c r="C100" i="11" s="1"/>
  <c r="B71" i="11"/>
  <c r="C108" i="11" s="1"/>
  <c r="B79" i="11"/>
  <c r="C116" i="11" s="1"/>
  <c r="B67" i="11"/>
  <c r="C104" i="11" s="1"/>
  <c r="B83" i="11"/>
  <c r="C120" i="11" s="1"/>
  <c r="B62" i="11"/>
  <c r="C99" i="11" s="1"/>
  <c r="B78" i="11"/>
  <c r="C115" i="11" s="1"/>
  <c r="B75" i="11"/>
  <c r="C112" i="11" s="1"/>
  <c r="B70" i="11"/>
  <c r="C107" i="11" s="1"/>
  <c r="D202" i="24"/>
  <c r="C183" i="24"/>
  <c r="D184" i="24"/>
  <c r="D183" i="24"/>
  <c r="E184" i="24"/>
  <c r="B183" i="24"/>
  <c r="F184" i="24"/>
  <c r="B184" i="24"/>
  <c r="G183" i="24"/>
  <c r="F183" i="24"/>
  <c r="E183" i="24"/>
  <c r="C184" i="24"/>
  <c r="G184" i="24"/>
  <c r="F160" i="24"/>
  <c r="F144" i="24"/>
  <c r="G146" i="24"/>
  <c r="D351" i="7"/>
  <c r="C363" i="7" s="1"/>
  <c r="B86" i="11"/>
  <c r="C123" i="11" s="1"/>
  <c r="F198" i="24"/>
  <c r="F197" i="24"/>
  <c r="C197" i="24"/>
  <c r="C196" i="24"/>
  <c r="D172" i="24"/>
  <c r="E172" i="24"/>
  <c r="G172" i="24"/>
  <c r="F172" i="24"/>
  <c r="C172" i="24"/>
  <c r="B158" i="24"/>
  <c r="D156" i="24"/>
  <c r="E157" i="24"/>
  <c r="F158" i="24"/>
  <c r="B157" i="24"/>
  <c r="C158" i="24"/>
  <c r="E156" i="24"/>
  <c r="F157" i="24"/>
  <c r="G158" i="24"/>
  <c r="C156" i="24"/>
  <c r="E158" i="24"/>
  <c r="G157" i="24"/>
  <c r="B156" i="24"/>
  <c r="D158" i="24"/>
  <c r="G156" i="24"/>
  <c r="C157" i="24"/>
  <c r="E351" i="7"/>
  <c r="D363" i="7" s="1"/>
  <c r="C228" i="7"/>
  <c r="B502" i="7" s="1"/>
  <c r="E224" i="7"/>
  <c r="F437" i="22"/>
  <c r="F66" i="11"/>
  <c r="G103" i="11" s="1"/>
  <c r="E160" i="24"/>
  <c r="E13" i="7"/>
  <c r="D227" i="7"/>
  <c r="P240" i="7" s="1"/>
  <c r="E236" i="19"/>
  <c r="F66" i="21" s="1"/>
  <c r="G200" i="6"/>
  <c r="F316" i="19"/>
  <c r="G146" i="21" s="1"/>
  <c r="D280" i="6"/>
  <c r="H280" i="6"/>
  <c r="F323" i="6" s="1"/>
  <c r="F280" i="6"/>
  <c r="I280" i="6"/>
  <c r="F310" i="19"/>
  <c r="D274" i="6"/>
  <c r="H274" i="6"/>
  <c r="E274" i="6"/>
  <c r="I274" i="6"/>
  <c r="F274" i="6"/>
  <c r="F304" i="19"/>
  <c r="D268" i="6"/>
  <c r="H268" i="6"/>
  <c r="E268" i="6"/>
  <c r="I268" i="6"/>
  <c r="F299" i="19"/>
  <c r="G129" i="21" s="1"/>
  <c r="C299" i="19"/>
  <c r="D299" i="19"/>
  <c r="N129" i="21" s="1"/>
  <c r="D263" i="6"/>
  <c r="H263" i="6"/>
  <c r="F263" i="6"/>
  <c r="E263" i="6"/>
  <c r="F293" i="19"/>
  <c r="C293" i="19"/>
  <c r="G293" i="19"/>
  <c r="D293" i="19"/>
  <c r="F74" i="20" s="1"/>
  <c r="D257" i="6"/>
  <c r="H257" i="6"/>
  <c r="F257" i="6"/>
  <c r="I257" i="6"/>
  <c r="F288" i="19"/>
  <c r="G288" i="19"/>
  <c r="C252" i="6"/>
  <c r="D252" i="6"/>
  <c r="H252" i="6"/>
  <c r="E252" i="6"/>
  <c r="I252" i="6"/>
  <c r="F283" i="19"/>
  <c r="G113" i="21" s="1"/>
  <c r="C283" i="19"/>
  <c r="E31" i="20" s="1"/>
  <c r="G283" i="19"/>
  <c r="D283" i="19"/>
  <c r="C247" i="6"/>
  <c r="E283" i="19" s="1"/>
  <c r="G31" i="20" s="1"/>
  <c r="D247" i="6"/>
  <c r="H247" i="6"/>
  <c r="E247" i="6"/>
  <c r="I247" i="6"/>
  <c r="F247" i="6"/>
  <c r="D314" i="6" s="1"/>
  <c r="F277" i="19"/>
  <c r="C277" i="19"/>
  <c r="G277" i="19"/>
  <c r="I70" i="20" s="1"/>
  <c r="D277" i="19"/>
  <c r="C241" i="6"/>
  <c r="E277" i="19" s="1"/>
  <c r="F107" i="21" s="1"/>
  <c r="D241" i="6"/>
  <c r="H241" i="6"/>
  <c r="F241" i="6"/>
  <c r="I241" i="6"/>
  <c r="F272" i="19"/>
  <c r="C272" i="19"/>
  <c r="M102" i="21" s="1"/>
  <c r="G272" i="19"/>
  <c r="D272" i="19"/>
  <c r="N102" i="21" s="1"/>
  <c r="C236" i="6"/>
  <c r="D236" i="6"/>
  <c r="H236" i="6"/>
  <c r="F236" i="6"/>
  <c r="E236" i="6"/>
  <c r="C230" i="6"/>
  <c r="G230" i="6" s="1"/>
  <c r="E309" i="6" s="1"/>
  <c r="E403" i="22" s="1"/>
  <c r="D230" i="6"/>
  <c r="H230" i="6"/>
  <c r="E230" i="6"/>
  <c r="I230" i="6"/>
  <c r="F230" i="6"/>
  <c r="D309" i="6" s="1"/>
  <c r="C224" i="6"/>
  <c r="G224" i="6" s="1"/>
  <c r="D224" i="6"/>
  <c r="H224" i="6"/>
  <c r="E224" i="6"/>
  <c r="I224" i="6"/>
  <c r="F253" i="19"/>
  <c r="G253" i="19"/>
  <c r="I65" i="20" s="1"/>
  <c r="D253" i="19"/>
  <c r="C217" i="6"/>
  <c r="G217" i="6" s="1"/>
  <c r="D217" i="6"/>
  <c r="H217" i="6"/>
  <c r="F217" i="6"/>
  <c r="I217" i="6"/>
  <c r="F248" i="19"/>
  <c r="C248" i="19"/>
  <c r="E48" i="20" s="1"/>
  <c r="G248" i="19"/>
  <c r="H78" i="21" s="1"/>
  <c r="D248" i="19"/>
  <c r="F48" i="20" s="1"/>
  <c r="C212" i="6"/>
  <c r="D212" i="6"/>
  <c r="H212" i="6"/>
  <c r="F212" i="6"/>
  <c r="E212" i="6"/>
  <c r="F243" i="19"/>
  <c r="G73" i="21" s="1"/>
  <c r="G243" i="19"/>
  <c r="I19" i="20" s="1"/>
  <c r="C207" i="6"/>
  <c r="G207" i="6" s="1"/>
  <c r="D207" i="6"/>
  <c r="H207" i="6"/>
  <c r="D243" i="19"/>
  <c r="E207" i="6"/>
  <c r="I207" i="6"/>
  <c r="F237" i="19"/>
  <c r="G67" i="21" s="1"/>
  <c r="C237" i="19"/>
  <c r="G237" i="19"/>
  <c r="I61" i="20" s="1"/>
  <c r="D237" i="19"/>
  <c r="C201" i="6"/>
  <c r="G201" i="6" s="1"/>
  <c r="D201" i="6"/>
  <c r="H201" i="6"/>
  <c r="E201" i="6"/>
  <c r="I201" i="6"/>
  <c r="F201" i="6"/>
  <c r="F232" i="19"/>
  <c r="G232" i="19"/>
  <c r="D232" i="19"/>
  <c r="N62" i="21" s="1"/>
  <c r="C196" i="6"/>
  <c r="G196" i="6" s="1"/>
  <c r="D196" i="6"/>
  <c r="H196" i="6"/>
  <c r="F196" i="6"/>
  <c r="E196" i="6"/>
  <c r="F227" i="19"/>
  <c r="C227" i="19"/>
  <c r="G227" i="19"/>
  <c r="I15" i="20" s="1"/>
  <c r="D227" i="19"/>
  <c r="C191" i="6"/>
  <c r="G191" i="6" s="1"/>
  <c r="D191" i="6"/>
  <c r="H191" i="6"/>
  <c r="F191" i="6"/>
  <c r="I191" i="6"/>
  <c r="E231" i="7"/>
  <c r="AG240" i="7" s="1"/>
  <c r="D226" i="7"/>
  <c r="C230" i="7"/>
  <c r="B504" i="7" s="1"/>
  <c r="C226" i="7"/>
  <c r="C13" i="7"/>
  <c r="F252" i="6"/>
  <c r="E241" i="6"/>
  <c r="E217" i="6"/>
  <c r="E280" i="19"/>
  <c r="G244" i="6"/>
  <c r="E273" i="19"/>
  <c r="G237" i="6"/>
  <c r="E267" i="3"/>
  <c r="E281" i="19"/>
  <c r="E249" i="19"/>
  <c r="F79" i="21" s="1"/>
  <c r="G213" i="6"/>
  <c r="F154" i="3"/>
  <c r="E101" i="4"/>
  <c r="I241" i="3"/>
  <c r="I253" i="3"/>
  <c r="I71" i="9" s="1"/>
  <c r="I119" i="9" s="1"/>
  <c r="I257" i="3"/>
  <c r="I265" i="3"/>
  <c r="I247" i="3"/>
  <c r="I246" i="3"/>
  <c r="I267" i="3"/>
  <c r="E253" i="3"/>
  <c r="E71" i="9" s="1"/>
  <c r="E119" i="9" s="1"/>
  <c r="F267" i="3"/>
  <c r="B267" i="3"/>
  <c r="B49" i="12" s="1"/>
  <c r="B42" i="16" s="1"/>
  <c r="G267" i="3"/>
  <c r="B259" i="3"/>
  <c r="B41" i="12" s="1"/>
  <c r="B34" i="16" s="1"/>
  <c r="G186" i="24"/>
  <c r="F161" i="24"/>
  <c r="E144" i="24"/>
  <c r="C174" i="24"/>
  <c r="B201" i="24"/>
  <c r="C318" i="19"/>
  <c r="E41" i="20" s="1"/>
  <c r="D318" i="19"/>
  <c r="F318" i="19"/>
  <c r="G148" i="21" s="1"/>
  <c r="E282" i="6"/>
  <c r="C324" i="6" s="1"/>
  <c r="I282" i="6"/>
  <c r="G324" i="6" s="1"/>
  <c r="C312" i="19"/>
  <c r="D312" i="19"/>
  <c r="N142" i="21" s="1"/>
  <c r="F312" i="19"/>
  <c r="C276" i="6"/>
  <c r="G276" i="6" s="1"/>
  <c r="E322" i="6" s="1"/>
  <c r="C835" i="22" s="1"/>
  <c r="E276" i="6"/>
  <c r="C322" i="6" s="1"/>
  <c r="I276" i="6"/>
  <c r="G322" i="6" s="1"/>
  <c r="C306" i="19"/>
  <c r="E270" i="6"/>
  <c r="I270" i="6"/>
  <c r="C300" i="19"/>
  <c r="E76" i="20" s="1"/>
  <c r="D300" i="19"/>
  <c r="F300" i="19"/>
  <c r="H76" i="20" s="1"/>
  <c r="E264" i="6"/>
  <c r="I264" i="6"/>
  <c r="C295" i="19"/>
  <c r="E34" i="20" s="1"/>
  <c r="G295" i="19"/>
  <c r="D295" i="19"/>
  <c r="F295" i="19"/>
  <c r="H34" i="20" s="1"/>
  <c r="E259" i="6"/>
  <c r="I259" i="6"/>
  <c r="G289" i="19"/>
  <c r="F289" i="19"/>
  <c r="H73" i="20" s="1"/>
  <c r="E253" i="6"/>
  <c r="I253" i="6"/>
  <c r="C284" i="19"/>
  <c r="G284" i="19"/>
  <c r="H114" i="21" s="1"/>
  <c r="D284" i="19"/>
  <c r="F284" i="19"/>
  <c r="H54" i="20" s="1"/>
  <c r="E248" i="6"/>
  <c r="I248" i="6"/>
  <c r="C279" i="19"/>
  <c r="G279" i="19"/>
  <c r="D279" i="19"/>
  <c r="F279" i="19"/>
  <c r="H30" i="20" s="1"/>
  <c r="E243" i="6"/>
  <c r="I243" i="6"/>
  <c r="G313" i="6" s="1"/>
  <c r="C273" i="19"/>
  <c r="G273" i="19"/>
  <c r="I69" i="20" s="1"/>
  <c r="D273" i="19"/>
  <c r="F69" i="20" s="1"/>
  <c r="F273" i="19"/>
  <c r="E237" i="6"/>
  <c r="I237" i="6"/>
  <c r="E231" i="6"/>
  <c r="I231" i="6"/>
  <c r="E225" i="6"/>
  <c r="I225" i="6"/>
  <c r="G255" i="19"/>
  <c r="H85" i="21" s="1"/>
  <c r="D255" i="19"/>
  <c r="F22" i="20" s="1"/>
  <c r="F255" i="19"/>
  <c r="E219" i="6"/>
  <c r="C305" i="6" s="1"/>
  <c r="C267" i="22" s="1"/>
  <c r="I219" i="6"/>
  <c r="G305" i="6" s="1"/>
  <c r="C249" i="19"/>
  <c r="M79" i="21" s="1"/>
  <c r="G249" i="19"/>
  <c r="D249" i="19"/>
  <c r="N79" i="21" s="1"/>
  <c r="F249" i="19"/>
  <c r="E213" i="6"/>
  <c r="I213" i="6"/>
  <c r="G244" i="19"/>
  <c r="I47" i="20" s="1"/>
  <c r="D244" i="19"/>
  <c r="F244" i="19"/>
  <c r="G74" i="21" s="1"/>
  <c r="E208" i="6"/>
  <c r="I208" i="6"/>
  <c r="C239" i="19"/>
  <c r="M69" i="21" s="1"/>
  <c r="G239" i="19"/>
  <c r="D239" i="19"/>
  <c r="F239" i="19"/>
  <c r="G69" i="21" s="1"/>
  <c r="E203" i="6"/>
  <c r="I203" i="6"/>
  <c r="G233" i="19"/>
  <c r="D233" i="19"/>
  <c r="N63" i="21" s="1"/>
  <c r="F233" i="19"/>
  <c r="G63" i="21" s="1"/>
  <c r="E197" i="6"/>
  <c r="I197" i="6"/>
  <c r="C228" i="19"/>
  <c r="E43" i="20" s="1"/>
  <c r="G228" i="19"/>
  <c r="D228" i="19"/>
  <c r="F43" i="20" s="1"/>
  <c r="F228" i="19"/>
  <c r="E192" i="6"/>
  <c r="I192" i="6"/>
  <c r="J249" i="3"/>
  <c r="G188" i="24"/>
  <c r="G164" i="24"/>
  <c r="G148" i="24"/>
  <c r="G150" i="24"/>
  <c r="F176" i="24"/>
  <c r="F177" i="24"/>
  <c r="F150" i="24"/>
  <c r="E219" i="24"/>
  <c r="E148" i="24"/>
  <c r="D189" i="24"/>
  <c r="D178" i="24"/>
  <c r="D177" i="24"/>
  <c r="D165" i="24"/>
  <c r="D149" i="24"/>
  <c r="D148" i="24"/>
  <c r="C221" i="24"/>
  <c r="C219" i="24"/>
  <c r="C188" i="24"/>
  <c r="C177" i="24"/>
  <c r="C178" i="24"/>
  <c r="C149" i="24"/>
  <c r="C148" i="24"/>
  <c r="B220" i="24"/>
  <c r="B219" i="24"/>
  <c r="B176" i="24"/>
  <c r="B178" i="24"/>
  <c r="B149" i="24"/>
  <c r="I239" i="6"/>
  <c r="I215" i="6"/>
  <c r="D227" i="6"/>
  <c r="C233" i="6"/>
  <c r="G233" i="6" s="1"/>
  <c r="E310" i="6" s="1"/>
  <c r="E437" i="22" s="1"/>
  <c r="I437" i="22" s="1"/>
  <c r="G220" i="24"/>
  <c r="F284" i="6"/>
  <c r="D325" i="6" s="1"/>
  <c r="D937" i="22" s="1"/>
  <c r="D313" i="19"/>
  <c r="C313" i="19"/>
  <c r="F313" i="19"/>
  <c r="G143" i="21" s="1"/>
  <c r="F277" i="6"/>
  <c r="F271" i="6"/>
  <c r="F302" i="19"/>
  <c r="G132" i="21" s="1"/>
  <c r="F266" i="6"/>
  <c r="D291" i="19"/>
  <c r="F33" i="20" s="1"/>
  <c r="C291" i="19"/>
  <c r="G291" i="19"/>
  <c r="F291" i="19"/>
  <c r="G121" i="21" s="1"/>
  <c r="F255" i="6"/>
  <c r="C285" i="19"/>
  <c r="F249" i="6"/>
  <c r="D280" i="19"/>
  <c r="C280" i="19"/>
  <c r="E53" i="20" s="1"/>
  <c r="G280" i="19"/>
  <c r="F244" i="6"/>
  <c r="D313" i="6" s="1"/>
  <c r="F275" i="19"/>
  <c r="F239" i="6"/>
  <c r="D257" i="19"/>
  <c r="F257" i="19"/>
  <c r="G87" i="21" s="1"/>
  <c r="F221" i="6"/>
  <c r="D306" i="6" s="1"/>
  <c r="F215" i="6"/>
  <c r="D245" i="19"/>
  <c r="G245" i="19"/>
  <c r="F245" i="19"/>
  <c r="G75" i="21" s="1"/>
  <c r="F209" i="6"/>
  <c r="C240" i="19"/>
  <c r="F204" i="6"/>
  <c r="D235" i="19"/>
  <c r="C235" i="19"/>
  <c r="M65" i="21" s="1"/>
  <c r="G235" i="19"/>
  <c r="F199" i="6"/>
  <c r="F229" i="19"/>
  <c r="F193" i="6"/>
  <c r="G169" i="3"/>
  <c r="G206" i="3" s="1"/>
  <c r="G243" i="3" s="1"/>
  <c r="G173" i="3"/>
  <c r="G210" i="3" s="1"/>
  <c r="G247" i="3" s="1"/>
  <c r="G177" i="3"/>
  <c r="G214" i="3" s="1"/>
  <c r="G251" i="3" s="1"/>
  <c r="G181" i="3"/>
  <c r="G218" i="3" s="1"/>
  <c r="G255" i="3" s="1"/>
  <c r="G185" i="3"/>
  <c r="G222" i="3" s="1"/>
  <c r="G259" i="3" s="1"/>
  <c r="G189" i="3"/>
  <c r="G226" i="3" s="1"/>
  <c r="G263" i="3" s="1"/>
  <c r="G193" i="3"/>
  <c r="G168" i="3"/>
  <c r="G205" i="3" s="1"/>
  <c r="G242" i="3" s="1"/>
  <c r="G172" i="3"/>
  <c r="G209" i="3" s="1"/>
  <c r="G176" i="3"/>
  <c r="G213" i="3" s="1"/>
  <c r="G250" i="3" s="1"/>
  <c r="G180" i="3"/>
  <c r="G217" i="3" s="1"/>
  <c r="G184" i="3"/>
  <c r="G221" i="3" s="1"/>
  <c r="G258" i="3" s="1"/>
  <c r="G188" i="3"/>
  <c r="G225" i="3" s="1"/>
  <c r="G192" i="3"/>
  <c r="G229" i="3" s="1"/>
  <c r="G266" i="3" s="1"/>
  <c r="I61" i="11"/>
  <c r="J98" i="11" s="1"/>
  <c r="I65" i="11"/>
  <c r="J102" i="11" s="1"/>
  <c r="I69" i="11"/>
  <c r="J106" i="11" s="1"/>
  <c r="I73" i="11"/>
  <c r="J110" i="11" s="1"/>
  <c r="I77" i="11"/>
  <c r="J114" i="11" s="1"/>
  <c r="I81" i="11"/>
  <c r="J118" i="11" s="1"/>
  <c r="I85" i="11"/>
  <c r="J122" i="11" s="1"/>
  <c r="I60" i="11"/>
  <c r="J97" i="11" s="1"/>
  <c r="I64" i="11"/>
  <c r="J101" i="11" s="1"/>
  <c r="I68" i="11"/>
  <c r="J105" i="11" s="1"/>
  <c r="I72" i="11"/>
  <c r="J109" i="11" s="1"/>
  <c r="I76" i="11"/>
  <c r="J113" i="11" s="1"/>
  <c r="I80" i="11"/>
  <c r="J117" i="11" s="1"/>
  <c r="I84" i="11"/>
  <c r="J121" i="11" s="1"/>
  <c r="E61" i="11"/>
  <c r="F98" i="11" s="1"/>
  <c r="E65" i="11"/>
  <c r="F102" i="11" s="1"/>
  <c r="E69" i="11"/>
  <c r="F106" i="11" s="1"/>
  <c r="E73" i="11"/>
  <c r="F110" i="11" s="1"/>
  <c r="E77" i="11"/>
  <c r="F114" i="11" s="1"/>
  <c r="E81" i="11"/>
  <c r="F118" i="11" s="1"/>
  <c r="E85" i="11"/>
  <c r="F122" i="11" s="1"/>
  <c r="E60" i="11"/>
  <c r="F97" i="11" s="1"/>
  <c r="E64" i="11"/>
  <c r="F101" i="11" s="1"/>
  <c r="E68" i="11"/>
  <c r="F105" i="11" s="1"/>
  <c r="E72" i="11"/>
  <c r="F109" i="11" s="1"/>
  <c r="E76" i="11"/>
  <c r="F113" i="11" s="1"/>
  <c r="E80" i="11"/>
  <c r="F117" i="11" s="1"/>
  <c r="E84" i="11"/>
  <c r="F121" i="11" s="1"/>
  <c r="G257" i="19"/>
  <c r="D298" i="19"/>
  <c r="C298" i="19"/>
  <c r="F292" i="19"/>
  <c r="H56" i="20" s="1"/>
  <c r="G292" i="19"/>
  <c r="F281" i="19"/>
  <c r="G111" i="21" s="1"/>
  <c r="G281" i="19"/>
  <c r="D281" i="19"/>
  <c r="C281" i="19"/>
  <c r="F271" i="19"/>
  <c r="G271" i="19"/>
  <c r="I28" i="20" s="1"/>
  <c r="D252" i="19"/>
  <c r="F49" i="20" s="1"/>
  <c r="F247" i="19"/>
  <c r="G247" i="19"/>
  <c r="I20" i="20" s="1"/>
  <c r="F236" i="19"/>
  <c r="G236" i="19"/>
  <c r="D236" i="19"/>
  <c r="C236" i="19"/>
  <c r="E45" i="20" s="1"/>
  <c r="D84" i="11"/>
  <c r="E121" i="11" s="1"/>
  <c r="D80" i="11"/>
  <c r="E117" i="11" s="1"/>
  <c r="D76" i="11"/>
  <c r="E113" i="11" s="1"/>
  <c r="D72" i="11"/>
  <c r="E109" i="11" s="1"/>
  <c r="D68" i="11"/>
  <c r="E105" i="11" s="1"/>
  <c r="D64" i="11"/>
  <c r="E101" i="11" s="1"/>
  <c r="D292" i="19"/>
  <c r="D247" i="19"/>
  <c r="N77" i="21" s="1"/>
  <c r="E201" i="24"/>
  <c r="E161" i="24"/>
  <c r="E145" i="24"/>
  <c r="D200" i="24"/>
  <c r="D160" i="24"/>
  <c r="D144" i="24"/>
  <c r="F186" i="24"/>
  <c r="F162" i="24"/>
  <c r="E186" i="24"/>
  <c r="C160" i="24"/>
  <c r="B202" i="24"/>
  <c r="B162" i="24"/>
  <c r="G252" i="19"/>
  <c r="C271" i="19"/>
  <c r="M101" i="21" s="1"/>
  <c r="E350" i="7"/>
  <c r="D362" i="7" s="1"/>
  <c r="AC240" i="7"/>
  <c r="AC264" i="7" s="1"/>
  <c r="D504" i="7"/>
  <c r="D522" i="7" s="1"/>
  <c r="AC532" i="7" s="1"/>
  <c r="E28" i="20"/>
  <c r="F20" i="20"/>
  <c r="M66" i="21"/>
  <c r="H101" i="21"/>
  <c r="H71" i="20"/>
  <c r="F23" i="20"/>
  <c r="N87" i="21"/>
  <c r="F53" i="20"/>
  <c r="N110" i="21"/>
  <c r="E80" i="20"/>
  <c r="M143" i="21"/>
  <c r="I60" i="20"/>
  <c r="H63" i="21"/>
  <c r="I64" i="20"/>
  <c r="H79" i="21"/>
  <c r="G85" i="21"/>
  <c r="H22" i="20"/>
  <c r="N109" i="21"/>
  <c r="F30" i="20"/>
  <c r="H119" i="21"/>
  <c r="I73" i="20"/>
  <c r="G105" i="18"/>
  <c r="C359" i="18" s="1"/>
  <c r="F39" i="20"/>
  <c r="H41" i="20"/>
  <c r="F103" i="21"/>
  <c r="G69" i="20"/>
  <c r="AA240" i="7"/>
  <c r="AA264" i="7" s="1"/>
  <c r="M57" i="21"/>
  <c r="E15" i="20"/>
  <c r="F61" i="20"/>
  <c r="N67" i="21"/>
  <c r="E248" i="19"/>
  <c r="G212" i="6"/>
  <c r="G78" i="21"/>
  <c r="H48" i="20"/>
  <c r="G83" i="21"/>
  <c r="H65" i="20"/>
  <c r="I74" i="20"/>
  <c r="H123" i="21"/>
  <c r="M129" i="21"/>
  <c r="E57" i="20"/>
  <c r="H79" i="20"/>
  <c r="G140" i="21"/>
  <c r="S240" i="7"/>
  <c r="F190" i="24"/>
  <c r="E188" i="24"/>
  <c r="D188" i="24"/>
  <c r="G190" i="24"/>
  <c r="B189" i="24"/>
  <c r="B226" i="24"/>
  <c r="C227" i="24"/>
  <c r="F227" i="24"/>
  <c r="G227" i="24"/>
  <c r="H122" i="21"/>
  <c r="I56" i="20"/>
  <c r="M58" i="21"/>
  <c r="H18" i="20"/>
  <c r="H74" i="21"/>
  <c r="G109" i="21"/>
  <c r="I54" i="20"/>
  <c r="G119" i="21"/>
  <c r="G125" i="21"/>
  <c r="K240" i="7"/>
  <c r="B500" i="7"/>
  <c r="E237" i="19"/>
  <c r="F67" i="21" s="1"/>
  <c r="H19" i="20"/>
  <c r="M78" i="21"/>
  <c r="H83" i="21"/>
  <c r="N123" i="21"/>
  <c r="F57" i="20"/>
  <c r="G174" i="24"/>
  <c r="H65" i="21"/>
  <c r="I17" i="20"/>
  <c r="M70" i="21"/>
  <c r="E46" i="20"/>
  <c r="H110" i="21"/>
  <c r="I53" i="20"/>
  <c r="I43" i="20"/>
  <c r="H58" i="21"/>
  <c r="H60" i="20"/>
  <c r="E18" i="20"/>
  <c r="N74" i="21"/>
  <c r="F47" i="20"/>
  <c r="I22" i="20"/>
  <c r="N114" i="21"/>
  <c r="F54" i="20"/>
  <c r="M125" i="21"/>
  <c r="N130" i="21"/>
  <c r="F76" i="20"/>
  <c r="M148" i="21"/>
  <c r="G64" i="20"/>
  <c r="D505" i="7"/>
  <c r="D523" i="7" s="1"/>
  <c r="AG532" i="7" s="1"/>
  <c r="N57" i="21"/>
  <c r="F15" i="20"/>
  <c r="N73" i="21"/>
  <c r="F19" i="20"/>
  <c r="I51" i="20"/>
  <c r="H102" i="21"/>
  <c r="N107" i="21"/>
  <c r="F70" i="20"/>
  <c r="H77" i="20"/>
  <c r="G134" i="21"/>
  <c r="G106" i="18"/>
  <c r="C360" i="18" s="1"/>
  <c r="D176" i="24"/>
  <c r="B177" i="24"/>
  <c r="G177" i="24"/>
  <c r="F178" i="24"/>
  <c r="E176" i="24"/>
  <c r="E232" i="24"/>
  <c r="E149" i="24"/>
  <c r="C150" i="24"/>
  <c r="B150" i="24"/>
  <c r="F149" i="24"/>
  <c r="G204" i="24"/>
  <c r="C190" i="24"/>
  <c r="G189" i="24"/>
  <c r="E174" i="24"/>
  <c r="B164" i="24"/>
  <c r="B188" i="24"/>
  <c r="C164" i="24"/>
  <c r="C204" i="24"/>
  <c r="E166" i="24"/>
  <c r="E190" i="24"/>
  <c r="F188" i="24"/>
  <c r="H77" i="21"/>
  <c r="G122" i="21"/>
  <c r="F17" i="20"/>
  <c r="N65" i="21"/>
  <c r="H75" i="21"/>
  <c r="I63" i="20"/>
  <c r="H121" i="21"/>
  <c r="I33" i="20"/>
  <c r="H43" i="20"/>
  <c r="G58" i="21"/>
  <c r="N69" i="21"/>
  <c r="F18" i="20"/>
  <c r="E69" i="20"/>
  <c r="M103" i="21"/>
  <c r="M114" i="21"/>
  <c r="E54" i="20"/>
  <c r="N125" i="21"/>
  <c r="F34" i="20"/>
  <c r="D835" i="22"/>
  <c r="F173" i="3"/>
  <c r="F210" i="3" s="1"/>
  <c r="F181" i="3"/>
  <c r="F218" i="3" s="1"/>
  <c r="F255" i="3" s="1"/>
  <c r="F193" i="3"/>
  <c r="F172" i="3"/>
  <c r="F209" i="3" s="1"/>
  <c r="F246" i="3" s="1"/>
  <c r="F180" i="3"/>
  <c r="F217" i="3" s="1"/>
  <c r="F192" i="3"/>
  <c r="F229" i="3" s="1"/>
  <c r="F266" i="3" s="1"/>
  <c r="F182" i="3"/>
  <c r="F219" i="3" s="1"/>
  <c r="F171" i="3"/>
  <c r="F208" i="3" s="1"/>
  <c r="F187" i="3"/>
  <c r="F224" i="3" s="1"/>
  <c r="F186" i="3"/>
  <c r="F223" i="3" s="1"/>
  <c r="F260" i="3" s="1"/>
  <c r="F194" i="3"/>
  <c r="F178" i="3"/>
  <c r="F215" i="3" s="1"/>
  <c r="F252" i="3" s="1"/>
  <c r="I44" i="20"/>
  <c r="H62" i="21"/>
  <c r="E272" i="19"/>
  <c r="G236" i="6"/>
  <c r="H51" i="20"/>
  <c r="G102" i="21"/>
  <c r="M107" i="21"/>
  <c r="E70" i="20"/>
  <c r="N113" i="21"/>
  <c r="F31" i="20"/>
  <c r="E288" i="19"/>
  <c r="G252" i="6"/>
  <c r="C501" i="7"/>
  <c r="F166" i="24"/>
  <c r="G166" i="24"/>
  <c r="E164" i="24"/>
  <c r="D164" i="24"/>
  <c r="B165" i="24"/>
  <c r="B105" i="18"/>
  <c r="C219" i="18" s="1"/>
  <c r="G66" i="21"/>
  <c r="H45" i="20"/>
  <c r="H111" i="21"/>
  <c r="I71" i="20"/>
  <c r="E17" i="20"/>
  <c r="H63" i="20"/>
  <c r="H23" i="20"/>
  <c r="M110" i="21"/>
  <c r="H33" i="20"/>
  <c r="H80" i="20"/>
  <c r="F60" i="20"/>
  <c r="F64" i="20"/>
  <c r="H103" i="21"/>
  <c r="M130" i="21"/>
  <c r="H39" i="20"/>
  <c r="G142" i="21"/>
  <c r="K265" i="7"/>
  <c r="C27" i="7"/>
  <c r="B42" i="7" s="1"/>
  <c r="C72" i="7"/>
  <c r="B85" i="7" s="1"/>
  <c r="C68" i="7"/>
  <c r="B81" i="7" s="1"/>
  <c r="K264" i="7"/>
  <c r="C32" i="7"/>
  <c r="B47" i="7" s="1"/>
  <c r="H57" i="21"/>
  <c r="F44" i="20"/>
  <c r="H61" i="20"/>
  <c r="E51" i="20"/>
  <c r="H107" i="21"/>
  <c r="G247" i="6"/>
  <c r="H31" i="20"/>
  <c r="G45" i="20"/>
  <c r="F56" i="20"/>
  <c r="N122" i="21"/>
  <c r="G101" i="21"/>
  <c r="H28" i="20"/>
  <c r="H87" i="21"/>
  <c r="I23" i="20"/>
  <c r="H36" i="20"/>
  <c r="N58" i="21"/>
  <c r="H47" i="20"/>
  <c r="E64" i="20"/>
  <c r="N85" i="21"/>
  <c r="G114" i="21"/>
  <c r="G130" i="21"/>
  <c r="E39" i="20"/>
  <c r="M142" i="21"/>
  <c r="N148" i="21"/>
  <c r="F41" i="20"/>
  <c r="L240" i="7"/>
  <c r="C500" i="7"/>
  <c r="H67" i="21"/>
  <c r="N78" i="21"/>
  <c r="F51" i="20"/>
  <c r="G241" i="6"/>
  <c r="H57" i="20"/>
  <c r="H81" i="20"/>
  <c r="E70" i="7"/>
  <c r="D83" i="7" s="1"/>
  <c r="E72" i="7"/>
  <c r="D85" i="7" s="1"/>
  <c r="E68" i="7"/>
  <c r="D81" i="7" s="1"/>
  <c r="E26" i="7"/>
  <c r="D41" i="7" s="1"/>
  <c r="E71" i="7"/>
  <c r="D84" i="7" s="1"/>
  <c r="E29" i="7"/>
  <c r="D44" i="7" s="1"/>
  <c r="AG265" i="7"/>
  <c r="C170" i="24"/>
  <c r="E168" i="24"/>
  <c r="F169" i="24"/>
  <c r="C169" i="24"/>
  <c r="G169" i="24"/>
  <c r="E169" i="24"/>
  <c r="D169" i="24"/>
  <c r="G170" i="24"/>
  <c r="E170" i="24"/>
  <c r="G168" i="24"/>
  <c r="C168" i="24"/>
  <c r="B193" i="24"/>
  <c r="C194" i="24"/>
  <c r="E192" i="24"/>
  <c r="C193" i="24"/>
  <c r="G193" i="24"/>
  <c r="B194" i="24"/>
  <c r="E193" i="24"/>
  <c r="G194" i="24"/>
  <c r="E194" i="24"/>
  <c r="G192" i="24"/>
  <c r="C192" i="24"/>
  <c r="F194" i="24"/>
  <c r="D220" i="24"/>
  <c r="B221" i="24"/>
  <c r="G221" i="24"/>
  <c r="G219" i="24"/>
  <c r="E220" i="24"/>
  <c r="C165" i="24"/>
  <c r="E204" i="24"/>
  <c r="G165" i="24"/>
  <c r="B174" i="24"/>
  <c r="B166" i="24"/>
  <c r="B190" i="24"/>
  <c r="C166" i="24"/>
  <c r="C189" i="24"/>
  <c r="D166" i="24"/>
  <c r="D190" i="24"/>
  <c r="E165" i="24"/>
  <c r="E189" i="24"/>
  <c r="F165" i="24"/>
  <c r="F189" i="24"/>
  <c r="G61" i="20"/>
  <c r="F113" i="21"/>
  <c r="AG264" i="7"/>
  <c r="F78" i="21"/>
  <c r="G48" i="20"/>
  <c r="G70" i="20"/>
  <c r="H29" i="20" l="1"/>
  <c r="G105" i="21"/>
  <c r="F111" i="21"/>
  <c r="G71" i="20"/>
  <c r="N128" i="21"/>
  <c r="F35" i="20"/>
  <c r="N75" i="21"/>
  <c r="F63" i="20"/>
  <c r="E33" i="20"/>
  <c r="M121" i="21"/>
  <c r="F80" i="20"/>
  <c r="N143" i="21"/>
  <c r="H262" i="6"/>
  <c r="F298" i="19"/>
  <c r="C262" i="6"/>
  <c r="G262" i="6" s="1"/>
  <c r="E318" i="6" s="1"/>
  <c r="C699" i="22" s="1"/>
  <c r="E251" i="6"/>
  <c r="F287" i="19"/>
  <c r="G287" i="19"/>
  <c r="E240" i="6"/>
  <c r="D276" i="19"/>
  <c r="C276" i="19"/>
  <c r="D240" i="6"/>
  <c r="F276" i="19"/>
  <c r="C216" i="6"/>
  <c r="G216" i="6" s="1"/>
  <c r="D216" i="6"/>
  <c r="F252" i="19"/>
  <c r="I205" i="6"/>
  <c r="F241" i="19"/>
  <c r="D241" i="19"/>
  <c r="H205" i="6"/>
  <c r="C241" i="19"/>
  <c r="G241" i="19"/>
  <c r="F205" i="6"/>
  <c r="G231" i="19"/>
  <c r="F231" i="19"/>
  <c r="F195" i="6"/>
  <c r="D231" i="19"/>
  <c r="D195" i="6"/>
  <c r="I195" i="6"/>
  <c r="G299" i="6" s="1"/>
  <c r="C195" i="6"/>
  <c r="G195" i="6" s="1"/>
  <c r="E195" i="6"/>
  <c r="J245" i="3"/>
  <c r="B52" i="14" s="1"/>
  <c r="G60" i="11"/>
  <c r="H97" i="11" s="1"/>
  <c r="N103" i="21"/>
  <c r="N121" i="21"/>
  <c r="H66" i="21"/>
  <c r="I45" i="20"/>
  <c r="N111" i="21"/>
  <c r="F71" i="20"/>
  <c r="H69" i="21"/>
  <c r="I18" i="20"/>
  <c r="H69" i="20"/>
  <c r="G103" i="21"/>
  <c r="I30" i="20"/>
  <c r="H109" i="21"/>
  <c r="I34" i="20"/>
  <c r="H125" i="21"/>
  <c r="E353" i="7"/>
  <c r="D365" i="7" s="1"/>
  <c r="D353" i="7"/>
  <c r="C365" i="7" s="1"/>
  <c r="C353" i="7"/>
  <c r="B365" i="7" s="1"/>
  <c r="C229" i="7"/>
  <c r="B503" i="7" s="1"/>
  <c r="E229" i="7"/>
  <c r="AC263" i="7"/>
  <c r="K263" i="7"/>
  <c r="AA263" i="7"/>
  <c r="AG263" i="7"/>
  <c r="F102" i="21"/>
  <c r="G51" i="20"/>
  <c r="D301" i="6"/>
  <c r="E37" i="20"/>
  <c r="M136" i="21"/>
  <c r="G53" i="20"/>
  <c r="F110" i="21"/>
  <c r="AA262" i="7"/>
  <c r="B245" i="3"/>
  <c r="B27" i="12" s="1"/>
  <c r="B58" i="13" s="1"/>
  <c r="E71" i="20"/>
  <c r="M111" i="21"/>
  <c r="F21" i="20"/>
  <c r="N81" i="21"/>
  <c r="N82" i="21"/>
  <c r="G79" i="21"/>
  <c r="H64" i="20"/>
  <c r="M109" i="21"/>
  <c r="E30" i="20"/>
  <c r="AC265" i="7"/>
  <c r="I48" i="20"/>
  <c r="E72" i="20"/>
  <c r="M115" i="21"/>
  <c r="C116" i="5"/>
  <c r="F204" i="24"/>
  <c r="E205" i="24"/>
  <c r="G205" i="24"/>
  <c r="D206" i="24"/>
  <c r="B205" i="24"/>
  <c r="C205" i="24"/>
  <c r="F205" i="24"/>
  <c r="C129" i="5"/>
  <c r="H82" i="21"/>
  <c r="I49" i="20"/>
  <c r="H73" i="21"/>
  <c r="H20" i="20"/>
  <c r="G77" i="21"/>
  <c r="E275" i="19"/>
  <c r="G57" i="21"/>
  <c r="H15" i="20"/>
  <c r="H44" i="20"/>
  <c r="G62" i="21"/>
  <c r="H70" i="20"/>
  <c r="G107" i="21"/>
  <c r="I31" i="20"/>
  <c r="H113" i="21"/>
  <c r="I55" i="20"/>
  <c r="H118" i="21"/>
  <c r="M123" i="21"/>
  <c r="E74" i="20"/>
  <c r="D498" i="7"/>
  <c r="D516" i="7" s="1"/>
  <c r="E532" i="7" s="1"/>
  <c r="E240" i="7"/>
  <c r="G84" i="11"/>
  <c r="H121" i="11" s="1"/>
  <c r="G55" i="20"/>
  <c r="F118" i="21"/>
  <c r="N66" i="21"/>
  <c r="F45" i="20"/>
  <c r="H59" i="20"/>
  <c r="G59" i="21"/>
  <c r="H55" i="20"/>
  <c r="G118" i="21"/>
  <c r="H74" i="20"/>
  <c r="G123" i="21"/>
  <c r="C232" i="24"/>
  <c r="E233" i="24"/>
  <c r="F233" i="24"/>
  <c r="D233" i="24"/>
  <c r="B232" i="24"/>
  <c r="C233" i="24"/>
  <c r="F232" i="24"/>
  <c r="B233" i="24"/>
  <c r="L143" i="16"/>
  <c r="E382" i="22"/>
  <c r="C245" i="3"/>
  <c r="C250" i="3"/>
  <c r="C253" i="3"/>
  <c r="C71" i="9" s="1"/>
  <c r="C119" i="9" s="1"/>
  <c r="C258" i="3"/>
  <c r="C267" i="3"/>
  <c r="C255" i="3"/>
  <c r="C242" i="3"/>
  <c r="I261" i="3"/>
  <c r="B68" i="15"/>
  <c r="B85" i="15" s="1"/>
  <c r="B224" i="16" s="1"/>
  <c r="F253" i="3"/>
  <c r="F71" i="9" s="1"/>
  <c r="F119" i="9" s="1"/>
  <c r="G253" i="3"/>
  <c r="G71" i="9" s="1"/>
  <c r="G119" i="9" s="1"/>
  <c r="B253" i="3"/>
  <c r="B71" i="9" s="1"/>
  <c r="B119" i="9" s="1"/>
  <c r="D49" i="4"/>
  <c r="C50" i="4"/>
  <c r="B113" i="5"/>
  <c r="B120" i="5"/>
  <c r="E449" i="22" s="1"/>
  <c r="C124" i="5"/>
  <c r="C131" i="5"/>
  <c r="C113" i="5"/>
  <c r="B121" i="5"/>
  <c r="B125" i="5"/>
  <c r="B132" i="5"/>
  <c r="B123" i="5"/>
  <c r="C108" i="5"/>
  <c r="C114" i="5"/>
  <c r="C121" i="5"/>
  <c r="D121" i="5" s="1"/>
  <c r="C125" i="5"/>
  <c r="B133" i="5"/>
  <c r="C109" i="5"/>
  <c r="C115" i="5"/>
  <c r="B122" i="5"/>
  <c r="C126" i="5"/>
  <c r="B134" i="5"/>
  <c r="C110" i="5"/>
  <c r="D110" i="5" s="1"/>
  <c r="C128" i="5"/>
  <c r="L153" i="16" s="1"/>
  <c r="B110" i="5"/>
  <c r="B116" i="5"/>
  <c r="D313" i="22" s="1"/>
  <c r="C122" i="5"/>
  <c r="C127" i="5"/>
  <c r="B135" i="5"/>
  <c r="C117" i="5"/>
  <c r="C112" i="5"/>
  <c r="L137" i="16" s="1"/>
  <c r="B119" i="5"/>
  <c r="E415" i="22" s="1"/>
  <c r="B124" i="5"/>
  <c r="C130" i="5"/>
  <c r="M67" i="21"/>
  <c r="E61" i="20"/>
  <c r="F65" i="20"/>
  <c r="N83" i="21"/>
  <c r="M113" i="21"/>
  <c r="M128" i="21"/>
  <c r="E35" i="20"/>
  <c r="C148" i="22"/>
  <c r="L136" i="16"/>
  <c r="G62" i="11"/>
  <c r="H99" i="11" s="1"/>
  <c r="G70" i="11"/>
  <c r="H107" i="11" s="1"/>
  <c r="G78" i="11"/>
  <c r="H115" i="11" s="1"/>
  <c r="G86" i="11"/>
  <c r="H123" i="11" s="1"/>
  <c r="G63" i="11"/>
  <c r="H100" i="11" s="1"/>
  <c r="G71" i="11"/>
  <c r="H108" i="11" s="1"/>
  <c r="G79" i="11"/>
  <c r="H116" i="11" s="1"/>
  <c r="G64" i="11"/>
  <c r="H101" i="11" s="1"/>
  <c r="G72" i="11"/>
  <c r="H109" i="11" s="1"/>
  <c r="G80" i="11"/>
  <c r="H117" i="11" s="1"/>
  <c r="G65" i="11"/>
  <c r="H102" i="11" s="1"/>
  <c r="G73" i="11"/>
  <c r="H110" i="11" s="1"/>
  <c r="G81" i="11"/>
  <c r="H118" i="11" s="1"/>
  <c r="G66" i="11"/>
  <c r="H103" i="11" s="1"/>
  <c r="G74" i="11"/>
  <c r="H111" i="11" s="1"/>
  <c r="G82" i="11"/>
  <c r="H119" i="11" s="1"/>
  <c r="G59" i="11"/>
  <c r="H96" i="11" s="1"/>
  <c r="G67" i="11"/>
  <c r="H104" i="11" s="1"/>
  <c r="G75" i="11"/>
  <c r="H112" i="11" s="1"/>
  <c r="G83" i="11"/>
  <c r="H120" i="11" s="1"/>
  <c r="G61" i="11"/>
  <c r="H98" i="11" s="1"/>
  <c r="G69" i="11"/>
  <c r="H106" i="11" s="1"/>
  <c r="G77" i="11"/>
  <c r="H114" i="11" s="1"/>
  <c r="G85" i="11"/>
  <c r="H122" i="11" s="1"/>
  <c r="F193" i="24"/>
  <c r="F192" i="24"/>
  <c r="F170" i="24"/>
  <c r="F168" i="24"/>
  <c r="D193" i="24"/>
  <c r="D194" i="24"/>
  <c r="D192" i="24"/>
  <c r="D170" i="24"/>
  <c r="D168" i="24"/>
  <c r="B169" i="24"/>
  <c r="B170" i="24"/>
  <c r="B168" i="24"/>
  <c r="C133" i="5"/>
  <c r="H193" i="6"/>
  <c r="F245" i="3"/>
  <c r="F226" i="24"/>
  <c r="C226" i="24"/>
  <c r="C30" i="7"/>
  <c r="B45" i="7" s="1"/>
  <c r="I193" i="6"/>
  <c r="G298" i="6" s="1"/>
  <c r="E178" i="24"/>
  <c r="F86" i="11"/>
  <c r="G123" i="11" s="1"/>
  <c r="C352" i="7"/>
  <c r="B364" i="7" s="1"/>
  <c r="C135" i="5"/>
  <c r="B131" i="5"/>
  <c r="E271" i="6"/>
  <c r="C320" i="6" s="1"/>
  <c r="D268" i="3"/>
  <c r="B129" i="5"/>
  <c r="D226" i="24"/>
  <c r="G229" i="19"/>
  <c r="F240" i="19"/>
  <c r="F251" i="19"/>
  <c r="G275" i="19"/>
  <c r="F285" i="19"/>
  <c r="F260" i="6"/>
  <c r="D317" i="6" s="1"/>
  <c r="C307" i="19"/>
  <c r="F320" i="19"/>
  <c r="E284" i="6"/>
  <c r="C325" i="6" s="1"/>
  <c r="I260" i="6"/>
  <c r="G317" i="6" s="1"/>
  <c r="F148" i="24"/>
  <c r="G302" i="6"/>
  <c r="D299" i="6"/>
  <c r="F114" i="21"/>
  <c r="E228" i="7"/>
  <c r="F64" i="11"/>
  <c r="G101" i="11" s="1"/>
  <c r="B50" i="4"/>
  <c r="C132" i="5"/>
  <c r="B128" i="5"/>
  <c r="B111" i="5"/>
  <c r="C147" i="22" s="1"/>
  <c r="D279" i="6"/>
  <c r="E262" i="7"/>
  <c r="E226" i="24"/>
  <c r="M59" i="21"/>
  <c r="C275" i="19"/>
  <c r="D229" i="19"/>
  <c r="G240" i="19"/>
  <c r="G251" i="19"/>
  <c r="D275" i="19"/>
  <c r="G285" i="19"/>
  <c r="C296" i="19"/>
  <c r="F307" i="19"/>
  <c r="H204" i="6"/>
  <c r="F301" i="6" s="1"/>
  <c r="I284" i="6"/>
  <c r="G325" i="6" s="1"/>
  <c r="F937" i="22" s="1"/>
  <c r="G178" i="24"/>
  <c r="F299" i="6"/>
  <c r="F77" i="11"/>
  <c r="G114" i="11" s="1"/>
  <c r="F219" i="24"/>
  <c r="G235" i="24"/>
  <c r="B223" i="24"/>
  <c r="C120" i="5"/>
  <c r="B127" i="5"/>
  <c r="K152" i="16" s="1"/>
  <c r="B109" i="5"/>
  <c r="D83" i="22" s="1"/>
  <c r="H239" i="6"/>
  <c r="H256" i="3"/>
  <c r="AC262" i="7"/>
  <c r="B227" i="24"/>
  <c r="D300" i="6"/>
  <c r="D240" i="19"/>
  <c r="D285" i="19"/>
  <c r="F296" i="19"/>
  <c r="D307" i="19"/>
  <c r="H227" i="6"/>
  <c r="G301" i="6"/>
  <c r="E298" i="6"/>
  <c r="F61" i="11"/>
  <c r="G98" i="11" s="1"/>
  <c r="C119" i="5"/>
  <c r="B126" i="5"/>
  <c r="K151" i="16" s="1"/>
  <c r="I249" i="6"/>
  <c r="AG262" i="7"/>
  <c r="G226" i="24"/>
  <c r="G296" i="19"/>
  <c r="B148" i="24"/>
  <c r="D150" i="24"/>
  <c r="F221" i="24"/>
  <c r="B115" i="5"/>
  <c r="B118" i="5"/>
  <c r="G248" i="6"/>
  <c r="D193" i="6"/>
  <c r="J261" i="3"/>
  <c r="F268" i="3"/>
  <c r="B112" i="5"/>
  <c r="D112" i="5" s="1"/>
  <c r="E227" i="24"/>
  <c r="D296" i="19"/>
  <c r="F304" i="6"/>
  <c r="B108" i="5"/>
  <c r="B43" i="5"/>
  <c r="B117" i="5"/>
  <c r="G243" i="6"/>
  <c r="C235" i="6"/>
  <c r="G240" i="7"/>
  <c r="C243" i="3"/>
  <c r="G241" i="3"/>
  <c r="G202" i="24"/>
  <c r="C259" i="3"/>
  <c r="C263" i="3"/>
  <c r="C251" i="3"/>
  <c r="G261" i="3"/>
  <c r="C261" i="3"/>
  <c r="C257" i="3"/>
  <c r="C220" i="24"/>
  <c r="D219" i="24"/>
  <c r="G232" i="24"/>
  <c r="B196" i="24"/>
  <c r="F196" i="24"/>
  <c r="G198" i="24"/>
  <c r="B197" i="24"/>
  <c r="B198" i="24"/>
  <c r="G233" i="24"/>
  <c r="E198" i="24"/>
  <c r="D198" i="24"/>
  <c r="D197" i="24"/>
  <c r="C198" i="24"/>
  <c r="D196" i="24"/>
  <c r="E223" i="24"/>
  <c r="E221" i="24"/>
  <c r="G197" i="24"/>
  <c r="G196" i="24"/>
  <c r="E196" i="24"/>
  <c r="S252" i="7"/>
  <c r="E252" i="7"/>
  <c r="AG252" i="7"/>
  <c r="AC252" i="7"/>
  <c r="D125" i="5"/>
  <c r="D124" i="5"/>
  <c r="D123" i="5"/>
  <c r="B322" i="6"/>
  <c r="B835" i="22" s="1"/>
  <c r="E308" i="6"/>
  <c r="E369" i="22" s="1"/>
  <c r="I255" i="3"/>
  <c r="I264" i="3"/>
  <c r="I262" i="3"/>
  <c r="I260" i="3"/>
  <c r="I258" i="3"/>
  <c r="I251" i="3"/>
  <c r="C265" i="3"/>
  <c r="C249" i="3"/>
  <c r="C247" i="3"/>
  <c r="B257" i="3"/>
  <c r="J267" i="3"/>
  <c r="I268" i="3"/>
  <c r="B71" i="15"/>
  <c r="B88" i="15" s="1"/>
  <c r="B227" i="16" s="1"/>
  <c r="B69" i="15"/>
  <c r="B86" i="15" s="1"/>
  <c r="B225" i="16" s="1"/>
  <c r="E213" i="24"/>
  <c r="C212" i="24"/>
  <c r="D213" i="24"/>
  <c r="E212" i="24"/>
  <c r="F212" i="24"/>
  <c r="C213" i="24"/>
  <c r="C309" i="6"/>
  <c r="C403" i="22" s="1"/>
  <c r="C299" i="6"/>
  <c r="C71" i="22" s="1"/>
  <c r="E299" i="6"/>
  <c r="C302" i="6"/>
  <c r="C169" i="22" s="1"/>
  <c r="G309" i="6"/>
  <c r="G403" i="22" s="1"/>
  <c r="E313" i="6"/>
  <c r="B323" i="6"/>
  <c r="B869" i="22" s="1"/>
  <c r="B313" i="6"/>
  <c r="B535" i="22" s="1"/>
  <c r="C547" i="22" s="1"/>
  <c r="J23" i="23" s="1"/>
  <c r="B299" i="6"/>
  <c r="B71" i="22" s="1"/>
  <c r="E320" i="6"/>
  <c r="C767" i="22" s="1"/>
  <c r="E323" i="6"/>
  <c r="E869" i="22" s="1"/>
  <c r="G321" i="6"/>
  <c r="F801" i="22" s="1"/>
  <c r="C315" i="6"/>
  <c r="C599" i="22" s="1"/>
  <c r="B311" i="6"/>
  <c r="B471" i="22" s="1"/>
  <c r="C483" i="22" s="1"/>
  <c r="J21" i="23" s="1"/>
  <c r="E307" i="6"/>
  <c r="E335" i="22" s="1"/>
  <c r="E227" i="7"/>
  <c r="D132" i="5"/>
  <c r="I256" i="3"/>
  <c r="I254" i="3"/>
  <c r="I252" i="3"/>
  <c r="C246" i="3"/>
  <c r="I242" i="3"/>
  <c r="D61" i="11"/>
  <c r="E98" i="11" s="1"/>
  <c r="D60" i="11"/>
  <c r="E97" i="11" s="1"/>
  <c r="C67" i="11"/>
  <c r="D104" i="11" s="1"/>
  <c r="F261" i="3"/>
  <c r="F256" i="3"/>
  <c r="F254" i="3"/>
  <c r="F247" i="3"/>
  <c r="G262" i="3"/>
  <c r="G254" i="3"/>
  <c r="G246" i="3"/>
  <c r="J265" i="3"/>
  <c r="J253" i="3"/>
  <c r="J71" i="9" s="1"/>
  <c r="J119" i="9" s="1"/>
  <c r="J241" i="3"/>
  <c r="B49" i="14" s="1"/>
  <c r="D267" i="3"/>
  <c r="C244" i="3"/>
  <c r="B244" i="3"/>
  <c r="L159" i="16"/>
  <c r="C916" i="22"/>
  <c r="D113" i="5"/>
  <c r="C282" i="6"/>
  <c r="G282" i="6" s="1"/>
  <c r="E324" i="6" s="1"/>
  <c r="C903" i="22" s="1"/>
  <c r="G201" i="24"/>
  <c r="F235" i="24"/>
  <c r="E224" i="24"/>
  <c r="E200" i="24"/>
  <c r="D235" i="24"/>
  <c r="D223" i="24"/>
  <c r="D201" i="24"/>
  <c r="D174" i="24"/>
  <c r="D162" i="24"/>
  <c r="C235" i="24"/>
  <c r="C223" i="24"/>
  <c r="C202" i="24"/>
  <c r="C186" i="24"/>
  <c r="C161" i="24"/>
  <c r="B235" i="24"/>
  <c r="B224" i="24"/>
  <c r="B200" i="24"/>
  <c r="B186" i="24"/>
  <c r="B144" i="24"/>
  <c r="C298" i="6"/>
  <c r="B30" i="12"/>
  <c r="B61" i="13" s="1"/>
  <c r="B80" i="4"/>
  <c r="E352" i="7"/>
  <c r="D364" i="7" s="1"/>
  <c r="C350" i="7"/>
  <c r="B362" i="7" s="1"/>
  <c r="C506" i="7"/>
  <c r="AJ240" i="7"/>
  <c r="AJ264" i="7" s="1"/>
  <c r="B39" i="12"/>
  <c r="B70" i="13" s="1"/>
  <c r="B35" i="12"/>
  <c r="B66" i="13" s="1"/>
  <c r="B33" i="12"/>
  <c r="B64" i="13" s="1"/>
  <c r="C712" i="22"/>
  <c r="G314" i="6"/>
  <c r="F314" i="6"/>
  <c r="W240" i="7"/>
  <c r="W263" i="7" s="1"/>
  <c r="C227" i="7"/>
  <c r="B501" i="7" s="1"/>
  <c r="I240" i="7"/>
  <c r="F169" i="3"/>
  <c r="F206" i="3" s="1"/>
  <c r="F243" i="3" s="1"/>
  <c r="F177" i="3"/>
  <c r="F214" i="3" s="1"/>
  <c r="F251" i="3" s="1"/>
  <c r="F185" i="3"/>
  <c r="F222" i="3" s="1"/>
  <c r="F259" i="3" s="1"/>
  <c r="F189" i="3"/>
  <c r="F226" i="3" s="1"/>
  <c r="F263" i="3" s="1"/>
  <c r="F168" i="3"/>
  <c r="F205" i="3" s="1"/>
  <c r="F242" i="3" s="1"/>
  <c r="F176" i="3"/>
  <c r="F213" i="3" s="1"/>
  <c r="F250" i="3" s="1"/>
  <c r="F184" i="3"/>
  <c r="F221" i="3" s="1"/>
  <c r="F258" i="3" s="1"/>
  <c r="F188" i="3"/>
  <c r="F225" i="3" s="1"/>
  <c r="F262" i="3" s="1"/>
  <c r="F174" i="3"/>
  <c r="F211" i="3" s="1"/>
  <c r="F248" i="3" s="1"/>
  <c r="F190" i="3"/>
  <c r="F227" i="3" s="1"/>
  <c r="F264" i="3" s="1"/>
  <c r="F179" i="3"/>
  <c r="F170" i="3"/>
  <c r="F207" i="3" s="1"/>
  <c r="F244" i="3" s="1"/>
  <c r="F167" i="3"/>
  <c r="F204" i="3" s="1"/>
  <c r="F241" i="3" s="1"/>
  <c r="F183" i="3"/>
  <c r="F220" i="3" s="1"/>
  <c r="F257" i="3" s="1"/>
  <c r="F191" i="3"/>
  <c r="F228" i="3" s="1"/>
  <c r="F265" i="3" s="1"/>
  <c r="F175" i="3"/>
  <c r="F212" i="3" s="1"/>
  <c r="F249" i="3" s="1"/>
  <c r="C26" i="7"/>
  <c r="B41" i="7" s="1"/>
  <c r="G262" i="7"/>
  <c r="S263" i="7"/>
  <c r="AA265" i="7"/>
  <c r="K252" i="7"/>
  <c r="S264" i="7"/>
  <c r="C29" i="7"/>
  <c r="B44" i="7" s="1"/>
  <c r="K262" i="7"/>
  <c r="S262" i="7"/>
  <c r="AA252" i="7"/>
  <c r="S265" i="7"/>
  <c r="G252" i="7"/>
  <c r="C70" i="7"/>
  <c r="B83" i="7" s="1"/>
  <c r="C31" i="7"/>
  <c r="B46" i="7" s="1"/>
  <c r="D204" i="24"/>
  <c r="E206" i="24"/>
  <c r="B204" i="24"/>
  <c r="D205" i="24"/>
  <c r="B206" i="24"/>
  <c r="G206" i="24"/>
  <c r="C206" i="24"/>
  <c r="F206" i="24"/>
  <c r="K159" i="16"/>
  <c r="C915" i="22"/>
  <c r="C677" i="22"/>
  <c r="D127" i="5"/>
  <c r="K141" i="16"/>
  <c r="D116" i="5"/>
  <c r="D115" i="5"/>
  <c r="K140" i="16"/>
  <c r="D279" i="22"/>
  <c r="D84" i="22"/>
  <c r="L134" i="16"/>
  <c r="B74" i="15"/>
  <c r="B91" i="15" s="1"/>
  <c r="B230" i="16" s="1"/>
  <c r="AK240" i="7"/>
  <c r="D506" i="7"/>
  <c r="D524" i="7" s="1"/>
  <c r="AK532" i="7" s="1"/>
  <c r="C231" i="7"/>
  <c r="D231" i="7"/>
  <c r="C502" i="7"/>
  <c r="T240" i="7"/>
  <c r="D224" i="7"/>
  <c r="C224" i="7"/>
  <c r="E285" i="19"/>
  <c r="G249" i="6"/>
  <c r="E314" i="6" s="1"/>
  <c r="F309" i="19"/>
  <c r="C273" i="6"/>
  <c r="G273" i="6" s="1"/>
  <c r="E321" i="6" s="1"/>
  <c r="E801" i="22" s="1"/>
  <c r="E273" i="6"/>
  <c r="C321" i="6" s="1"/>
  <c r="C801" i="22" s="1"/>
  <c r="F273" i="6"/>
  <c r="D321" i="6" s="1"/>
  <c r="D801" i="22" s="1"/>
  <c r="H273" i="6"/>
  <c r="D273" i="6"/>
  <c r="B321" i="6" s="1"/>
  <c r="F306" i="19"/>
  <c r="D270" i="6"/>
  <c r="F270" i="6"/>
  <c r="H270" i="6"/>
  <c r="F320" i="6" s="1"/>
  <c r="D306" i="19"/>
  <c r="F303" i="19"/>
  <c r="E267" i="6"/>
  <c r="C319" i="6" s="1"/>
  <c r="F267" i="6"/>
  <c r="D319" i="6" s="1"/>
  <c r="D733" i="22" s="1"/>
  <c r="H267" i="6"/>
  <c r="F319" i="6" s="1"/>
  <c r="I267" i="6"/>
  <c r="C71" i="7"/>
  <c r="B84" i="7" s="1"/>
  <c r="C28" i="7"/>
  <c r="B43" i="7" s="1"/>
  <c r="H62" i="11"/>
  <c r="I99" i="11" s="1"/>
  <c r="H63" i="11"/>
  <c r="I100" i="11" s="1"/>
  <c r="H71" i="11"/>
  <c r="I108" i="11" s="1"/>
  <c r="H79" i="11"/>
  <c r="I116" i="11" s="1"/>
  <c r="F65" i="11"/>
  <c r="G102" i="11" s="1"/>
  <c r="F73" i="11"/>
  <c r="G110" i="11" s="1"/>
  <c r="F81" i="11"/>
  <c r="G118" i="11" s="1"/>
  <c r="F60" i="11"/>
  <c r="G97" i="11" s="1"/>
  <c r="F68" i="11"/>
  <c r="G105" i="11" s="1"/>
  <c r="F76" i="11"/>
  <c r="G113" i="11" s="1"/>
  <c r="F84" i="11"/>
  <c r="G121" i="11" s="1"/>
  <c r="F71" i="11"/>
  <c r="G108" i="11" s="1"/>
  <c r="F62" i="11"/>
  <c r="G99" i="11" s="1"/>
  <c r="F78" i="11"/>
  <c r="G115" i="11" s="1"/>
  <c r="F74" i="11"/>
  <c r="G111" i="11" s="1"/>
  <c r="F83" i="11"/>
  <c r="G120" i="11" s="1"/>
  <c r="F75" i="11"/>
  <c r="G112" i="11" s="1"/>
  <c r="C62" i="11"/>
  <c r="D99" i="11" s="1"/>
  <c r="C64" i="11"/>
  <c r="D101" i="11" s="1"/>
  <c r="C71" i="11"/>
  <c r="D108" i="11" s="1"/>
  <c r="C82" i="11"/>
  <c r="D119" i="11" s="1"/>
  <c r="G224" i="24"/>
  <c r="G223" i="24"/>
  <c r="F224" i="24"/>
  <c r="F223" i="24"/>
  <c r="F200" i="24"/>
  <c r="F201" i="24"/>
  <c r="C145" i="24"/>
  <c r="C146" i="24"/>
  <c r="B160" i="24"/>
  <c r="B161" i="24"/>
  <c r="D146" i="24"/>
  <c r="D212" i="24"/>
  <c r="B213" i="24"/>
  <c r="F213" i="24"/>
  <c r="B212" i="24"/>
  <c r="G212" i="24"/>
  <c r="G213" i="24"/>
  <c r="H55" i="24"/>
  <c r="B165" i="21"/>
  <c r="K144" i="16"/>
  <c r="D119" i="5"/>
  <c r="K156" i="16"/>
  <c r="E813" i="22"/>
  <c r="D126" i="5"/>
  <c r="C643" i="22"/>
  <c r="K136" i="16"/>
  <c r="D111" i="5"/>
  <c r="K134" i="16"/>
  <c r="D109" i="5"/>
  <c r="C284" i="6"/>
  <c r="G284" i="6" s="1"/>
  <c r="E325" i="6" s="1"/>
  <c r="H284" i="6"/>
  <c r="F325" i="6" s="1"/>
  <c r="D271" i="6"/>
  <c r="I271" i="6"/>
  <c r="G320" i="6" s="1"/>
  <c r="D767" i="22" s="1"/>
  <c r="C266" i="6"/>
  <c r="G266" i="6" s="1"/>
  <c r="E319" i="6" s="1"/>
  <c r="E733" i="22" s="1"/>
  <c r="D266" i="6"/>
  <c r="B319" i="6" s="1"/>
  <c r="I266" i="6"/>
  <c r="E260" i="6"/>
  <c r="H260" i="6"/>
  <c r="F317" i="6" s="1"/>
  <c r="C255" i="6"/>
  <c r="G255" i="6" s="1"/>
  <c r="E316" i="6" s="1"/>
  <c r="C631" i="22" s="1"/>
  <c r="D255" i="6"/>
  <c r="B316" i="6" s="1"/>
  <c r="B631" i="22" s="1"/>
  <c r="I255" i="6"/>
  <c r="E239" i="6"/>
  <c r="D239" i="6"/>
  <c r="B312" i="6" s="1"/>
  <c r="B503" i="22" s="1"/>
  <c r="C515" i="22" s="1"/>
  <c r="J22" i="23" s="1"/>
  <c r="F233" i="6"/>
  <c r="D310" i="6" s="1"/>
  <c r="D437" i="22" s="1"/>
  <c r="D233" i="6"/>
  <c r="B310" i="6" s="1"/>
  <c r="F227" i="6"/>
  <c r="I227" i="6"/>
  <c r="D221" i="6"/>
  <c r="B306" i="6" s="1"/>
  <c r="B301" i="22" s="1"/>
  <c r="E221" i="6"/>
  <c r="C306" i="6" s="1"/>
  <c r="C301" i="22" s="1"/>
  <c r="F313" i="22" s="1"/>
  <c r="J16" i="23" s="1"/>
  <c r="E215" i="6"/>
  <c r="C215" i="6"/>
  <c r="G215" i="6" s="1"/>
  <c r="E304" i="6" s="1"/>
  <c r="D233" i="22" s="1"/>
  <c r="D215" i="6"/>
  <c r="B304" i="6" s="1"/>
  <c r="B233" i="22" s="1"/>
  <c r="C209" i="6"/>
  <c r="G209" i="6" s="1"/>
  <c r="E302" i="6" s="1"/>
  <c r="D209" i="6"/>
  <c r="C199" i="6"/>
  <c r="I199" i="6"/>
  <c r="G300" i="6" s="1"/>
  <c r="G171" i="3"/>
  <c r="G208" i="3" s="1"/>
  <c r="G245" i="3" s="1"/>
  <c r="G175" i="3"/>
  <c r="G212" i="3" s="1"/>
  <c r="G249" i="3" s="1"/>
  <c r="E153" i="3"/>
  <c r="D100" i="4"/>
  <c r="H249" i="3"/>
  <c r="H241" i="3"/>
  <c r="H248" i="3"/>
  <c r="H266" i="3"/>
  <c r="B268" i="3"/>
  <c r="B50" i="12" s="1"/>
  <c r="B75" i="15"/>
  <c r="B92" i="15" s="1"/>
  <c r="B231" i="16" s="1"/>
  <c r="B266" i="3"/>
  <c r="B48" i="12" s="1"/>
  <c r="B73" i="15"/>
  <c r="B90" i="15" s="1"/>
  <c r="B229" i="16" s="1"/>
  <c r="B146" i="24"/>
  <c r="C144" i="24"/>
  <c r="C200" i="24"/>
  <c r="F146" i="24"/>
  <c r="F202" i="24"/>
  <c r="D145" i="24"/>
  <c r="D161" i="24"/>
  <c r="E202" i="24"/>
  <c r="H64" i="11"/>
  <c r="I101" i="11" s="1"/>
  <c r="H68" i="11"/>
  <c r="I105" i="11" s="1"/>
  <c r="H72" i="11"/>
  <c r="I109" i="11" s="1"/>
  <c r="H76" i="11"/>
  <c r="I113" i="11" s="1"/>
  <c r="H80" i="11"/>
  <c r="I117" i="11" s="1"/>
  <c r="H84" i="11"/>
  <c r="I121" i="11" s="1"/>
  <c r="D302" i="6"/>
  <c r="D320" i="6"/>
  <c r="D322" i="6"/>
  <c r="B139" i="7" s="1"/>
  <c r="C317" i="6"/>
  <c r="B145" i="24"/>
  <c r="C162" i="24"/>
  <c r="G162" i="24"/>
  <c r="F321" i="6"/>
  <c r="E69" i="7"/>
  <c r="D82" i="7" s="1"/>
  <c r="G145" i="24"/>
  <c r="C224" i="24"/>
  <c r="F59" i="11"/>
  <c r="G96" i="11" s="1"/>
  <c r="G160" i="24"/>
  <c r="C201" i="24"/>
  <c r="F67" i="11"/>
  <c r="G104" i="11" s="1"/>
  <c r="F70" i="11"/>
  <c r="G107" i="11" s="1"/>
  <c r="F63" i="11"/>
  <c r="G100" i="11" s="1"/>
  <c r="F72" i="11"/>
  <c r="G109" i="11" s="1"/>
  <c r="F85" i="11"/>
  <c r="G122" i="11" s="1"/>
  <c r="F69" i="11"/>
  <c r="G106" i="11" s="1"/>
  <c r="G200" i="24"/>
  <c r="D186" i="24"/>
  <c r="B24" i="12"/>
  <c r="B55" i="13" s="1"/>
  <c r="C260" i="3"/>
  <c r="C248" i="3"/>
  <c r="H85" i="11"/>
  <c r="I122" i="11" s="1"/>
  <c r="H67" i="11"/>
  <c r="I104" i="11" s="1"/>
  <c r="C78" i="11"/>
  <c r="D115" i="11" s="1"/>
  <c r="C60" i="11"/>
  <c r="D97" i="11" s="1"/>
  <c r="D350" i="7"/>
  <c r="C362" i="7" s="1"/>
  <c r="C165" i="21"/>
  <c r="C312" i="6"/>
  <c r="B40" i="12"/>
  <c r="B71" i="13" s="1"/>
  <c r="B263" i="3"/>
  <c r="B45" i="12" s="1"/>
  <c r="B38" i="16" s="1"/>
  <c r="B247" i="3"/>
  <c r="B29" i="12" s="1"/>
  <c r="B60" i="13" s="1"/>
  <c r="B243" i="3"/>
  <c r="B241" i="3"/>
  <c r="B23" i="12" s="1"/>
  <c r="B54" i="13" s="1"/>
  <c r="D110" i="18"/>
  <c r="C280" i="18" s="1"/>
  <c r="D903" i="22"/>
  <c r="G109" i="18"/>
  <c r="C363" i="18" s="1"/>
  <c r="B237" i="24"/>
  <c r="D237" i="24"/>
  <c r="C237" i="24"/>
  <c r="E237" i="24"/>
  <c r="F237" i="24"/>
  <c r="G237" i="24"/>
  <c r="K133" i="16"/>
  <c r="D108" i="5"/>
  <c r="C49" i="22"/>
  <c r="C937" i="22"/>
  <c r="B142" i="7"/>
  <c r="D403" i="22"/>
  <c r="B12" i="15"/>
  <c r="B25" i="15" s="1"/>
  <c r="B216" i="16" s="1"/>
  <c r="F229" i="24"/>
  <c r="C229" i="24"/>
  <c r="G230" i="24"/>
  <c r="C230" i="24"/>
  <c r="E229" i="24"/>
  <c r="F230" i="24"/>
  <c r="D230" i="24"/>
  <c r="B229" i="24"/>
  <c r="G229" i="24"/>
  <c r="E230" i="24"/>
  <c r="D229" i="24"/>
  <c r="B230" i="24"/>
  <c r="D216" i="24"/>
  <c r="C215" i="24"/>
  <c r="B215" i="24"/>
  <c r="B216" i="24"/>
  <c r="G217" i="24"/>
  <c r="C217" i="24"/>
  <c r="B217" i="24"/>
  <c r="G216" i="24"/>
  <c r="F217" i="24"/>
  <c r="D215" i="24"/>
  <c r="D217" i="24"/>
  <c r="C216" i="24"/>
  <c r="G215" i="24"/>
  <c r="F215" i="24"/>
  <c r="E217" i="24"/>
  <c r="E215" i="24"/>
  <c r="E216" i="24"/>
  <c r="F216" i="24"/>
  <c r="B209" i="24"/>
  <c r="E208" i="24"/>
  <c r="B208" i="24"/>
  <c r="D210" i="24"/>
  <c r="G209" i="24"/>
  <c r="F210" i="24"/>
  <c r="C208" i="24"/>
  <c r="G208" i="24"/>
  <c r="D209" i="24"/>
  <c r="C210" i="24"/>
  <c r="F209" i="24"/>
  <c r="C209" i="24"/>
  <c r="F208" i="24"/>
  <c r="D208" i="24"/>
  <c r="G210" i="24"/>
  <c r="E210" i="24"/>
  <c r="E209" i="24"/>
  <c r="B210" i="24"/>
  <c r="B181" i="24"/>
  <c r="F181" i="24"/>
  <c r="C181" i="24"/>
  <c r="G181" i="24"/>
  <c r="G180" i="24"/>
  <c r="C180" i="24"/>
  <c r="E180" i="24"/>
  <c r="B180" i="24"/>
  <c r="F180" i="24"/>
  <c r="E181" i="24"/>
  <c r="D181" i="24"/>
  <c r="D180" i="24"/>
  <c r="C154" i="24"/>
  <c r="F153" i="24"/>
  <c r="C153" i="24"/>
  <c r="F152" i="24"/>
  <c r="D152" i="24"/>
  <c r="C152" i="24"/>
  <c r="D153" i="24"/>
  <c r="B154" i="24"/>
  <c r="E153" i="24"/>
  <c r="B153" i="24"/>
  <c r="E152" i="24"/>
  <c r="B152" i="24"/>
  <c r="D154" i="24"/>
  <c r="G153" i="24"/>
  <c r="F154" i="24"/>
  <c r="E154" i="24"/>
  <c r="G152" i="24"/>
  <c r="G154" i="24"/>
  <c r="E347" i="22"/>
  <c r="K142" i="16"/>
  <c r="D117" i="5"/>
  <c r="D245" i="22"/>
  <c r="K139" i="16"/>
  <c r="D114" i="5"/>
  <c r="E247" i="19"/>
  <c r="G211" i="6"/>
  <c r="E303" i="6" s="1"/>
  <c r="B31" i="12"/>
  <c r="B62" i="13" s="1"/>
  <c r="K145" i="16"/>
  <c r="D120" i="5"/>
  <c r="K155" i="16"/>
  <c r="D130" i="5"/>
  <c r="D13" i="7"/>
  <c r="AB252" i="7" s="1"/>
  <c r="E226" i="7"/>
  <c r="D229" i="7"/>
  <c r="C232" i="7"/>
  <c r="D249" i="6"/>
  <c r="B314" i="6" s="1"/>
  <c r="E249" i="6"/>
  <c r="C314" i="6" s="1"/>
  <c r="F280" i="19"/>
  <c r="E244" i="6"/>
  <c r="C313" i="6" s="1"/>
  <c r="B130" i="7" s="1"/>
  <c r="H244" i="6"/>
  <c r="F313" i="6" s="1"/>
  <c r="D204" i="6"/>
  <c r="B301" i="6" s="1"/>
  <c r="B135" i="22" s="1"/>
  <c r="C204" i="6"/>
  <c r="G204" i="6" s="1"/>
  <c r="E204" i="6"/>
  <c r="F235" i="19"/>
  <c r="H17" i="20" s="1"/>
  <c r="D199" i="6"/>
  <c r="B300" i="6" s="1"/>
  <c r="E199" i="6"/>
  <c r="C300" i="6" s="1"/>
  <c r="H199" i="6"/>
  <c r="F300" i="6" s="1"/>
  <c r="D192" i="6"/>
  <c r="B298" i="6" s="1"/>
  <c r="B37" i="22" s="1"/>
  <c r="F192" i="6"/>
  <c r="D298" i="6" s="1"/>
  <c r="H192" i="6"/>
  <c r="I62" i="11"/>
  <c r="J99" i="11" s="1"/>
  <c r="I66" i="11"/>
  <c r="J103" i="11" s="1"/>
  <c r="I70" i="11"/>
  <c r="J107" i="11" s="1"/>
  <c r="I74" i="11"/>
  <c r="J111" i="11" s="1"/>
  <c r="I78" i="11"/>
  <c r="J115" i="11" s="1"/>
  <c r="I82" i="11"/>
  <c r="J119" i="11" s="1"/>
  <c r="I86" i="11"/>
  <c r="J123" i="11" s="1"/>
  <c r="O240" i="7"/>
  <c r="I279" i="6"/>
  <c r="G323" i="6" s="1"/>
  <c r="F869" i="22" s="1"/>
  <c r="I262" i="6"/>
  <c r="G318" i="6" s="1"/>
  <c r="H251" i="6"/>
  <c r="F315" i="6" s="1"/>
  <c r="H235" i="6"/>
  <c r="H231" i="6"/>
  <c r="F309" i="6" s="1"/>
  <c r="F253" i="6"/>
  <c r="F223" i="6"/>
  <c r="D307" i="6" s="1"/>
  <c r="D335" i="22" s="1"/>
  <c r="F213" i="6"/>
  <c r="E223" i="6"/>
  <c r="C307" i="6" s="1"/>
  <c r="C335" i="22" s="1"/>
  <c r="E211" i="6"/>
  <c r="C303" i="6" s="1"/>
  <c r="E205" i="6"/>
  <c r="D253" i="6"/>
  <c r="D231" i="6"/>
  <c r="B309" i="6" s="1"/>
  <c r="C253" i="6"/>
  <c r="C205" i="6"/>
  <c r="G205" i="6" s="1"/>
  <c r="B26" i="12"/>
  <c r="B57" i="13" s="1"/>
  <c r="I248" i="3"/>
  <c r="H268" i="3"/>
  <c r="H260" i="3"/>
  <c r="H253" i="3"/>
  <c r="H243" i="3"/>
  <c r="D253" i="3"/>
  <c r="H259" i="3"/>
  <c r="H242" i="3"/>
  <c r="H265" i="3"/>
  <c r="H261" i="3"/>
  <c r="H257" i="3"/>
  <c r="G191" i="3"/>
  <c r="G228" i="3" s="1"/>
  <c r="G265" i="3" s="1"/>
  <c r="G186" i="3"/>
  <c r="G223" i="3" s="1"/>
  <c r="G260" i="3" s="1"/>
  <c r="G179" i="3"/>
  <c r="B25" i="12"/>
  <c r="B56" i="13" s="1"/>
  <c r="D48" i="4"/>
  <c r="H82" i="11"/>
  <c r="I119" i="11" s="1"/>
  <c r="H77" i="11"/>
  <c r="I114" i="11" s="1"/>
  <c r="H73" i="11"/>
  <c r="I110" i="11" s="1"/>
  <c r="H69" i="11"/>
  <c r="I106" i="11" s="1"/>
  <c r="H66" i="11"/>
  <c r="I103" i="11" s="1"/>
  <c r="C83" i="11"/>
  <c r="D120" i="11" s="1"/>
  <c r="C80" i="11"/>
  <c r="D117" i="11" s="1"/>
  <c r="C76" i="11"/>
  <c r="D113" i="11" s="1"/>
  <c r="C73" i="11"/>
  <c r="D110" i="11" s="1"/>
  <c r="C69" i="11"/>
  <c r="D106" i="11" s="1"/>
  <c r="C66" i="11"/>
  <c r="D103" i="11" s="1"/>
  <c r="D282" i="6"/>
  <c r="B324" i="6" s="1"/>
  <c r="H282" i="6"/>
  <c r="F324" i="6" s="1"/>
  <c r="F315" i="19"/>
  <c r="E279" i="6"/>
  <c r="C323" i="6" s="1"/>
  <c r="F279" i="6"/>
  <c r="D323" i="6" s="1"/>
  <c r="D869" i="22" s="1"/>
  <c r="D264" i="6"/>
  <c r="H264" i="6"/>
  <c r="F318" i="6" s="1"/>
  <c r="D262" i="6"/>
  <c r="E262" i="6"/>
  <c r="C318" i="6" s="1"/>
  <c r="F262" i="6"/>
  <c r="D318" i="6" s="1"/>
  <c r="C259" i="6"/>
  <c r="G259" i="6" s="1"/>
  <c r="E317" i="6" s="1"/>
  <c r="D259" i="6"/>
  <c r="B317" i="6" s="1"/>
  <c r="B665" i="22" s="1"/>
  <c r="C292" i="19"/>
  <c r="E256" i="6"/>
  <c r="C316" i="6" s="1"/>
  <c r="F256" i="6"/>
  <c r="D316" i="6" s="1"/>
  <c r="H256" i="6"/>
  <c r="F316" i="6" s="1"/>
  <c r="I256" i="6"/>
  <c r="C251" i="6"/>
  <c r="D251" i="6"/>
  <c r="F251" i="6"/>
  <c r="D315" i="6" s="1"/>
  <c r="D599" i="22" s="1"/>
  <c r="I251" i="6"/>
  <c r="G315" i="6" s="1"/>
  <c r="G276" i="19"/>
  <c r="C240" i="6"/>
  <c r="F240" i="6"/>
  <c r="D312" i="6" s="1"/>
  <c r="B129" i="7" s="1"/>
  <c r="H240" i="6"/>
  <c r="F312" i="6" s="1"/>
  <c r="I240" i="6"/>
  <c r="G312" i="6" s="1"/>
  <c r="D271" i="19"/>
  <c r="E235" i="6"/>
  <c r="C311" i="6" s="1"/>
  <c r="F235" i="6"/>
  <c r="D311" i="6" s="1"/>
  <c r="I235" i="6"/>
  <c r="G311" i="6" s="1"/>
  <c r="D228" i="6"/>
  <c r="B308" i="6" s="1"/>
  <c r="E228" i="6"/>
  <c r="C308" i="6" s="1"/>
  <c r="C369" i="22" s="1"/>
  <c r="F228" i="6"/>
  <c r="H228" i="6"/>
  <c r="F308" i="6" s="1"/>
  <c r="I228" i="6"/>
  <c r="D223" i="6"/>
  <c r="B307" i="6" s="1"/>
  <c r="B124" i="7" s="1"/>
  <c r="H223" i="6"/>
  <c r="F307" i="6" s="1"/>
  <c r="I223" i="6"/>
  <c r="G307" i="6" s="1"/>
  <c r="G335" i="22" s="1"/>
  <c r="C219" i="6"/>
  <c r="G219" i="6" s="1"/>
  <c r="E305" i="6" s="1"/>
  <c r="D219" i="6"/>
  <c r="B305" i="6" s="1"/>
  <c r="H219" i="6"/>
  <c r="F305" i="6" s="1"/>
  <c r="E216" i="6"/>
  <c r="F216" i="6"/>
  <c r="D304" i="6" s="1"/>
  <c r="I216" i="6"/>
  <c r="G304" i="6" s="1"/>
  <c r="C247" i="19"/>
  <c r="D211" i="6"/>
  <c r="B303" i="6" s="1"/>
  <c r="B203" i="22" s="1"/>
  <c r="F211" i="6"/>
  <c r="D303" i="6" s="1"/>
  <c r="H211" i="6"/>
  <c r="F303" i="6" s="1"/>
  <c r="I211" i="6"/>
  <c r="D208" i="6"/>
  <c r="B302" i="6" s="1"/>
  <c r="H208" i="6"/>
  <c r="F302" i="6" s="1"/>
  <c r="G170" i="3"/>
  <c r="G207" i="3" s="1"/>
  <c r="G244" i="3" s="1"/>
  <c r="G174" i="3"/>
  <c r="G211" i="3" s="1"/>
  <c r="G248" i="3" s="1"/>
  <c r="G178" i="3"/>
  <c r="G215" i="3" s="1"/>
  <c r="G252" i="3" s="1"/>
  <c r="G182" i="3"/>
  <c r="G219" i="3" s="1"/>
  <c r="G256" i="3" s="1"/>
  <c r="G183" i="3"/>
  <c r="G220" i="3" s="1"/>
  <c r="G257" i="3" s="1"/>
  <c r="G190" i="3"/>
  <c r="G227" i="3" s="1"/>
  <c r="G264" i="3" s="1"/>
  <c r="G194" i="3"/>
  <c r="H245" i="3"/>
  <c r="H246" i="3"/>
  <c r="H247" i="3"/>
  <c r="H250" i="3"/>
  <c r="H255" i="3"/>
  <c r="H264" i="3"/>
  <c r="H244" i="3"/>
  <c r="H252" i="3"/>
  <c r="H254" i="3"/>
  <c r="H258" i="3"/>
  <c r="H262" i="3"/>
  <c r="H267" i="3"/>
  <c r="C268" i="3"/>
  <c r="G268" i="3"/>
  <c r="C266" i="3"/>
  <c r="I266" i="3"/>
  <c r="C264" i="3"/>
  <c r="B264" i="3"/>
  <c r="B262" i="3"/>
  <c r="B44" i="12" s="1"/>
  <c r="C262" i="3"/>
  <c r="C256" i="3"/>
  <c r="B256" i="3"/>
  <c r="B254" i="3"/>
  <c r="C254" i="3"/>
  <c r="B252" i="3"/>
  <c r="B34" i="12" s="1"/>
  <c r="B65" i="13" s="1"/>
  <c r="B11" i="15" s="1"/>
  <c r="B24" i="15" s="1"/>
  <c r="B215" i="16" s="1"/>
  <c r="C252" i="3"/>
  <c r="B250" i="3"/>
  <c r="I250" i="3"/>
  <c r="H60" i="11"/>
  <c r="I97" i="11" s="1"/>
  <c r="H61" i="11"/>
  <c r="I98" i="11" s="1"/>
  <c r="H65" i="11"/>
  <c r="I102" i="11" s="1"/>
  <c r="H70" i="11"/>
  <c r="I107" i="11" s="1"/>
  <c r="H75" i="11"/>
  <c r="I112" i="11" s="1"/>
  <c r="H78" i="11"/>
  <c r="I115" i="11" s="1"/>
  <c r="H81" i="11"/>
  <c r="I118" i="11" s="1"/>
  <c r="H83" i="11"/>
  <c r="I120" i="11" s="1"/>
  <c r="H86" i="11"/>
  <c r="I123" i="11" s="1"/>
  <c r="C59" i="11"/>
  <c r="D96" i="11" s="1"/>
  <c r="C61" i="11"/>
  <c r="D98" i="11" s="1"/>
  <c r="C63" i="11"/>
  <c r="D100" i="11" s="1"/>
  <c r="C65" i="11"/>
  <c r="D102" i="11" s="1"/>
  <c r="C68" i="11"/>
  <c r="D105" i="11" s="1"/>
  <c r="C70" i="11"/>
  <c r="D107" i="11" s="1"/>
  <c r="C72" i="11"/>
  <c r="D109" i="11" s="1"/>
  <c r="C74" i="11"/>
  <c r="D111" i="11" s="1"/>
  <c r="C75" i="11"/>
  <c r="D112" i="11" s="1"/>
  <c r="C77" i="11"/>
  <c r="D114" i="11" s="1"/>
  <c r="C79" i="11"/>
  <c r="D116" i="11" s="1"/>
  <c r="C81" i="11"/>
  <c r="D118" i="11" s="1"/>
  <c r="C84" i="11"/>
  <c r="D121" i="11" s="1"/>
  <c r="C86" i="11"/>
  <c r="D123" i="11" s="1"/>
  <c r="G68" i="9"/>
  <c r="G116" i="9" s="1"/>
  <c r="G303" i="6"/>
  <c r="F298" i="6"/>
  <c r="F311" i="6"/>
  <c r="T252" i="7"/>
  <c r="C351" i="7"/>
  <c r="B363" i="7" s="1"/>
  <c r="B36" i="12"/>
  <c r="B67" i="13" s="1"/>
  <c r="D26" i="7"/>
  <c r="C41" i="7" s="1"/>
  <c r="B37" i="12"/>
  <c r="B68" i="13" s="1"/>
  <c r="F92" i="8"/>
  <c r="F130" i="8" s="1"/>
  <c r="L145" i="16"/>
  <c r="E450" i="22"/>
  <c r="H262" i="7"/>
  <c r="AB262" i="7"/>
  <c r="H322" i="7" s="1"/>
  <c r="H641" i="7" s="1"/>
  <c r="H263" i="7"/>
  <c r="D29" i="7"/>
  <c r="C44" i="7" s="1"/>
  <c r="AB265" i="7"/>
  <c r="AB264" i="7"/>
  <c r="D30" i="7"/>
  <c r="C45" i="7" s="1"/>
  <c r="H264" i="7"/>
  <c r="AB263" i="7"/>
  <c r="F115" i="21"/>
  <c r="G72" i="20"/>
  <c r="D71" i="22"/>
  <c r="D50" i="14"/>
  <c r="G145" i="21"/>
  <c r="H40" i="20"/>
  <c r="E56" i="20"/>
  <c r="M122" i="21"/>
  <c r="G110" i="21"/>
  <c r="H53" i="20"/>
  <c r="M77" i="21"/>
  <c r="E20" i="20"/>
  <c r="E171" i="3"/>
  <c r="E208" i="3" s="1"/>
  <c r="E245" i="3" s="1"/>
  <c r="E174" i="3"/>
  <c r="E211" i="3" s="1"/>
  <c r="E248" i="3" s="1"/>
  <c r="E179" i="3"/>
  <c r="E182" i="3"/>
  <c r="E219" i="3" s="1"/>
  <c r="E256" i="3" s="1"/>
  <c r="E187" i="3"/>
  <c r="E224" i="3" s="1"/>
  <c r="E261" i="3" s="1"/>
  <c r="E190" i="3"/>
  <c r="E227" i="3" s="1"/>
  <c r="E264" i="3" s="1"/>
  <c r="J244" i="3"/>
  <c r="J258" i="3"/>
  <c r="J243" i="3"/>
  <c r="J247" i="3"/>
  <c r="J250" i="3"/>
  <c r="J256" i="3"/>
  <c r="J263" i="3"/>
  <c r="J268" i="3"/>
  <c r="J251" i="3"/>
  <c r="J252" i="3"/>
  <c r="J260" i="3"/>
  <c r="J266" i="3"/>
  <c r="J242" i="3"/>
  <c r="J246" i="3"/>
  <c r="J248" i="3"/>
  <c r="J254" i="3"/>
  <c r="J262" i="3"/>
  <c r="J264" i="3"/>
  <c r="J259" i="3"/>
  <c r="K154" i="16"/>
  <c r="D129" i="5"/>
  <c r="E745" i="22"/>
  <c r="D181" i="22"/>
  <c r="G133" i="21"/>
  <c r="H58" i="20"/>
  <c r="I16" i="20"/>
  <c r="H61" i="21"/>
  <c r="C200" i="7"/>
  <c r="B28" i="12"/>
  <c r="B59" i="13" s="1"/>
  <c r="B19" i="16"/>
  <c r="E28" i="7"/>
  <c r="D43" i="7" s="1"/>
  <c r="E32" i="7"/>
  <c r="D47" i="7" s="1"/>
  <c r="E27" i="7"/>
  <c r="D42" i="7" s="1"/>
  <c r="F156" i="24"/>
  <c r="D134" i="5"/>
  <c r="D152" i="3"/>
  <c r="G137" i="21" l="1"/>
  <c r="H78" i="20"/>
  <c r="L156" i="16"/>
  <c r="E814" i="22"/>
  <c r="Y240" i="7"/>
  <c r="D503" i="7"/>
  <c r="D521" i="7" s="1"/>
  <c r="Y532" i="7" s="1"/>
  <c r="K137" i="16"/>
  <c r="G65" i="21"/>
  <c r="AJ265" i="7"/>
  <c r="E416" i="22"/>
  <c r="L144" i="16"/>
  <c r="F46" i="20"/>
  <c r="N70" i="21"/>
  <c r="M105" i="21"/>
  <c r="E29" i="20"/>
  <c r="B65" i="4"/>
  <c r="B81" i="4" s="1"/>
  <c r="B51" i="4"/>
  <c r="H59" i="21"/>
  <c r="I59" i="20"/>
  <c r="L158" i="16"/>
  <c r="E882" i="22"/>
  <c r="E264" i="7"/>
  <c r="E265" i="7"/>
  <c r="E263" i="7"/>
  <c r="I62" i="20"/>
  <c r="H71" i="21"/>
  <c r="G235" i="6"/>
  <c r="E311" i="6" s="1"/>
  <c r="E271" i="19"/>
  <c r="M71" i="21"/>
  <c r="E62" i="20"/>
  <c r="D49" i="14"/>
  <c r="C37" i="22"/>
  <c r="E75" i="20"/>
  <c r="M126" i="21"/>
  <c r="D502" i="7"/>
  <c r="D520" i="7" s="1"/>
  <c r="U532" i="7" s="1"/>
  <c r="U240" i="7"/>
  <c r="E78" i="20"/>
  <c r="M137" i="21"/>
  <c r="L142" i="16"/>
  <c r="E348" i="22"/>
  <c r="L139" i="16"/>
  <c r="D246" i="22"/>
  <c r="H35" i="20"/>
  <c r="G128" i="21"/>
  <c r="G106" i="21"/>
  <c r="H52" i="20"/>
  <c r="I75" i="20"/>
  <c r="H126" i="21"/>
  <c r="H115" i="21"/>
  <c r="I72" i="20"/>
  <c r="D135" i="5"/>
  <c r="K160" i="16"/>
  <c r="E949" i="22"/>
  <c r="L151" i="16"/>
  <c r="C644" i="22"/>
  <c r="D644" i="22" s="1"/>
  <c r="L133" i="16"/>
  <c r="C50" i="22"/>
  <c r="F16" i="20"/>
  <c r="N61" i="21"/>
  <c r="N71" i="21"/>
  <c r="F62" i="20"/>
  <c r="E52" i="20"/>
  <c r="M106" i="21"/>
  <c r="AJ252" i="7"/>
  <c r="G316" i="6"/>
  <c r="N105" i="21"/>
  <c r="F29" i="20"/>
  <c r="H72" i="20"/>
  <c r="G115" i="21"/>
  <c r="C678" i="22"/>
  <c r="L152" i="16"/>
  <c r="D122" i="5"/>
  <c r="H62" i="20"/>
  <c r="G71" i="21"/>
  <c r="F52" i="20"/>
  <c r="N106" i="21"/>
  <c r="H42" i="20"/>
  <c r="G150" i="21"/>
  <c r="D50" i="22"/>
  <c r="F50" i="22" s="1"/>
  <c r="F78" i="20"/>
  <c r="N137" i="21"/>
  <c r="H81" i="21"/>
  <c r="I21" i="20"/>
  <c r="I29" i="20"/>
  <c r="H105" i="21"/>
  <c r="L140" i="16"/>
  <c r="D280" i="22"/>
  <c r="K157" i="16"/>
  <c r="C847" i="22"/>
  <c r="D50" i="4"/>
  <c r="C51" i="4"/>
  <c r="E746" i="22"/>
  <c r="L154" i="16"/>
  <c r="L141" i="16"/>
  <c r="D314" i="22"/>
  <c r="F314" i="22" s="1"/>
  <c r="K16" i="23" s="1"/>
  <c r="G61" i="21"/>
  <c r="H16" i="20"/>
  <c r="B335" i="22"/>
  <c r="B140" i="7"/>
  <c r="AJ263" i="7"/>
  <c r="G319" i="6"/>
  <c r="F733" i="22" s="1"/>
  <c r="D182" i="22"/>
  <c r="E381" i="22"/>
  <c r="K143" i="16"/>
  <c r="D118" i="5"/>
  <c r="G126" i="21"/>
  <c r="H75" i="20"/>
  <c r="H70" i="21"/>
  <c r="I46" i="20"/>
  <c r="C711" i="22"/>
  <c r="K153" i="16"/>
  <c r="D128" i="5"/>
  <c r="H21" i="20"/>
  <c r="G81" i="21"/>
  <c r="L160" i="16"/>
  <c r="E950" i="22"/>
  <c r="L155" i="16"/>
  <c r="C780" i="22"/>
  <c r="G82" i="21"/>
  <c r="H49" i="20"/>
  <c r="H117" i="21"/>
  <c r="I32" i="20"/>
  <c r="D131" i="5"/>
  <c r="N126" i="21"/>
  <c r="F75" i="20"/>
  <c r="F72" i="20"/>
  <c r="N115" i="21"/>
  <c r="N59" i="21"/>
  <c r="F59" i="20"/>
  <c r="L157" i="16"/>
  <c r="C848" i="22"/>
  <c r="E848" i="22" s="1"/>
  <c r="H46" i="20"/>
  <c r="G70" i="21"/>
  <c r="E881" i="22"/>
  <c r="K158" i="16"/>
  <c r="D133" i="5"/>
  <c r="G29" i="20"/>
  <c r="F105" i="21"/>
  <c r="H32" i="20"/>
  <c r="G117" i="21"/>
  <c r="G263" i="7"/>
  <c r="G265" i="7"/>
  <c r="G264" i="7"/>
  <c r="C287" i="7" s="1"/>
  <c r="C600" i="7" s="1"/>
  <c r="B318" i="6"/>
  <c r="B315" i="6"/>
  <c r="B123" i="7"/>
  <c r="E847" i="22"/>
  <c r="E301" i="6"/>
  <c r="D51" i="14" s="1"/>
  <c r="B169" i="22"/>
  <c r="B119" i="7"/>
  <c r="D160" i="7" s="1"/>
  <c r="B369" i="22"/>
  <c r="D52" i="14"/>
  <c r="D169" i="22"/>
  <c r="C69" i="9"/>
  <c r="C117" i="9" s="1"/>
  <c r="F369" i="22"/>
  <c r="B69" i="9"/>
  <c r="B117" i="9" s="1"/>
  <c r="G69" i="9"/>
  <c r="G117" i="9" s="1"/>
  <c r="H69" i="9"/>
  <c r="H117" i="9" s="1"/>
  <c r="I69" i="9"/>
  <c r="I117" i="9" s="1"/>
  <c r="B403" i="22"/>
  <c r="B126" i="7"/>
  <c r="F94" i="9" s="1"/>
  <c r="F403" i="22"/>
  <c r="I70" i="9"/>
  <c r="I118" i="9" s="1"/>
  <c r="F70" i="9"/>
  <c r="F118" i="9" s="1"/>
  <c r="B567" i="22"/>
  <c r="C579" i="22" s="1"/>
  <c r="J24" i="23" s="1"/>
  <c r="B131" i="7"/>
  <c r="F99" i="9" s="1"/>
  <c r="F123" i="9" s="1"/>
  <c r="C733" i="22"/>
  <c r="B136" i="7"/>
  <c r="D49" i="22"/>
  <c r="J8" i="23" s="1"/>
  <c r="G308" i="6"/>
  <c r="G369" i="22" s="1"/>
  <c r="B320" i="6"/>
  <c r="B137" i="7" s="1"/>
  <c r="J90" i="8" s="1"/>
  <c r="J128" i="8" s="1"/>
  <c r="F69" i="9"/>
  <c r="F117" i="9" s="1"/>
  <c r="B116" i="7"/>
  <c r="J69" i="8" s="1"/>
  <c r="G84" i="8"/>
  <c r="B115" i="7"/>
  <c r="F83" i="9" s="1"/>
  <c r="F109" i="9" s="1"/>
  <c r="C304" i="6"/>
  <c r="C233" i="22" s="1"/>
  <c r="F245" i="22" s="1"/>
  <c r="D308" i="6"/>
  <c r="D369" i="22" s="1"/>
  <c r="H323" i="7"/>
  <c r="H642" i="7" s="1"/>
  <c r="H307" i="7"/>
  <c r="H625" i="7" s="1"/>
  <c r="H54" i="8" s="1"/>
  <c r="H129" i="8" s="1"/>
  <c r="H308" i="7"/>
  <c r="H626" i="7" s="1"/>
  <c r="H287" i="7"/>
  <c r="H600" i="7" s="1"/>
  <c r="H324" i="7"/>
  <c r="H643" i="7" s="1"/>
  <c r="AK265" i="7"/>
  <c r="AK263" i="7"/>
  <c r="AK262" i="7"/>
  <c r="AK264" i="7"/>
  <c r="AK252" i="7"/>
  <c r="I264" i="7"/>
  <c r="I263" i="7"/>
  <c r="C307" i="7" s="1"/>
  <c r="C625" i="7" s="1"/>
  <c r="I265" i="7"/>
  <c r="I252" i="7"/>
  <c r="I262" i="7"/>
  <c r="H306" i="7"/>
  <c r="H624" i="7" s="1"/>
  <c r="H285" i="7"/>
  <c r="H598" i="7" s="1"/>
  <c r="W252" i="7"/>
  <c r="W262" i="7"/>
  <c r="W265" i="7"/>
  <c r="W264" i="7"/>
  <c r="H286" i="7"/>
  <c r="H599" i="7" s="1"/>
  <c r="Q240" i="7"/>
  <c r="D501" i="7"/>
  <c r="D519" i="7" s="1"/>
  <c r="Q532" i="7" s="1"/>
  <c r="H91" i="9"/>
  <c r="H115" i="9" s="1"/>
  <c r="F91" i="9"/>
  <c r="F115" i="9" s="1"/>
  <c r="F68" i="9"/>
  <c r="F116" i="9" s="1"/>
  <c r="C301" i="6"/>
  <c r="B118" i="7" s="1"/>
  <c r="B16" i="16"/>
  <c r="E169" i="3"/>
  <c r="E206" i="3" s="1"/>
  <c r="E243" i="3" s="1"/>
  <c r="E173" i="3"/>
  <c r="E210" i="3" s="1"/>
  <c r="E247" i="3" s="1"/>
  <c r="E181" i="3"/>
  <c r="E218" i="3" s="1"/>
  <c r="E255" i="3" s="1"/>
  <c r="E97" i="9" s="1"/>
  <c r="E121" i="9" s="1"/>
  <c r="E185" i="3"/>
  <c r="E222" i="3" s="1"/>
  <c r="E259" i="3" s="1"/>
  <c r="E193" i="3"/>
  <c r="E172" i="3"/>
  <c r="E209" i="3" s="1"/>
  <c r="E246" i="3" s="1"/>
  <c r="E180" i="3"/>
  <c r="E217" i="3" s="1"/>
  <c r="E254" i="3" s="1"/>
  <c r="E186" i="3"/>
  <c r="E223" i="3" s="1"/>
  <c r="E260" i="3" s="1"/>
  <c r="E167" i="3"/>
  <c r="E204" i="3" s="1"/>
  <c r="E241" i="3" s="1"/>
  <c r="E183" i="3"/>
  <c r="E220" i="3" s="1"/>
  <c r="E257" i="3" s="1"/>
  <c r="E168" i="3"/>
  <c r="E205" i="3" s="1"/>
  <c r="E242" i="3" s="1"/>
  <c r="E184" i="3"/>
  <c r="E221" i="3" s="1"/>
  <c r="E258" i="3" s="1"/>
  <c r="E192" i="3"/>
  <c r="E229" i="3" s="1"/>
  <c r="E266" i="3" s="1"/>
  <c r="E178" i="3"/>
  <c r="E215" i="3" s="1"/>
  <c r="E252" i="3" s="1"/>
  <c r="E175" i="3"/>
  <c r="E212" i="3" s="1"/>
  <c r="E249" i="3" s="1"/>
  <c r="E177" i="3"/>
  <c r="E214" i="3" s="1"/>
  <c r="E251" i="3" s="1"/>
  <c r="E189" i="3"/>
  <c r="E226" i="3" s="1"/>
  <c r="E263" i="3" s="1"/>
  <c r="E176" i="3"/>
  <c r="E213" i="3" s="1"/>
  <c r="E250" i="3" s="1"/>
  <c r="E188" i="3"/>
  <c r="E225" i="3" s="1"/>
  <c r="E262" i="3" s="1"/>
  <c r="E89" i="8" s="1"/>
  <c r="E170" i="3"/>
  <c r="E207" i="3" s="1"/>
  <c r="E244" i="3" s="1"/>
  <c r="E194" i="3"/>
  <c r="E191" i="3"/>
  <c r="E228" i="3" s="1"/>
  <c r="E265" i="3" s="1"/>
  <c r="E235" i="19"/>
  <c r="G199" i="6"/>
  <c r="E300" i="6" s="1"/>
  <c r="B437" i="22"/>
  <c r="I449" i="22" s="1"/>
  <c r="B127" i="7"/>
  <c r="B733" i="22"/>
  <c r="H745" i="22" s="1"/>
  <c r="D643" i="22"/>
  <c r="J26" i="23" s="1"/>
  <c r="N136" i="21"/>
  <c r="F37" i="20"/>
  <c r="H37" i="20"/>
  <c r="G136" i="21"/>
  <c r="G139" i="21"/>
  <c r="H38" i="20"/>
  <c r="D240" i="7"/>
  <c r="D252" i="7" s="1"/>
  <c r="C498" i="7"/>
  <c r="AE240" i="7"/>
  <c r="B505" i="7"/>
  <c r="B10" i="15"/>
  <c r="B23" i="15" s="1"/>
  <c r="B214" i="16" s="1"/>
  <c r="B128" i="7"/>
  <c r="F246" i="22"/>
  <c r="K14" i="23" s="1"/>
  <c r="B92" i="8"/>
  <c r="B130" i="8" s="1"/>
  <c r="C92" i="8"/>
  <c r="C130" i="8" s="1"/>
  <c r="I92" i="8"/>
  <c r="I130" i="8" s="1"/>
  <c r="J92" i="8"/>
  <c r="J130" i="8" s="1"/>
  <c r="E835" i="22"/>
  <c r="F835" i="22" s="1"/>
  <c r="E937" i="22"/>
  <c r="B801" i="22"/>
  <c r="B138" i="7"/>
  <c r="C240" i="7"/>
  <c r="C254" i="7" s="1"/>
  <c r="B498" i="7"/>
  <c r="C505" i="7"/>
  <c r="AF240" i="7"/>
  <c r="H288" i="7"/>
  <c r="H601" i="7" s="1"/>
  <c r="H325" i="7"/>
  <c r="H644" i="7" s="1"/>
  <c r="H309" i="7"/>
  <c r="H627" i="7" s="1"/>
  <c r="C285" i="7"/>
  <c r="C598" i="7" s="1"/>
  <c r="C306" i="7"/>
  <c r="C624" i="7" s="1"/>
  <c r="C322" i="7"/>
  <c r="C641" i="7" s="1"/>
  <c r="D393" i="7"/>
  <c r="C393" i="7"/>
  <c r="G83" i="8"/>
  <c r="F83" i="8"/>
  <c r="I83" i="8"/>
  <c r="B98" i="9"/>
  <c r="B122" i="9" s="1"/>
  <c r="H98" i="9"/>
  <c r="H122" i="9" s="1"/>
  <c r="G98" i="9"/>
  <c r="G122" i="9" s="1"/>
  <c r="D429" i="7"/>
  <c r="B393" i="7"/>
  <c r="E393" i="7" s="1"/>
  <c r="B429" i="7" s="1"/>
  <c r="C429" i="7" s="1"/>
  <c r="I98" i="9"/>
  <c r="I122" i="9" s="1"/>
  <c r="H83" i="8"/>
  <c r="F98" i="9"/>
  <c r="F122" i="9" s="1"/>
  <c r="C98" i="9"/>
  <c r="C122" i="9" s="1"/>
  <c r="C535" i="22"/>
  <c r="D547" i="22" s="1"/>
  <c r="C83" i="8"/>
  <c r="B83" i="8"/>
  <c r="B30" i="10"/>
  <c r="I97" i="9"/>
  <c r="I121" i="9" s="1"/>
  <c r="F97" i="9"/>
  <c r="F121" i="9" s="1"/>
  <c r="C503" i="22"/>
  <c r="D515" i="22" s="1"/>
  <c r="C392" i="7"/>
  <c r="B29" i="10"/>
  <c r="C82" i="8"/>
  <c r="B82" i="8"/>
  <c r="J82" i="8"/>
  <c r="G97" i="9"/>
  <c r="G121" i="9" s="1"/>
  <c r="J97" i="9"/>
  <c r="J121" i="9" s="1"/>
  <c r="D392" i="7"/>
  <c r="H82" i="8"/>
  <c r="F82" i="8"/>
  <c r="B392" i="7"/>
  <c r="E392" i="7" s="1"/>
  <c r="B428" i="7" s="1"/>
  <c r="C428" i="7" s="1"/>
  <c r="I82" i="8"/>
  <c r="B97" i="9"/>
  <c r="B121" i="9" s="1"/>
  <c r="D428" i="7"/>
  <c r="C97" i="9"/>
  <c r="C121" i="9" s="1"/>
  <c r="H97" i="9"/>
  <c r="H121" i="9" s="1"/>
  <c r="G82" i="8"/>
  <c r="C70" i="9"/>
  <c r="C118" i="9" s="1"/>
  <c r="B46" i="12"/>
  <c r="H91" i="8"/>
  <c r="G70" i="9"/>
  <c r="G118" i="9" s="1"/>
  <c r="B267" i="22"/>
  <c r="B122" i="7"/>
  <c r="J75" i="8" s="1"/>
  <c r="I52" i="20"/>
  <c r="H106" i="21"/>
  <c r="E287" i="19"/>
  <c r="G251" i="6"/>
  <c r="B699" i="22"/>
  <c r="B135" i="7"/>
  <c r="E88" i="8" s="1"/>
  <c r="E126" i="8" s="1"/>
  <c r="H92" i="8"/>
  <c r="H130" i="8" s="1"/>
  <c r="B14" i="14"/>
  <c r="B83" i="9"/>
  <c r="B109" i="9" s="1"/>
  <c r="E83" i="9"/>
  <c r="E109" i="9" s="1"/>
  <c r="I83" i="9"/>
  <c r="I109" i="9" s="1"/>
  <c r="C83" i="9"/>
  <c r="C109" i="9" s="1"/>
  <c r="C68" i="8"/>
  <c r="C106" i="8" s="1"/>
  <c r="G68" i="8"/>
  <c r="G106" i="8" s="1"/>
  <c r="I68" i="8"/>
  <c r="I106" i="8" s="1"/>
  <c r="C49" i="14"/>
  <c r="H83" i="9"/>
  <c r="H109" i="9" s="1"/>
  <c r="G83" i="9"/>
  <c r="G109" i="9" s="1"/>
  <c r="E68" i="8"/>
  <c r="E106" i="8" s="1"/>
  <c r="J68" i="8"/>
  <c r="J106" i="8" s="1"/>
  <c r="D37" i="22"/>
  <c r="H68" i="8"/>
  <c r="H106" i="8" s="1"/>
  <c r="J83" i="9"/>
  <c r="J109" i="9" s="1"/>
  <c r="B68" i="8"/>
  <c r="B106" i="8" s="1"/>
  <c r="AI240" i="7"/>
  <c r="B506" i="7"/>
  <c r="B103" i="18"/>
  <c r="C217" i="18" s="1"/>
  <c r="B94" i="9"/>
  <c r="G94" i="9"/>
  <c r="C94" i="9"/>
  <c r="B184" i="7"/>
  <c r="E184" i="7" s="1"/>
  <c r="B206" i="7" s="1"/>
  <c r="C206" i="7" s="1"/>
  <c r="F79" i="8"/>
  <c r="E79" i="8"/>
  <c r="H79" i="8"/>
  <c r="G79" i="8"/>
  <c r="I94" i="9"/>
  <c r="C184" i="7"/>
  <c r="B79" i="8"/>
  <c r="I79" i="8"/>
  <c r="H94" i="9"/>
  <c r="C79" i="8"/>
  <c r="H403" i="22"/>
  <c r="D184" i="7"/>
  <c r="H949" i="22"/>
  <c r="H950" i="22"/>
  <c r="F49" i="22"/>
  <c r="B102" i="18"/>
  <c r="C216" i="18" s="1"/>
  <c r="B32" i="12"/>
  <c r="B63" i="13" s="1"/>
  <c r="B70" i="9"/>
  <c r="B118" i="9" s="1"/>
  <c r="D267" i="22"/>
  <c r="B68" i="9"/>
  <c r="B116" i="9" s="1"/>
  <c r="C68" i="9"/>
  <c r="C116" i="9" s="1"/>
  <c r="H68" i="9"/>
  <c r="H116" i="9" s="1"/>
  <c r="I68" i="9"/>
  <c r="I116" i="9" s="1"/>
  <c r="F335" i="22"/>
  <c r="I348" i="22" s="1"/>
  <c r="N101" i="21"/>
  <c r="F28" i="20"/>
  <c r="E276" i="19"/>
  <c r="G240" i="6"/>
  <c r="E312" i="6" s="1"/>
  <c r="B599" i="22"/>
  <c r="F611" i="22" s="1"/>
  <c r="J25" i="23" s="1"/>
  <c r="B132" i="7"/>
  <c r="C665" i="22"/>
  <c r="B903" i="22"/>
  <c r="B109" i="18"/>
  <c r="C223" i="18" s="1"/>
  <c r="G92" i="8"/>
  <c r="G130" i="8" s="1"/>
  <c r="D71" i="9"/>
  <c r="D119" i="9" s="1"/>
  <c r="H71" i="9"/>
  <c r="H119" i="9" s="1"/>
  <c r="E289" i="19"/>
  <c r="G253" i="6"/>
  <c r="D699" i="22"/>
  <c r="G103" i="18"/>
  <c r="C357" i="18" s="1"/>
  <c r="O264" i="7"/>
  <c r="O265" i="7"/>
  <c r="O263" i="7"/>
  <c r="O252" i="7"/>
  <c r="O262" i="7"/>
  <c r="X240" i="7"/>
  <c r="C503" i="7"/>
  <c r="D32" i="7"/>
  <c r="C47" i="7" s="1"/>
  <c r="AJ262" i="7"/>
  <c r="D28" i="7"/>
  <c r="C43" i="7" s="1"/>
  <c r="D70" i="7"/>
  <c r="C83" i="7" s="1"/>
  <c r="D69" i="7"/>
  <c r="C82" i="7" s="1"/>
  <c r="D31" i="7"/>
  <c r="C46" i="7" s="1"/>
  <c r="D27" i="7"/>
  <c r="C42" i="7" s="1"/>
  <c r="H275" i="7" s="1"/>
  <c r="H588" i="7" s="1"/>
  <c r="H12" i="8" s="1"/>
  <c r="H108" i="8" s="1"/>
  <c r="H143" i="9" s="1"/>
  <c r="D71" i="7"/>
  <c r="C84" i="7" s="1"/>
  <c r="D72" i="7"/>
  <c r="C85" i="7" s="1"/>
  <c r="D68" i="7"/>
  <c r="C81" i="7" s="1"/>
  <c r="C159" i="7" s="1"/>
  <c r="E504" i="7"/>
  <c r="F504" i="7" s="1"/>
  <c r="T262" i="7"/>
  <c r="T264" i="7"/>
  <c r="T265" i="7"/>
  <c r="X262" i="7"/>
  <c r="H265" i="7"/>
  <c r="H252" i="7"/>
  <c r="C275" i="7" s="1"/>
  <c r="C588" i="7" s="1"/>
  <c r="E499" i="7"/>
  <c r="E506" i="7"/>
  <c r="T263" i="7"/>
  <c r="E502" i="7"/>
  <c r="F502" i="7" s="1"/>
  <c r="AF263" i="7"/>
  <c r="AF264" i="7"/>
  <c r="P263" i="7"/>
  <c r="P265" i="7"/>
  <c r="AF265" i="7"/>
  <c r="AF262" i="7"/>
  <c r="P264" i="7"/>
  <c r="E498" i="7"/>
  <c r="F498" i="7" s="1"/>
  <c r="L263" i="7"/>
  <c r="L262" i="7"/>
  <c r="L264" i="7"/>
  <c r="L260" i="7"/>
  <c r="AB260" i="7"/>
  <c r="X260" i="7"/>
  <c r="AF260" i="7"/>
  <c r="AJ260" i="7"/>
  <c r="E500" i="7"/>
  <c r="AF252" i="7"/>
  <c r="P252" i="7"/>
  <c r="L252" i="7"/>
  <c r="E501" i="7"/>
  <c r="F501" i="7" s="1"/>
  <c r="T260" i="7"/>
  <c r="P260" i="7"/>
  <c r="P262" i="7"/>
  <c r="L265" i="7"/>
  <c r="E505" i="7"/>
  <c r="F505" i="7" s="1"/>
  <c r="H260" i="7"/>
  <c r="F77" i="21"/>
  <c r="G20" i="20"/>
  <c r="I415" i="22"/>
  <c r="I416" i="22"/>
  <c r="C87" i="9"/>
  <c r="C112" i="9" s="1"/>
  <c r="I72" i="8"/>
  <c r="B95" i="8"/>
  <c r="G937" i="22"/>
  <c r="I95" i="8"/>
  <c r="D95" i="8"/>
  <c r="G95" i="8"/>
  <c r="E95" i="8"/>
  <c r="H95" i="8"/>
  <c r="F95" i="8"/>
  <c r="C95" i="8"/>
  <c r="K449" i="22"/>
  <c r="L449" i="22"/>
  <c r="J20" i="23"/>
  <c r="G108" i="18"/>
  <c r="C362" i="18" s="1"/>
  <c r="C869" i="22"/>
  <c r="F181" i="22"/>
  <c r="J12" i="23" s="1"/>
  <c r="B391" i="7"/>
  <c r="E391" i="7" s="1"/>
  <c r="B427" i="7" s="1"/>
  <c r="C427" i="7" s="1"/>
  <c r="G96" i="9"/>
  <c r="G120" i="9" s="1"/>
  <c r="B81" i="8"/>
  <c r="E81" i="8"/>
  <c r="B134" i="7"/>
  <c r="D430" i="7"/>
  <c r="G99" i="9"/>
  <c r="G123" i="9" s="1"/>
  <c r="H84" i="8"/>
  <c r="B84" i="8"/>
  <c r="D394" i="7"/>
  <c r="I84" i="8"/>
  <c r="E84" i="8"/>
  <c r="C567" i="22"/>
  <c r="I99" i="9"/>
  <c r="I123" i="9" s="1"/>
  <c r="J99" i="9"/>
  <c r="J123" i="9" s="1"/>
  <c r="F68" i="8"/>
  <c r="F106" i="8" s="1"/>
  <c r="B38" i="12"/>
  <c r="B69" i="13" s="1"/>
  <c r="B133" i="7"/>
  <c r="B120" i="7"/>
  <c r="J88" i="9" s="1"/>
  <c r="B141" i="7"/>
  <c r="B91" i="8"/>
  <c r="H55" i="8"/>
  <c r="H131" i="8" s="1"/>
  <c r="H313" i="22"/>
  <c r="H70" i="9"/>
  <c r="H118" i="9" s="1"/>
  <c r="B105" i="22"/>
  <c r="B117" i="7"/>
  <c r="J85" i="9" s="1"/>
  <c r="C12" i="8"/>
  <c r="C108" i="8" s="1"/>
  <c r="C143" i="9" s="1"/>
  <c r="D500" i="7"/>
  <c r="D518" i="7" s="1"/>
  <c r="M532" i="7" s="1"/>
  <c r="M240" i="7"/>
  <c r="G110" i="18"/>
  <c r="C364" i="18" s="1"/>
  <c r="J86" i="8"/>
  <c r="J124" i="8" s="1"/>
  <c r="J90" i="9"/>
  <c r="J114" i="9" s="1"/>
  <c r="J68" i="9"/>
  <c r="J116" i="9" s="1"/>
  <c r="B51" i="14"/>
  <c r="F83" i="22"/>
  <c r="J9" i="23" s="1"/>
  <c r="G104" i="18"/>
  <c r="C358" i="18" s="1"/>
  <c r="G107" i="18"/>
  <c r="C361" i="18" s="1"/>
  <c r="L450" i="22"/>
  <c r="K450" i="22"/>
  <c r="B86" i="9"/>
  <c r="B111" i="9" s="1"/>
  <c r="H86" i="9"/>
  <c r="H111" i="9" s="1"/>
  <c r="J86" i="9"/>
  <c r="J111" i="9" s="1"/>
  <c r="I86" i="9"/>
  <c r="I111" i="9" s="1"/>
  <c r="C86" i="9"/>
  <c r="C111" i="9" s="1"/>
  <c r="D135" i="22"/>
  <c r="B16" i="14"/>
  <c r="H71" i="8"/>
  <c r="H109" i="8" s="1"/>
  <c r="H144" i="9" s="1"/>
  <c r="G71" i="8"/>
  <c r="G109" i="8" s="1"/>
  <c r="G144" i="9" s="1"/>
  <c r="J71" i="8"/>
  <c r="J109" i="8" s="1"/>
  <c r="J144" i="9" s="1"/>
  <c r="G86" i="9"/>
  <c r="G111" i="9" s="1"/>
  <c r="C51" i="14"/>
  <c r="C71" i="8"/>
  <c r="C109" i="8" s="1"/>
  <c r="C144" i="9" s="1"/>
  <c r="B71" i="8"/>
  <c r="B109" i="8" s="1"/>
  <c r="B144" i="9" s="1"/>
  <c r="I71" i="8"/>
  <c r="I109" i="8" s="1"/>
  <c r="I144" i="9" s="1"/>
  <c r="F71" i="8"/>
  <c r="F109" i="8" s="1"/>
  <c r="F144" i="9" s="1"/>
  <c r="F86" i="9"/>
  <c r="F111" i="9" s="1"/>
  <c r="G733" i="22"/>
  <c r="G89" i="8"/>
  <c r="F89" i="8"/>
  <c r="I89" i="8"/>
  <c r="C89" i="8"/>
  <c r="B89" i="8"/>
  <c r="J89" i="8"/>
  <c r="H89" i="8"/>
  <c r="D665" i="22"/>
  <c r="H87" i="8"/>
  <c r="H125" i="8" s="1"/>
  <c r="C87" i="8"/>
  <c r="C125" i="8" s="1"/>
  <c r="G87" i="8"/>
  <c r="G125" i="8" s="1"/>
  <c r="B87" i="8"/>
  <c r="B125" i="8" s="1"/>
  <c r="J87" i="8"/>
  <c r="J125" i="8" s="1"/>
  <c r="E87" i="8"/>
  <c r="E125" i="8" s="1"/>
  <c r="I87" i="8"/>
  <c r="I125" i="8" s="1"/>
  <c r="F87" i="8"/>
  <c r="F125" i="8" s="1"/>
  <c r="D579" i="22"/>
  <c r="B77" i="8"/>
  <c r="I92" i="9"/>
  <c r="J92" i="9"/>
  <c r="H335" i="22"/>
  <c r="B182" i="7"/>
  <c r="E182" i="7" s="1"/>
  <c r="B204" i="7" s="1"/>
  <c r="C204" i="7" s="1"/>
  <c r="C77" i="8"/>
  <c r="D182" i="7"/>
  <c r="J77" i="8"/>
  <c r="C92" i="9"/>
  <c r="B92" i="9"/>
  <c r="H92" i="9"/>
  <c r="C182" i="7"/>
  <c r="H77" i="8"/>
  <c r="I77" i="8"/>
  <c r="G77" i="8"/>
  <c r="G92" i="9"/>
  <c r="E77" i="8"/>
  <c r="F77" i="8"/>
  <c r="E92" i="9"/>
  <c r="F92" i="9"/>
  <c r="H882" i="22"/>
  <c r="H881" i="22"/>
  <c r="B50" i="14"/>
  <c r="J69" i="9"/>
  <c r="J117" i="9" s="1"/>
  <c r="D170" i="3"/>
  <c r="D207" i="3" s="1"/>
  <c r="D244" i="3" s="1"/>
  <c r="D86" i="9" s="1"/>
  <c r="D111" i="9" s="1"/>
  <c r="D174" i="3"/>
  <c r="D211" i="3" s="1"/>
  <c r="D248" i="3" s="1"/>
  <c r="D175" i="3"/>
  <c r="D212" i="3" s="1"/>
  <c r="D249" i="3" s="1"/>
  <c r="D179" i="3"/>
  <c r="D183" i="3"/>
  <c r="D220" i="3" s="1"/>
  <c r="D257" i="3" s="1"/>
  <c r="D187" i="3"/>
  <c r="D224" i="3" s="1"/>
  <c r="D261" i="3" s="1"/>
  <c r="D191" i="3"/>
  <c r="D228" i="3" s="1"/>
  <c r="D265" i="3" s="1"/>
  <c r="D167" i="3"/>
  <c r="D204" i="3" s="1"/>
  <c r="D241" i="3" s="1"/>
  <c r="D171" i="3"/>
  <c r="D208" i="3" s="1"/>
  <c r="D245" i="3" s="1"/>
  <c r="D178" i="3"/>
  <c r="D215" i="3" s="1"/>
  <c r="D252" i="3" s="1"/>
  <c r="D182" i="3"/>
  <c r="D219" i="3" s="1"/>
  <c r="D256" i="3" s="1"/>
  <c r="D186" i="3"/>
  <c r="D223" i="3" s="1"/>
  <c r="D260" i="3" s="1"/>
  <c r="D190" i="3"/>
  <c r="D227" i="3" s="1"/>
  <c r="D264" i="3" s="1"/>
  <c r="D194" i="3"/>
  <c r="D169" i="3"/>
  <c r="D206" i="3" s="1"/>
  <c r="D243" i="3" s="1"/>
  <c r="D177" i="3"/>
  <c r="D214" i="3" s="1"/>
  <c r="D251" i="3" s="1"/>
  <c r="D185" i="3"/>
  <c r="D222" i="3" s="1"/>
  <c r="D259" i="3" s="1"/>
  <c r="D193" i="3"/>
  <c r="D172" i="3"/>
  <c r="D209" i="3" s="1"/>
  <c r="D246" i="3" s="1"/>
  <c r="D180" i="3"/>
  <c r="D217" i="3" s="1"/>
  <c r="D254" i="3" s="1"/>
  <c r="D188" i="3"/>
  <c r="D225" i="3" s="1"/>
  <c r="D262" i="3" s="1"/>
  <c r="D173" i="3"/>
  <c r="D210" i="3" s="1"/>
  <c r="D247" i="3" s="1"/>
  <c r="D181" i="3"/>
  <c r="D218" i="3" s="1"/>
  <c r="D255" i="3" s="1"/>
  <c r="D189" i="3"/>
  <c r="D226" i="3" s="1"/>
  <c r="D263" i="3" s="1"/>
  <c r="D168" i="3"/>
  <c r="D205" i="3" s="1"/>
  <c r="D242" i="3" s="1"/>
  <c r="D176" i="3"/>
  <c r="D213" i="3" s="1"/>
  <c r="D250" i="3" s="1"/>
  <c r="D184" i="3"/>
  <c r="D221" i="3" s="1"/>
  <c r="D258" i="3" s="1"/>
  <c r="D192" i="3"/>
  <c r="D229" i="3" s="1"/>
  <c r="D266" i="3" s="1"/>
  <c r="X254" i="7"/>
  <c r="T254" i="7"/>
  <c r="AJ254" i="7"/>
  <c r="H254" i="7"/>
  <c r="AA254" i="7"/>
  <c r="AE254" i="7"/>
  <c r="M254" i="7"/>
  <c r="AK254" i="7"/>
  <c r="I254" i="7"/>
  <c r="G254" i="7"/>
  <c r="W254" i="7"/>
  <c r="AI254" i="7"/>
  <c r="O254" i="7"/>
  <c r="S254" i="7"/>
  <c r="K254" i="7"/>
  <c r="Q254" i="7"/>
  <c r="AC254" i="7"/>
  <c r="Y254" i="7"/>
  <c r="U254" i="7"/>
  <c r="AF254" i="7"/>
  <c r="P254" i="7"/>
  <c r="AG254" i="7"/>
  <c r="L254" i="7"/>
  <c r="E254" i="7"/>
  <c r="B93" i="8"/>
  <c r="C93" i="8"/>
  <c r="I93" i="8"/>
  <c r="G869" i="22"/>
  <c r="H93" i="8"/>
  <c r="J93" i="8"/>
  <c r="G93" i="8"/>
  <c r="E93" i="8"/>
  <c r="F93" i="8"/>
  <c r="D93" i="8"/>
  <c r="J91" i="8"/>
  <c r="J79" i="8"/>
  <c r="J70" i="9"/>
  <c r="J118" i="9" s="1"/>
  <c r="J94" i="9"/>
  <c r="J95" i="8"/>
  <c r="J98" i="9"/>
  <c r="J122" i="9" s="1"/>
  <c r="J83" i="8"/>
  <c r="J100" i="9"/>
  <c r="J124" i="9" s="1"/>
  <c r="J85" i="8"/>
  <c r="E91" i="8"/>
  <c r="E83" i="8"/>
  <c r="E98" i="9"/>
  <c r="E122" i="9" s="1"/>
  <c r="B107" i="18"/>
  <c r="C221" i="18" s="1"/>
  <c r="B101" i="18"/>
  <c r="C215" i="18" s="1"/>
  <c r="I382" i="22"/>
  <c r="I381" i="22"/>
  <c r="F141" i="9"/>
  <c r="AB254" i="7"/>
  <c r="F84" i="22"/>
  <c r="K9" i="23" s="1"/>
  <c r="J84" i="9"/>
  <c r="J110" i="9" s="1"/>
  <c r="D254" i="7" l="1"/>
  <c r="C160" i="7"/>
  <c r="G87" i="9"/>
  <c r="G112" i="9" s="1"/>
  <c r="D265" i="7"/>
  <c r="C308" i="7"/>
  <c r="C626" i="7" s="1"/>
  <c r="K8" i="23"/>
  <c r="H746" i="22"/>
  <c r="G72" i="8"/>
  <c r="J87" i="9"/>
  <c r="J112" i="9" s="1"/>
  <c r="D262" i="7"/>
  <c r="E82" i="8"/>
  <c r="C324" i="7"/>
  <c r="C643" i="7" s="1"/>
  <c r="C72" i="8"/>
  <c r="H87" i="9"/>
  <c r="H112" i="9" s="1"/>
  <c r="D260" i="7"/>
  <c r="D263" i="7"/>
  <c r="Y265" i="7"/>
  <c r="Y264" i="7"/>
  <c r="Y262" i="7"/>
  <c r="Y263" i="7"/>
  <c r="Y252" i="7"/>
  <c r="H72" i="8"/>
  <c r="C52" i="14"/>
  <c r="F87" i="9"/>
  <c r="F112" i="9" s="1"/>
  <c r="B767" i="22"/>
  <c r="H314" i="22"/>
  <c r="U262" i="7"/>
  <c r="F306" i="7" s="1"/>
  <c r="F624" i="7" s="1"/>
  <c r="F53" i="8" s="1"/>
  <c r="F127" i="8" s="1"/>
  <c r="U265" i="7"/>
  <c r="F309" i="7" s="1"/>
  <c r="F627" i="7" s="1"/>
  <c r="U263" i="7"/>
  <c r="F323" i="7" s="1"/>
  <c r="F642" i="7" s="1"/>
  <c r="U252" i="7"/>
  <c r="U264" i="7"/>
  <c r="F324" i="7" s="1"/>
  <c r="F643" i="7" s="1"/>
  <c r="F101" i="21"/>
  <c r="G28" i="20"/>
  <c r="E87" i="9"/>
  <c r="E112" i="9" s="1"/>
  <c r="B72" i="8"/>
  <c r="B160" i="7"/>
  <c r="E160" i="7" s="1"/>
  <c r="B199" i="7" s="1"/>
  <c r="C199" i="7" s="1"/>
  <c r="B87" i="9"/>
  <c r="B112" i="9" s="1"/>
  <c r="C52" i="4"/>
  <c r="D51" i="4"/>
  <c r="E72" i="8"/>
  <c r="J72" i="8"/>
  <c r="I87" i="9"/>
  <c r="I112" i="9" s="1"/>
  <c r="B17" i="14"/>
  <c r="D264" i="7"/>
  <c r="B19" i="14"/>
  <c r="E75" i="8"/>
  <c r="I347" i="22"/>
  <c r="F72" i="8"/>
  <c r="E169" i="22"/>
  <c r="G181" i="22" s="1"/>
  <c r="B52" i="4"/>
  <c r="B66" i="4"/>
  <c r="B82" i="4" s="1"/>
  <c r="C135" i="22"/>
  <c r="B163" i="7"/>
  <c r="E163" i="7" s="1"/>
  <c r="B203" i="7" s="1"/>
  <c r="C203" i="7" s="1"/>
  <c r="F76" i="8"/>
  <c r="J91" i="9"/>
  <c r="J115" i="9" s="1"/>
  <c r="G91" i="9"/>
  <c r="G115" i="9" s="1"/>
  <c r="E301" i="22"/>
  <c r="H76" i="8"/>
  <c r="B20" i="14"/>
  <c r="G76" i="8"/>
  <c r="B91" i="9"/>
  <c r="B115" i="9" s="1"/>
  <c r="I91" i="9"/>
  <c r="I115" i="9" s="1"/>
  <c r="C91" i="9"/>
  <c r="C115" i="9" s="1"/>
  <c r="C76" i="8"/>
  <c r="J76" i="8"/>
  <c r="B76" i="8"/>
  <c r="I76" i="8"/>
  <c r="C66" i="14"/>
  <c r="D163" i="7"/>
  <c r="H181" i="22"/>
  <c r="J32" i="23"/>
  <c r="G847" i="22"/>
  <c r="C163" i="7"/>
  <c r="K32" i="23"/>
  <c r="G848" i="22"/>
  <c r="J70" i="8"/>
  <c r="I450" i="22"/>
  <c r="K20" i="23" s="1"/>
  <c r="F69" i="8"/>
  <c r="J14" i="23"/>
  <c r="H245" i="22"/>
  <c r="H99" i="9"/>
  <c r="H123" i="9" s="1"/>
  <c r="C84" i="8"/>
  <c r="B394" i="7"/>
  <c r="E394" i="7" s="1"/>
  <c r="B430" i="7" s="1"/>
  <c r="C430" i="7" s="1"/>
  <c r="J84" i="8"/>
  <c r="B99" i="9"/>
  <c r="B123" i="9" s="1"/>
  <c r="C99" i="9"/>
  <c r="C123" i="9" s="1"/>
  <c r="B31" i="10"/>
  <c r="F84" i="8"/>
  <c r="C394" i="7"/>
  <c r="D148" i="22"/>
  <c r="K11" i="23" s="1"/>
  <c r="D147" i="22"/>
  <c r="J11" i="23" s="1"/>
  <c r="F643" i="22"/>
  <c r="B125" i="7"/>
  <c r="F182" i="22"/>
  <c r="K26" i="23"/>
  <c r="F644" i="22"/>
  <c r="F84" i="9"/>
  <c r="F110" i="9" s="1"/>
  <c r="C84" i="9"/>
  <c r="C110" i="9" s="1"/>
  <c r="I84" i="9"/>
  <c r="I110" i="9" s="1"/>
  <c r="E71" i="22"/>
  <c r="C50" i="14"/>
  <c r="H84" i="9"/>
  <c r="H110" i="9" s="1"/>
  <c r="B15" i="14"/>
  <c r="G69" i="8"/>
  <c r="D159" i="7"/>
  <c r="B159" i="7"/>
  <c r="E159" i="7" s="1"/>
  <c r="B197" i="7" s="1"/>
  <c r="C197" i="7" s="1"/>
  <c r="C251" i="7" s="1"/>
  <c r="G84" i="9"/>
  <c r="G110" i="9" s="1"/>
  <c r="B84" i="9"/>
  <c r="B110" i="9" s="1"/>
  <c r="H69" i="8"/>
  <c r="C69" i="8"/>
  <c r="B69" i="8"/>
  <c r="I69" i="8"/>
  <c r="H83" i="22"/>
  <c r="E315" i="6"/>
  <c r="C56" i="10" s="1"/>
  <c r="H56" i="10" s="1"/>
  <c r="L68" i="10" s="1"/>
  <c r="H246" i="22"/>
  <c r="B121" i="7"/>
  <c r="E74" i="8" s="1"/>
  <c r="J277" i="7"/>
  <c r="J590" i="7" s="1"/>
  <c r="C277" i="7"/>
  <c r="C590" i="7" s="1"/>
  <c r="H53" i="8"/>
  <c r="H127" i="8" s="1"/>
  <c r="C55" i="8"/>
  <c r="C131" i="8" s="1"/>
  <c r="C323" i="7"/>
  <c r="C642" i="7" s="1"/>
  <c r="C54" i="8"/>
  <c r="C129" i="8" s="1"/>
  <c r="C286" i="7"/>
  <c r="C599" i="7" s="1"/>
  <c r="C288" i="7"/>
  <c r="C601" i="7" s="1"/>
  <c r="C309" i="7"/>
  <c r="C627" i="7" s="1"/>
  <c r="C325" i="7"/>
  <c r="C644" i="7" s="1"/>
  <c r="C252" i="7"/>
  <c r="B275" i="7" s="1"/>
  <c r="B588" i="7" s="1"/>
  <c r="C264" i="7"/>
  <c r="C265" i="7"/>
  <c r="C263" i="7"/>
  <c r="C262" i="7"/>
  <c r="C257" i="7"/>
  <c r="AE252" i="7"/>
  <c r="I275" i="7" s="1"/>
  <c r="I588" i="7" s="1"/>
  <c r="I12" i="8" s="1"/>
  <c r="I108" i="8" s="1"/>
  <c r="I143" i="9" s="1"/>
  <c r="AE264" i="7"/>
  <c r="AE265" i="7"/>
  <c r="AE262" i="7"/>
  <c r="AE263" i="7"/>
  <c r="AE257" i="7"/>
  <c r="D257" i="7"/>
  <c r="D277" i="7"/>
  <c r="D590" i="7" s="1"/>
  <c r="E277" i="7"/>
  <c r="E590" i="7" s="1"/>
  <c r="G277" i="7"/>
  <c r="G590" i="7" s="1"/>
  <c r="B277" i="7"/>
  <c r="B590" i="7" s="1"/>
  <c r="I277" i="7"/>
  <c r="I590" i="7" s="1"/>
  <c r="F286" i="7"/>
  <c r="F599" i="7" s="1"/>
  <c r="F308" i="7"/>
  <c r="F626" i="7" s="1"/>
  <c r="F322" i="7"/>
  <c r="F641" i="7" s="1"/>
  <c r="F285" i="7"/>
  <c r="F598" i="7" s="1"/>
  <c r="F325" i="7"/>
  <c r="F644" i="7" s="1"/>
  <c r="F275" i="7"/>
  <c r="F588" i="7" s="1"/>
  <c r="F12" i="8" s="1"/>
  <c r="F108" i="8" s="1"/>
  <c r="F143" i="9" s="1"/>
  <c r="AF257" i="7"/>
  <c r="Q252" i="7"/>
  <c r="E275" i="7" s="1"/>
  <c r="E588" i="7" s="1"/>
  <c r="E12" i="8" s="1"/>
  <c r="E108" i="8" s="1"/>
  <c r="E143" i="9" s="1"/>
  <c r="Q265" i="7"/>
  <c r="Q264" i="7"/>
  <c r="Q262" i="7"/>
  <c r="Q263" i="7"/>
  <c r="Q257" i="7"/>
  <c r="G306" i="7"/>
  <c r="G624" i="7" s="1"/>
  <c r="G285" i="7"/>
  <c r="G598" i="7" s="1"/>
  <c r="G322" i="7"/>
  <c r="G641" i="7" s="1"/>
  <c r="F277" i="7"/>
  <c r="F590" i="7" s="1"/>
  <c r="H277" i="7"/>
  <c r="H590" i="7" s="1"/>
  <c r="F307" i="7"/>
  <c r="F625" i="7" s="1"/>
  <c r="F287" i="7"/>
  <c r="F600" i="7" s="1"/>
  <c r="F288" i="7"/>
  <c r="F601" i="7" s="1"/>
  <c r="B66" i="14"/>
  <c r="D66" i="14" s="1"/>
  <c r="C53" i="8"/>
  <c r="C127" i="8" s="1"/>
  <c r="H56" i="8"/>
  <c r="H133" i="8" s="1"/>
  <c r="G801" i="22"/>
  <c r="H801" i="22" s="1"/>
  <c r="F91" i="8"/>
  <c r="I91" i="8"/>
  <c r="C91" i="8"/>
  <c r="E767" i="22"/>
  <c r="F767" i="22" s="1"/>
  <c r="I90" i="8"/>
  <c r="I128" i="8" s="1"/>
  <c r="C90" i="8"/>
  <c r="C128" i="8" s="1"/>
  <c r="F90" i="8"/>
  <c r="F128" i="8" s="1"/>
  <c r="B90" i="8"/>
  <c r="B128" i="8" s="1"/>
  <c r="H90" i="8"/>
  <c r="H128" i="8" s="1"/>
  <c r="E90" i="8"/>
  <c r="E128" i="8" s="1"/>
  <c r="G90" i="8"/>
  <c r="G128" i="8" s="1"/>
  <c r="F848" i="22"/>
  <c r="F847" i="22"/>
  <c r="F81" i="8"/>
  <c r="F96" i="9"/>
  <c r="F120" i="9" s="1"/>
  <c r="D427" i="7"/>
  <c r="D391" i="7"/>
  <c r="I96" i="9"/>
  <c r="I120" i="9" s="1"/>
  <c r="I81" i="8"/>
  <c r="C471" i="22"/>
  <c r="D483" i="22" s="1"/>
  <c r="C81" i="8"/>
  <c r="E96" i="9"/>
  <c r="E120" i="9" s="1"/>
  <c r="C391" i="7"/>
  <c r="G81" i="8"/>
  <c r="B95" i="9"/>
  <c r="J95" i="9"/>
  <c r="G95" i="9"/>
  <c r="D185" i="7"/>
  <c r="B80" i="8"/>
  <c r="E80" i="8"/>
  <c r="G80" i="8"/>
  <c r="J80" i="8"/>
  <c r="B185" i="7"/>
  <c r="E185" i="7" s="1"/>
  <c r="B207" i="7" s="1"/>
  <c r="C207" i="7" s="1"/>
  <c r="M261" i="7" s="1"/>
  <c r="C95" i="9"/>
  <c r="I95" i="9"/>
  <c r="F80" i="8"/>
  <c r="C185" i="7"/>
  <c r="F95" i="9"/>
  <c r="E95" i="9"/>
  <c r="C80" i="8"/>
  <c r="I80" i="8"/>
  <c r="H437" i="22"/>
  <c r="E92" i="8"/>
  <c r="E130" i="8" s="1"/>
  <c r="E69" i="9"/>
  <c r="E117" i="9" s="1"/>
  <c r="E70" i="9"/>
  <c r="E118" i="9" s="1"/>
  <c r="E99" i="9"/>
  <c r="E123" i="9" s="1"/>
  <c r="E89" i="9"/>
  <c r="E113" i="9" s="1"/>
  <c r="H814" i="22"/>
  <c r="H813" i="22"/>
  <c r="E780" i="22"/>
  <c r="E779" i="22"/>
  <c r="G17" i="20"/>
  <c r="F65" i="21"/>
  <c r="E91" i="9"/>
  <c r="E115" i="9" s="1"/>
  <c r="E76" i="8"/>
  <c r="E69" i="8"/>
  <c r="E84" i="9"/>
  <c r="E110" i="9" s="1"/>
  <c r="E90" i="9"/>
  <c r="E114" i="9" s="1"/>
  <c r="J81" i="8"/>
  <c r="E78" i="8"/>
  <c r="E71" i="8"/>
  <c r="E109" i="8" s="1"/>
  <c r="E144" i="9" s="1"/>
  <c r="E86" i="9"/>
  <c r="E111" i="9" s="1"/>
  <c r="B28" i="10"/>
  <c r="B96" i="9"/>
  <c r="B120" i="9" s="1"/>
  <c r="C96" i="9"/>
  <c r="C120" i="9" s="1"/>
  <c r="H96" i="9"/>
  <c r="H120" i="9" s="1"/>
  <c r="H81" i="8"/>
  <c r="H95" i="9"/>
  <c r="H80" i="8"/>
  <c r="D95" i="9"/>
  <c r="D80" i="8"/>
  <c r="E68" i="9"/>
  <c r="E116" i="9" s="1"/>
  <c r="G91" i="8"/>
  <c r="E94" i="9"/>
  <c r="J96" i="9"/>
  <c r="J120" i="9" s="1"/>
  <c r="M263" i="7"/>
  <c r="D286" i="7" s="1"/>
  <c r="D599" i="7" s="1"/>
  <c r="M265" i="7"/>
  <c r="D288" i="7" s="1"/>
  <c r="D601" i="7" s="1"/>
  <c r="M262" i="7"/>
  <c r="D322" i="7" s="1"/>
  <c r="D641" i="7" s="1"/>
  <c r="M264" i="7"/>
  <c r="D308" i="7" s="1"/>
  <c r="D626" i="7" s="1"/>
  <c r="M252" i="7"/>
  <c r="D275" i="7" s="1"/>
  <c r="D588" i="7" s="1"/>
  <c r="D12" i="8" s="1"/>
  <c r="D108" i="8" s="1"/>
  <c r="D143" i="9" s="1"/>
  <c r="M257" i="7"/>
  <c r="M251" i="7"/>
  <c r="G912" i="22"/>
  <c r="G914" i="22"/>
  <c r="C94" i="8"/>
  <c r="C132" i="8" s="1"/>
  <c r="J94" i="8"/>
  <c r="J132" i="8" s="1"/>
  <c r="D94" i="8"/>
  <c r="D132" i="8" s="1"/>
  <c r="E903" i="22"/>
  <c r="G94" i="8"/>
  <c r="G132" i="8" s="1"/>
  <c r="F94" i="8"/>
  <c r="F132" i="8" s="1"/>
  <c r="I94" i="8"/>
  <c r="I132" i="8" s="1"/>
  <c r="H94" i="8"/>
  <c r="H132" i="8" s="1"/>
  <c r="B94" i="8"/>
  <c r="B132" i="8" s="1"/>
  <c r="E94" i="8"/>
  <c r="E132" i="8" s="1"/>
  <c r="E86" i="8"/>
  <c r="E124" i="8" s="1"/>
  <c r="H86" i="8"/>
  <c r="H124" i="8" s="1"/>
  <c r="G86" i="8"/>
  <c r="G124" i="8" s="1"/>
  <c r="D631" i="22"/>
  <c r="C86" i="8"/>
  <c r="C124" i="8" s="1"/>
  <c r="B86" i="8"/>
  <c r="B124" i="8" s="1"/>
  <c r="I86" i="8"/>
  <c r="I124" i="8" s="1"/>
  <c r="F86" i="8"/>
  <c r="F124" i="8" s="1"/>
  <c r="H253" i="7"/>
  <c r="E253" i="7"/>
  <c r="M253" i="7"/>
  <c r="P253" i="7"/>
  <c r="Y253" i="7"/>
  <c r="Q253" i="7"/>
  <c r="X253" i="7"/>
  <c r="D253" i="7"/>
  <c r="AF253" i="7"/>
  <c r="AA253" i="7"/>
  <c r="K253" i="7"/>
  <c r="G253" i="7"/>
  <c r="AE253" i="7"/>
  <c r="AB253" i="7"/>
  <c r="AJ253" i="7"/>
  <c r="C253" i="7"/>
  <c r="AI253" i="7"/>
  <c r="S253" i="7"/>
  <c r="AK253" i="7"/>
  <c r="W253" i="7"/>
  <c r="L253" i="7"/>
  <c r="O253" i="7"/>
  <c r="U253" i="7"/>
  <c r="I253" i="7"/>
  <c r="T253" i="7"/>
  <c r="AG253" i="7"/>
  <c r="AC253" i="7"/>
  <c r="E182" i="22"/>
  <c r="E193" i="22"/>
  <c r="E192" i="22"/>
  <c r="F169" i="22"/>
  <c r="E181" i="22"/>
  <c r="G182" i="22"/>
  <c r="K416" i="22"/>
  <c r="K19" i="23"/>
  <c r="L416" i="22"/>
  <c r="C523" i="7"/>
  <c r="AF532" i="7" s="1"/>
  <c r="G505" i="7"/>
  <c r="B523" i="7" s="1"/>
  <c r="AE532" i="7" s="1"/>
  <c r="X251" i="7"/>
  <c r="X263" i="7"/>
  <c r="X257" i="7"/>
  <c r="X252" i="7"/>
  <c r="G275" i="7" s="1"/>
  <c r="G588" i="7" s="1"/>
  <c r="G12" i="8" s="1"/>
  <c r="G108" i="8" s="1"/>
  <c r="G143" i="9" s="1"/>
  <c r="X265" i="7"/>
  <c r="G325" i="7" s="1"/>
  <c r="G644" i="7" s="1"/>
  <c r="E309" i="7"/>
  <c r="E627" i="7" s="1"/>
  <c r="E288" i="7"/>
  <c r="E601" i="7" s="1"/>
  <c r="E325" i="7"/>
  <c r="E644" i="7" s="1"/>
  <c r="E915" i="22"/>
  <c r="E916" i="22"/>
  <c r="E100" i="9"/>
  <c r="E124" i="9" s="1"/>
  <c r="I100" i="9"/>
  <c r="I124" i="9" s="1"/>
  <c r="H100" i="9"/>
  <c r="H124" i="9" s="1"/>
  <c r="C413" i="7"/>
  <c r="B413" i="7"/>
  <c r="E413" i="7" s="1"/>
  <c r="B431" i="7" s="1"/>
  <c r="C431" i="7" s="1"/>
  <c r="B85" i="8"/>
  <c r="I85" i="8"/>
  <c r="G85" i="8"/>
  <c r="D431" i="7"/>
  <c r="C100" i="9"/>
  <c r="C124" i="9" s="1"/>
  <c r="G100" i="9"/>
  <c r="G124" i="9" s="1"/>
  <c r="B100" i="9"/>
  <c r="B124" i="9" s="1"/>
  <c r="E599" i="22"/>
  <c r="B32" i="10"/>
  <c r="E85" i="8"/>
  <c r="C85" i="8"/>
  <c r="D413" i="7"/>
  <c r="H85" i="8"/>
  <c r="F100" i="9"/>
  <c r="F124" i="9" s="1"/>
  <c r="F85" i="8"/>
  <c r="K35" i="23"/>
  <c r="J950" i="22"/>
  <c r="G260" i="7"/>
  <c r="E260" i="7"/>
  <c r="AA260" i="7"/>
  <c r="Y260" i="7"/>
  <c r="W260" i="7"/>
  <c r="U260" i="7"/>
  <c r="S260" i="7"/>
  <c r="AG260" i="7"/>
  <c r="M260" i="7"/>
  <c r="AE260" i="7"/>
  <c r="Q260" i="7"/>
  <c r="AK260" i="7"/>
  <c r="AC260" i="7"/>
  <c r="O260" i="7"/>
  <c r="AI260" i="7"/>
  <c r="I260" i="7"/>
  <c r="C260" i="7"/>
  <c r="K260" i="7"/>
  <c r="AI263" i="7"/>
  <c r="AI252" i="7"/>
  <c r="J275" i="7" s="1"/>
  <c r="J588" i="7" s="1"/>
  <c r="AI265" i="7"/>
  <c r="AI264" i="7"/>
  <c r="AI262" i="7"/>
  <c r="AI261" i="7"/>
  <c r="AI257" i="7"/>
  <c r="AI251" i="7"/>
  <c r="E37" i="22"/>
  <c r="E49" i="22"/>
  <c r="E50" i="22"/>
  <c r="E141" i="9"/>
  <c r="I141" i="9"/>
  <c r="C141" i="9"/>
  <c r="C88" i="8"/>
  <c r="C126" i="8" s="1"/>
  <c r="H88" i="8"/>
  <c r="H126" i="8" s="1"/>
  <c r="J88" i="8"/>
  <c r="J126" i="8" s="1"/>
  <c r="G88" i="8"/>
  <c r="G126" i="8" s="1"/>
  <c r="E699" i="22"/>
  <c r="B88" i="8"/>
  <c r="B126" i="8" s="1"/>
  <c r="I88" i="8"/>
  <c r="I126" i="8" s="1"/>
  <c r="F88" i="8"/>
  <c r="F126" i="8" s="1"/>
  <c r="F90" i="9"/>
  <c r="F114" i="9" s="1"/>
  <c r="C90" i="9"/>
  <c r="C114" i="9" s="1"/>
  <c r="I90" i="9"/>
  <c r="I114" i="9" s="1"/>
  <c r="D162" i="7"/>
  <c r="B162" i="7"/>
  <c r="E162" i="7" s="1"/>
  <c r="B202" i="7" s="1"/>
  <c r="C202" i="7" s="1"/>
  <c r="I75" i="8"/>
  <c r="G75" i="8"/>
  <c r="B75" i="8"/>
  <c r="H90" i="9"/>
  <c r="H114" i="9" s="1"/>
  <c r="E267" i="22"/>
  <c r="C75" i="8"/>
  <c r="B90" i="9"/>
  <c r="B114" i="9" s="1"/>
  <c r="G90" i="9"/>
  <c r="G114" i="9" s="1"/>
  <c r="C162" i="7"/>
  <c r="H75" i="8"/>
  <c r="F75" i="8"/>
  <c r="I85" i="9"/>
  <c r="C105" i="22"/>
  <c r="I70" i="8"/>
  <c r="C70" i="8"/>
  <c r="C85" i="9"/>
  <c r="H85" i="9"/>
  <c r="B85" i="9"/>
  <c r="H70" i="8"/>
  <c r="B70" i="8"/>
  <c r="F70" i="8"/>
  <c r="F85" i="9"/>
  <c r="E70" i="8"/>
  <c r="G85" i="9"/>
  <c r="E85" i="9"/>
  <c r="G70" i="8"/>
  <c r="F73" i="8"/>
  <c r="B88" i="9"/>
  <c r="E73" i="8"/>
  <c r="I73" i="8"/>
  <c r="G88" i="9"/>
  <c r="C203" i="22"/>
  <c r="H73" i="8"/>
  <c r="E88" i="9"/>
  <c r="H88" i="9"/>
  <c r="B73" i="8"/>
  <c r="F88" i="9"/>
  <c r="C88" i="9"/>
  <c r="G73" i="8"/>
  <c r="I88" i="9"/>
  <c r="C73" i="8"/>
  <c r="G950" i="22"/>
  <c r="I950" i="22"/>
  <c r="G961" i="22"/>
  <c r="G949" i="22"/>
  <c r="H937" i="22"/>
  <c r="I949" i="22"/>
  <c r="G960" i="22"/>
  <c r="L415" i="22"/>
  <c r="J19" i="23"/>
  <c r="K415" i="22"/>
  <c r="G501" i="7"/>
  <c r="B519" i="7" s="1"/>
  <c r="O532" i="7" s="1"/>
  <c r="C519" i="7"/>
  <c r="P532" i="7" s="1"/>
  <c r="G498" i="7"/>
  <c r="B516" i="7" s="1"/>
  <c r="C532" i="7" s="1"/>
  <c r="C516" i="7"/>
  <c r="D532" i="7" s="1"/>
  <c r="G502" i="7"/>
  <c r="B520" i="7" s="1"/>
  <c r="S532" i="7" s="1"/>
  <c r="C520" i="7"/>
  <c r="T532" i="7" s="1"/>
  <c r="C522" i="7"/>
  <c r="AB532" i="7" s="1"/>
  <c r="G504" i="7"/>
  <c r="B522" i="7" s="1"/>
  <c r="AA532" i="7" s="1"/>
  <c r="E503" i="7"/>
  <c r="F503" i="7" s="1"/>
  <c r="E306" i="7"/>
  <c r="E624" i="7" s="1"/>
  <c r="E285" i="7"/>
  <c r="E598" i="7" s="1"/>
  <c r="E322" i="7"/>
  <c r="E641" i="7" s="1"/>
  <c r="E323" i="7"/>
  <c r="E642" i="7" s="1"/>
  <c r="E286" i="7"/>
  <c r="E599" i="7" s="1"/>
  <c r="E307" i="7"/>
  <c r="E625" i="7" s="1"/>
  <c r="E324" i="7"/>
  <c r="E643" i="7" s="1"/>
  <c r="E287" i="7"/>
  <c r="E600" i="7" s="1"/>
  <c r="E308" i="7"/>
  <c r="E626" i="7" s="1"/>
  <c r="G73" i="20"/>
  <c r="F119" i="21"/>
  <c r="D677" i="22"/>
  <c r="J27" i="23" s="1"/>
  <c r="F674" i="22"/>
  <c r="F671" i="22"/>
  <c r="D678" i="22"/>
  <c r="K27" i="23" s="1"/>
  <c r="F675" i="22"/>
  <c r="F672" i="22"/>
  <c r="F106" i="21"/>
  <c r="G52" i="20"/>
  <c r="F280" i="22"/>
  <c r="K15" i="23" s="1"/>
  <c r="F279" i="22"/>
  <c r="J15" i="23" s="1"/>
  <c r="F267" i="22"/>
  <c r="B9" i="15"/>
  <c r="B22" i="15" s="1"/>
  <c r="B213" i="16" s="1"/>
  <c r="J35" i="23"/>
  <c r="J949" i="22"/>
  <c r="H416" i="22"/>
  <c r="H426" i="22"/>
  <c r="J415" i="22"/>
  <c r="I403" i="22"/>
  <c r="H415" i="22"/>
  <c r="H427" i="22"/>
  <c r="J416" i="22"/>
  <c r="B141" i="9"/>
  <c r="H141" i="9"/>
  <c r="J141" i="9"/>
  <c r="G141" i="9"/>
  <c r="E712" i="22"/>
  <c r="E711" i="22"/>
  <c r="G32" i="20"/>
  <c r="F117" i="21"/>
  <c r="J73" i="8"/>
  <c r="X264" i="7"/>
  <c r="G287" i="7" s="1"/>
  <c r="G600" i="7" s="1"/>
  <c r="F506" i="7"/>
  <c r="K382" i="22"/>
  <c r="K18" i="23"/>
  <c r="L382" i="22"/>
  <c r="J746" i="22"/>
  <c r="K29" i="23"/>
  <c r="G882" i="22"/>
  <c r="G881" i="22"/>
  <c r="G892" i="22"/>
  <c r="H869" i="22"/>
  <c r="G893" i="22"/>
  <c r="I882" i="22"/>
  <c r="I881" i="22"/>
  <c r="K348" i="22"/>
  <c r="K17" i="23"/>
  <c r="L348" i="22"/>
  <c r="D13" i="8"/>
  <c r="D111" i="8" s="1"/>
  <c r="D146" i="9" s="1"/>
  <c r="E13" i="8"/>
  <c r="E111" i="8" s="1"/>
  <c r="E146" i="9" s="1"/>
  <c r="G13" i="8"/>
  <c r="G111" i="8" s="1"/>
  <c r="G146" i="9" s="1"/>
  <c r="B13" i="8"/>
  <c r="B111" i="8" s="1"/>
  <c r="B146" i="9" s="1"/>
  <c r="B68" i="12"/>
  <c r="I13" i="8"/>
  <c r="I111" i="8" s="1"/>
  <c r="I146" i="9" s="1"/>
  <c r="D68" i="9"/>
  <c r="D116" i="9" s="1"/>
  <c r="D90" i="8"/>
  <c r="D128" i="8" s="1"/>
  <c r="D89" i="9"/>
  <c r="D113" i="9" s="1"/>
  <c r="D74" i="8"/>
  <c r="D81" i="8"/>
  <c r="D96" i="9"/>
  <c r="D120" i="9" s="1"/>
  <c r="D69" i="9"/>
  <c r="D117" i="9" s="1"/>
  <c r="D94" i="9"/>
  <c r="D70" i="9"/>
  <c r="D118" i="9" s="1"/>
  <c r="D79" i="8"/>
  <c r="D83" i="9"/>
  <c r="D109" i="9" s="1"/>
  <c r="D68" i="8"/>
  <c r="D106" i="8" s="1"/>
  <c r="D88" i="8"/>
  <c r="D126" i="8" s="1"/>
  <c r="D90" i="9"/>
  <c r="D114" i="9" s="1"/>
  <c r="D75" i="8"/>
  <c r="J881" i="22"/>
  <c r="J33" i="23"/>
  <c r="H348" i="22"/>
  <c r="H347" i="22"/>
  <c r="I335" i="22"/>
  <c r="H358" i="22"/>
  <c r="H359" i="22"/>
  <c r="J347" i="22"/>
  <c r="J348" i="22"/>
  <c r="E678" i="22"/>
  <c r="E665" i="22"/>
  <c r="E677" i="22"/>
  <c r="E670" i="22"/>
  <c r="E674" i="22"/>
  <c r="E669" i="22"/>
  <c r="E671" i="22"/>
  <c r="E675" i="22"/>
  <c r="E673" i="22"/>
  <c r="E672" i="22"/>
  <c r="G945" i="22"/>
  <c r="G757" i="22"/>
  <c r="I746" i="22"/>
  <c r="I745" i="22"/>
  <c r="G745" i="22"/>
  <c r="G756" i="22"/>
  <c r="G746" i="22"/>
  <c r="H733" i="22"/>
  <c r="E147" i="22"/>
  <c r="E148" i="22"/>
  <c r="E135" i="22"/>
  <c r="G84" i="22"/>
  <c r="D77" i="8"/>
  <c r="D78" i="8"/>
  <c r="D93" i="9"/>
  <c r="D71" i="8"/>
  <c r="D109" i="8" s="1"/>
  <c r="D144" i="9" s="1"/>
  <c r="H84" i="22"/>
  <c r="G908" i="22"/>
  <c r="J18" i="23"/>
  <c r="L381" i="22"/>
  <c r="K381" i="22"/>
  <c r="J745" i="22"/>
  <c r="J29" i="23"/>
  <c r="L347" i="22"/>
  <c r="J17" i="23"/>
  <c r="K347" i="22"/>
  <c r="F13" i="8"/>
  <c r="F111" i="8" s="1"/>
  <c r="F146" i="9" s="1"/>
  <c r="J13" i="8"/>
  <c r="J111" i="8" s="1"/>
  <c r="J146" i="9" s="1"/>
  <c r="C13" i="8"/>
  <c r="C111" i="8" s="1"/>
  <c r="C146" i="9" s="1"/>
  <c r="H13" i="8"/>
  <c r="H111" i="8" s="1"/>
  <c r="H146" i="9" s="1"/>
  <c r="D100" i="9"/>
  <c r="D124" i="9" s="1"/>
  <c r="D85" i="8"/>
  <c r="D69" i="8"/>
  <c r="D84" i="9"/>
  <c r="D110" i="9" s="1"/>
  <c r="D97" i="9"/>
  <c r="D121" i="9" s="1"/>
  <c r="D82" i="8"/>
  <c r="D88" i="9"/>
  <c r="D73" i="8"/>
  <c r="D86" i="8"/>
  <c r="D124" i="8" s="1"/>
  <c r="D70" i="8"/>
  <c r="D85" i="9"/>
  <c r="D91" i="8"/>
  <c r="D83" i="8"/>
  <c r="D98" i="9"/>
  <c r="D122" i="9" s="1"/>
  <c r="D87" i="9"/>
  <c r="D112" i="9" s="1"/>
  <c r="D72" i="8"/>
  <c r="D92" i="8"/>
  <c r="D130" i="8" s="1"/>
  <c r="D99" i="9"/>
  <c r="D123" i="9" s="1"/>
  <c r="D84" i="8"/>
  <c r="D91" i="9"/>
  <c r="D115" i="9" s="1"/>
  <c r="D76" i="8"/>
  <c r="J882" i="22"/>
  <c r="K33" i="23"/>
  <c r="G258" i="7"/>
  <c r="Q258" i="7"/>
  <c r="Y258" i="7"/>
  <c r="M258" i="7"/>
  <c r="I258" i="7"/>
  <c r="S258" i="7"/>
  <c r="AG258" i="7"/>
  <c r="O258" i="7"/>
  <c r="H258" i="7"/>
  <c r="L258" i="7"/>
  <c r="X258" i="7"/>
  <c r="D258" i="7"/>
  <c r="AJ258" i="7"/>
  <c r="K258" i="7"/>
  <c r="AK258" i="7"/>
  <c r="AC258" i="7"/>
  <c r="AI258" i="7"/>
  <c r="U258" i="7"/>
  <c r="AE258" i="7"/>
  <c r="W258" i="7"/>
  <c r="AA258" i="7"/>
  <c r="P258" i="7"/>
  <c r="T258" i="7"/>
  <c r="AB258" i="7"/>
  <c r="AF258" i="7"/>
  <c r="E258" i="7"/>
  <c r="C258" i="7"/>
  <c r="F908" i="22"/>
  <c r="D92" i="9"/>
  <c r="D87" i="8"/>
  <c r="D125" i="8" s="1"/>
  <c r="D89" i="8"/>
  <c r="F55" i="8" l="1"/>
  <c r="F131" i="8" s="1"/>
  <c r="B67" i="4"/>
  <c r="B83" i="4" s="1"/>
  <c r="B53" i="4"/>
  <c r="D52" i="4"/>
  <c r="C53" i="4"/>
  <c r="F56" i="8"/>
  <c r="F133" i="8" s="1"/>
  <c r="F54" i="8"/>
  <c r="F129" i="8" s="1"/>
  <c r="H280" i="22"/>
  <c r="E325" i="22"/>
  <c r="E324" i="22"/>
  <c r="E313" i="22"/>
  <c r="G314" i="22"/>
  <c r="G313" i="22"/>
  <c r="E314" i="22"/>
  <c r="F301" i="22"/>
  <c r="L257" i="7"/>
  <c r="K257" i="7"/>
  <c r="D280" i="7" s="1"/>
  <c r="D593" i="7" s="1"/>
  <c r="I257" i="7"/>
  <c r="W257" i="7"/>
  <c r="AB257" i="7"/>
  <c r="S257" i="7"/>
  <c r="Y257" i="7"/>
  <c r="AA257" i="7"/>
  <c r="AG257" i="7"/>
  <c r="AJ257" i="7"/>
  <c r="H257" i="7"/>
  <c r="G257" i="7"/>
  <c r="E257" i="7"/>
  <c r="P257" i="7"/>
  <c r="T257" i="7"/>
  <c r="U257" i="7"/>
  <c r="O257" i="7"/>
  <c r="AK257" i="7"/>
  <c r="AC257" i="7"/>
  <c r="D251" i="7"/>
  <c r="AE251" i="7"/>
  <c r="X261" i="7"/>
  <c r="E132" i="9"/>
  <c r="Q251" i="7"/>
  <c r="AF251" i="7"/>
  <c r="B56" i="10"/>
  <c r="B449" i="7"/>
  <c r="F147" i="22"/>
  <c r="D301" i="7"/>
  <c r="D619" i="7" s="1"/>
  <c r="J30" i="23"/>
  <c r="G779" i="22"/>
  <c r="J31" i="23"/>
  <c r="J813" i="22"/>
  <c r="D161" i="7"/>
  <c r="C89" i="9"/>
  <c r="C113" i="9" s="1"/>
  <c r="C132" i="9" s="1"/>
  <c r="H89" i="9"/>
  <c r="H113" i="9" s="1"/>
  <c r="H132" i="9" s="1"/>
  <c r="C74" i="8"/>
  <c r="I89" i="9"/>
  <c r="I113" i="9" s="1"/>
  <c r="I132" i="9" s="1"/>
  <c r="H74" i="8"/>
  <c r="I74" i="8"/>
  <c r="B89" i="9"/>
  <c r="B113" i="9" s="1"/>
  <c r="B132" i="9" s="1"/>
  <c r="B161" i="7"/>
  <c r="E161" i="7" s="1"/>
  <c r="B201" i="7" s="1"/>
  <c r="C201" i="7" s="1"/>
  <c r="F74" i="8"/>
  <c r="J74" i="8"/>
  <c r="J89" i="9"/>
  <c r="J113" i="9" s="1"/>
  <c r="J132" i="9" s="1"/>
  <c r="G74" i="8"/>
  <c r="E233" i="22"/>
  <c r="G89" i="9"/>
  <c r="G113" i="9" s="1"/>
  <c r="G132" i="9" s="1"/>
  <c r="B74" i="8"/>
  <c r="B18" i="14"/>
  <c r="F89" i="9"/>
  <c r="F113" i="9" s="1"/>
  <c r="F132" i="9" s="1"/>
  <c r="C161" i="7"/>
  <c r="T251" i="7"/>
  <c r="P251" i="7"/>
  <c r="E251" i="7"/>
  <c r="Y251" i="7"/>
  <c r="O251" i="7"/>
  <c r="AJ251" i="7"/>
  <c r="U251" i="7"/>
  <c r="I251" i="7"/>
  <c r="AG251" i="7"/>
  <c r="K251" i="7"/>
  <c r="H251" i="7"/>
  <c r="AK251" i="7"/>
  <c r="S251" i="7"/>
  <c r="W251" i="7"/>
  <c r="AB251" i="7"/>
  <c r="L251" i="7"/>
  <c r="AA251" i="7"/>
  <c r="AC251" i="7"/>
  <c r="G251" i="7"/>
  <c r="F71" i="22"/>
  <c r="E94" i="22"/>
  <c r="E95" i="22"/>
  <c r="E83" i="22"/>
  <c r="G83" i="22"/>
  <c r="E84" i="22"/>
  <c r="H182" i="22"/>
  <c r="K12" i="23"/>
  <c r="C93" i="9"/>
  <c r="F93" i="9"/>
  <c r="D183" i="7"/>
  <c r="F78" i="8"/>
  <c r="H78" i="8"/>
  <c r="I93" i="9"/>
  <c r="H369" i="22"/>
  <c r="B93" i="9"/>
  <c r="B78" i="8"/>
  <c r="C183" i="7"/>
  <c r="G93" i="9"/>
  <c r="J93" i="9"/>
  <c r="G78" i="8"/>
  <c r="I78" i="8"/>
  <c r="E93" i="9"/>
  <c r="H93" i="9"/>
  <c r="B183" i="7"/>
  <c r="E183" i="7" s="1"/>
  <c r="B205" i="7" s="1"/>
  <c r="C205" i="7" s="1"/>
  <c r="C78" i="8"/>
  <c r="J78" i="8"/>
  <c r="D132" i="9"/>
  <c r="B40" i="10"/>
  <c r="D56" i="10" s="1"/>
  <c r="E56" i="10" s="1"/>
  <c r="G56" i="10" s="1"/>
  <c r="K68" i="10" s="1"/>
  <c r="F148" i="22"/>
  <c r="G280" i="7"/>
  <c r="G593" i="7" s="1"/>
  <c r="G301" i="7"/>
  <c r="G619" i="7" s="1"/>
  <c r="K30" i="23"/>
  <c r="G780" i="22"/>
  <c r="K31" i="23"/>
  <c r="J814" i="22"/>
  <c r="E280" i="7"/>
  <c r="E593" i="7" s="1"/>
  <c r="E301" i="7"/>
  <c r="E619" i="7" s="1"/>
  <c r="B458" i="7"/>
  <c r="G53" i="8"/>
  <c r="G127" i="8" s="1"/>
  <c r="G323" i="7"/>
  <c r="G642" i="7" s="1"/>
  <c r="G286" i="7"/>
  <c r="G599" i="7" s="1"/>
  <c r="G307" i="7"/>
  <c r="G625" i="7" s="1"/>
  <c r="I301" i="7"/>
  <c r="I619" i="7" s="1"/>
  <c r="I280" i="7"/>
  <c r="I593" i="7" s="1"/>
  <c r="I285" i="7"/>
  <c r="I598" i="7" s="1"/>
  <c r="I322" i="7"/>
  <c r="I641" i="7" s="1"/>
  <c r="I306" i="7"/>
  <c r="I624" i="7" s="1"/>
  <c r="I324" i="7"/>
  <c r="I643" i="7" s="1"/>
  <c r="I287" i="7"/>
  <c r="I600" i="7" s="1"/>
  <c r="I308" i="7"/>
  <c r="I626" i="7" s="1"/>
  <c r="B274" i="7"/>
  <c r="B587" i="7" s="1"/>
  <c r="B297" i="7"/>
  <c r="B615" i="7" s="1"/>
  <c r="B99" i="12" s="1"/>
  <c r="B322" i="7"/>
  <c r="B641" i="7" s="1"/>
  <c r="B131" i="12" s="1"/>
  <c r="B285" i="7"/>
  <c r="B598" i="7" s="1"/>
  <c r="B306" i="7"/>
  <c r="B624" i="7" s="1"/>
  <c r="B108" i="12" s="1"/>
  <c r="B309" i="7"/>
  <c r="B627" i="7" s="1"/>
  <c r="B111" i="12" s="1"/>
  <c r="B288" i="7"/>
  <c r="B601" i="7" s="1"/>
  <c r="B325" i="7"/>
  <c r="B644" i="7" s="1"/>
  <c r="B134" i="12" s="1"/>
  <c r="B66" i="12"/>
  <c r="B12" i="8"/>
  <c r="B108" i="8" s="1"/>
  <c r="B143" i="9" s="1"/>
  <c r="G324" i="7"/>
  <c r="G643" i="7" s="1"/>
  <c r="D309" i="7"/>
  <c r="D627" i="7" s="1"/>
  <c r="D325" i="7"/>
  <c r="D644" i="7" s="1"/>
  <c r="D306" i="7"/>
  <c r="D624" i="7" s="1"/>
  <c r="G288" i="7"/>
  <c r="G601" i="7" s="1"/>
  <c r="G309" i="7"/>
  <c r="G627" i="7" s="1"/>
  <c r="D323" i="7"/>
  <c r="D642" i="7" s="1"/>
  <c r="D307" i="7"/>
  <c r="D625" i="7" s="1"/>
  <c r="D54" i="8" s="1"/>
  <c r="D129" i="8" s="1"/>
  <c r="D287" i="7"/>
  <c r="D600" i="7" s="1"/>
  <c r="D285" i="7"/>
  <c r="D598" i="7" s="1"/>
  <c r="P261" i="7"/>
  <c r="AF261" i="7"/>
  <c r="AA261" i="7"/>
  <c r="AK261" i="7"/>
  <c r="Y261" i="7"/>
  <c r="K261" i="7"/>
  <c r="D261" i="7"/>
  <c r="AJ261" i="7"/>
  <c r="W261" i="7"/>
  <c r="E261" i="7"/>
  <c r="Q261" i="7"/>
  <c r="C261" i="7"/>
  <c r="H261" i="7"/>
  <c r="T261" i="7"/>
  <c r="S261" i="7"/>
  <c r="AG261" i="7"/>
  <c r="G261" i="7"/>
  <c r="AE261" i="7"/>
  <c r="AB261" i="7"/>
  <c r="L261" i="7"/>
  <c r="AC261" i="7"/>
  <c r="U261" i="7"/>
  <c r="O261" i="7"/>
  <c r="I261" i="7"/>
  <c r="I297" i="7"/>
  <c r="I615" i="7" s="1"/>
  <c r="I274" i="7"/>
  <c r="I587" i="7" s="1"/>
  <c r="I323" i="7"/>
  <c r="I642" i="7" s="1"/>
  <c r="I286" i="7"/>
  <c r="I599" i="7" s="1"/>
  <c r="I307" i="7"/>
  <c r="I625" i="7" s="1"/>
  <c r="I325" i="7"/>
  <c r="I644" i="7" s="1"/>
  <c r="I288" i="7"/>
  <c r="I601" i="7" s="1"/>
  <c r="I309" i="7"/>
  <c r="I627" i="7" s="1"/>
  <c r="B280" i="7"/>
  <c r="B593" i="7" s="1"/>
  <c r="B301" i="7"/>
  <c r="B619" i="7" s="1"/>
  <c r="B103" i="12" s="1"/>
  <c r="B307" i="7"/>
  <c r="B625" i="7" s="1"/>
  <c r="B109" i="12" s="1"/>
  <c r="B286" i="7"/>
  <c r="B599" i="7" s="1"/>
  <c r="B323" i="7"/>
  <c r="B642" i="7" s="1"/>
  <c r="B132" i="12" s="1"/>
  <c r="B324" i="7"/>
  <c r="B643" i="7" s="1"/>
  <c r="B133" i="12" s="1"/>
  <c r="B287" i="7"/>
  <c r="B600" i="7" s="1"/>
  <c r="B308" i="7"/>
  <c r="B626" i="7" s="1"/>
  <c r="B110" i="12" s="1"/>
  <c r="G308" i="7"/>
  <c r="G626" i="7" s="1"/>
  <c r="G55" i="8" s="1"/>
  <c r="G131" i="8" s="1"/>
  <c r="C56" i="8"/>
  <c r="C133" i="8" s="1"/>
  <c r="D324" i="7"/>
  <c r="D643" i="7" s="1"/>
  <c r="F780" i="22"/>
  <c r="F779" i="22"/>
  <c r="I814" i="22"/>
  <c r="G825" i="22"/>
  <c r="G813" i="22"/>
  <c r="I813" i="22"/>
  <c r="G814" i="22"/>
  <c r="G824" i="22"/>
  <c r="H460" i="22"/>
  <c r="H449" i="22"/>
  <c r="H461" i="22"/>
  <c r="H450" i="22"/>
  <c r="J449" i="22"/>
  <c r="J450" i="22"/>
  <c r="C521" i="7"/>
  <c r="X532" i="7" s="1"/>
  <c r="G503" i="7"/>
  <c r="B521" i="7" s="1"/>
  <c r="W532" i="7" s="1"/>
  <c r="G711" i="22"/>
  <c r="J28" i="23"/>
  <c r="E55" i="8"/>
  <c r="E131" i="8" s="1"/>
  <c r="E53" i="8"/>
  <c r="E127" i="8" s="1"/>
  <c r="E280" i="22"/>
  <c r="E291" i="22"/>
  <c r="G279" i="22"/>
  <c r="G280" i="22"/>
  <c r="E279" i="22"/>
  <c r="E290" i="22"/>
  <c r="J280" i="7"/>
  <c r="J593" i="7" s="1"/>
  <c r="J301" i="7"/>
  <c r="J619" i="7" s="1"/>
  <c r="J285" i="7"/>
  <c r="J598" i="7" s="1"/>
  <c r="J322" i="7"/>
  <c r="J641" i="7" s="1"/>
  <c r="J306" i="7"/>
  <c r="J624" i="7" s="1"/>
  <c r="J309" i="7"/>
  <c r="J627" i="7" s="1"/>
  <c r="J288" i="7"/>
  <c r="J601" i="7" s="1"/>
  <c r="J325" i="7"/>
  <c r="J644" i="7" s="1"/>
  <c r="J323" i="7"/>
  <c r="J642" i="7" s="1"/>
  <c r="J286" i="7"/>
  <c r="J599" i="7" s="1"/>
  <c r="J307" i="7"/>
  <c r="J625" i="7" s="1"/>
  <c r="B304" i="7"/>
  <c r="B622" i="7" s="1"/>
  <c r="B283" i="7"/>
  <c r="B596" i="7" s="1"/>
  <c r="B320" i="7"/>
  <c r="B639" i="7" s="1"/>
  <c r="J283" i="7"/>
  <c r="J596" i="7" s="1"/>
  <c r="J320" i="7"/>
  <c r="J639" i="7" s="1"/>
  <c r="J304" i="7"/>
  <c r="J622" i="7" s="1"/>
  <c r="F283" i="7"/>
  <c r="F596" i="7" s="1"/>
  <c r="F320" i="7"/>
  <c r="F639" i="7" s="1"/>
  <c r="F304" i="7"/>
  <c r="F622" i="7" s="1"/>
  <c r="G283" i="7"/>
  <c r="G596" i="7" s="1"/>
  <c r="G320" i="7"/>
  <c r="G639" i="7" s="1"/>
  <c r="G304" i="7"/>
  <c r="G622" i="7" s="1"/>
  <c r="H283" i="7"/>
  <c r="H596" i="7" s="1"/>
  <c r="H320" i="7"/>
  <c r="H639" i="7" s="1"/>
  <c r="H304" i="7"/>
  <c r="H622" i="7" s="1"/>
  <c r="C283" i="7"/>
  <c r="C596" i="7" s="1"/>
  <c r="C304" i="7"/>
  <c r="C622" i="7" s="1"/>
  <c r="C320" i="7"/>
  <c r="C639" i="7" s="1"/>
  <c r="B110" i="18"/>
  <c r="C224" i="18" s="1"/>
  <c r="C110" i="18"/>
  <c r="C252" i="18" s="1"/>
  <c r="G611" i="22"/>
  <c r="E611" i="22"/>
  <c r="G910" i="22"/>
  <c r="G909" i="22"/>
  <c r="G907" i="22"/>
  <c r="J298" i="7"/>
  <c r="J616" i="7" s="1"/>
  <c r="J276" i="7"/>
  <c r="J589" i="7" s="1"/>
  <c r="I298" i="7"/>
  <c r="I616" i="7" s="1"/>
  <c r="I276" i="7"/>
  <c r="I589" i="7" s="1"/>
  <c r="D298" i="7"/>
  <c r="D616" i="7" s="1"/>
  <c r="D276" i="7"/>
  <c r="D589" i="7" s="1"/>
  <c r="E631" i="22"/>
  <c r="E643" i="22"/>
  <c r="E644" i="22"/>
  <c r="F915" i="22"/>
  <c r="F907" i="22"/>
  <c r="F909" i="22"/>
  <c r="F913" i="22"/>
  <c r="F914" i="22"/>
  <c r="F903" i="22"/>
  <c r="F916" i="22"/>
  <c r="F912" i="22"/>
  <c r="F911" i="22"/>
  <c r="F910" i="22"/>
  <c r="H279" i="22"/>
  <c r="F673" i="22"/>
  <c r="F677" i="22"/>
  <c r="F678" i="22"/>
  <c r="G506" i="7"/>
  <c r="B524" i="7" s="1"/>
  <c r="AI532" i="7" s="1"/>
  <c r="C524" i="7"/>
  <c r="AJ532" i="7" s="1"/>
  <c r="K28" i="23"/>
  <c r="G712" i="22"/>
  <c r="E54" i="8"/>
  <c r="E129" i="8" s="1"/>
  <c r="B76" i="16"/>
  <c r="L256" i="7"/>
  <c r="H256" i="7"/>
  <c r="E256" i="7"/>
  <c r="K256" i="7"/>
  <c r="AB256" i="7"/>
  <c r="G256" i="7"/>
  <c r="AE256" i="7"/>
  <c r="I256" i="7"/>
  <c r="AF256" i="7"/>
  <c r="T256" i="7"/>
  <c r="C256" i="7"/>
  <c r="Y256" i="7"/>
  <c r="Q256" i="7"/>
  <c r="W256" i="7"/>
  <c r="AK256" i="7"/>
  <c r="AJ256" i="7"/>
  <c r="P256" i="7"/>
  <c r="AI256" i="7"/>
  <c r="AG256" i="7"/>
  <c r="M256" i="7"/>
  <c r="AC256" i="7"/>
  <c r="X256" i="7"/>
  <c r="S256" i="7"/>
  <c r="U256" i="7"/>
  <c r="D256" i="7"/>
  <c r="O256" i="7"/>
  <c r="AA256" i="7"/>
  <c r="F711" i="22"/>
  <c r="F699" i="22"/>
  <c r="F712" i="22"/>
  <c r="J274" i="7"/>
  <c r="J587" i="7" s="1"/>
  <c r="J297" i="7"/>
  <c r="J615" i="7" s="1"/>
  <c r="J305" i="7"/>
  <c r="J623" i="7" s="1"/>
  <c r="J284" i="7"/>
  <c r="J597" i="7" s="1"/>
  <c r="J321" i="7"/>
  <c r="J640" i="7" s="1"/>
  <c r="J308" i="7"/>
  <c r="J626" i="7" s="1"/>
  <c r="J287" i="7"/>
  <c r="J600" i="7" s="1"/>
  <c r="J324" i="7"/>
  <c r="J643" i="7" s="1"/>
  <c r="J12" i="8"/>
  <c r="J108" i="8" s="1"/>
  <c r="J143" i="9" s="1"/>
  <c r="D283" i="7"/>
  <c r="D596" i="7" s="1"/>
  <c r="D320" i="7"/>
  <c r="D639" i="7" s="1"/>
  <c r="D304" i="7"/>
  <c r="D622" i="7" s="1"/>
  <c r="E304" i="7"/>
  <c r="E622" i="7" s="1"/>
  <c r="E283" i="7"/>
  <c r="E596" i="7" s="1"/>
  <c r="E320" i="7"/>
  <c r="E639" i="7" s="1"/>
  <c r="I304" i="7"/>
  <c r="I622" i="7" s="1"/>
  <c r="I283" i="7"/>
  <c r="I596" i="7" s="1"/>
  <c r="I320" i="7"/>
  <c r="I639" i="7" s="1"/>
  <c r="G913" i="22"/>
  <c r="K34" i="23"/>
  <c r="G916" i="22"/>
  <c r="G911" i="22"/>
  <c r="G915" i="22"/>
  <c r="J34" i="23"/>
  <c r="E56" i="8"/>
  <c r="E133" i="8" s="1"/>
  <c r="E276" i="7"/>
  <c r="E589" i="7" s="1"/>
  <c r="E298" i="7"/>
  <c r="E616" i="7" s="1"/>
  <c r="G298" i="7"/>
  <c r="G616" i="7" s="1"/>
  <c r="G276" i="7"/>
  <c r="G589" i="7" s="1"/>
  <c r="F276" i="7"/>
  <c r="F589" i="7" s="1"/>
  <c r="F298" i="7"/>
  <c r="F616" i="7" s="1"/>
  <c r="B298" i="7"/>
  <c r="B616" i="7" s="1"/>
  <c r="B276" i="7"/>
  <c r="B589" i="7" s="1"/>
  <c r="C298" i="7"/>
  <c r="C616" i="7" s="1"/>
  <c r="C276" i="7"/>
  <c r="C589" i="7" s="1"/>
  <c r="H298" i="7"/>
  <c r="H616" i="7" s="1"/>
  <c r="H276" i="7"/>
  <c r="H589" i="7" s="1"/>
  <c r="B115" i="16"/>
  <c r="B281" i="7"/>
  <c r="B594" i="7" s="1"/>
  <c r="B302" i="7"/>
  <c r="B620" i="7" s="1"/>
  <c r="B318" i="7"/>
  <c r="B637" i="7" s="1"/>
  <c r="I281" i="7"/>
  <c r="I594" i="7" s="1"/>
  <c r="I318" i="7"/>
  <c r="I637" i="7" s="1"/>
  <c r="I302" i="7"/>
  <c r="I620" i="7" s="1"/>
  <c r="B114" i="13"/>
  <c r="F670" i="22"/>
  <c r="B86" i="13"/>
  <c r="H281" i="7"/>
  <c r="H594" i="7" s="1"/>
  <c r="H302" i="7"/>
  <c r="H620" i="7" s="1"/>
  <c r="H318" i="7"/>
  <c r="H637" i="7" s="1"/>
  <c r="J281" i="7"/>
  <c r="J594" i="7" s="1"/>
  <c r="J302" i="7"/>
  <c r="J620" i="7" s="1"/>
  <c r="J318" i="7"/>
  <c r="J637" i="7" s="1"/>
  <c r="C281" i="7"/>
  <c r="C594" i="7" s="1"/>
  <c r="C318" i="7"/>
  <c r="C637" i="7" s="1"/>
  <c r="C302" i="7"/>
  <c r="C620" i="7" s="1"/>
  <c r="G318" i="7"/>
  <c r="G637" i="7" s="1"/>
  <c r="G302" i="7"/>
  <c r="G620" i="7" s="1"/>
  <c r="G281" i="7"/>
  <c r="G594" i="7" s="1"/>
  <c r="D302" i="7"/>
  <c r="D620" i="7" s="1"/>
  <c r="D281" i="7"/>
  <c r="D594" i="7" s="1"/>
  <c r="D318" i="7"/>
  <c r="D637" i="7" s="1"/>
  <c r="E302" i="7"/>
  <c r="E620" i="7" s="1"/>
  <c r="E318" i="7"/>
  <c r="E637" i="7" s="1"/>
  <c r="E281" i="7"/>
  <c r="E594" i="7" s="1"/>
  <c r="F281" i="7"/>
  <c r="F594" i="7" s="1"/>
  <c r="F302" i="7"/>
  <c r="F620" i="7" s="1"/>
  <c r="F318" i="7"/>
  <c r="F637" i="7" s="1"/>
  <c r="F676" i="22"/>
  <c r="B110" i="13"/>
  <c r="D141" i="9"/>
  <c r="D53" i="4" l="1"/>
  <c r="C54" i="4"/>
  <c r="B68" i="4"/>
  <c r="B84" i="4" s="1"/>
  <c r="B54" i="4"/>
  <c r="I54" i="8"/>
  <c r="I129" i="8" s="1"/>
  <c r="D53" i="8"/>
  <c r="D127" i="8" s="1"/>
  <c r="C301" i="7"/>
  <c r="C619" i="7" s="1"/>
  <c r="C280" i="7"/>
  <c r="C593" i="7" s="1"/>
  <c r="C34" i="8" s="1"/>
  <c r="C114" i="8" s="1"/>
  <c r="C149" i="9" s="1"/>
  <c r="H280" i="7"/>
  <c r="H593" i="7" s="1"/>
  <c r="H301" i="7"/>
  <c r="H619" i="7" s="1"/>
  <c r="F301" i="7"/>
  <c r="F619" i="7" s="1"/>
  <c r="F280" i="7"/>
  <c r="F593" i="7" s="1"/>
  <c r="B467" i="7"/>
  <c r="B479" i="7" s="1"/>
  <c r="J41" i="23"/>
  <c r="P259" i="7"/>
  <c r="D259" i="7"/>
  <c r="K259" i="7"/>
  <c r="M259" i="7"/>
  <c r="G259" i="7"/>
  <c r="AA259" i="7"/>
  <c r="U259" i="7"/>
  <c r="T259" i="7"/>
  <c r="AJ259" i="7"/>
  <c r="Q259" i="7"/>
  <c r="W259" i="7"/>
  <c r="AE259" i="7"/>
  <c r="AG259" i="7"/>
  <c r="X259" i="7"/>
  <c r="H259" i="7"/>
  <c r="AF259" i="7"/>
  <c r="I259" i="7"/>
  <c r="AC259" i="7"/>
  <c r="E259" i="7"/>
  <c r="S259" i="7"/>
  <c r="L259" i="7"/>
  <c r="AB259" i="7"/>
  <c r="AI259" i="7"/>
  <c r="Y259" i="7"/>
  <c r="AK259" i="7"/>
  <c r="C259" i="7"/>
  <c r="O259" i="7"/>
  <c r="H392" i="22"/>
  <c r="H381" i="22"/>
  <c r="J382" i="22"/>
  <c r="H393" i="22"/>
  <c r="J381" i="22"/>
  <c r="H382" i="22"/>
  <c r="I369" i="22"/>
  <c r="G297" i="7"/>
  <c r="G615" i="7" s="1"/>
  <c r="G274" i="7"/>
  <c r="G587" i="7" s="1"/>
  <c r="D297" i="7"/>
  <c r="D615" i="7" s="1"/>
  <c r="D274" i="7"/>
  <c r="D587" i="7" s="1"/>
  <c r="Q255" i="7"/>
  <c r="AK255" i="7"/>
  <c r="D255" i="7"/>
  <c r="O255" i="7"/>
  <c r="U255" i="7"/>
  <c r="S255" i="7"/>
  <c r="Y255" i="7"/>
  <c r="K255" i="7"/>
  <c r="AE255" i="7"/>
  <c r="AJ255" i="7"/>
  <c r="G255" i="7"/>
  <c r="I255" i="7"/>
  <c r="L255" i="7"/>
  <c r="AF255" i="7"/>
  <c r="T255" i="7"/>
  <c r="W255" i="7"/>
  <c r="AG255" i="7"/>
  <c r="AC255" i="7"/>
  <c r="X255" i="7"/>
  <c r="AI255" i="7"/>
  <c r="H255" i="7"/>
  <c r="E255" i="7"/>
  <c r="P255" i="7"/>
  <c r="AA255" i="7"/>
  <c r="AB255" i="7"/>
  <c r="C255" i="7"/>
  <c r="M255" i="7"/>
  <c r="I30" i="8"/>
  <c r="I107" i="8" s="1"/>
  <c r="E34" i="8"/>
  <c r="E114" i="8" s="1"/>
  <c r="E149" i="9" s="1"/>
  <c r="G34" i="8"/>
  <c r="G114" i="8" s="1"/>
  <c r="G149" i="9" s="1"/>
  <c r="D34" i="8"/>
  <c r="D114" i="8" s="1"/>
  <c r="D149" i="9" s="1"/>
  <c r="C297" i="7"/>
  <c r="C615" i="7" s="1"/>
  <c r="C274" i="7"/>
  <c r="C587" i="7" s="1"/>
  <c r="H297" i="7"/>
  <c r="H615" i="7" s="1"/>
  <c r="H274" i="7"/>
  <c r="H587" i="7" s="1"/>
  <c r="F274" i="7"/>
  <c r="F587" i="7" s="1"/>
  <c r="F297" i="7"/>
  <c r="F615" i="7" s="1"/>
  <c r="E274" i="7"/>
  <c r="E587" i="7" s="1"/>
  <c r="E297" i="7"/>
  <c r="E615" i="7" s="1"/>
  <c r="E257" i="22"/>
  <c r="F233" i="22"/>
  <c r="E246" i="22"/>
  <c r="G245" i="22"/>
  <c r="E245" i="22"/>
  <c r="E256" i="22"/>
  <c r="G246" i="22"/>
  <c r="K41" i="23"/>
  <c r="D56" i="8"/>
  <c r="D133" i="8" s="1"/>
  <c r="I34" i="8"/>
  <c r="I114" i="8" s="1"/>
  <c r="I149" i="9" s="1"/>
  <c r="B78" i="12"/>
  <c r="B55" i="8"/>
  <c r="B131" i="8" s="1"/>
  <c r="B117" i="16"/>
  <c r="B78" i="16"/>
  <c r="B34" i="8"/>
  <c r="B114" i="8" s="1"/>
  <c r="B149" i="9" s="1"/>
  <c r="B71" i="12"/>
  <c r="E305" i="7"/>
  <c r="E623" i="7" s="1"/>
  <c r="E284" i="7"/>
  <c r="E597" i="7" s="1"/>
  <c r="E321" i="7"/>
  <c r="E640" i="7" s="1"/>
  <c r="C321" i="7"/>
  <c r="C640" i="7" s="1"/>
  <c r="C305" i="7"/>
  <c r="C623" i="7" s="1"/>
  <c r="C284" i="7"/>
  <c r="C597" i="7" s="1"/>
  <c r="F305" i="7"/>
  <c r="F623" i="7" s="1"/>
  <c r="F321" i="7"/>
  <c r="F640" i="7" s="1"/>
  <c r="F284" i="7"/>
  <c r="F597" i="7" s="1"/>
  <c r="G284" i="7"/>
  <c r="G597" i="7" s="1"/>
  <c r="G321" i="7"/>
  <c r="G640" i="7" s="1"/>
  <c r="G305" i="7"/>
  <c r="G623" i="7" s="1"/>
  <c r="H321" i="7"/>
  <c r="H640" i="7" s="1"/>
  <c r="H305" i="7"/>
  <c r="H623" i="7" s="1"/>
  <c r="H284" i="7"/>
  <c r="H597" i="7" s="1"/>
  <c r="B84" i="13"/>
  <c r="B79" i="12"/>
  <c r="B56" i="8"/>
  <c r="B133" i="8" s="1"/>
  <c r="B30" i="8"/>
  <c r="B107" i="8" s="1"/>
  <c r="B65" i="12"/>
  <c r="I56" i="8"/>
  <c r="I133" i="8" s="1"/>
  <c r="D55" i="8"/>
  <c r="D131" i="8" s="1"/>
  <c r="G56" i="8"/>
  <c r="G133" i="8" s="1"/>
  <c r="I55" i="8"/>
  <c r="I131" i="8" s="1"/>
  <c r="I53" i="8"/>
  <c r="I127" i="8" s="1"/>
  <c r="G54" i="8"/>
  <c r="G129" i="8" s="1"/>
  <c r="B80" i="16"/>
  <c r="B119" i="16"/>
  <c r="B77" i="12"/>
  <c r="B54" i="8"/>
  <c r="B129" i="8" s="1"/>
  <c r="I305" i="7"/>
  <c r="I623" i="7" s="1"/>
  <c r="I284" i="7"/>
  <c r="I597" i="7" s="1"/>
  <c r="I321" i="7"/>
  <c r="I640" i="7" s="1"/>
  <c r="B284" i="7"/>
  <c r="B597" i="7" s="1"/>
  <c r="B305" i="7"/>
  <c r="B623" i="7" s="1"/>
  <c r="B107" i="12" s="1"/>
  <c r="B321" i="7"/>
  <c r="B640" i="7" s="1"/>
  <c r="B130" i="12" s="1"/>
  <c r="D305" i="7"/>
  <c r="D623" i="7" s="1"/>
  <c r="D284" i="7"/>
  <c r="D597" i="7" s="1"/>
  <c r="D321" i="7"/>
  <c r="D640" i="7" s="1"/>
  <c r="B121" i="16"/>
  <c r="B82" i="16"/>
  <c r="B53" i="8"/>
  <c r="B127" i="8" s="1"/>
  <c r="B76" i="12"/>
  <c r="H31" i="8"/>
  <c r="H110" i="8" s="1"/>
  <c r="H145" i="9" s="1"/>
  <c r="C31" i="8"/>
  <c r="C110" i="8" s="1"/>
  <c r="C145" i="9" s="1"/>
  <c r="B67" i="12"/>
  <c r="B31" i="8"/>
  <c r="B110" i="8" s="1"/>
  <c r="B145" i="9" s="1"/>
  <c r="G31" i="8"/>
  <c r="G110" i="8" s="1"/>
  <c r="G145" i="9" s="1"/>
  <c r="D108" i="18"/>
  <c r="C278" i="18" s="1"/>
  <c r="E51" i="8"/>
  <c r="E117" i="8" s="1"/>
  <c r="E152" i="9" s="1"/>
  <c r="D51" i="8"/>
  <c r="D117" i="8" s="1"/>
  <c r="D152" i="9" s="1"/>
  <c r="J52" i="8"/>
  <c r="J118" i="8" s="1"/>
  <c r="J153" i="9" s="1"/>
  <c r="E300" i="7"/>
  <c r="E618" i="7" s="1"/>
  <c r="E279" i="7"/>
  <c r="E592" i="7" s="1"/>
  <c r="J279" i="7"/>
  <c r="J592" i="7" s="1"/>
  <c r="J300" i="7"/>
  <c r="J618" i="7" s="1"/>
  <c r="G279" i="7"/>
  <c r="G592" i="7" s="1"/>
  <c r="G300" i="7"/>
  <c r="G618" i="7" s="1"/>
  <c r="C300" i="7"/>
  <c r="C618" i="7" s="1"/>
  <c r="C279" i="7"/>
  <c r="C592" i="7" s="1"/>
  <c r="D279" i="7"/>
  <c r="D592" i="7" s="1"/>
  <c r="D300" i="7"/>
  <c r="D618" i="7" s="1"/>
  <c r="C108" i="18"/>
  <c r="C250" i="18" s="1"/>
  <c r="D106" i="18"/>
  <c r="C276" i="18" s="1"/>
  <c r="C51" i="8"/>
  <c r="C117" i="8" s="1"/>
  <c r="C152" i="9" s="1"/>
  <c r="G51" i="8"/>
  <c r="G117" i="8" s="1"/>
  <c r="G152" i="9" s="1"/>
  <c r="J51" i="8"/>
  <c r="J117" i="8" s="1"/>
  <c r="J152" i="9" s="1"/>
  <c r="B51" i="8"/>
  <c r="B117" i="8" s="1"/>
  <c r="B152" i="9" s="1"/>
  <c r="B74" i="12"/>
  <c r="J56" i="8"/>
  <c r="J133" i="8" s="1"/>
  <c r="J53" i="8"/>
  <c r="J127" i="8" s="1"/>
  <c r="J34" i="8"/>
  <c r="J114" i="8" s="1"/>
  <c r="J149" i="9" s="1"/>
  <c r="B100" i="12"/>
  <c r="F31" i="8"/>
  <c r="F110" i="8" s="1"/>
  <c r="F145" i="9" s="1"/>
  <c r="E31" i="8"/>
  <c r="E110" i="8" s="1"/>
  <c r="E145" i="9" s="1"/>
  <c r="B108" i="18"/>
  <c r="C222" i="18" s="1"/>
  <c r="I51" i="8"/>
  <c r="I117" i="8" s="1"/>
  <c r="I152" i="9" s="1"/>
  <c r="J55" i="8"/>
  <c r="J131" i="8" s="1"/>
  <c r="J30" i="8"/>
  <c r="J107" i="8" s="1"/>
  <c r="H279" i="7"/>
  <c r="H592" i="7" s="1"/>
  <c r="H300" i="7"/>
  <c r="H618" i="7" s="1"/>
  <c r="F279" i="7"/>
  <c r="F592" i="7" s="1"/>
  <c r="F300" i="7"/>
  <c r="F618" i="7" s="1"/>
  <c r="B300" i="7"/>
  <c r="B618" i="7" s="1"/>
  <c r="B279" i="7"/>
  <c r="B592" i="7" s="1"/>
  <c r="I300" i="7"/>
  <c r="I618" i="7" s="1"/>
  <c r="I279" i="7"/>
  <c r="I592" i="7" s="1"/>
  <c r="C106" i="18"/>
  <c r="C248" i="18" s="1"/>
  <c r="B106" i="18"/>
  <c r="C220" i="18" s="1"/>
  <c r="D31" i="8"/>
  <c r="D110" i="8" s="1"/>
  <c r="D145" i="9" s="1"/>
  <c r="I31" i="8"/>
  <c r="I110" i="8" s="1"/>
  <c r="I145" i="9" s="1"/>
  <c r="J31" i="8"/>
  <c r="J110" i="8" s="1"/>
  <c r="J145" i="9" s="1"/>
  <c r="H51" i="8"/>
  <c r="H117" i="8" s="1"/>
  <c r="H152" i="9" s="1"/>
  <c r="F51" i="8"/>
  <c r="F117" i="8" s="1"/>
  <c r="F152" i="9" s="1"/>
  <c r="B129" i="12"/>
  <c r="B106" i="12"/>
  <c r="J54" i="8"/>
  <c r="J129" i="8" s="1"/>
  <c r="H446" i="22"/>
  <c r="E49" i="8"/>
  <c r="E115" i="8" s="1"/>
  <c r="E150" i="9" s="1"/>
  <c r="D49" i="8"/>
  <c r="D115" i="8" s="1"/>
  <c r="D150" i="9" s="1"/>
  <c r="G49" i="8"/>
  <c r="G115" i="8" s="1"/>
  <c r="G150" i="9" s="1"/>
  <c r="H445" i="22"/>
  <c r="C49" i="8"/>
  <c r="C115" i="8" s="1"/>
  <c r="C150" i="9" s="1"/>
  <c r="H49" i="8"/>
  <c r="H115" i="8" s="1"/>
  <c r="H150" i="9" s="1"/>
  <c r="H444" i="22"/>
  <c r="B21" i="16"/>
  <c r="H447" i="22"/>
  <c r="H442" i="22"/>
  <c r="B127" i="12"/>
  <c r="B72" i="12"/>
  <c r="B49" i="8"/>
  <c r="B115" i="8" s="1"/>
  <c r="B150" i="9" s="1"/>
  <c r="H441" i="22"/>
  <c r="H443" i="22"/>
  <c r="B56" i="16"/>
  <c r="F49" i="8"/>
  <c r="F115" i="8" s="1"/>
  <c r="F150" i="9" s="1"/>
  <c r="J49" i="8"/>
  <c r="J115" i="8" s="1"/>
  <c r="J150" i="9" s="1"/>
  <c r="B63" i="16"/>
  <c r="I49" i="8"/>
  <c r="I115" i="8" s="1"/>
  <c r="I150" i="9" s="1"/>
  <c r="B104" i="12"/>
  <c r="D54" i="4" l="1"/>
  <c r="B201" i="9" s="1"/>
  <c r="G213" i="9" s="1"/>
  <c r="C55" i="4"/>
  <c r="B200" i="9"/>
  <c r="F213" i="9" s="1"/>
  <c r="B69" i="4"/>
  <c r="B85" i="4" s="1"/>
  <c r="B55" i="4"/>
  <c r="B70" i="4" s="1"/>
  <c r="B202" i="9"/>
  <c r="H213" i="9" s="1"/>
  <c r="F34" i="8"/>
  <c r="F114" i="8" s="1"/>
  <c r="F149" i="9" s="1"/>
  <c r="B196" i="9"/>
  <c r="B213" i="9" s="1"/>
  <c r="B11" i="13" s="1"/>
  <c r="B203" i="9"/>
  <c r="I213" i="9" s="1"/>
  <c r="B198" i="9"/>
  <c r="D213" i="9" s="1"/>
  <c r="B204" i="9"/>
  <c r="B199" i="9"/>
  <c r="E213" i="9" s="1"/>
  <c r="B197" i="9"/>
  <c r="C213" i="9" s="1"/>
  <c r="H34" i="8"/>
  <c r="H114" i="8" s="1"/>
  <c r="H149" i="9" s="1"/>
  <c r="S546" i="7"/>
  <c r="T546" i="7"/>
  <c r="E546" i="7"/>
  <c r="AB546" i="7"/>
  <c r="I546" i="7"/>
  <c r="W546" i="7"/>
  <c r="C546" i="7"/>
  <c r="Q546" i="7"/>
  <c r="AK546" i="7"/>
  <c r="AF546" i="7"/>
  <c r="U546" i="7"/>
  <c r="AI546" i="7"/>
  <c r="AC546" i="7"/>
  <c r="AG546" i="7"/>
  <c r="AE546" i="7"/>
  <c r="D546" i="7"/>
  <c r="AA546" i="7"/>
  <c r="X546" i="7"/>
  <c r="P546" i="7"/>
  <c r="Y546" i="7"/>
  <c r="O546" i="7"/>
  <c r="M546" i="7"/>
  <c r="AJ546" i="7"/>
  <c r="B478" i="7"/>
  <c r="B476" i="7"/>
  <c r="B477" i="7"/>
  <c r="B480" i="7"/>
  <c r="H30" i="8"/>
  <c r="H107" i="8" s="1"/>
  <c r="C30" i="8"/>
  <c r="C107" i="8" s="1"/>
  <c r="C142" i="9" s="1"/>
  <c r="D30" i="8"/>
  <c r="D107" i="8" s="1"/>
  <c r="G30" i="8"/>
  <c r="G107" i="8" s="1"/>
  <c r="J142" i="9"/>
  <c r="B142" i="9"/>
  <c r="I142" i="9"/>
  <c r="C278" i="7"/>
  <c r="C591" i="7" s="1"/>
  <c r="C299" i="7"/>
  <c r="C617" i="7" s="1"/>
  <c r="I299" i="7"/>
  <c r="I617" i="7" s="1"/>
  <c r="I278" i="7"/>
  <c r="I591" i="7" s="1"/>
  <c r="E319" i="7"/>
  <c r="E638" i="7" s="1"/>
  <c r="E303" i="7"/>
  <c r="E621" i="7" s="1"/>
  <c r="E282" i="7"/>
  <c r="E595" i="7" s="1"/>
  <c r="J303" i="7"/>
  <c r="J621" i="7" s="1"/>
  <c r="J282" i="7"/>
  <c r="J595" i="7" s="1"/>
  <c r="J319" i="7"/>
  <c r="J638" i="7" s="1"/>
  <c r="G319" i="7"/>
  <c r="G638" i="7" s="1"/>
  <c r="G282" i="7"/>
  <c r="G595" i="7" s="1"/>
  <c r="G303" i="7"/>
  <c r="G621" i="7" s="1"/>
  <c r="C319" i="7"/>
  <c r="C638" i="7" s="1"/>
  <c r="C282" i="7"/>
  <c r="C595" i="7" s="1"/>
  <c r="C303" i="7"/>
  <c r="C621" i="7" s="1"/>
  <c r="D303" i="7"/>
  <c r="D621" i="7" s="1"/>
  <c r="D319" i="7"/>
  <c r="D638" i="7" s="1"/>
  <c r="D282" i="7"/>
  <c r="D595" i="7" s="1"/>
  <c r="D52" i="8"/>
  <c r="D118" i="8" s="1"/>
  <c r="D153" i="9" s="1"/>
  <c r="I52" i="8"/>
  <c r="I118" i="8" s="1"/>
  <c r="I153" i="9" s="1"/>
  <c r="E30" i="8"/>
  <c r="E107" i="8" s="1"/>
  <c r="F30" i="8"/>
  <c r="F107" i="8" s="1"/>
  <c r="H142" i="9"/>
  <c r="B278" i="7"/>
  <c r="B591" i="7" s="1"/>
  <c r="B299" i="7"/>
  <c r="B617" i="7" s="1"/>
  <c r="B101" i="12" s="1"/>
  <c r="H278" i="7"/>
  <c r="H591" i="7" s="1"/>
  <c r="H299" i="7"/>
  <c r="H617" i="7" s="1"/>
  <c r="J278" i="7"/>
  <c r="J591" i="7" s="1"/>
  <c r="J299" i="7"/>
  <c r="J617" i="7" s="1"/>
  <c r="G299" i="7"/>
  <c r="G617" i="7" s="1"/>
  <c r="G278" i="7"/>
  <c r="G591" i="7" s="1"/>
  <c r="D299" i="7"/>
  <c r="D617" i="7" s="1"/>
  <c r="D278" i="7"/>
  <c r="D591" i="7" s="1"/>
  <c r="F278" i="7"/>
  <c r="F591" i="7" s="1"/>
  <c r="F299" i="7"/>
  <c r="F617" i="7" s="1"/>
  <c r="E299" i="7"/>
  <c r="E617" i="7" s="1"/>
  <c r="E278" i="7"/>
  <c r="E591" i="7" s="1"/>
  <c r="D142" i="9"/>
  <c r="G142" i="9"/>
  <c r="B303" i="7"/>
  <c r="B621" i="7" s="1"/>
  <c r="B105" i="12" s="1"/>
  <c r="B319" i="7"/>
  <c r="B638" i="7" s="1"/>
  <c r="B128" i="12" s="1"/>
  <c r="B282" i="7"/>
  <c r="B595" i="7" s="1"/>
  <c r="F319" i="7"/>
  <c r="F638" i="7" s="1"/>
  <c r="F303" i="7"/>
  <c r="F621" i="7" s="1"/>
  <c r="F282" i="7"/>
  <c r="F595" i="7" s="1"/>
  <c r="I282" i="7"/>
  <c r="I595" i="7" s="1"/>
  <c r="I303" i="7"/>
  <c r="I621" i="7" s="1"/>
  <c r="I319" i="7"/>
  <c r="I638" i="7" s="1"/>
  <c r="H303" i="7"/>
  <c r="H621" i="7" s="1"/>
  <c r="H282" i="7"/>
  <c r="H595" i="7" s="1"/>
  <c r="H319" i="7"/>
  <c r="H638" i="7" s="1"/>
  <c r="C52" i="8"/>
  <c r="C118" i="8" s="1"/>
  <c r="C153" i="9" s="1"/>
  <c r="E52" i="8"/>
  <c r="E118" i="8" s="1"/>
  <c r="E153" i="9" s="1"/>
  <c r="B37" i="16"/>
  <c r="B118" i="13"/>
  <c r="B39" i="16"/>
  <c r="B83" i="13"/>
  <c r="B41" i="16"/>
  <c r="H52" i="8"/>
  <c r="H118" i="8" s="1"/>
  <c r="H153" i="9" s="1"/>
  <c r="F52" i="8"/>
  <c r="F118" i="8" s="1"/>
  <c r="F153" i="9" s="1"/>
  <c r="B134" i="13"/>
  <c r="B75" i="12"/>
  <c r="B52" i="8"/>
  <c r="B118" i="8" s="1"/>
  <c r="B153" i="9" s="1"/>
  <c r="B43" i="16"/>
  <c r="B18" i="16"/>
  <c r="B89" i="13"/>
  <c r="G52" i="8"/>
  <c r="G118" i="8" s="1"/>
  <c r="G153" i="9" s="1"/>
  <c r="B133" i="13"/>
  <c r="B102" i="12"/>
  <c r="F33" i="8"/>
  <c r="F113" i="8" s="1"/>
  <c r="F148" i="9" s="1"/>
  <c r="H33" i="8"/>
  <c r="H113" i="8" s="1"/>
  <c r="H148" i="9" s="1"/>
  <c r="D33" i="8"/>
  <c r="D113" i="8" s="1"/>
  <c r="D148" i="9" s="1"/>
  <c r="G33" i="8"/>
  <c r="G113" i="8" s="1"/>
  <c r="G148" i="9" s="1"/>
  <c r="J33" i="8"/>
  <c r="J113" i="8" s="1"/>
  <c r="J148" i="9" s="1"/>
  <c r="B104" i="18"/>
  <c r="C218" i="18" s="1"/>
  <c r="B117" i="13"/>
  <c r="I33" i="8"/>
  <c r="I113" i="8" s="1"/>
  <c r="I148" i="9" s="1"/>
  <c r="B70" i="12"/>
  <c r="B33" i="8"/>
  <c r="B113" i="8" s="1"/>
  <c r="B148" i="9" s="1"/>
  <c r="B111" i="13"/>
  <c r="B92" i="13"/>
  <c r="C104" i="18"/>
  <c r="C246" i="18" s="1"/>
  <c r="C33" i="8"/>
  <c r="C113" i="8" s="1"/>
  <c r="C148" i="9" s="1"/>
  <c r="E33" i="8"/>
  <c r="E113" i="8" s="1"/>
  <c r="E148" i="9" s="1"/>
  <c r="G943" i="22"/>
  <c r="B85" i="13"/>
  <c r="D104" i="18"/>
  <c r="C274" i="18" s="1"/>
  <c r="B115" i="13"/>
  <c r="D577" i="22"/>
  <c r="L441" i="22"/>
  <c r="J441" i="22"/>
  <c r="K441" i="22"/>
  <c r="B90" i="13"/>
  <c r="B131" i="13"/>
  <c r="D572" i="22"/>
  <c r="D573" i="22"/>
  <c r="L447" i="22"/>
  <c r="J447" i="22"/>
  <c r="K447" i="22"/>
  <c r="K444" i="22"/>
  <c r="L444" i="22"/>
  <c r="J444" i="22"/>
  <c r="D576" i="22"/>
  <c r="B132" i="13"/>
  <c r="L443" i="22"/>
  <c r="J443" i="22"/>
  <c r="K443" i="22"/>
  <c r="B116" i="13"/>
  <c r="L442" i="22"/>
  <c r="J442" i="22"/>
  <c r="K442" i="22"/>
  <c r="D574" i="22"/>
  <c r="L445" i="22"/>
  <c r="K445" i="22"/>
  <c r="J445" i="22"/>
  <c r="K446" i="22"/>
  <c r="L446" i="22"/>
  <c r="J446" i="22"/>
  <c r="B34" i="13" l="1"/>
  <c r="B177" i="16" s="1"/>
  <c r="B25" i="13"/>
  <c r="B29" i="14" s="1"/>
  <c r="B88" i="14" s="1"/>
  <c r="B133" i="16" s="1"/>
  <c r="B37" i="13"/>
  <c r="B180" i="16" s="1"/>
  <c r="B33" i="13"/>
  <c r="B35" i="14" s="1"/>
  <c r="B94" i="14" s="1"/>
  <c r="B141" i="16" s="1"/>
  <c r="B41" i="13"/>
  <c r="B40" i="13"/>
  <c r="B27" i="13"/>
  <c r="B32" i="13"/>
  <c r="B34" i="14" s="1"/>
  <c r="B93" i="14" s="1"/>
  <c r="B140" i="16" s="1"/>
  <c r="B31" i="13"/>
  <c r="B33" i="14" s="1"/>
  <c r="B92" i="14" s="1"/>
  <c r="B139" i="16" s="1"/>
  <c r="B26" i="13"/>
  <c r="B30" i="14" s="1"/>
  <c r="B89" i="14" s="1"/>
  <c r="B134" i="16" s="1"/>
  <c r="B42" i="13"/>
  <c r="B28" i="13"/>
  <c r="B31" i="14" s="1"/>
  <c r="B90" i="14" s="1"/>
  <c r="B136" i="16" s="1"/>
  <c r="B39" i="13"/>
  <c r="B30" i="13"/>
  <c r="B35" i="13"/>
  <c r="B178" i="16" s="1"/>
  <c r="B38" i="13"/>
  <c r="B29" i="13"/>
  <c r="B32" i="14" s="1"/>
  <c r="B91" i="14" s="1"/>
  <c r="B137" i="16" s="1"/>
  <c r="B36" i="13"/>
  <c r="B179" i="16" s="1"/>
  <c r="B86" i="4"/>
  <c r="H559" i="7"/>
  <c r="H605" i="7" s="1"/>
  <c r="H17" i="8" s="1"/>
  <c r="H122" i="8" s="1"/>
  <c r="H157" i="9" s="1"/>
  <c r="B559" i="7"/>
  <c r="B605" i="7" s="1"/>
  <c r="B83" i="12" s="1"/>
  <c r="F559" i="7"/>
  <c r="F605" i="7" s="1"/>
  <c r="F17" i="8" s="1"/>
  <c r="F122" i="8" s="1"/>
  <c r="F157" i="9" s="1"/>
  <c r="J559" i="7"/>
  <c r="J605" i="7" s="1"/>
  <c r="I559" i="7"/>
  <c r="I605" i="7" s="1"/>
  <c r="I17" i="8" s="1"/>
  <c r="I122" i="8" s="1"/>
  <c r="I157" i="9" s="1"/>
  <c r="E559" i="7"/>
  <c r="E605" i="7" s="1"/>
  <c r="G559" i="7"/>
  <c r="G605" i="7" s="1"/>
  <c r="Q544" i="7"/>
  <c r="AA544" i="7"/>
  <c r="AC544" i="7"/>
  <c r="I544" i="7"/>
  <c r="AB544" i="7"/>
  <c r="S544" i="7"/>
  <c r="C544" i="7"/>
  <c r="E544" i="7"/>
  <c r="M544" i="7"/>
  <c r="AG544" i="7"/>
  <c r="AI544" i="7"/>
  <c r="X544" i="7"/>
  <c r="W544" i="7"/>
  <c r="Y544" i="7"/>
  <c r="D544" i="7"/>
  <c r="P544" i="7"/>
  <c r="U544" i="7"/>
  <c r="AK544" i="7"/>
  <c r="T544" i="7"/>
  <c r="AF544" i="7"/>
  <c r="O544" i="7"/>
  <c r="AE544" i="7"/>
  <c r="AJ544" i="7"/>
  <c r="P545" i="7"/>
  <c r="M545" i="7"/>
  <c r="AA545" i="7"/>
  <c r="T545" i="7"/>
  <c r="AK545" i="7"/>
  <c r="AB545" i="7"/>
  <c r="AF545" i="7"/>
  <c r="AE545" i="7"/>
  <c r="S545" i="7"/>
  <c r="Q545" i="7"/>
  <c r="AI545" i="7"/>
  <c r="X545" i="7"/>
  <c r="AJ545" i="7"/>
  <c r="I545" i="7"/>
  <c r="AG545" i="7"/>
  <c r="D545" i="7"/>
  <c r="E545" i="7"/>
  <c r="O545" i="7"/>
  <c r="Y545" i="7"/>
  <c r="C545" i="7"/>
  <c r="AC545" i="7"/>
  <c r="U545" i="7"/>
  <c r="W545" i="7"/>
  <c r="B17" i="8"/>
  <c r="B122" i="8" s="1"/>
  <c r="B157" i="9" s="1"/>
  <c r="M547" i="7"/>
  <c r="AE547" i="7"/>
  <c r="Q547" i="7"/>
  <c r="AK547" i="7"/>
  <c r="C547" i="7"/>
  <c r="U547" i="7"/>
  <c r="S547" i="7"/>
  <c r="T547" i="7"/>
  <c r="D547" i="7"/>
  <c r="X547" i="7"/>
  <c r="AJ547" i="7"/>
  <c r="W547" i="7"/>
  <c r="AB547" i="7"/>
  <c r="AF547" i="7"/>
  <c r="AG547" i="7"/>
  <c r="AA547" i="7"/>
  <c r="I547" i="7"/>
  <c r="Y547" i="7"/>
  <c r="O547" i="7"/>
  <c r="AC547" i="7"/>
  <c r="P547" i="7"/>
  <c r="E547" i="7"/>
  <c r="AI547" i="7"/>
  <c r="Q543" i="7"/>
  <c r="O543" i="7"/>
  <c r="T543" i="7"/>
  <c r="P543" i="7"/>
  <c r="U543" i="7"/>
  <c r="Y543" i="7"/>
  <c r="AG543" i="7"/>
  <c r="AK543" i="7"/>
  <c r="AB543" i="7"/>
  <c r="D543" i="7"/>
  <c r="M543" i="7"/>
  <c r="I543" i="7"/>
  <c r="AF543" i="7"/>
  <c r="C543" i="7"/>
  <c r="AA543" i="7"/>
  <c r="S543" i="7"/>
  <c r="E543" i="7"/>
  <c r="AE543" i="7"/>
  <c r="AC543" i="7"/>
  <c r="AI543" i="7"/>
  <c r="X543" i="7"/>
  <c r="AJ543" i="7"/>
  <c r="W543" i="7"/>
  <c r="G942" i="22"/>
  <c r="B97" i="13"/>
  <c r="B32" i="16"/>
  <c r="H50" i="8"/>
  <c r="H116" i="8" s="1"/>
  <c r="H151" i="9" s="1"/>
  <c r="I50" i="8"/>
  <c r="I116" i="8" s="1"/>
  <c r="I151" i="9" s="1"/>
  <c r="B73" i="12"/>
  <c r="B50" i="8"/>
  <c r="B116" i="8" s="1"/>
  <c r="B151" i="9" s="1"/>
  <c r="J32" i="8"/>
  <c r="J112" i="8" s="1"/>
  <c r="H32" i="8"/>
  <c r="H112" i="8" s="1"/>
  <c r="B32" i="8"/>
  <c r="B112" i="8" s="1"/>
  <c r="B69" i="12"/>
  <c r="E142" i="9"/>
  <c r="G50" i="8"/>
  <c r="G116" i="8" s="1"/>
  <c r="G151" i="9" s="1"/>
  <c r="I32" i="8"/>
  <c r="I112" i="8" s="1"/>
  <c r="F32" i="8"/>
  <c r="F112" i="8" s="1"/>
  <c r="F147" i="9" s="1"/>
  <c r="J947" i="22"/>
  <c r="I947" i="22"/>
  <c r="F50" i="8"/>
  <c r="F116" i="8" s="1"/>
  <c r="F151" i="9" s="1"/>
  <c r="E32" i="8"/>
  <c r="E112" i="8" s="1"/>
  <c r="E147" i="9" s="1"/>
  <c r="D32" i="8"/>
  <c r="D112" i="8" s="1"/>
  <c r="G32" i="8"/>
  <c r="G112" i="8" s="1"/>
  <c r="B112" i="13"/>
  <c r="F142" i="9"/>
  <c r="D50" i="8"/>
  <c r="D116" i="8" s="1"/>
  <c r="D151" i="9" s="1"/>
  <c r="C50" i="8"/>
  <c r="C116" i="8" s="1"/>
  <c r="C151" i="9" s="1"/>
  <c r="J50" i="8"/>
  <c r="J116" i="8" s="1"/>
  <c r="J151" i="9" s="1"/>
  <c r="E50" i="8"/>
  <c r="E116" i="8" s="1"/>
  <c r="E151" i="9" s="1"/>
  <c r="C32" i="8"/>
  <c r="C112" i="8" s="1"/>
  <c r="B93" i="13"/>
  <c r="B106" i="16"/>
  <c r="B17" i="16"/>
  <c r="B67" i="16"/>
  <c r="B24" i="16"/>
  <c r="G941" i="22"/>
  <c r="E676" i="22"/>
  <c r="J943" i="22"/>
  <c r="I943" i="22"/>
  <c r="B27" i="16"/>
  <c r="B88" i="13"/>
  <c r="B113" i="13"/>
  <c r="B20" i="16"/>
  <c r="B59" i="16"/>
  <c r="B66" i="16"/>
  <c r="H448" i="22"/>
  <c r="G948" i="22"/>
  <c r="B105" i="16"/>
  <c r="B104" i="16"/>
  <c r="D571" i="22"/>
  <c r="B65" i="16"/>
  <c r="B103" i="16"/>
  <c r="B25" i="16"/>
  <c r="B64" i="16"/>
  <c r="B120" i="4" l="1"/>
  <c r="B137" i="4" s="1"/>
  <c r="J11" i="12" s="1"/>
  <c r="B115" i="4"/>
  <c r="B132" i="4" s="1"/>
  <c r="E11" i="12" s="1"/>
  <c r="B114" i="4"/>
  <c r="B131" i="4" s="1"/>
  <c r="D11" i="12" s="1"/>
  <c r="B119" i="4"/>
  <c r="B136" i="4" s="1"/>
  <c r="I11" i="12" s="1"/>
  <c r="B118" i="4"/>
  <c r="B135" i="4" s="1"/>
  <c r="H11" i="12" s="1"/>
  <c r="B117" i="4"/>
  <c r="B113" i="4"/>
  <c r="B130" i="4" s="1"/>
  <c r="C11" i="12" s="1"/>
  <c r="J83" i="12"/>
  <c r="B116" i="4"/>
  <c r="B133" i="4" s="1"/>
  <c r="F11" i="12" s="1"/>
  <c r="F83" i="12" s="1"/>
  <c r="J17" i="8"/>
  <c r="J122" i="8" s="1"/>
  <c r="J157" i="9" s="1"/>
  <c r="B578" i="22"/>
  <c r="C578" i="22" s="1"/>
  <c r="J97" i="13"/>
  <c r="J32" i="16"/>
  <c r="I83" i="12"/>
  <c r="I557" i="7"/>
  <c r="I603" i="7" s="1"/>
  <c r="E83" i="12"/>
  <c r="E17" i="8"/>
  <c r="E122" i="8" s="1"/>
  <c r="E157" i="9" s="1"/>
  <c r="G17" i="8"/>
  <c r="G122" i="8" s="1"/>
  <c r="G157" i="9" s="1"/>
  <c r="I556" i="7"/>
  <c r="I602" i="7" s="1"/>
  <c r="I14" i="8" s="1"/>
  <c r="I119" i="8" s="1"/>
  <c r="I154" i="9" s="1"/>
  <c r="F556" i="7"/>
  <c r="F602" i="7" s="1"/>
  <c r="F80" i="12" s="1"/>
  <c r="B556" i="7"/>
  <c r="B602" i="7" s="1"/>
  <c r="G558" i="7"/>
  <c r="G604" i="7" s="1"/>
  <c r="G16" i="8" s="1"/>
  <c r="G121" i="8" s="1"/>
  <c r="G156" i="9" s="1"/>
  <c r="F558" i="7"/>
  <c r="F604" i="7" s="1"/>
  <c r="F557" i="7"/>
  <c r="F603" i="7" s="1"/>
  <c r="F81" i="12" s="1"/>
  <c r="H557" i="7"/>
  <c r="H603" i="7" s="1"/>
  <c r="H569" i="7"/>
  <c r="H628" i="7" s="1"/>
  <c r="H112" i="12" s="1"/>
  <c r="H560" i="7"/>
  <c r="H606" i="7" s="1"/>
  <c r="H578" i="7"/>
  <c r="H645" i="7" s="1"/>
  <c r="H135" i="12" s="1"/>
  <c r="G560" i="7"/>
  <c r="G606" i="7" s="1"/>
  <c r="G578" i="7"/>
  <c r="G645" i="7" s="1"/>
  <c r="G569" i="7"/>
  <c r="G628" i="7" s="1"/>
  <c r="I560" i="7"/>
  <c r="I606" i="7" s="1"/>
  <c r="I578" i="7"/>
  <c r="I645" i="7" s="1"/>
  <c r="I135" i="12" s="1"/>
  <c r="I569" i="7"/>
  <c r="I628" i="7" s="1"/>
  <c r="I112" i="12" s="1"/>
  <c r="G556" i="7"/>
  <c r="G602" i="7" s="1"/>
  <c r="H556" i="7"/>
  <c r="H602" i="7" s="1"/>
  <c r="B558" i="7"/>
  <c r="B604" i="7" s="1"/>
  <c r="E558" i="7"/>
  <c r="E604" i="7" s="1"/>
  <c r="I558" i="7"/>
  <c r="I604" i="7" s="1"/>
  <c r="E557" i="7"/>
  <c r="E603" i="7" s="1"/>
  <c r="G557" i="7"/>
  <c r="G603" i="7" s="1"/>
  <c r="J557" i="7"/>
  <c r="J603" i="7" s="1"/>
  <c r="B557" i="7"/>
  <c r="B603" i="7" s="1"/>
  <c r="I80" i="12"/>
  <c r="B14" i="8"/>
  <c r="B119" i="8" s="1"/>
  <c r="B154" i="9" s="1"/>
  <c r="B80" i="12"/>
  <c r="J569" i="7"/>
  <c r="J628" i="7" s="1"/>
  <c r="J112" i="12" s="1"/>
  <c r="J72" i="16" s="1"/>
  <c r="J578" i="7"/>
  <c r="J645" i="7" s="1"/>
  <c r="J135" i="12" s="1"/>
  <c r="J560" i="7"/>
  <c r="J606" i="7" s="1"/>
  <c r="E560" i="7"/>
  <c r="E606" i="7" s="1"/>
  <c r="E578" i="7"/>
  <c r="E645" i="7" s="1"/>
  <c r="E135" i="12" s="1"/>
  <c r="E569" i="7"/>
  <c r="E628" i="7" s="1"/>
  <c r="E112" i="12" s="1"/>
  <c r="F569" i="7"/>
  <c r="F628" i="7" s="1"/>
  <c r="F112" i="12" s="1"/>
  <c r="F578" i="7"/>
  <c r="F645" i="7" s="1"/>
  <c r="F135" i="12" s="1"/>
  <c r="F560" i="7"/>
  <c r="F606" i="7" s="1"/>
  <c r="B578" i="7"/>
  <c r="B645" i="7" s="1"/>
  <c r="B135" i="12" s="1"/>
  <c r="B569" i="7"/>
  <c r="B628" i="7" s="1"/>
  <c r="B112" i="12" s="1"/>
  <c r="B560" i="7"/>
  <c r="B606" i="7" s="1"/>
  <c r="F16" i="8"/>
  <c r="F121" i="8" s="1"/>
  <c r="F156" i="9" s="1"/>
  <c r="F82" i="12"/>
  <c r="I15" i="8"/>
  <c r="I120" i="8" s="1"/>
  <c r="I155" i="9" s="1"/>
  <c r="I81" i="12"/>
  <c r="F15" i="8"/>
  <c r="F120" i="8" s="1"/>
  <c r="F155" i="9" s="1"/>
  <c r="H15" i="8"/>
  <c r="H120" i="8" s="1"/>
  <c r="H155" i="9" s="1"/>
  <c r="H81" i="12"/>
  <c r="J556" i="7"/>
  <c r="J602" i="7" s="1"/>
  <c r="E556" i="7"/>
  <c r="E602" i="7" s="1"/>
  <c r="J558" i="7"/>
  <c r="J604" i="7" s="1"/>
  <c r="H558" i="7"/>
  <c r="H604" i="7" s="1"/>
  <c r="G944" i="22"/>
  <c r="I941" i="22"/>
  <c r="J941" i="22"/>
  <c r="J942" i="22"/>
  <c r="I942" i="22"/>
  <c r="C147" i="9"/>
  <c r="G147" i="9"/>
  <c r="D147" i="9"/>
  <c r="I147" i="9"/>
  <c r="B147" i="9"/>
  <c r="H147" i="9"/>
  <c r="B91" i="13"/>
  <c r="J945" i="22"/>
  <c r="I945" i="22"/>
  <c r="J946" i="22"/>
  <c r="I946" i="22"/>
  <c r="B61" i="16"/>
  <c r="B87" i="13"/>
  <c r="J147" i="9"/>
  <c r="B28" i="16"/>
  <c r="F669" i="22"/>
  <c r="J948" i="22"/>
  <c r="I948" i="22"/>
  <c r="J119" i="13"/>
  <c r="D610" i="22"/>
  <c r="J135" i="13"/>
  <c r="J111" i="16"/>
  <c r="B62" i="16"/>
  <c r="B23" i="16"/>
  <c r="D575" i="22"/>
  <c r="L448" i="22"/>
  <c r="J448" i="22"/>
  <c r="K448" i="22"/>
  <c r="B99" i="10"/>
  <c r="I24" i="23"/>
  <c r="D578" i="22"/>
  <c r="C134" i="12" l="1"/>
  <c r="C36" i="12"/>
  <c r="C67" i="13" s="1"/>
  <c r="C108" i="12"/>
  <c r="C74" i="15"/>
  <c r="C91" i="15" s="1"/>
  <c r="C29" i="12"/>
  <c r="C60" i="13" s="1"/>
  <c r="C32" i="12"/>
  <c r="C63" i="13" s="1"/>
  <c r="C9" i="15" s="1"/>
  <c r="C22" i="15" s="1"/>
  <c r="C47" i="12"/>
  <c r="C127" i="12"/>
  <c r="C131" i="13" s="1"/>
  <c r="C41" i="12"/>
  <c r="C104" i="12"/>
  <c r="C115" i="13" s="1"/>
  <c r="C34" i="12"/>
  <c r="C65" i="13" s="1"/>
  <c r="C11" i="15" s="1"/>
  <c r="C24" i="15" s="1"/>
  <c r="C44" i="12"/>
  <c r="C131" i="12"/>
  <c r="C23" i="12"/>
  <c r="C54" i="13" s="1"/>
  <c r="C109" i="12"/>
  <c r="C73" i="15"/>
  <c r="C90" i="15" s="1"/>
  <c r="C75" i="12"/>
  <c r="C93" i="13" s="1"/>
  <c r="C74" i="12"/>
  <c r="C92" i="13" s="1"/>
  <c r="C72" i="12"/>
  <c r="C90" i="13" s="1"/>
  <c r="C38" i="12"/>
  <c r="C69" i="13" s="1"/>
  <c r="C48" i="12"/>
  <c r="C11" i="13"/>
  <c r="C68" i="15"/>
  <c r="C85" i="15" s="1"/>
  <c r="C76" i="12"/>
  <c r="C35" i="12"/>
  <c r="C66" i="13" s="1"/>
  <c r="C12" i="15" s="1"/>
  <c r="C25" i="15" s="1"/>
  <c r="C107" i="12"/>
  <c r="C118" i="13" s="1"/>
  <c r="C133" i="12"/>
  <c r="C77" i="12"/>
  <c r="C66" i="12"/>
  <c r="C84" i="13" s="1"/>
  <c r="C70" i="15"/>
  <c r="C87" i="15" s="1"/>
  <c r="C28" i="12"/>
  <c r="C59" i="13" s="1"/>
  <c r="C24" i="12"/>
  <c r="C55" i="13" s="1"/>
  <c r="C67" i="12"/>
  <c r="C85" i="13" s="1"/>
  <c r="C129" i="12"/>
  <c r="C133" i="13" s="1"/>
  <c r="C79" i="12"/>
  <c r="C46" i="12"/>
  <c r="C71" i="15"/>
  <c r="C88" i="15" s="1"/>
  <c r="C72" i="15"/>
  <c r="C89" i="15" s="1"/>
  <c r="C69" i="15"/>
  <c r="C86" i="15" s="1"/>
  <c r="C25" i="12"/>
  <c r="C56" i="13" s="1"/>
  <c r="C103" i="12"/>
  <c r="C114" i="13" s="1"/>
  <c r="C100" i="12"/>
  <c r="C111" i="13" s="1"/>
  <c r="C68" i="12"/>
  <c r="C86" i="13" s="1"/>
  <c r="C111" i="12"/>
  <c r="C50" i="12"/>
  <c r="C43" i="12"/>
  <c r="C26" i="12"/>
  <c r="C57" i="13" s="1"/>
  <c r="C27" i="12"/>
  <c r="C58" i="13" s="1"/>
  <c r="C49" i="12"/>
  <c r="C130" i="12"/>
  <c r="C134" i="13" s="1"/>
  <c r="C31" i="12"/>
  <c r="C62" i="13" s="1"/>
  <c r="C30" i="12"/>
  <c r="C61" i="13" s="1"/>
  <c r="C78" i="12"/>
  <c r="C110" i="12"/>
  <c r="C40" i="12"/>
  <c r="C71" i="13" s="1"/>
  <c r="C33" i="12"/>
  <c r="C64" i="13" s="1"/>
  <c r="C10" i="15" s="1"/>
  <c r="C23" i="15" s="1"/>
  <c r="C37" i="12"/>
  <c r="C68" i="13" s="1"/>
  <c r="C39" i="12"/>
  <c r="C70" i="13" s="1"/>
  <c r="C65" i="12"/>
  <c r="C83" i="13" s="1"/>
  <c r="C106" i="12"/>
  <c r="C117" i="13" s="1"/>
  <c r="C42" i="12"/>
  <c r="C132" i="12"/>
  <c r="C45" i="12"/>
  <c r="C75" i="15"/>
  <c r="C92" i="15" s="1"/>
  <c r="C99" i="12"/>
  <c r="C110" i="13" s="1"/>
  <c r="C71" i="12"/>
  <c r="C89" i="13" s="1"/>
  <c r="C102" i="12"/>
  <c r="C113" i="13" s="1"/>
  <c r="C70" i="12"/>
  <c r="C88" i="13" s="1"/>
  <c r="C128" i="12"/>
  <c r="C132" i="13" s="1"/>
  <c r="C101" i="12"/>
  <c r="C112" i="13" s="1"/>
  <c r="C105" i="12"/>
  <c r="C116" i="13" s="1"/>
  <c r="C69" i="12"/>
  <c r="C87" i="13" s="1"/>
  <c r="C73" i="12"/>
  <c r="C91" i="13" s="1"/>
  <c r="B134" i="4"/>
  <c r="G11" i="12" s="1"/>
  <c r="F20" i="10"/>
  <c r="G68" i="10" s="1"/>
  <c r="G99" i="10" s="1"/>
  <c r="H30" i="12"/>
  <c r="H61" i="13" s="1"/>
  <c r="H26" i="12"/>
  <c r="H57" i="13" s="1"/>
  <c r="H49" i="12"/>
  <c r="H24" i="12"/>
  <c r="H55" i="13" s="1"/>
  <c r="H70" i="15"/>
  <c r="H87" i="15" s="1"/>
  <c r="H43" i="12"/>
  <c r="H73" i="15"/>
  <c r="H90" i="15" s="1"/>
  <c r="H68" i="12"/>
  <c r="H86" i="13" s="1"/>
  <c r="H74" i="12"/>
  <c r="H92" i="13" s="1"/>
  <c r="H41" i="12"/>
  <c r="H27" i="12"/>
  <c r="H58" i="13" s="1"/>
  <c r="H110" i="12"/>
  <c r="H35" i="12"/>
  <c r="H66" i="13" s="1"/>
  <c r="H12" i="15" s="1"/>
  <c r="H25" i="15" s="1"/>
  <c r="H75" i="15"/>
  <c r="H92" i="15" s="1"/>
  <c r="H11" i="13"/>
  <c r="H31" i="12"/>
  <c r="H62" i="13" s="1"/>
  <c r="H130" i="12"/>
  <c r="H134" i="13" s="1"/>
  <c r="H48" i="12"/>
  <c r="H50" i="12"/>
  <c r="H109" i="12"/>
  <c r="H111" i="12"/>
  <c r="H74" i="15"/>
  <c r="H91" i="15" s="1"/>
  <c r="H42" i="12"/>
  <c r="H103" i="12"/>
  <c r="H114" i="13" s="1"/>
  <c r="H67" i="12"/>
  <c r="H85" i="13" s="1"/>
  <c r="H129" i="12"/>
  <c r="H133" i="13" s="1"/>
  <c r="H40" i="12"/>
  <c r="H71" i="13" s="1"/>
  <c r="H134" i="12"/>
  <c r="H28" i="12"/>
  <c r="H59" i="13" s="1"/>
  <c r="H29" i="12"/>
  <c r="H60" i="13" s="1"/>
  <c r="H33" i="12"/>
  <c r="H64" i="13" s="1"/>
  <c r="H10" i="15" s="1"/>
  <c r="H23" i="15" s="1"/>
  <c r="H69" i="15"/>
  <c r="H86" i="15" s="1"/>
  <c r="H99" i="12"/>
  <c r="H110" i="13" s="1"/>
  <c r="H100" i="12"/>
  <c r="H111" i="13" s="1"/>
  <c r="H127" i="12"/>
  <c r="H131" i="13" s="1"/>
  <c r="H46" i="12"/>
  <c r="H66" i="12"/>
  <c r="H84" i="13" s="1"/>
  <c r="H39" i="12"/>
  <c r="H70" i="13" s="1"/>
  <c r="H108" i="12"/>
  <c r="H38" i="12"/>
  <c r="H69" i="13" s="1"/>
  <c r="H71" i="15"/>
  <c r="H88" i="15" s="1"/>
  <c r="H75" i="12"/>
  <c r="H93" i="13" s="1"/>
  <c r="H72" i="12"/>
  <c r="H90" i="13" s="1"/>
  <c r="H104" i="12"/>
  <c r="H115" i="13" s="1"/>
  <c r="H76" i="12"/>
  <c r="H132" i="12"/>
  <c r="H77" i="12"/>
  <c r="H131" i="12"/>
  <c r="H34" i="12"/>
  <c r="H65" i="13" s="1"/>
  <c r="H11" i="15" s="1"/>
  <c r="H24" i="15" s="1"/>
  <c r="H68" i="15"/>
  <c r="H85" i="15" s="1"/>
  <c r="H45" i="12"/>
  <c r="H71" i="12"/>
  <c r="H89" i="13" s="1"/>
  <c r="H25" i="12"/>
  <c r="H56" i="13" s="1"/>
  <c r="H23" i="12"/>
  <c r="H54" i="13" s="1"/>
  <c r="H78" i="12"/>
  <c r="H47" i="12"/>
  <c r="H79" i="12"/>
  <c r="H36" i="12"/>
  <c r="H67" i="13" s="1"/>
  <c r="H32" i="12"/>
  <c r="H63" i="13" s="1"/>
  <c r="H9" i="15" s="1"/>
  <c r="H22" i="15" s="1"/>
  <c r="H133" i="12"/>
  <c r="H72" i="15"/>
  <c r="H89" i="15" s="1"/>
  <c r="H65" i="12"/>
  <c r="H83" i="13" s="1"/>
  <c r="H106" i="12"/>
  <c r="H117" i="13" s="1"/>
  <c r="H44" i="12"/>
  <c r="H37" i="12"/>
  <c r="H68" i="13" s="1"/>
  <c r="H107" i="12"/>
  <c r="H118" i="13" s="1"/>
  <c r="H70" i="12"/>
  <c r="H88" i="13" s="1"/>
  <c r="H102" i="12"/>
  <c r="H113" i="13" s="1"/>
  <c r="H105" i="12"/>
  <c r="H116" i="13" s="1"/>
  <c r="H128" i="12"/>
  <c r="H132" i="13" s="1"/>
  <c r="H73" i="12"/>
  <c r="H91" i="13" s="1"/>
  <c r="H69" i="12"/>
  <c r="H87" i="13" s="1"/>
  <c r="H101" i="12"/>
  <c r="H112" i="13" s="1"/>
  <c r="G112" i="12"/>
  <c r="I34" i="12"/>
  <c r="I65" i="13" s="1"/>
  <c r="I11" i="15" s="1"/>
  <c r="I24" i="15" s="1"/>
  <c r="I40" i="12"/>
  <c r="I71" i="13" s="1"/>
  <c r="I71" i="15"/>
  <c r="I88" i="15" s="1"/>
  <c r="I79" i="12"/>
  <c r="I66" i="12"/>
  <c r="I84" i="13" s="1"/>
  <c r="I133" i="12"/>
  <c r="I31" i="12"/>
  <c r="I62" i="13" s="1"/>
  <c r="I38" i="12"/>
  <c r="I69" i="13" s="1"/>
  <c r="I68" i="12"/>
  <c r="I86" i="13" s="1"/>
  <c r="I131" i="12"/>
  <c r="I132" i="12"/>
  <c r="I78" i="12"/>
  <c r="I46" i="12"/>
  <c r="I72" i="12"/>
  <c r="I90" i="13" s="1"/>
  <c r="I41" i="12"/>
  <c r="I32" i="12"/>
  <c r="I63" i="13" s="1"/>
  <c r="I9" i="15" s="1"/>
  <c r="I22" i="15" s="1"/>
  <c r="I65" i="12"/>
  <c r="I83" i="13" s="1"/>
  <c r="I43" i="12"/>
  <c r="I74" i="15"/>
  <c r="I91" i="15" s="1"/>
  <c r="I110" i="12"/>
  <c r="I67" i="12"/>
  <c r="I85" i="13" s="1"/>
  <c r="I11" i="13"/>
  <c r="I48" i="12"/>
  <c r="I27" i="12"/>
  <c r="I58" i="13" s="1"/>
  <c r="I35" i="12"/>
  <c r="I66" i="13" s="1"/>
  <c r="I12" i="15" s="1"/>
  <c r="I25" i="15" s="1"/>
  <c r="I42" i="12"/>
  <c r="I103" i="12"/>
  <c r="I114" i="13" s="1"/>
  <c r="I26" i="12"/>
  <c r="I57" i="13" s="1"/>
  <c r="I127" i="12"/>
  <c r="I131" i="13" s="1"/>
  <c r="I111" i="12"/>
  <c r="I30" i="12"/>
  <c r="I61" i="13" s="1"/>
  <c r="I108" i="12"/>
  <c r="I25" i="12"/>
  <c r="I56" i="13" s="1"/>
  <c r="I45" i="12"/>
  <c r="I71" i="12"/>
  <c r="I89" i="13" s="1"/>
  <c r="I37" i="12"/>
  <c r="I68" i="13" s="1"/>
  <c r="I100" i="12"/>
  <c r="I111" i="13" s="1"/>
  <c r="I44" i="12"/>
  <c r="I134" i="12"/>
  <c r="I69" i="15"/>
  <c r="I86" i="15" s="1"/>
  <c r="I73" i="15"/>
  <c r="I90" i="15" s="1"/>
  <c r="I99" i="12"/>
  <c r="I110" i="13" s="1"/>
  <c r="I28" i="12"/>
  <c r="I59" i="13" s="1"/>
  <c r="I74" i="12"/>
  <c r="I92" i="13" s="1"/>
  <c r="I75" i="15"/>
  <c r="I92" i="15" s="1"/>
  <c r="I68" i="15"/>
  <c r="I85" i="15" s="1"/>
  <c r="I29" i="12"/>
  <c r="I60" i="13" s="1"/>
  <c r="I47" i="12"/>
  <c r="I49" i="12"/>
  <c r="I77" i="12"/>
  <c r="I39" i="12"/>
  <c r="I70" i="13" s="1"/>
  <c r="I24" i="12"/>
  <c r="I55" i="13" s="1"/>
  <c r="I129" i="12"/>
  <c r="I133" i="13" s="1"/>
  <c r="I36" i="12"/>
  <c r="I67" i="13" s="1"/>
  <c r="I70" i="15"/>
  <c r="I87" i="15" s="1"/>
  <c r="I33" i="12"/>
  <c r="I64" i="13" s="1"/>
  <c r="I10" i="15" s="1"/>
  <c r="I23" i="15" s="1"/>
  <c r="I72" i="15"/>
  <c r="I89" i="15" s="1"/>
  <c r="I106" i="12"/>
  <c r="I117" i="13" s="1"/>
  <c r="I104" i="12"/>
  <c r="I115" i="13" s="1"/>
  <c r="I76" i="12"/>
  <c r="I23" i="12"/>
  <c r="I54" i="13" s="1"/>
  <c r="I50" i="12"/>
  <c r="I109" i="12"/>
  <c r="I107" i="12"/>
  <c r="I118" i="13" s="1"/>
  <c r="I130" i="12"/>
  <c r="I134" i="13" s="1"/>
  <c r="I75" i="12"/>
  <c r="I93" i="13" s="1"/>
  <c r="I70" i="12"/>
  <c r="I88" i="13" s="1"/>
  <c r="I102" i="12"/>
  <c r="I113" i="13" s="1"/>
  <c r="I105" i="12"/>
  <c r="I116" i="13" s="1"/>
  <c r="I101" i="12"/>
  <c r="I112" i="13" s="1"/>
  <c r="I69" i="12"/>
  <c r="I87" i="13" s="1"/>
  <c r="I128" i="12"/>
  <c r="I132" i="13" s="1"/>
  <c r="I73" i="12"/>
  <c r="I91" i="13" s="1"/>
  <c r="G135" i="12"/>
  <c r="D71" i="15"/>
  <c r="D88" i="15" s="1"/>
  <c r="D11" i="13"/>
  <c r="D29" i="12"/>
  <c r="D60" i="13" s="1"/>
  <c r="D28" i="12"/>
  <c r="D59" i="13" s="1"/>
  <c r="D110" i="12"/>
  <c r="D44" i="12"/>
  <c r="D27" i="12"/>
  <c r="D58" i="13" s="1"/>
  <c r="D68" i="12"/>
  <c r="D86" i="13" s="1"/>
  <c r="D134" i="12"/>
  <c r="D68" i="15"/>
  <c r="D85" i="15" s="1"/>
  <c r="D99" i="12"/>
  <c r="D110" i="13" s="1"/>
  <c r="D25" i="12"/>
  <c r="D56" i="13" s="1"/>
  <c r="D36" i="12"/>
  <c r="D67" i="13" s="1"/>
  <c r="D76" i="12"/>
  <c r="D39" i="12"/>
  <c r="D70" i="13" s="1"/>
  <c r="D45" i="12"/>
  <c r="D106" i="12"/>
  <c r="D117" i="13" s="1"/>
  <c r="D70" i="15"/>
  <c r="D87" i="15" s="1"/>
  <c r="D79" i="12"/>
  <c r="D72" i="15"/>
  <c r="D89" i="15" s="1"/>
  <c r="D75" i="12"/>
  <c r="D93" i="13" s="1"/>
  <c r="D66" i="12"/>
  <c r="D84" i="13" s="1"/>
  <c r="D33" i="12"/>
  <c r="D64" i="13" s="1"/>
  <c r="D10" i="15" s="1"/>
  <c r="D23" i="15" s="1"/>
  <c r="D108" i="12"/>
  <c r="D31" i="12"/>
  <c r="D62" i="13" s="1"/>
  <c r="D74" i="12"/>
  <c r="D92" i="13" s="1"/>
  <c r="D72" i="12"/>
  <c r="D90" i="13" s="1"/>
  <c r="D100" i="12"/>
  <c r="D111" i="13" s="1"/>
  <c r="D73" i="15"/>
  <c r="D90" i="15" s="1"/>
  <c r="D42" i="12"/>
  <c r="D49" i="12"/>
  <c r="D107" i="12"/>
  <c r="D118" i="13" s="1"/>
  <c r="D109" i="12"/>
  <c r="D34" i="12"/>
  <c r="D65" i="13" s="1"/>
  <c r="D11" i="15" s="1"/>
  <c r="D24" i="15" s="1"/>
  <c r="D41" i="12"/>
  <c r="D78" i="12"/>
  <c r="D75" i="15"/>
  <c r="D92" i="15" s="1"/>
  <c r="D69" i="15"/>
  <c r="D86" i="15" s="1"/>
  <c r="D71" i="12"/>
  <c r="D89" i="13" s="1"/>
  <c r="D103" i="12"/>
  <c r="D114" i="13" s="1"/>
  <c r="D47" i="12"/>
  <c r="D23" i="12"/>
  <c r="D54" i="13" s="1"/>
  <c r="D46" i="12"/>
  <c r="D127" i="12"/>
  <c r="D131" i="13" s="1"/>
  <c r="D131" i="12"/>
  <c r="D129" i="12"/>
  <c r="D133" i="13" s="1"/>
  <c r="D50" i="12"/>
  <c r="D74" i="15"/>
  <c r="D91" i="15" s="1"/>
  <c r="D133" i="12"/>
  <c r="D40" i="12"/>
  <c r="D71" i="13" s="1"/>
  <c r="D26" i="12"/>
  <c r="D57" i="13" s="1"/>
  <c r="D43" i="12"/>
  <c r="D77" i="12"/>
  <c r="D35" i="12"/>
  <c r="D66" i="13" s="1"/>
  <c r="D12" i="15" s="1"/>
  <c r="D25" i="15" s="1"/>
  <c r="D38" i="12"/>
  <c r="D69" i="13" s="1"/>
  <c r="D111" i="12"/>
  <c r="D130" i="12"/>
  <c r="D134" i="13" s="1"/>
  <c r="D32" i="12"/>
  <c r="D63" i="13" s="1"/>
  <c r="D9" i="15" s="1"/>
  <c r="D22" i="15" s="1"/>
  <c r="D37" i="12"/>
  <c r="D68" i="13" s="1"/>
  <c r="D48" i="12"/>
  <c r="D30" i="12"/>
  <c r="D61" i="13" s="1"/>
  <c r="D132" i="12"/>
  <c r="D67" i="12"/>
  <c r="D85" i="13" s="1"/>
  <c r="D104" i="12"/>
  <c r="D115" i="13" s="1"/>
  <c r="D24" i="12"/>
  <c r="D55" i="13" s="1"/>
  <c r="D65" i="12"/>
  <c r="D83" i="13" s="1"/>
  <c r="D102" i="12"/>
  <c r="D113" i="13" s="1"/>
  <c r="D70" i="12"/>
  <c r="D88" i="13" s="1"/>
  <c r="D105" i="12"/>
  <c r="D116" i="13" s="1"/>
  <c r="D73" i="12"/>
  <c r="D91" i="13" s="1"/>
  <c r="D69" i="12"/>
  <c r="D87" i="13" s="1"/>
  <c r="D101" i="12"/>
  <c r="D112" i="13" s="1"/>
  <c r="D128" i="12"/>
  <c r="D132" i="13" s="1"/>
  <c r="H83" i="12"/>
  <c r="E76" i="12"/>
  <c r="E134" i="12"/>
  <c r="E111" i="12"/>
  <c r="E131" i="12"/>
  <c r="E78" i="12"/>
  <c r="E108" i="12"/>
  <c r="E109" i="12"/>
  <c r="E132" i="12"/>
  <c r="E79" i="12"/>
  <c r="E110" i="12"/>
  <c r="E133" i="12"/>
  <c r="E77" i="12"/>
  <c r="E27" i="12"/>
  <c r="E58" i="13" s="1"/>
  <c r="E44" i="12"/>
  <c r="E73" i="15"/>
  <c r="E90" i="15" s="1"/>
  <c r="E40" i="12"/>
  <c r="E71" i="13" s="1"/>
  <c r="E74" i="15"/>
  <c r="E91" i="15" s="1"/>
  <c r="E104" i="12"/>
  <c r="E115" i="13" s="1"/>
  <c r="E106" i="12"/>
  <c r="E117" i="13" s="1"/>
  <c r="E38" i="12"/>
  <c r="E69" i="13" s="1"/>
  <c r="E48" i="12"/>
  <c r="E72" i="15"/>
  <c r="E89" i="15" s="1"/>
  <c r="E28" i="12"/>
  <c r="E59" i="13" s="1"/>
  <c r="E35" i="12"/>
  <c r="E66" i="13" s="1"/>
  <c r="E12" i="15" s="1"/>
  <c r="E25" i="15" s="1"/>
  <c r="E103" i="12"/>
  <c r="E114" i="13" s="1"/>
  <c r="E100" i="12"/>
  <c r="E111" i="13" s="1"/>
  <c r="E67" i="12"/>
  <c r="E85" i="13" s="1"/>
  <c r="E130" i="12"/>
  <c r="E134" i="13" s="1"/>
  <c r="E30" i="12"/>
  <c r="E61" i="13" s="1"/>
  <c r="E36" i="12"/>
  <c r="E67" i="13" s="1"/>
  <c r="E47" i="12"/>
  <c r="E45" i="12"/>
  <c r="E33" i="12"/>
  <c r="E64" i="13" s="1"/>
  <c r="E10" i="15" s="1"/>
  <c r="E23" i="15" s="1"/>
  <c r="E99" i="12"/>
  <c r="E110" i="13" s="1"/>
  <c r="E43" i="12"/>
  <c r="E25" i="12"/>
  <c r="E56" i="13" s="1"/>
  <c r="E34" i="12"/>
  <c r="E65" i="13" s="1"/>
  <c r="E11" i="15" s="1"/>
  <c r="E24" i="15" s="1"/>
  <c r="E23" i="12"/>
  <c r="E54" i="13" s="1"/>
  <c r="E39" i="12"/>
  <c r="E70" i="13" s="1"/>
  <c r="E75" i="12"/>
  <c r="E93" i="13" s="1"/>
  <c r="E50" i="12"/>
  <c r="E46" i="12"/>
  <c r="E68" i="15"/>
  <c r="E85" i="15" s="1"/>
  <c r="E31" i="12"/>
  <c r="E62" i="13" s="1"/>
  <c r="E37" i="12"/>
  <c r="E68" i="13" s="1"/>
  <c r="E29" i="12"/>
  <c r="E60" i="13" s="1"/>
  <c r="E71" i="12"/>
  <c r="E89" i="13" s="1"/>
  <c r="E127" i="12"/>
  <c r="E131" i="13" s="1"/>
  <c r="E32" i="12"/>
  <c r="E63" i="13" s="1"/>
  <c r="E9" i="15" s="1"/>
  <c r="E22" i="15" s="1"/>
  <c r="E70" i="15"/>
  <c r="E87" i="15" s="1"/>
  <c r="E66" i="12"/>
  <c r="E84" i="13" s="1"/>
  <c r="E49" i="12"/>
  <c r="E24" i="12"/>
  <c r="E55" i="13" s="1"/>
  <c r="E65" i="12"/>
  <c r="E83" i="13" s="1"/>
  <c r="E42" i="12"/>
  <c r="E71" i="15"/>
  <c r="E88" i="15" s="1"/>
  <c r="E11" i="13"/>
  <c r="E69" i="15"/>
  <c r="E86" i="15" s="1"/>
  <c r="E68" i="12"/>
  <c r="E86" i="13" s="1"/>
  <c r="E129" i="12"/>
  <c r="E133" i="13" s="1"/>
  <c r="E74" i="12"/>
  <c r="E92" i="13" s="1"/>
  <c r="E72" i="12"/>
  <c r="E90" i="13" s="1"/>
  <c r="E41" i="12"/>
  <c r="E75" i="15"/>
  <c r="E92" i="15" s="1"/>
  <c r="E26" i="12"/>
  <c r="E57" i="13" s="1"/>
  <c r="E107" i="12"/>
  <c r="E118" i="13" s="1"/>
  <c r="E102" i="12"/>
  <c r="E113" i="13" s="1"/>
  <c r="E70" i="12"/>
  <c r="E88" i="13" s="1"/>
  <c r="E101" i="12"/>
  <c r="E112" i="13" s="1"/>
  <c r="E73" i="12"/>
  <c r="E91" i="13" s="1"/>
  <c r="E105" i="12"/>
  <c r="E116" i="13" s="1"/>
  <c r="E69" i="12"/>
  <c r="E87" i="13" s="1"/>
  <c r="E128" i="12"/>
  <c r="E132" i="13" s="1"/>
  <c r="F100" i="12"/>
  <c r="F111" i="13" s="1"/>
  <c r="F129" i="12"/>
  <c r="F133" i="13" s="1"/>
  <c r="F127" i="12"/>
  <c r="F131" i="13" s="1"/>
  <c r="F72" i="12"/>
  <c r="F90" i="13" s="1"/>
  <c r="F74" i="12"/>
  <c r="F92" i="13" s="1"/>
  <c r="F104" i="12"/>
  <c r="F115" i="13" s="1"/>
  <c r="F67" i="12"/>
  <c r="F85" i="13" s="1"/>
  <c r="F39" i="12"/>
  <c r="F70" i="13" s="1"/>
  <c r="F71" i="15"/>
  <c r="F88" i="15" s="1"/>
  <c r="F33" i="12"/>
  <c r="F64" i="13" s="1"/>
  <c r="F10" i="15" s="1"/>
  <c r="F23" i="15" s="1"/>
  <c r="F11" i="13"/>
  <c r="F75" i="15"/>
  <c r="F92" i="15" s="1"/>
  <c r="F24" i="12"/>
  <c r="F55" i="13" s="1"/>
  <c r="F79" i="12"/>
  <c r="F99" i="12"/>
  <c r="F110" i="13" s="1"/>
  <c r="F132" i="12"/>
  <c r="F72" i="15"/>
  <c r="F89" i="15" s="1"/>
  <c r="F69" i="15"/>
  <c r="F86" i="15" s="1"/>
  <c r="F109" i="12"/>
  <c r="F50" i="12"/>
  <c r="F73" i="15"/>
  <c r="F90" i="15" s="1"/>
  <c r="F75" i="12"/>
  <c r="F93" i="13" s="1"/>
  <c r="F78" i="12"/>
  <c r="F38" i="12"/>
  <c r="F69" i="13" s="1"/>
  <c r="F31" i="12"/>
  <c r="F62" i="13" s="1"/>
  <c r="F133" i="12"/>
  <c r="F42" i="12"/>
  <c r="F48" i="12"/>
  <c r="F101" i="12"/>
  <c r="F112" i="13" s="1"/>
  <c r="F108" i="12"/>
  <c r="F37" i="12"/>
  <c r="F68" i="13" s="1"/>
  <c r="F36" i="12"/>
  <c r="F67" i="13" s="1"/>
  <c r="F111" i="12"/>
  <c r="F70" i="15"/>
  <c r="F87" i="15" s="1"/>
  <c r="F30" i="12"/>
  <c r="F61" i="13" s="1"/>
  <c r="F71" i="12"/>
  <c r="F89" i="13" s="1"/>
  <c r="F102" i="12"/>
  <c r="F113" i="13" s="1"/>
  <c r="F110" i="12"/>
  <c r="F49" i="12"/>
  <c r="F34" i="12"/>
  <c r="F65" i="13" s="1"/>
  <c r="F11" i="15" s="1"/>
  <c r="F24" i="15" s="1"/>
  <c r="F77" i="12"/>
  <c r="F35" i="12"/>
  <c r="F66" i="13" s="1"/>
  <c r="F12" i="15" s="1"/>
  <c r="F25" i="15" s="1"/>
  <c r="F25" i="12"/>
  <c r="F56" i="13" s="1"/>
  <c r="F107" i="12"/>
  <c r="F118" i="13" s="1"/>
  <c r="F76" i="12"/>
  <c r="F23" i="12"/>
  <c r="F54" i="13" s="1"/>
  <c r="F43" i="12"/>
  <c r="F131" i="12"/>
  <c r="F74" i="15"/>
  <c r="F91" i="15" s="1"/>
  <c r="F47" i="12"/>
  <c r="F68" i="12"/>
  <c r="F86" i="13" s="1"/>
  <c r="F66" i="12"/>
  <c r="F84" i="13" s="1"/>
  <c r="F45" i="12"/>
  <c r="F40" i="12"/>
  <c r="F71" i="13" s="1"/>
  <c r="F28" i="12"/>
  <c r="F59" i="13" s="1"/>
  <c r="F134" i="12"/>
  <c r="F46" i="12"/>
  <c r="F32" i="12"/>
  <c r="F63" i="13" s="1"/>
  <c r="F9" i="15" s="1"/>
  <c r="F22" i="15" s="1"/>
  <c r="F130" i="12"/>
  <c r="F134" i="13" s="1"/>
  <c r="F44" i="12"/>
  <c r="F68" i="15"/>
  <c r="F85" i="15" s="1"/>
  <c r="F27" i="12"/>
  <c r="F58" i="13" s="1"/>
  <c r="F65" i="12"/>
  <c r="F83" i="13" s="1"/>
  <c r="F26" i="12"/>
  <c r="F57" i="13" s="1"/>
  <c r="F41" i="12"/>
  <c r="F29" i="12"/>
  <c r="F60" i="13" s="1"/>
  <c r="F103" i="12"/>
  <c r="F114" i="13" s="1"/>
  <c r="F70" i="12"/>
  <c r="F88" i="13" s="1"/>
  <c r="F106" i="12"/>
  <c r="F117" i="13" s="1"/>
  <c r="F69" i="12"/>
  <c r="F87" i="13" s="1"/>
  <c r="F73" i="12"/>
  <c r="F91" i="13" s="1"/>
  <c r="F128" i="12"/>
  <c r="F132" i="13" s="1"/>
  <c r="F105" i="12"/>
  <c r="F116" i="13" s="1"/>
  <c r="J66" i="12"/>
  <c r="J84" i="13" s="1"/>
  <c r="J36" i="12"/>
  <c r="J67" i="13" s="1"/>
  <c r="J32" i="12"/>
  <c r="J63" i="13" s="1"/>
  <c r="J9" i="15" s="1"/>
  <c r="J22" i="15" s="1"/>
  <c r="J23" i="12"/>
  <c r="J54" i="13" s="1"/>
  <c r="J39" i="12"/>
  <c r="J70" i="13" s="1"/>
  <c r="J106" i="12"/>
  <c r="J117" i="13" s="1"/>
  <c r="J77" i="12"/>
  <c r="J48" i="12"/>
  <c r="J25" i="12"/>
  <c r="J56" i="13" s="1"/>
  <c r="J47" i="12"/>
  <c r="J72" i="15"/>
  <c r="J89" i="15" s="1"/>
  <c r="J108" i="12"/>
  <c r="J127" i="12"/>
  <c r="J131" i="13" s="1"/>
  <c r="J99" i="12"/>
  <c r="J110" i="13" s="1"/>
  <c r="J75" i="15"/>
  <c r="J92" i="15" s="1"/>
  <c r="J34" i="12"/>
  <c r="J65" i="13" s="1"/>
  <c r="J11" i="15" s="1"/>
  <c r="J24" i="15" s="1"/>
  <c r="J26" i="12"/>
  <c r="J57" i="13" s="1"/>
  <c r="J37" i="12"/>
  <c r="J68" i="13" s="1"/>
  <c r="J69" i="15"/>
  <c r="J86" i="15" s="1"/>
  <c r="J74" i="12"/>
  <c r="J92" i="13" s="1"/>
  <c r="J76" i="12"/>
  <c r="J134" i="12"/>
  <c r="J104" i="12"/>
  <c r="J115" i="13" s="1"/>
  <c r="J72" i="12"/>
  <c r="J90" i="13" s="1"/>
  <c r="J41" i="12"/>
  <c r="J50" i="12"/>
  <c r="J46" i="12"/>
  <c r="J74" i="15"/>
  <c r="J91" i="15" s="1"/>
  <c r="J27" i="12"/>
  <c r="J58" i="13" s="1"/>
  <c r="J133" i="12"/>
  <c r="J78" i="12"/>
  <c r="J67" i="12"/>
  <c r="J85" i="13" s="1"/>
  <c r="J111" i="12"/>
  <c r="J65" i="12"/>
  <c r="J83" i="13" s="1"/>
  <c r="J30" i="12"/>
  <c r="J61" i="13" s="1"/>
  <c r="J29" i="12"/>
  <c r="J60" i="13" s="1"/>
  <c r="J28" i="12"/>
  <c r="J59" i="13" s="1"/>
  <c r="J70" i="15"/>
  <c r="J87" i="15" s="1"/>
  <c r="J49" i="12"/>
  <c r="J110" i="12"/>
  <c r="J100" i="12"/>
  <c r="J111" i="13" s="1"/>
  <c r="J71" i="12"/>
  <c r="J89" i="13" s="1"/>
  <c r="J130" i="12"/>
  <c r="J134" i="13" s="1"/>
  <c r="J131" i="12"/>
  <c r="J68" i="15"/>
  <c r="J85" i="15" s="1"/>
  <c r="J44" i="12"/>
  <c r="J71" i="15"/>
  <c r="J88" i="15" s="1"/>
  <c r="J38" i="12"/>
  <c r="J69" i="13" s="1"/>
  <c r="J73" i="15"/>
  <c r="J90" i="15" s="1"/>
  <c r="J35" i="12"/>
  <c r="J66" i="13" s="1"/>
  <c r="J12" i="15" s="1"/>
  <c r="J25" i="15" s="1"/>
  <c r="J109" i="12"/>
  <c r="J107" i="12"/>
  <c r="J118" i="13" s="1"/>
  <c r="J129" i="12"/>
  <c r="J133" i="13" s="1"/>
  <c r="J103" i="12"/>
  <c r="J114" i="13" s="1"/>
  <c r="J33" i="12"/>
  <c r="J64" i="13" s="1"/>
  <c r="J10" i="15" s="1"/>
  <c r="J23" i="15" s="1"/>
  <c r="J24" i="12"/>
  <c r="J55" i="13" s="1"/>
  <c r="J42" i="12"/>
  <c r="J40" i="12"/>
  <c r="J71" i="13" s="1"/>
  <c r="J31" i="12"/>
  <c r="J62" i="13" s="1"/>
  <c r="J68" i="12"/>
  <c r="J86" i="13" s="1"/>
  <c r="J75" i="12"/>
  <c r="J93" i="13" s="1"/>
  <c r="J132" i="12"/>
  <c r="J45" i="12"/>
  <c r="J43" i="12"/>
  <c r="J79" i="12"/>
  <c r="J70" i="12"/>
  <c r="J88" i="13" s="1"/>
  <c r="J102" i="12"/>
  <c r="J113" i="13" s="1"/>
  <c r="J128" i="12"/>
  <c r="J132" i="13" s="1"/>
  <c r="J73" i="12"/>
  <c r="J91" i="13" s="1"/>
  <c r="J69" i="12"/>
  <c r="J87" i="13" s="1"/>
  <c r="J105" i="12"/>
  <c r="J116" i="13" s="1"/>
  <c r="J101" i="12"/>
  <c r="J112" i="13" s="1"/>
  <c r="B576" i="22"/>
  <c r="C576" i="22" s="1"/>
  <c r="G24" i="23" s="1"/>
  <c r="H97" i="13"/>
  <c r="H32" i="16"/>
  <c r="F14" i="8"/>
  <c r="F119" i="8" s="1"/>
  <c r="F154" i="9" s="1"/>
  <c r="F32" i="16"/>
  <c r="B574" i="22"/>
  <c r="C574" i="22" s="1"/>
  <c r="E24" i="23" s="1"/>
  <c r="F97" i="13"/>
  <c r="B577" i="22"/>
  <c r="C577" i="22" s="1"/>
  <c r="H24" i="23" s="1"/>
  <c r="I97" i="13"/>
  <c r="I32" i="16"/>
  <c r="B573" i="22"/>
  <c r="C573" i="22" s="1"/>
  <c r="D24" i="23" s="1"/>
  <c r="E97" i="13"/>
  <c r="E32" i="16"/>
  <c r="C610" i="22"/>
  <c r="J82" i="12"/>
  <c r="J16" i="8"/>
  <c r="J121" i="8" s="1"/>
  <c r="J156" i="9" s="1"/>
  <c r="J14" i="8"/>
  <c r="J119" i="8" s="1"/>
  <c r="J80" i="12"/>
  <c r="B512" i="22"/>
  <c r="C512" i="22" s="1"/>
  <c r="H95" i="13"/>
  <c r="H30" i="16"/>
  <c r="B510" i="22"/>
  <c r="C510" i="22" s="1"/>
  <c r="F95" i="13"/>
  <c r="F30" i="16"/>
  <c r="B513" i="22"/>
  <c r="C513" i="22" s="1"/>
  <c r="I95" i="13"/>
  <c r="I30" i="16"/>
  <c r="F31" i="16"/>
  <c r="B542" i="22"/>
  <c r="C542" i="22" s="1"/>
  <c r="F96" i="13"/>
  <c r="B57" i="8"/>
  <c r="B123" i="8" s="1"/>
  <c r="B158" i="9" s="1"/>
  <c r="B84" i="12"/>
  <c r="B135" i="13"/>
  <c r="B111" i="16"/>
  <c r="F135" i="13"/>
  <c r="F111" i="16"/>
  <c r="D606" i="22"/>
  <c r="E119" i="13"/>
  <c r="E72" i="16"/>
  <c r="C605" i="22"/>
  <c r="E84" i="12"/>
  <c r="E57" i="8"/>
  <c r="E123" i="8" s="1"/>
  <c r="E158" i="9" s="1"/>
  <c r="B94" i="13"/>
  <c r="B29" i="16"/>
  <c r="B478" i="22"/>
  <c r="C478" i="22" s="1"/>
  <c r="F94" i="13"/>
  <c r="F29" i="16"/>
  <c r="B15" i="8"/>
  <c r="B120" i="8" s="1"/>
  <c r="B81" i="12"/>
  <c r="G15" i="8"/>
  <c r="G120" i="8" s="1"/>
  <c r="G155" i="9" s="1"/>
  <c r="G81" i="12"/>
  <c r="I16" i="8"/>
  <c r="I121" i="8" s="1"/>
  <c r="I82" i="12"/>
  <c r="B16" i="8"/>
  <c r="B121" i="8" s="1"/>
  <c r="B156" i="9" s="1"/>
  <c r="B82" i="12"/>
  <c r="G14" i="8"/>
  <c r="G119" i="8" s="1"/>
  <c r="G80" i="12"/>
  <c r="C609" i="22"/>
  <c r="I119" i="13"/>
  <c r="I72" i="16"/>
  <c r="I84" i="12"/>
  <c r="I57" i="8"/>
  <c r="I123" i="8" s="1"/>
  <c r="I158" i="9" s="1"/>
  <c r="H135" i="13"/>
  <c r="H111" i="16"/>
  <c r="D608" i="22"/>
  <c r="C608" i="22"/>
  <c r="H72" i="16"/>
  <c r="H119" i="13"/>
  <c r="H16" i="8"/>
  <c r="H121" i="8" s="1"/>
  <c r="H156" i="9" s="1"/>
  <c r="H82" i="12"/>
  <c r="E14" i="8"/>
  <c r="E119" i="8" s="1"/>
  <c r="E80" i="12"/>
  <c r="B119" i="13"/>
  <c r="B72" i="16"/>
  <c r="F84" i="12"/>
  <c r="F57" i="8"/>
  <c r="F123" i="8" s="1"/>
  <c r="F158" i="9" s="1"/>
  <c r="F166" i="9" s="1"/>
  <c r="F119" i="13"/>
  <c r="F72" i="16"/>
  <c r="C606" i="22"/>
  <c r="D605" i="22"/>
  <c r="E135" i="13"/>
  <c r="E111" i="16"/>
  <c r="J84" i="12"/>
  <c r="J57" i="8"/>
  <c r="J123" i="8" s="1"/>
  <c r="J158" i="9" s="1"/>
  <c r="I94" i="13"/>
  <c r="I29" i="16"/>
  <c r="B481" i="22"/>
  <c r="C481" i="22" s="1"/>
  <c r="J81" i="12"/>
  <c r="J15" i="8"/>
  <c r="J120" i="8" s="1"/>
  <c r="J155" i="9" s="1"/>
  <c r="E15" i="8"/>
  <c r="E120" i="8" s="1"/>
  <c r="E155" i="9" s="1"/>
  <c r="E81" i="12"/>
  <c r="E16" i="8"/>
  <c r="E121" i="8" s="1"/>
  <c r="E156" i="9" s="1"/>
  <c r="E82" i="12"/>
  <c r="H80" i="12"/>
  <c r="H14" i="8"/>
  <c r="H119" i="8" s="1"/>
  <c r="I111" i="16"/>
  <c r="D609" i="22"/>
  <c r="I135" i="13"/>
  <c r="G57" i="8"/>
  <c r="G123" i="8" s="1"/>
  <c r="G158" i="9" s="1"/>
  <c r="G84" i="12"/>
  <c r="H84" i="12"/>
  <c r="H57" i="8"/>
  <c r="H123" i="8" s="1"/>
  <c r="H158" i="9" s="1"/>
  <c r="I944" i="22"/>
  <c r="J944" i="22"/>
  <c r="B22" i="16"/>
  <c r="B26" i="16"/>
  <c r="H453" i="22"/>
  <c r="G919" i="22"/>
  <c r="F919" i="22"/>
  <c r="D582" i="22"/>
  <c r="F681" i="22"/>
  <c r="E681" i="22"/>
  <c r="J26" i="16" l="1"/>
  <c r="B380" i="22"/>
  <c r="J28" i="16"/>
  <c r="B448" i="22"/>
  <c r="D414" i="22"/>
  <c r="J105" i="16"/>
  <c r="J224" i="16"/>
  <c r="D710" i="22"/>
  <c r="B744" i="22"/>
  <c r="J37" i="16"/>
  <c r="J103" i="16"/>
  <c r="D346" i="22"/>
  <c r="B240" i="22"/>
  <c r="F22" i="16"/>
  <c r="B44" i="22"/>
  <c r="F16" i="16"/>
  <c r="F80" i="16"/>
  <c r="C876" i="22"/>
  <c r="F76" i="16"/>
  <c r="C740" i="22"/>
  <c r="F28" i="16"/>
  <c r="B444" i="22"/>
  <c r="F43" i="16"/>
  <c r="B944" i="22"/>
  <c r="F64" i="16"/>
  <c r="C342" i="22"/>
  <c r="E65" i="16"/>
  <c r="C375" i="22"/>
  <c r="B637" i="22"/>
  <c r="D637" i="22" s="1"/>
  <c r="E34" i="16"/>
  <c r="B671" i="22"/>
  <c r="D671" i="22" s="1"/>
  <c r="D27" i="23" s="1"/>
  <c r="E35" i="16"/>
  <c r="B307" i="22"/>
  <c r="E24" i="16"/>
  <c r="E40" i="16"/>
  <c r="B841" i="22"/>
  <c r="E229" i="16"/>
  <c r="F875" i="22"/>
  <c r="C807" i="22"/>
  <c r="E78" i="16"/>
  <c r="D374" i="22"/>
  <c r="D104" i="16"/>
  <c r="D442" i="22"/>
  <c r="D106" i="16"/>
  <c r="D119" i="16"/>
  <c r="D874" i="22"/>
  <c r="D40" i="16"/>
  <c r="B840" i="22"/>
  <c r="C806" i="22"/>
  <c r="D78" i="16"/>
  <c r="D66" i="16"/>
  <c r="C408" i="22"/>
  <c r="D942" i="22"/>
  <c r="D121" i="16"/>
  <c r="D227" i="16"/>
  <c r="F806" i="22"/>
  <c r="I23" i="16"/>
  <c r="B277" i="22"/>
  <c r="C345" i="22"/>
  <c r="I64" i="16"/>
  <c r="I24" i="16"/>
  <c r="B311" i="22"/>
  <c r="C311" i="22"/>
  <c r="I63" i="16"/>
  <c r="D913" i="22"/>
  <c r="I230" i="16"/>
  <c r="I117" i="16"/>
  <c r="D811" i="22"/>
  <c r="F811" i="22"/>
  <c r="I227" i="16"/>
  <c r="H65" i="16"/>
  <c r="C378" i="22"/>
  <c r="H228" i="16"/>
  <c r="D844" i="22"/>
  <c r="H37" i="16"/>
  <c r="B742" i="22"/>
  <c r="H18" i="16"/>
  <c r="B114" i="22"/>
  <c r="C114" i="22" s="1"/>
  <c r="H82" i="16"/>
  <c r="C946" i="22"/>
  <c r="G446" i="22"/>
  <c r="H216" i="16"/>
  <c r="H226" i="16"/>
  <c r="D776" i="22"/>
  <c r="C22" i="16"/>
  <c r="B237" i="22"/>
  <c r="C231" i="16"/>
  <c r="F941" i="22"/>
  <c r="G373" i="22"/>
  <c r="C214" i="16"/>
  <c r="C37" i="16"/>
  <c r="B737" i="22"/>
  <c r="F873" i="22"/>
  <c r="C229" i="16"/>
  <c r="D339" i="22"/>
  <c r="C103" i="16"/>
  <c r="J104" i="16"/>
  <c r="D380" i="22"/>
  <c r="J21" i="16"/>
  <c r="B214" i="22"/>
  <c r="C214" i="22" s="1"/>
  <c r="J67" i="16"/>
  <c r="C448" i="22"/>
  <c r="D744" i="22"/>
  <c r="J115" i="16"/>
  <c r="J230" i="16"/>
  <c r="D914" i="22"/>
  <c r="J27" i="16"/>
  <c r="B414" i="22"/>
  <c r="J76" i="16"/>
  <c r="C744" i="22"/>
  <c r="B48" i="22"/>
  <c r="J16" i="16"/>
  <c r="F66" i="16"/>
  <c r="C410" i="22"/>
  <c r="D706" i="22"/>
  <c r="F224" i="16"/>
  <c r="F38" i="16"/>
  <c r="B774" i="22"/>
  <c r="B740" i="22"/>
  <c r="F37" i="16"/>
  <c r="F62" i="16"/>
  <c r="C274" i="22"/>
  <c r="F61" i="16"/>
  <c r="C240" i="22"/>
  <c r="F876" i="22"/>
  <c r="F229" i="16"/>
  <c r="B410" i="22"/>
  <c r="F27" i="16"/>
  <c r="B375" i="22"/>
  <c r="E26" i="16"/>
  <c r="B341" i="22"/>
  <c r="E25" i="16"/>
  <c r="B77" i="22"/>
  <c r="E17" i="16"/>
  <c r="B43" i="22"/>
  <c r="E16" i="16"/>
  <c r="D841" i="22"/>
  <c r="E228" i="16"/>
  <c r="C739" i="22"/>
  <c r="E76" i="16"/>
  <c r="C238" i="22"/>
  <c r="D61" i="16"/>
  <c r="C340" i="22"/>
  <c r="D64" i="16"/>
  <c r="D82" i="16"/>
  <c r="C942" i="22"/>
  <c r="D230" i="16"/>
  <c r="D908" i="22"/>
  <c r="D63" i="16"/>
  <c r="C306" i="22"/>
  <c r="C442" i="22"/>
  <c r="D67" i="16"/>
  <c r="D76" i="16"/>
  <c r="C738" i="22"/>
  <c r="B772" i="22"/>
  <c r="D38" i="16"/>
  <c r="D21" i="16"/>
  <c r="B208" i="22"/>
  <c r="C208" i="22" s="1"/>
  <c r="D607" i="22"/>
  <c r="G135" i="13"/>
  <c r="G111" i="16"/>
  <c r="B447" i="22"/>
  <c r="I28" i="16"/>
  <c r="I66" i="16"/>
  <c r="C413" i="22"/>
  <c r="B811" i="22"/>
  <c r="I39" i="16"/>
  <c r="C81" i="22"/>
  <c r="I56" i="16"/>
  <c r="I38" i="16"/>
  <c r="B777" i="22"/>
  <c r="I35" i="16"/>
  <c r="B675" i="22"/>
  <c r="D675" i="22" s="1"/>
  <c r="H27" i="23" s="1"/>
  <c r="B709" i="22"/>
  <c r="I36" i="16"/>
  <c r="D743" i="22"/>
  <c r="I115" i="16"/>
  <c r="C276" i="22"/>
  <c r="H62" i="16"/>
  <c r="H119" i="16"/>
  <c r="D878" i="22"/>
  <c r="H24" i="16"/>
  <c r="B310" i="22"/>
  <c r="H64" i="16"/>
  <c r="C344" i="22"/>
  <c r="D946" i="22"/>
  <c r="G946" i="22" s="1"/>
  <c r="H121" i="16"/>
  <c r="H78" i="16"/>
  <c r="C810" i="22"/>
  <c r="H80" i="16"/>
  <c r="C878" i="22"/>
  <c r="C373" i="22"/>
  <c r="C65" i="16"/>
  <c r="C38" i="16"/>
  <c r="B771" i="22"/>
  <c r="B139" i="22"/>
  <c r="C19" i="16"/>
  <c r="F737" i="22"/>
  <c r="C225" i="16"/>
  <c r="D703" i="22"/>
  <c r="C224" i="16"/>
  <c r="C78" i="16"/>
  <c r="C805" i="22"/>
  <c r="B839" i="22"/>
  <c r="C40" i="16"/>
  <c r="C278" i="22"/>
  <c r="J62" i="16"/>
  <c r="C812" i="22"/>
  <c r="J78" i="16"/>
  <c r="J106" i="16"/>
  <c r="D448" i="22"/>
  <c r="J225" i="16"/>
  <c r="F744" i="22"/>
  <c r="D846" i="22"/>
  <c r="J228" i="16"/>
  <c r="J213" i="16"/>
  <c r="G346" i="22"/>
  <c r="B274" i="22"/>
  <c r="E274" i="22" s="1"/>
  <c r="F23" i="16"/>
  <c r="B112" i="22"/>
  <c r="C112" i="22" s="1"/>
  <c r="F18" i="16"/>
  <c r="F67" i="16"/>
  <c r="C444" i="22"/>
  <c r="B308" i="22"/>
  <c r="F24" i="16"/>
  <c r="F231" i="16"/>
  <c r="F944" i="22"/>
  <c r="F25" i="16"/>
  <c r="B342" i="22"/>
  <c r="C239" i="22"/>
  <c r="E61" i="16"/>
  <c r="E27" i="16"/>
  <c r="B409" i="22"/>
  <c r="E215" i="16"/>
  <c r="G409" i="22"/>
  <c r="E41" i="16"/>
  <c r="B875" i="22"/>
  <c r="B238" i="22"/>
  <c r="E238" i="22" s="1"/>
  <c r="D22" i="16"/>
  <c r="B174" i="22"/>
  <c r="D20" i="16"/>
  <c r="B306" i="22"/>
  <c r="E306" i="22" s="1"/>
  <c r="D24" i="16"/>
  <c r="D42" i="16"/>
  <c r="B908" i="22"/>
  <c r="E908" i="22" s="1"/>
  <c r="C34" i="23" s="1"/>
  <c r="D214" i="16"/>
  <c r="G374" i="22"/>
  <c r="I26" i="16"/>
  <c r="B379" i="22"/>
  <c r="D447" i="22"/>
  <c r="I106" i="16"/>
  <c r="I228" i="16"/>
  <c r="D845" i="22"/>
  <c r="I42" i="16"/>
  <c r="B913" i="22"/>
  <c r="E913" i="22" s="1"/>
  <c r="H34" i="23" s="1"/>
  <c r="I229" i="16"/>
  <c r="F879" i="22"/>
  <c r="I216" i="16"/>
  <c r="G447" i="22"/>
  <c r="B81" i="22"/>
  <c r="E81" i="22" s="1"/>
  <c r="I17" i="16"/>
  <c r="B213" i="22"/>
  <c r="C213" i="22" s="1"/>
  <c r="I21" i="16"/>
  <c r="G413" i="22"/>
  <c r="I215" i="16"/>
  <c r="B276" i="22"/>
  <c r="E276" i="22" s="1"/>
  <c r="H23" i="16"/>
  <c r="H213" i="16"/>
  <c r="G344" i="22"/>
  <c r="B776" i="22"/>
  <c r="E776" i="22" s="1"/>
  <c r="H38" i="16"/>
  <c r="H25" i="16"/>
  <c r="B344" i="22"/>
  <c r="D344" i="22"/>
  <c r="H103" i="16"/>
  <c r="H42" i="16"/>
  <c r="B912" i="22"/>
  <c r="C61" i="16"/>
  <c r="C237" i="22"/>
  <c r="C117" i="16"/>
  <c r="D805" i="22"/>
  <c r="C873" i="22"/>
  <c r="C80" i="16"/>
  <c r="B703" i="22"/>
  <c r="E703" i="22" s="1"/>
  <c r="C36" i="16"/>
  <c r="C228" i="16"/>
  <c r="D839" i="22"/>
  <c r="D771" i="22"/>
  <c r="C226" i="16"/>
  <c r="C29" i="13"/>
  <c r="C32" i="14" s="1"/>
  <c r="C91" i="14" s="1"/>
  <c r="C42" i="13"/>
  <c r="C28" i="13"/>
  <c r="C31" i="14" s="1"/>
  <c r="C90" i="14" s="1"/>
  <c r="C26" i="13"/>
  <c r="C30" i="14" s="1"/>
  <c r="C89" i="14" s="1"/>
  <c r="C39" i="13"/>
  <c r="C27" i="13"/>
  <c r="C30" i="13"/>
  <c r="C34" i="13"/>
  <c r="C37" i="13"/>
  <c r="C33" i="13"/>
  <c r="C35" i="14" s="1"/>
  <c r="C94" i="14" s="1"/>
  <c r="C40" i="13"/>
  <c r="C41" i="13"/>
  <c r="C35" i="13"/>
  <c r="C38" i="13"/>
  <c r="C32" i="13"/>
  <c r="C34" i="14" s="1"/>
  <c r="C93" i="14" s="1"/>
  <c r="C36" i="13"/>
  <c r="C31" i="13"/>
  <c r="C33" i="14" s="1"/>
  <c r="C92" i="14" s="1"/>
  <c r="C25" i="13"/>
  <c r="C29" i="14" s="1"/>
  <c r="C88" i="14" s="1"/>
  <c r="C16" i="16"/>
  <c r="B41" i="22"/>
  <c r="G339" i="22"/>
  <c r="C213" i="16"/>
  <c r="J23" i="16"/>
  <c r="B278" i="22"/>
  <c r="E278" i="22" s="1"/>
  <c r="J216" i="16"/>
  <c r="G448" i="22"/>
  <c r="B312" i="22"/>
  <c r="J24" i="16"/>
  <c r="B82" i="22"/>
  <c r="J17" i="16"/>
  <c r="B846" i="22"/>
  <c r="E846" i="22" s="1"/>
  <c r="J40" i="16"/>
  <c r="F63" i="16"/>
  <c r="C308" i="22"/>
  <c r="F106" i="16"/>
  <c r="D444" i="22"/>
  <c r="F21" i="16"/>
  <c r="B210" i="22"/>
  <c r="C210" i="22" s="1"/>
  <c r="F35" i="16"/>
  <c r="B672" i="22"/>
  <c r="D672" i="22" s="1"/>
  <c r="E27" i="23" s="1"/>
  <c r="F78" i="16"/>
  <c r="C808" i="22"/>
  <c r="F40" i="13"/>
  <c r="F37" i="13"/>
  <c r="F34" i="13"/>
  <c r="F42" i="13"/>
  <c r="F33" i="13"/>
  <c r="F35" i="14" s="1"/>
  <c r="F94" i="14" s="1"/>
  <c r="F30" i="13"/>
  <c r="F26" i="13"/>
  <c r="F30" i="14" s="1"/>
  <c r="F89" i="14" s="1"/>
  <c r="F39" i="13"/>
  <c r="F28" i="13"/>
  <c r="F31" i="14" s="1"/>
  <c r="F90" i="14" s="1"/>
  <c r="F38" i="13"/>
  <c r="F41" i="13"/>
  <c r="F32" i="13"/>
  <c r="F34" i="14" s="1"/>
  <c r="F93" i="14" s="1"/>
  <c r="F25" i="13"/>
  <c r="F29" i="14" s="1"/>
  <c r="F88" i="14" s="1"/>
  <c r="F29" i="13"/>
  <c r="F32" i="14" s="1"/>
  <c r="F91" i="14" s="1"/>
  <c r="F35" i="13"/>
  <c r="F27" i="13"/>
  <c r="F31" i="13"/>
  <c r="F33" i="14" s="1"/>
  <c r="F92" i="14" s="1"/>
  <c r="F36" i="13"/>
  <c r="F103" i="16"/>
  <c r="D342" i="22"/>
  <c r="E23" i="16"/>
  <c r="B273" i="22"/>
  <c r="E105" i="16"/>
  <c r="D409" i="22"/>
  <c r="B909" i="22"/>
  <c r="E42" i="16"/>
  <c r="D443" i="22"/>
  <c r="E106" i="16"/>
  <c r="B807" i="22"/>
  <c r="E39" i="16"/>
  <c r="E115" i="16"/>
  <c r="D739" i="22"/>
  <c r="B374" i="22"/>
  <c r="D26" i="16"/>
  <c r="D806" i="22"/>
  <c r="D117" i="16"/>
  <c r="G442" i="22"/>
  <c r="D216" i="16"/>
  <c r="D408" i="22"/>
  <c r="D105" i="16"/>
  <c r="D225" i="16"/>
  <c r="F738" i="22"/>
  <c r="B670" i="22"/>
  <c r="D670" i="22" s="1"/>
  <c r="C27" i="23" s="1"/>
  <c r="D35" i="16"/>
  <c r="D18" i="16"/>
  <c r="B110" i="22"/>
  <c r="C110" i="22" s="1"/>
  <c r="B738" i="22"/>
  <c r="D37" i="16"/>
  <c r="I104" i="16"/>
  <c r="D379" i="22"/>
  <c r="C447" i="22"/>
  <c r="I67" i="16"/>
  <c r="I214" i="16"/>
  <c r="G379" i="22"/>
  <c r="B845" i="22"/>
  <c r="E845" i="22" s="1"/>
  <c r="I40" i="16"/>
  <c r="F743" i="22"/>
  <c r="I225" i="16"/>
  <c r="I76" i="16"/>
  <c r="C743" i="22"/>
  <c r="G345" i="22"/>
  <c r="I213" i="16"/>
  <c r="G72" i="16"/>
  <c r="C607" i="22"/>
  <c r="G119" i="13"/>
  <c r="C446" i="22"/>
  <c r="H67" i="16"/>
  <c r="D708" i="22"/>
  <c r="H224" i="16"/>
  <c r="H28" i="16"/>
  <c r="B446" i="22"/>
  <c r="H59" i="16"/>
  <c r="C178" i="22"/>
  <c r="D412" i="22"/>
  <c r="H105" i="16"/>
  <c r="H34" i="16"/>
  <c r="B640" i="22"/>
  <c r="D640" i="22" s="1"/>
  <c r="B144" i="22"/>
  <c r="H19" i="16"/>
  <c r="C104" i="16"/>
  <c r="D373" i="22"/>
  <c r="C35" i="16"/>
  <c r="B669" i="22"/>
  <c r="D669" i="22" s="1"/>
  <c r="B27" i="23" s="1"/>
  <c r="B873" i="22"/>
  <c r="C41" i="16"/>
  <c r="F805" i="22"/>
  <c r="C227" i="16"/>
  <c r="C18" i="16"/>
  <c r="B109" i="22"/>
  <c r="C109" i="22" s="1"/>
  <c r="C115" i="16"/>
  <c r="D737" i="22"/>
  <c r="J43" i="16"/>
  <c r="B948" i="22"/>
  <c r="J35" i="16"/>
  <c r="B676" i="22"/>
  <c r="D676" i="22" s="1"/>
  <c r="I27" i="23" s="1"/>
  <c r="F880" i="22"/>
  <c r="J229" i="16"/>
  <c r="C180" i="22"/>
  <c r="J59" i="16"/>
  <c r="C948" i="22"/>
  <c r="J82" i="16"/>
  <c r="J34" i="16"/>
  <c r="B642" i="22"/>
  <c r="D642" i="22" s="1"/>
  <c r="B146" i="22"/>
  <c r="J19" i="16"/>
  <c r="B116" i="22"/>
  <c r="C116" i="22" s="1"/>
  <c r="J18" i="16"/>
  <c r="G342" i="22"/>
  <c r="H342" i="22" s="1"/>
  <c r="F213" i="16"/>
  <c r="F40" i="16"/>
  <c r="B842" i="22"/>
  <c r="G444" i="22"/>
  <c r="F216" i="16"/>
  <c r="D774" i="22"/>
  <c r="F226" i="16"/>
  <c r="D876" i="22"/>
  <c r="F119" i="16"/>
  <c r="F740" i="22"/>
  <c r="F225" i="16"/>
  <c r="G376" i="22"/>
  <c r="F214" i="16"/>
  <c r="F105" i="16"/>
  <c r="D410" i="22"/>
  <c r="E62" i="16"/>
  <c r="C273" i="22"/>
  <c r="B209" i="22"/>
  <c r="C209" i="22" s="1"/>
  <c r="E21" i="16"/>
  <c r="B111" i="22"/>
  <c r="C111" i="22" s="1"/>
  <c r="E18" i="16"/>
  <c r="D705" i="22"/>
  <c r="E224" i="16"/>
  <c r="B705" i="22"/>
  <c r="E36" i="16"/>
  <c r="B175" i="22"/>
  <c r="E20" i="16"/>
  <c r="C409" i="22"/>
  <c r="E66" i="16"/>
  <c r="D875" i="22"/>
  <c r="E119" i="16"/>
  <c r="C943" i="22"/>
  <c r="E82" i="16"/>
  <c r="D65" i="16"/>
  <c r="C374" i="22"/>
  <c r="B806" i="22"/>
  <c r="D39" i="16"/>
  <c r="D115" i="16"/>
  <c r="D738" i="22"/>
  <c r="D231" i="16"/>
  <c r="F942" i="22"/>
  <c r="D229" i="16"/>
  <c r="F874" i="22"/>
  <c r="D28" i="16"/>
  <c r="B442" i="22"/>
  <c r="C874" i="22"/>
  <c r="D80" i="16"/>
  <c r="B243" i="22"/>
  <c r="I22" i="16"/>
  <c r="I78" i="16"/>
  <c r="C811" i="22"/>
  <c r="I226" i="16"/>
  <c r="D777" i="22"/>
  <c r="D947" i="22"/>
  <c r="I121" i="16"/>
  <c r="B641" i="22"/>
  <c r="D641" i="22" s="1"/>
  <c r="I34" i="16"/>
  <c r="H61" i="16"/>
  <c r="C242" i="22"/>
  <c r="H43" i="16"/>
  <c r="B946" i="22"/>
  <c r="G412" i="22"/>
  <c r="H215" i="16"/>
  <c r="H227" i="16"/>
  <c r="F810" i="22"/>
  <c r="C80" i="22"/>
  <c r="H56" i="16"/>
  <c r="B178" i="22"/>
  <c r="E178" i="22" s="1"/>
  <c r="H20" i="16"/>
  <c r="D446" i="22"/>
  <c r="H106" i="16"/>
  <c r="B412" i="22"/>
  <c r="H27" i="16"/>
  <c r="B271" i="22"/>
  <c r="C23" i="16"/>
  <c r="C407" i="22"/>
  <c r="C66" i="16"/>
  <c r="C941" i="22"/>
  <c r="C82" i="16"/>
  <c r="C39" i="16"/>
  <c r="B805" i="22"/>
  <c r="C230" i="16"/>
  <c r="D907" i="22"/>
  <c r="C244" i="22"/>
  <c r="J61" i="16"/>
  <c r="J36" i="16"/>
  <c r="B710" i="22"/>
  <c r="E710" i="22" s="1"/>
  <c r="J80" i="16"/>
  <c r="C880" i="22"/>
  <c r="J20" i="16"/>
  <c r="B180" i="22"/>
  <c r="E180" i="22" s="1"/>
  <c r="J25" i="16"/>
  <c r="B346" i="22"/>
  <c r="G414" i="22"/>
  <c r="J215" i="16"/>
  <c r="C376" i="22"/>
  <c r="F65" i="16"/>
  <c r="B638" i="22"/>
  <c r="D638" i="22" s="1"/>
  <c r="F34" i="16"/>
  <c r="F230" i="16"/>
  <c r="D910" i="22"/>
  <c r="B808" i="22"/>
  <c r="F39" i="16"/>
  <c r="C944" i="22"/>
  <c r="F82" i="16"/>
  <c r="F228" i="16"/>
  <c r="D842" i="22"/>
  <c r="F808" i="22"/>
  <c r="F227" i="16"/>
  <c r="C176" i="22"/>
  <c r="F59" i="16"/>
  <c r="C443" i="22"/>
  <c r="E67" i="16"/>
  <c r="E225" i="16"/>
  <c r="F739" i="22"/>
  <c r="E226" i="16"/>
  <c r="D773" i="22"/>
  <c r="C77" i="22"/>
  <c r="E56" i="16"/>
  <c r="C175" i="22"/>
  <c r="E59" i="16"/>
  <c r="C341" i="22"/>
  <c r="E64" i="16"/>
  <c r="C875" i="22"/>
  <c r="E80" i="16"/>
  <c r="D943" i="22"/>
  <c r="E121" i="16"/>
  <c r="D23" i="16"/>
  <c r="B272" i="22"/>
  <c r="B704" i="22"/>
  <c r="D36" i="16"/>
  <c r="D340" i="22"/>
  <c r="D103" i="16"/>
  <c r="B874" i="22"/>
  <c r="D41" i="16"/>
  <c r="D59" i="16"/>
  <c r="C174" i="22"/>
  <c r="D840" i="22"/>
  <c r="D228" i="16"/>
  <c r="I61" i="16"/>
  <c r="C243" i="22"/>
  <c r="D709" i="22"/>
  <c r="I224" i="16"/>
  <c r="C947" i="22"/>
  <c r="I82" i="16"/>
  <c r="I27" i="13"/>
  <c r="I30" i="13"/>
  <c r="I41" i="13"/>
  <c r="I25" i="13"/>
  <c r="I29" i="14" s="1"/>
  <c r="I88" i="14" s="1"/>
  <c r="I35" i="13"/>
  <c r="I36" i="13"/>
  <c r="I31" i="13"/>
  <c r="I33" i="14" s="1"/>
  <c r="I92" i="14" s="1"/>
  <c r="I33" i="13"/>
  <c r="I35" i="14" s="1"/>
  <c r="I94" i="14" s="1"/>
  <c r="I38" i="13"/>
  <c r="I28" i="13"/>
  <c r="I31" i="14" s="1"/>
  <c r="I90" i="14" s="1"/>
  <c r="I42" i="13"/>
  <c r="I26" i="13"/>
  <c r="I30" i="14" s="1"/>
  <c r="I89" i="14" s="1"/>
  <c r="I40" i="13"/>
  <c r="I37" i="13"/>
  <c r="I34" i="13"/>
  <c r="I39" i="13"/>
  <c r="I29" i="13"/>
  <c r="I32" i="14" s="1"/>
  <c r="I91" i="14" s="1"/>
  <c r="I32" i="13"/>
  <c r="I34" i="14" s="1"/>
  <c r="I93" i="14" s="1"/>
  <c r="I25" i="16"/>
  <c r="B345" i="22"/>
  <c r="D879" i="22"/>
  <c r="I119" i="16"/>
  <c r="B242" i="22"/>
  <c r="E242" i="22" s="1"/>
  <c r="H22" i="16"/>
  <c r="H40" i="16"/>
  <c r="B844" i="22"/>
  <c r="E844" i="22" s="1"/>
  <c r="D742" i="22"/>
  <c r="H115" i="16"/>
  <c r="H225" i="16"/>
  <c r="F742" i="22"/>
  <c r="H63" i="16"/>
  <c r="C310" i="22"/>
  <c r="B212" i="22"/>
  <c r="C212" i="22" s="1"/>
  <c r="H21" i="16"/>
  <c r="C62" i="16"/>
  <c r="C271" i="22"/>
  <c r="C17" i="16"/>
  <c r="B75" i="22"/>
  <c r="C21" i="16"/>
  <c r="B207" i="22"/>
  <c r="C207" i="22" s="1"/>
  <c r="C43" i="16"/>
  <c r="B941" i="22"/>
  <c r="D873" i="22"/>
  <c r="C119" i="16"/>
  <c r="B339" i="22"/>
  <c r="C25" i="16"/>
  <c r="C215" i="16"/>
  <c r="G407" i="22"/>
  <c r="C76" i="16"/>
  <c r="C737" i="22"/>
  <c r="C380" i="22"/>
  <c r="J65" i="16"/>
  <c r="J38" i="16"/>
  <c r="B778" i="22"/>
  <c r="G380" i="22"/>
  <c r="J214" i="16"/>
  <c r="F812" i="22"/>
  <c r="J227" i="16"/>
  <c r="J42" i="16"/>
  <c r="B914" i="22"/>
  <c r="E914" i="22" s="1"/>
  <c r="I34" i="23" s="1"/>
  <c r="B880" i="22"/>
  <c r="J41" i="16"/>
  <c r="C346" i="22"/>
  <c r="J64" i="16"/>
  <c r="J231" i="16"/>
  <c r="F948" i="22"/>
  <c r="J39" i="16"/>
  <c r="B812" i="22"/>
  <c r="D376" i="22"/>
  <c r="F104" i="16"/>
  <c r="B142" i="22"/>
  <c r="F19" i="16"/>
  <c r="F121" i="16"/>
  <c r="D944" i="22"/>
  <c r="D740" i="22"/>
  <c r="F115" i="16"/>
  <c r="F215" i="16"/>
  <c r="G410" i="22"/>
  <c r="F117" i="16"/>
  <c r="D808" i="22"/>
  <c r="E104" i="16"/>
  <c r="D375" i="22"/>
  <c r="B141" i="22"/>
  <c r="E19" i="16"/>
  <c r="E42" i="13"/>
  <c r="E28" i="13"/>
  <c r="E31" i="14" s="1"/>
  <c r="E90" i="14" s="1"/>
  <c r="E35" i="13"/>
  <c r="E41" i="13"/>
  <c r="E32" i="13"/>
  <c r="E34" i="14" s="1"/>
  <c r="E93" i="14" s="1"/>
  <c r="E26" i="13"/>
  <c r="E30" i="14" s="1"/>
  <c r="E89" i="14" s="1"/>
  <c r="E31" i="13"/>
  <c r="E33" i="14" s="1"/>
  <c r="E92" i="14" s="1"/>
  <c r="E29" i="13"/>
  <c r="E32" i="14" s="1"/>
  <c r="E91" i="14" s="1"/>
  <c r="E37" i="13"/>
  <c r="E34" i="13"/>
  <c r="E40" i="13"/>
  <c r="E33" i="13"/>
  <c r="E35" i="14" s="1"/>
  <c r="E94" i="14" s="1"/>
  <c r="E36" i="13"/>
  <c r="E38" i="13"/>
  <c r="E27" i="13"/>
  <c r="E25" i="13"/>
  <c r="E29" i="14" s="1"/>
  <c r="E88" i="14" s="1"/>
  <c r="E39" i="13"/>
  <c r="E30" i="13"/>
  <c r="E213" i="16"/>
  <c r="G341" i="22"/>
  <c r="E214" i="16"/>
  <c r="G375" i="22"/>
  <c r="E63" i="16"/>
  <c r="C307" i="22"/>
  <c r="D909" i="22"/>
  <c r="E230" i="16"/>
  <c r="B943" i="22"/>
  <c r="E43" i="16"/>
  <c r="E37" i="16"/>
  <c r="B739" i="22"/>
  <c r="G739" i="22" s="1"/>
  <c r="C272" i="22"/>
  <c r="D62" i="16"/>
  <c r="D19" i="16"/>
  <c r="B140" i="22"/>
  <c r="D34" i="16"/>
  <c r="B636" i="22"/>
  <c r="D636" i="22" s="1"/>
  <c r="D25" i="16"/>
  <c r="B340" i="22"/>
  <c r="D43" i="16"/>
  <c r="B942" i="22"/>
  <c r="H942" i="22" s="1"/>
  <c r="C35" i="23" s="1"/>
  <c r="C76" i="22"/>
  <c r="D56" i="16"/>
  <c r="I65" i="16"/>
  <c r="C379" i="22"/>
  <c r="I16" i="16"/>
  <c r="B47" i="22"/>
  <c r="I105" i="16"/>
  <c r="D413" i="22"/>
  <c r="F947" i="22"/>
  <c r="I231" i="16"/>
  <c r="C179" i="22"/>
  <c r="I59" i="16"/>
  <c r="D345" i="22"/>
  <c r="I103" i="16"/>
  <c r="B179" i="22"/>
  <c r="E179" i="22" s="1"/>
  <c r="I20" i="16"/>
  <c r="I18" i="16"/>
  <c r="B115" i="22"/>
  <c r="C115" i="22" s="1"/>
  <c r="H26" i="16"/>
  <c r="B378" i="22"/>
  <c r="C412" i="22"/>
  <c r="H66" i="16"/>
  <c r="H41" i="16"/>
  <c r="B878" i="22"/>
  <c r="H39" i="16"/>
  <c r="B810" i="22"/>
  <c r="C742" i="22"/>
  <c r="H76" i="16"/>
  <c r="H214" i="16"/>
  <c r="G378" i="22"/>
  <c r="B674" i="22"/>
  <c r="D674" i="22" s="1"/>
  <c r="G27" i="23" s="1"/>
  <c r="H35" i="16"/>
  <c r="H36" i="13"/>
  <c r="H27" i="13"/>
  <c r="H34" i="13"/>
  <c r="H31" i="13"/>
  <c r="H33" i="14" s="1"/>
  <c r="H92" i="14" s="1"/>
  <c r="H29" i="13"/>
  <c r="H32" i="14" s="1"/>
  <c r="H91" i="14" s="1"/>
  <c r="H38" i="13"/>
  <c r="H28" i="13"/>
  <c r="H31" i="14" s="1"/>
  <c r="H90" i="14" s="1"/>
  <c r="H32" i="13"/>
  <c r="H34" i="14" s="1"/>
  <c r="H93" i="14" s="1"/>
  <c r="H41" i="13"/>
  <c r="H35" i="13"/>
  <c r="H42" i="13"/>
  <c r="H40" i="13"/>
  <c r="H33" i="13"/>
  <c r="H35" i="14" s="1"/>
  <c r="H94" i="14" s="1"/>
  <c r="H26" i="13"/>
  <c r="H30" i="14" s="1"/>
  <c r="H89" i="14" s="1"/>
  <c r="H25" i="13"/>
  <c r="H29" i="14" s="1"/>
  <c r="H88" i="14" s="1"/>
  <c r="H30" i="13"/>
  <c r="H37" i="13"/>
  <c r="H39" i="13"/>
  <c r="F878" i="22"/>
  <c r="H229" i="16"/>
  <c r="G24" i="12"/>
  <c r="G55" i="13" s="1"/>
  <c r="G38" i="12"/>
  <c r="G69" i="13" s="1"/>
  <c r="G73" i="15"/>
  <c r="G90" i="15" s="1"/>
  <c r="G39" i="12"/>
  <c r="G70" i="13" s="1"/>
  <c r="G48" i="12"/>
  <c r="G68" i="12"/>
  <c r="G86" i="13" s="1"/>
  <c r="G110" i="12"/>
  <c r="G130" i="12"/>
  <c r="G134" i="13" s="1"/>
  <c r="G67" i="12"/>
  <c r="G85" i="13" s="1"/>
  <c r="G100" i="12"/>
  <c r="G111" i="13" s="1"/>
  <c r="G111" i="12"/>
  <c r="G50" i="12"/>
  <c r="G34" i="12"/>
  <c r="G65" i="13" s="1"/>
  <c r="G11" i="15" s="1"/>
  <c r="G24" i="15" s="1"/>
  <c r="G11" i="13"/>
  <c r="G28" i="12"/>
  <c r="G59" i="13" s="1"/>
  <c r="G69" i="15"/>
  <c r="G86" i="15" s="1"/>
  <c r="G75" i="15"/>
  <c r="G92" i="15" s="1"/>
  <c r="G103" i="12"/>
  <c r="G114" i="13" s="1"/>
  <c r="G36" i="12"/>
  <c r="G67" i="13" s="1"/>
  <c r="G78" i="12"/>
  <c r="G132" i="12"/>
  <c r="G46" i="12"/>
  <c r="G77" i="12"/>
  <c r="G40" i="12"/>
  <c r="G71" i="13" s="1"/>
  <c r="G44" i="12"/>
  <c r="G26" i="12"/>
  <c r="G57" i="13" s="1"/>
  <c r="G129" i="12"/>
  <c r="G133" i="13" s="1"/>
  <c r="G31" i="12"/>
  <c r="G62" i="13" s="1"/>
  <c r="G70" i="15"/>
  <c r="G87" i="15" s="1"/>
  <c r="G72" i="15"/>
  <c r="G89" i="15" s="1"/>
  <c r="G30" i="12"/>
  <c r="G61" i="13" s="1"/>
  <c r="G25" i="12"/>
  <c r="G56" i="13" s="1"/>
  <c r="G29" i="12"/>
  <c r="G60" i="13" s="1"/>
  <c r="G68" i="15"/>
  <c r="G85" i="15" s="1"/>
  <c r="G37" i="12"/>
  <c r="G68" i="13" s="1"/>
  <c r="G106" i="12"/>
  <c r="G117" i="13" s="1"/>
  <c r="G79" i="12"/>
  <c r="G45" i="12"/>
  <c r="G42" i="12"/>
  <c r="G47" i="12"/>
  <c r="G43" i="12"/>
  <c r="G33" i="12"/>
  <c r="G64" i="13" s="1"/>
  <c r="G10" i="15" s="1"/>
  <c r="G23" i="15" s="1"/>
  <c r="G76" i="12"/>
  <c r="G71" i="12"/>
  <c r="G89" i="13" s="1"/>
  <c r="G72" i="12"/>
  <c r="G90" i="13" s="1"/>
  <c r="G71" i="15"/>
  <c r="G88" i="15" s="1"/>
  <c r="G104" i="12"/>
  <c r="G115" i="13" s="1"/>
  <c r="G133" i="12"/>
  <c r="G23" i="12"/>
  <c r="G54" i="13" s="1"/>
  <c r="G66" i="12"/>
  <c r="G84" i="13" s="1"/>
  <c r="G108" i="12"/>
  <c r="G35" i="12"/>
  <c r="G66" i="13" s="1"/>
  <c r="G12" i="15" s="1"/>
  <c r="G25" i="15" s="1"/>
  <c r="G41" i="12"/>
  <c r="G65" i="12"/>
  <c r="G83" i="13" s="1"/>
  <c r="G74" i="12"/>
  <c r="G92" i="13" s="1"/>
  <c r="G127" i="12"/>
  <c r="G131" i="13" s="1"/>
  <c r="G109" i="12"/>
  <c r="G74" i="15"/>
  <c r="G91" i="15" s="1"/>
  <c r="G32" i="12"/>
  <c r="G63" i="13" s="1"/>
  <c r="G9" i="15" s="1"/>
  <c r="G22" i="15" s="1"/>
  <c r="G134" i="12"/>
  <c r="G27" i="12"/>
  <c r="G58" i="13" s="1"/>
  <c r="G49" i="12"/>
  <c r="G131" i="12"/>
  <c r="G75" i="12"/>
  <c r="G93" i="13" s="1"/>
  <c r="G107" i="12"/>
  <c r="G118" i="13" s="1"/>
  <c r="G99" i="12"/>
  <c r="G110" i="13" s="1"/>
  <c r="G70" i="12"/>
  <c r="G88" i="13" s="1"/>
  <c r="G102" i="12"/>
  <c r="G113" i="13" s="1"/>
  <c r="G69" i="12"/>
  <c r="G87" i="13" s="1"/>
  <c r="G128" i="12"/>
  <c r="G132" i="13" s="1"/>
  <c r="G73" i="12"/>
  <c r="G91" i="13" s="1"/>
  <c r="G101" i="12"/>
  <c r="G112" i="13" s="1"/>
  <c r="G105" i="12"/>
  <c r="G116" i="13" s="1"/>
  <c r="G83" i="12"/>
  <c r="G82" i="12"/>
  <c r="B305" i="22"/>
  <c r="C24" i="16"/>
  <c r="C106" i="16"/>
  <c r="D441" i="22"/>
  <c r="C173" i="22"/>
  <c r="C59" i="16"/>
  <c r="C105" i="16"/>
  <c r="D407" i="22"/>
  <c r="C441" i="22"/>
  <c r="C67" i="16"/>
  <c r="C27" i="16"/>
  <c r="B407" i="22"/>
  <c r="C339" i="22"/>
  <c r="C64" i="16"/>
  <c r="J22" i="16"/>
  <c r="B244" i="22"/>
  <c r="E244" i="22" s="1"/>
  <c r="J117" i="16"/>
  <c r="D812" i="22"/>
  <c r="J63" i="16"/>
  <c r="C312" i="22"/>
  <c r="J226" i="16"/>
  <c r="D778" i="22"/>
  <c r="J119" i="16"/>
  <c r="D880" i="22"/>
  <c r="J121" i="16"/>
  <c r="D948" i="22"/>
  <c r="C82" i="22"/>
  <c r="J56" i="16"/>
  <c r="J66" i="16"/>
  <c r="C414" i="22"/>
  <c r="F26" i="16"/>
  <c r="B376" i="22"/>
  <c r="H376" i="22" s="1"/>
  <c r="F17" i="16"/>
  <c r="B78" i="22"/>
  <c r="B706" i="22"/>
  <c r="E706" i="22" s="1"/>
  <c r="F36" i="16"/>
  <c r="B910" i="22"/>
  <c r="E910" i="22" s="1"/>
  <c r="E34" i="23" s="1"/>
  <c r="F42" i="16"/>
  <c r="F41" i="16"/>
  <c r="B876" i="22"/>
  <c r="F56" i="16"/>
  <c r="C78" i="22"/>
  <c r="F20" i="16"/>
  <c r="B176" i="22"/>
  <c r="E176" i="22" s="1"/>
  <c r="B239" i="22"/>
  <c r="E239" i="22" s="1"/>
  <c r="E22" i="16"/>
  <c r="F943" i="22"/>
  <c r="E231" i="16"/>
  <c r="F807" i="22"/>
  <c r="E227" i="16"/>
  <c r="E103" i="16"/>
  <c r="D341" i="22"/>
  <c r="B443" i="22"/>
  <c r="E28" i="16"/>
  <c r="B773" i="22"/>
  <c r="E38" i="16"/>
  <c r="E216" i="16"/>
  <c r="G443" i="22"/>
  <c r="D807" i="22"/>
  <c r="E117" i="16"/>
  <c r="D17" i="16"/>
  <c r="B76" i="22"/>
  <c r="E76" i="22" s="1"/>
  <c r="G340" i="22"/>
  <c r="D213" i="16"/>
  <c r="D16" i="16"/>
  <c r="B42" i="22"/>
  <c r="G408" i="22"/>
  <c r="D215" i="16"/>
  <c r="D27" i="16"/>
  <c r="B408" i="22"/>
  <c r="H408" i="22" s="1"/>
  <c r="D772" i="22"/>
  <c r="D226" i="16"/>
  <c r="D704" i="22"/>
  <c r="D224" i="16"/>
  <c r="D36" i="13"/>
  <c r="D31" i="13"/>
  <c r="D33" i="14" s="1"/>
  <c r="D92" i="14" s="1"/>
  <c r="D25" i="13"/>
  <c r="D29" i="14" s="1"/>
  <c r="D88" i="14" s="1"/>
  <c r="D42" i="13"/>
  <c r="D32" i="13"/>
  <c r="D34" i="14" s="1"/>
  <c r="D93" i="14" s="1"/>
  <c r="D26" i="13"/>
  <c r="D30" i="14" s="1"/>
  <c r="D89" i="14" s="1"/>
  <c r="D40" i="13"/>
  <c r="D39" i="13"/>
  <c r="D29" i="13"/>
  <c r="D32" i="14" s="1"/>
  <c r="D91" i="14" s="1"/>
  <c r="D30" i="13"/>
  <c r="D37" i="13"/>
  <c r="D41" i="13"/>
  <c r="D27" i="13"/>
  <c r="D38" i="13"/>
  <c r="D33" i="13"/>
  <c r="D35" i="14" s="1"/>
  <c r="D94" i="14" s="1"/>
  <c r="D28" i="13"/>
  <c r="D31" i="14" s="1"/>
  <c r="D90" i="14" s="1"/>
  <c r="D35" i="13"/>
  <c r="D34" i="13"/>
  <c r="C277" i="22"/>
  <c r="I62" i="16"/>
  <c r="B743" i="22"/>
  <c r="I37" i="16"/>
  <c r="B413" i="22"/>
  <c r="H413" i="22" s="1"/>
  <c r="I27" i="16"/>
  <c r="I19" i="16"/>
  <c r="B145" i="22"/>
  <c r="I80" i="16"/>
  <c r="C879" i="22"/>
  <c r="I41" i="16"/>
  <c r="B879" i="22"/>
  <c r="B947" i="22"/>
  <c r="I43" i="16"/>
  <c r="D378" i="22"/>
  <c r="H104" i="16"/>
  <c r="B80" i="22"/>
  <c r="E80" i="22" s="1"/>
  <c r="H17" i="16"/>
  <c r="H16" i="16"/>
  <c r="B46" i="22"/>
  <c r="H117" i="16"/>
  <c r="D810" i="22"/>
  <c r="H230" i="16"/>
  <c r="D912" i="22"/>
  <c r="H231" i="16"/>
  <c r="F946" i="22"/>
  <c r="H36" i="16"/>
  <c r="B708" i="22"/>
  <c r="E708" i="22" s="1"/>
  <c r="C26" i="16"/>
  <c r="B373" i="22"/>
  <c r="H373" i="22" s="1"/>
  <c r="C56" i="16"/>
  <c r="C75" i="22"/>
  <c r="C42" i="16"/>
  <c r="B907" i="22"/>
  <c r="E907" i="22" s="1"/>
  <c r="B34" i="23" s="1"/>
  <c r="C305" i="22"/>
  <c r="C63" i="16"/>
  <c r="C20" i="16"/>
  <c r="B173" i="22"/>
  <c r="E173" i="22" s="1"/>
  <c r="G441" i="22"/>
  <c r="C216" i="16"/>
  <c r="B441" i="22"/>
  <c r="C28" i="16"/>
  <c r="B635" i="22"/>
  <c r="D635" i="22" s="1"/>
  <c r="C34" i="16"/>
  <c r="D941" i="22"/>
  <c r="C121" i="16"/>
  <c r="F141" i="8"/>
  <c r="F224" i="9" s="1"/>
  <c r="E20" i="10" s="1"/>
  <c r="F68" i="10" s="1"/>
  <c r="G33" i="16"/>
  <c r="G98" i="13"/>
  <c r="B607" i="22"/>
  <c r="H94" i="13"/>
  <c r="H29" i="16"/>
  <c r="B480" i="22"/>
  <c r="C480" i="22" s="1"/>
  <c r="J95" i="13"/>
  <c r="J30" i="16"/>
  <c r="B514" i="22"/>
  <c r="C514" i="22" s="1"/>
  <c r="E154" i="9"/>
  <c r="E166" i="9" s="1"/>
  <c r="E141" i="8"/>
  <c r="I33" i="16"/>
  <c r="I98" i="13"/>
  <c r="B609" i="22"/>
  <c r="G94" i="13"/>
  <c r="G29" i="16"/>
  <c r="B479" i="22"/>
  <c r="C479" i="22" s="1"/>
  <c r="B96" i="13"/>
  <c r="B31" i="16"/>
  <c r="I96" i="13"/>
  <c r="I31" i="16"/>
  <c r="B545" i="22"/>
  <c r="C545" i="22" s="1"/>
  <c r="B511" i="22"/>
  <c r="C511" i="22" s="1"/>
  <c r="G95" i="13"/>
  <c r="G30" i="16"/>
  <c r="B95" i="13"/>
  <c r="B30" i="16"/>
  <c r="D478" i="22"/>
  <c r="E21" i="23"/>
  <c r="B605" i="22"/>
  <c r="E33" i="16"/>
  <c r="E98" i="13"/>
  <c r="D542" i="22"/>
  <c r="E23" i="23"/>
  <c r="H22" i="23"/>
  <c r="D513" i="22"/>
  <c r="D512" i="22"/>
  <c r="G22" i="23"/>
  <c r="J154" i="9"/>
  <c r="J166" i="9" s="1"/>
  <c r="B175" i="9" s="1"/>
  <c r="J213" i="9" s="1"/>
  <c r="J11" i="13" s="1"/>
  <c r="J141" i="8"/>
  <c r="J96" i="13"/>
  <c r="J31" i="16"/>
  <c r="B546" i="22"/>
  <c r="C546" i="22" s="1"/>
  <c r="H98" i="13"/>
  <c r="B608" i="22"/>
  <c r="H33" i="16"/>
  <c r="H154" i="9"/>
  <c r="H166" i="9" s="1"/>
  <c r="H141" i="8"/>
  <c r="B541" i="22"/>
  <c r="C541" i="22" s="1"/>
  <c r="E96" i="13"/>
  <c r="E31" i="16"/>
  <c r="B509" i="22"/>
  <c r="C509" i="22" s="1"/>
  <c r="E95" i="13"/>
  <c r="E30" i="16"/>
  <c r="D481" i="22"/>
  <c r="H21" i="23"/>
  <c r="J33" i="16"/>
  <c r="B610" i="22"/>
  <c r="J98" i="13"/>
  <c r="B606" i="22"/>
  <c r="F33" i="16"/>
  <c r="F98" i="13"/>
  <c r="E29" i="16"/>
  <c r="B477" i="22"/>
  <c r="C477" i="22" s="1"/>
  <c r="E94" i="13"/>
  <c r="H31" i="16"/>
  <c r="B544" i="22"/>
  <c r="C544" i="22" s="1"/>
  <c r="H96" i="13"/>
  <c r="G154" i="9"/>
  <c r="G166" i="9" s="1"/>
  <c r="G141" i="8"/>
  <c r="I156" i="9"/>
  <c r="I166" i="9" s="1"/>
  <c r="I141" i="8"/>
  <c r="B155" i="9"/>
  <c r="B166" i="9" s="1"/>
  <c r="B141" i="8"/>
  <c r="B33" i="16"/>
  <c r="B98" i="13"/>
  <c r="E22" i="23"/>
  <c r="D510" i="22"/>
  <c r="J94" i="13"/>
  <c r="J29" i="16"/>
  <c r="B482" i="22"/>
  <c r="C482" i="22" s="1"/>
  <c r="J460" i="22"/>
  <c r="K460" i="22"/>
  <c r="L460" i="22"/>
  <c r="D589" i="22"/>
  <c r="F926" i="22"/>
  <c r="G926" i="22"/>
  <c r="L461" i="22"/>
  <c r="J461" i="22"/>
  <c r="K461" i="22"/>
  <c r="F688" i="22"/>
  <c r="E688" i="22"/>
  <c r="E689" i="22"/>
  <c r="F689" i="22"/>
  <c r="F927" i="22"/>
  <c r="G927" i="22"/>
  <c r="L453" i="22"/>
  <c r="J453" i="22"/>
  <c r="K453" i="22"/>
  <c r="F442" i="22" l="1"/>
  <c r="I442" i="22" s="1"/>
  <c r="C20" i="23" s="1"/>
  <c r="D180" i="16"/>
  <c r="D133" i="16"/>
  <c r="C42" i="22"/>
  <c r="D42" i="22" s="1"/>
  <c r="G61" i="16"/>
  <c r="C241" i="22"/>
  <c r="B445" i="22"/>
  <c r="G28" i="16"/>
  <c r="D343" i="22"/>
  <c r="G103" i="16"/>
  <c r="D877" i="22"/>
  <c r="G119" i="16"/>
  <c r="G40" i="16"/>
  <c r="B843" i="22"/>
  <c r="F741" i="22"/>
  <c r="G225" i="16"/>
  <c r="D445" i="22"/>
  <c r="G106" i="16"/>
  <c r="H139" i="16"/>
  <c r="D242" i="22"/>
  <c r="F242" i="22" s="1"/>
  <c r="H378" i="22"/>
  <c r="E636" i="22"/>
  <c r="C26" i="23"/>
  <c r="F636" i="22"/>
  <c r="D307" i="22"/>
  <c r="F307" i="22" s="1"/>
  <c r="E141" i="16"/>
  <c r="D207" i="22"/>
  <c r="B13" i="23"/>
  <c r="I141" i="16"/>
  <c r="D311" i="22"/>
  <c r="F311" i="22" s="1"/>
  <c r="E272" i="22"/>
  <c r="G805" i="22"/>
  <c r="H805" i="22"/>
  <c r="H948" i="22"/>
  <c r="I35" i="23" s="1"/>
  <c r="E640" i="22"/>
  <c r="G26" i="23"/>
  <c r="F640" i="22"/>
  <c r="G807" i="22"/>
  <c r="H807" i="22"/>
  <c r="F133" i="16"/>
  <c r="C44" i="22"/>
  <c r="D44" i="22" s="1"/>
  <c r="D308" i="22"/>
  <c r="F308" i="22" s="1"/>
  <c r="F141" i="16"/>
  <c r="I32" i="23"/>
  <c r="G846" i="22"/>
  <c r="F846" i="22"/>
  <c r="D271" i="22"/>
  <c r="F271" i="22" s="1"/>
  <c r="C140" i="16"/>
  <c r="E174" i="22"/>
  <c r="E308" i="22"/>
  <c r="E840" i="22"/>
  <c r="H944" i="22"/>
  <c r="E35" i="23" s="1"/>
  <c r="D177" i="16"/>
  <c r="F340" i="22"/>
  <c r="I340" i="22" s="1"/>
  <c r="D139" i="16"/>
  <c r="D238" i="22"/>
  <c r="F238" i="22" s="1"/>
  <c r="H407" i="22"/>
  <c r="G26" i="16"/>
  <c r="B377" i="22"/>
  <c r="G115" i="16"/>
  <c r="D741" i="22"/>
  <c r="B411" i="22"/>
  <c r="G27" i="16"/>
  <c r="G64" i="16"/>
  <c r="C343" i="22"/>
  <c r="G35" i="16"/>
  <c r="B673" i="22"/>
  <c r="D673" i="22" s="1"/>
  <c r="F27" i="23" s="1"/>
  <c r="B809" i="22"/>
  <c r="G39" i="16"/>
  <c r="G80" i="16"/>
  <c r="C877" i="22"/>
  <c r="F344" i="22"/>
  <c r="I344" i="22" s="1"/>
  <c r="H177" i="16"/>
  <c r="H943" i="22"/>
  <c r="D35" i="23" s="1"/>
  <c r="F375" i="22"/>
  <c r="I375" i="22" s="1"/>
  <c r="E178" i="16"/>
  <c r="F345" i="22"/>
  <c r="I345" i="22" s="1"/>
  <c r="I177" i="16"/>
  <c r="D243" i="22"/>
  <c r="F243" i="22" s="1"/>
  <c r="I139" i="16"/>
  <c r="H412" i="22"/>
  <c r="E641" i="22"/>
  <c r="H26" i="23"/>
  <c r="F641" i="22"/>
  <c r="E243" i="22"/>
  <c r="E705" i="22"/>
  <c r="G873" i="22"/>
  <c r="H873" i="22"/>
  <c r="F140" i="16"/>
  <c r="D274" i="22"/>
  <c r="F274" i="22" s="1"/>
  <c r="E13" i="23"/>
  <c r="D210" i="22"/>
  <c r="E310" i="22"/>
  <c r="H410" i="22"/>
  <c r="G740" i="22"/>
  <c r="H740" i="22"/>
  <c r="F374" i="22"/>
  <c r="I374" i="22" s="1"/>
  <c r="D178" i="16"/>
  <c r="D137" i="16"/>
  <c r="D174" i="22"/>
  <c r="F174" i="22" s="1"/>
  <c r="F408" i="22"/>
  <c r="I408" i="22" s="1"/>
  <c r="D179" i="16"/>
  <c r="F706" i="22"/>
  <c r="E28" i="23"/>
  <c r="G706" i="22"/>
  <c r="D377" i="22"/>
  <c r="G104" i="16"/>
  <c r="G42" i="16"/>
  <c r="B911" i="22"/>
  <c r="B79" i="22"/>
  <c r="G17" i="16"/>
  <c r="F809" i="22"/>
  <c r="G227" i="16"/>
  <c r="G38" i="16"/>
  <c r="B775" i="22"/>
  <c r="D843" i="22"/>
  <c r="G228" i="16"/>
  <c r="G27" i="13"/>
  <c r="G26" i="13"/>
  <c r="G30" i="14" s="1"/>
  <c r="G89" i="14" s="1"/>
  <c r="G42" i="13"/>
  <c r="G31" i="13"/>
  <c r="G33" i="14" s="1"/>
  <c r="G92" i="14" s="1"/>
  <c r="G34" i="13"/>
  <c r="G38" i="13"/>
  <c r="G37" i="13"/>
  <c r="G25" i="13"/>
  <c r="G29" i="14" s="1"/>
  <c r="G88" i="14" s="1"/>
  <c r="G35" i="13"/>
  <c r="G33" i="13"/>
  <c r="G35" i="14" s="1"/>
  <c r="G94" i="14" s="1"/>
  <c r="G39" i="13"/>
  <c r="G30" i="13"/>
  <c r="G41" i="13"/>
  <c r="G32" i="13"/>
  <c r="G34" i="14" s="1"/>
  <c r="G93" i="14" s="1"/>
  <c r="G29" i="13"/>
  <c r="G32" i="14" s="1"/>
  <c r="G91" i="14" s="1"/>
  <c r="G28" i="13"/>
  <c r="G31" i="14" s="1"/>
  <c r="G90" i="14" s="1"/>
  <c r="G36" i="13"/>
  <c r="G40" i="13"/>
  <c r="B211" i="22"/>
  <c r="C211" i="22" s="1"/>
  <c r="G21" i="16"/>
  <c r="H178" i="16"/>
  <c r="F378" i="22"/>
  <c r="I378" i="22" s="1"/>
  <c r="H810" i="22"/>
  <c r="G810" i="22"/>
  <c r="H10" i="23"/>
  <c r="D115" i="22"/>
  <c r="F341" i="22"/>
  <c r="I341" i="22" s="1"/>
  <c r="E177" i="16"/>
  <c r="C141" i="22"/>
  <c r="D141" i="22" s="1"/>
  <c r="E136" i="16"/>
  <c r="E778" i="22"/>
  <c r="E75" i="22"/>
  <c r="F447" i="22"/>
  <c r="I447" i="22" s="1"/>
  <c r="H20" i="23" s="1"/>
  <c r="I180" i="16"/>
  <c r="F413" i="22"/>
  <c r="I413" i="22" s="1"/>
  <c r="I179" i="16"/>
  <c r="I28" i="23"/>
  <c r="G710" i="22"/>
  <c r="F710" i="22"/>
  <c r="F342" i="22"/>
  <c r="I342" i="22" s="1"/>
  <c r="F177" i="16"/>
  <c r="E82" i="22"/>
  <c r="C178" i="16"/>
  <c r="F373" i="22"/>
  <c r="I373" i="22" s="1"/>
  <c r="G30" i="23"/>
  <c r="G776" i="22"/>
  <c r="F776" i="22"/>
  <c r="D213" i="22"/>
  <c r="H13" i="23"/>
  <c r="E709" i="22"/>
  <c r="H811" i="22"/>
  <c r="G811" i="22"/>
  <c r="C13" i="23"/>
  <c r="D208" i="22"/>
  <c r="E774" i="22"/>
  <c r="E237" i="22"/>
  <c r="G10" i="23"/>
  <c r="D114" i="22"/>
  <c r="E311" i="22"/>
  <c r="G875" i="22"/>
  <c r="D136" i="16"/>
  <c r="C140" i="22"/>
  <c r="D140" i="22" s="1"/>
  <c r="E78" i="22"/>
  <c r="B241" i="22"/>
  <c r="E241" i="22" s="1"/>
  <c r="G22" i="16"/>
  <c r="B639" i="22"/>
  <c r="D639" i="22" s="1"/>
  <c r="G34" i="16"/>
  <c r="G25" i="16"/>
  <c r="B343" i="22"/>
  <c r="B945" i="22"/>
  <c r="G43" i="16"/>
  <c r="G226" i="16"/>
  <c r="D775" i="22"/>
  <c r="D809" i="22"/>
  <c r="G117" i="16"/>
  <c r="G215" i="16"/>
  <c r="G411" i="22"/>
  <c r="H180" i="16"/>
  <c r="F446" i="22"/>
  <c r="I446" i="22" s="1"/>
  <c r="G20" i="23" s="1"/>
  <c r="H179" i="16"/>
  <c r="F412" i="22"/>
  <c r="I412" i="22" s="1"/>
  <c r="E180" i="16"/>
  <c r="F443" i="22"/>
  <c r="I443" i="22" s="1"/>
  <c r="D20" i="23" s="1"/>
  <c r="G880" i="22"/>
  <c r="H880" i="22"/>
  <c r="H339" i="22"/>
  <c r="I178" i="16"/>
  <c r="F379" i="22"/>
  <c r="I379" i="22" s="1"/>
  <c r="H874" i="22"/>
  <c r="G874" i="22"/>
  <c r="H808" i="22"/>
  <c r="G808" i="22"/>
  <c r="I10" i="23"/>
  <c r="D116" i="22"/>
  <c r="F410" i="22"/>
  <c r="I410" i="22" s="1"/>
  <c r="F179" i="16"/>
  <c r="F180" i="16"/>
  <c r="F444" i="22"/>
  <c r="I444" i="22" s="1"/>
  <c r="E20" i="23" s="1"/>
  <c r="D75" i="22"/>
  <c r="F75" i="22" s="1"/>
  <c r="C134" i="16"/>
  <c r="E912" i="22"/>
  <c r="G34" i="23" s="1"/>
  <c r="H875" i="22"/>
  <c r="E77" i="22"/>
  <c r="F637" i="22"/>
  <c r="E637" i="22"/>
  <c r="D26" i="23"/>
  <c r="E240" i="22"/>
  <c r="G947" i="22"/>
  <c r="H947" i="22"/>
  <c r="H35" i="23" s="1"/>
  <c r="D141" i="16"/>
  <c r="D306" i="22"/>
  <c r="F306" i="22" s="1"/>
  <c r="E305" i="22"/>
  <c r="G62" i="16"/>
  <c r="C275" i="22"/>
  <c r="G121" i="16"/>
  <c r="D945" i="22"/>
  <c r="G445" i="22"/>
  <c r="G216" i="16"/>
  <c r="B309" i="22"/>
  <c r="G24" i="16"/>
  <c r="C411" i="22"/>
  <c r="G66" i="16"/>
  <c r="G41" i="16"/>
  <c r="B877" i="22"/>
  <c r="H140" i="16"/>
  <c r="D276" i="22"/>
  <c r="F276" i="22" s="1"/>
  <c r="G878" i="22"/>
  <c r="H878" i="22"/>
  <c r="E133" i="16"/>
  <c r="C43" i="22"/>
  <c r="D43" i="22" s="1"/>
  <c r="D175" i="22"/>
  <c r="F175" i="22" s="1"/>
  <c r="E137" i="16"/>
  <c r="H812" i="22"/>
  <c r="G812" i="22"/>
  <c r="H345" i="22"/>
  <c r="D81" i="22"/>
  <c r="F81" i="22" s="1"/>
  <c r="I134" i="16"/>
  <c r="I133" i="16"/>
  <c r="C47" i="22"/>
  <c r="D47" i="22" s="1"/>
  <c r="E773" i="22"/>
  <c r="H346" i="22"/>
  <c r="H946" i="22"/>
  <c r="G35" i="23" s="1"/>
  <c r="D109" i="22"/>
  <c r="B10" i="23"/>
  <c r="H374" i="22"/>
  <c r="E909" i="22"/>
  <c r="D34" i="23" s="1"/>
  <c r="D240" i="22"/>
  <c r="F240" i="22" s="1"/>
  <c r="F139" i="16"/>
  <c r="F136" i="16"/>
  <c r="C142" i="22"/>
  <c r="D142" i="22" s="1"/>
  <c r="E312" i="22"/>
  <c r="C136" i="16"/>
  <c r="C139" i="22"/>
  <c r="D139" i="22" s="1"/>
  <c r="F703" i="22"/>
  <c r="G703" i="22"/>
  <c r="B28" i="23"/>
  <c r="E10" i="23"/>
  <c r="D112" i="22"/>
  <c r="E839" i="22"/>
  <c r="H414" i="22"/>
  <c r="D214" i="22"/>
  <c r="I13" i="23"/>
  <c r="G737" i="22"/>
  <c r="H737" i="22"/>
  <c r="H742" i="22"/>
  <c r="G742" i="22"/>
  <c r="E841" i="22"/>
  <c r="G708" i="22"/>
  <c r="F708" i="22"/>
  <c r="G28" i="23"/>
  <c r="G879" i="22"/>
  <c r="H879" i="22"/>
  <c r="D134" i="16"/>
  <c r="D76" i="22"/>
  <c r="F76" i="22" s="1"/>
  <c r="G876" i="22"/>
  <c r="H876" i="22"/>
  <c r="G96" i="13"/>
  <c r="G31" i="16"/>
  <c r="B543" i="22"/>
  <c r="C543" i="22" s="1"/>
  <c r="G23" i="16"/>
  <c r="B275" i="22"/>
  <c r="E275" i="22" s="1"/>
  <c r="G343" i="22"/>
  <c r="G213" i="16"/>
  <c r="C741" i="22"/>
  <c r="G76" i="16"/>
  <c r="B741" i="22"/>
  <c r="G37" i="16"/>
  <c r="D411" i="22"/>
  <c r="G105" i="16"/>
  <c r="C945" i="22"/>
  <c r="G82" i="16"/>
  <c r="G229" i="16"/>
  <c r="F877" i="22"/>
  <c r="H133" i="16"/>
  <c r="C46" i="22"/>
  <c r="D46" i="22" s="1"/>
  <c r="C144" i="22"/>
  <c r="D144" i="22" s="1"/>
  <c r="H136" i="16"/>
  <c r="E139" i="16"/>
  <c r="D239" i="22"/>
  <c r="F239" i="22" s="1"/>
  <c r="G806" i="22"/>
  <c r="H806" i="22"/>
  <c r="D10" i="23"/>
  <c r="D111" i="22"/>
  <c r="C41" i="22"/>
  <c r="D41" i="22" s="1"/>
  <c r="C133" i="16"/>
  <c r="C141" i="16"/>
  <c r="D305" i="22"/>
  <c r="F305" i="22" s="1"/>
  <c r="E771" i="22"/>
  <c r="E777" i="22"/>
  <c r="E772" i="22"/>
  <c r="H341" i="22"/>
  <c r="E635" i="22"/>
  <c r="B26" i="23"/>
  <c r="F635" i="22"/>
  <c r="H743" i="22"/>
  <c r="G743" i="22"/>
  <c r="D272" i="22"/>
  <c r="F272" i="22" s="1"/>
  <c r="D140" i="16"/>
  <c r="G97" i="13"/>
  <c r="G32" i="16"/>
  <c r="B575" i="22"/>
  <c r="C575" i="22" s="1"/>
  <c r="F24" i="23" s="1"/>
  <c r="C79" i="22"/>
  <c r="G56" i="16"/>
  <c r="G230" i="16"/>
  <c r="D911" i="22"/>
  <c r="B113" i="22"/>
  <c r="C113" i="22" s="1"/>
  <c r="G18" i="16"/>
  <c r="G214" i="16"/>
  <c r="G377" i="22"/>
  <c r="D707" i="22"/>
  <c r="G224" i="16"/>
  <c r="G19" i="16"/>
  <c r="B143" i="22"/>
  <c r="C309" i="22"/>
  <c r="G63" i="16"/>
  <c r="C177" i="22"/>
  <c r="G59" i="16"/>
  <c r="D80" i="22"/>
  <c r="F80" i="22" s="1"/>
  <c r="H134" i="16"/>
  <c r="H340" i="22"/>
  <c r="E134" i="16"/>
  <c r="D77" i="22"/>
  <c r="F77" i="22" s="1"/>
  <c r="H941" i="22"/>
  <c r="B35" i="23" s="1"/>
  <c r="G32" i="23"/>
  <c r="G844" i="22"/>
  <c r="F844" i="22"/>
  <c r="D277" i="22"/>
  <c r="F277" i="22" s="1"/>
  <c r="I140" i="16"/>
  <c r="I136" i="16"/>
  <c r="C145" i="22"/>
  <c r="D145" i="22" s="1"/>
  <c r="H739" i="22"/>
  <c r="E842" i="22"/>
  <c r="F642" i="22"/>
  <c r="E642" i="22"/>
  <c r="I26" i="23"/>
  <c r="G845" i="22"/>
  <c r="H32" i="23"/>
  <c r="F845" i="22"/>
  <c r="G738" i="22"/>
  <c r="H738" i="22"/>
  <c r="F376" i="22"/>
  <c r="I376" i="22" s="1"/>
  <c r="F178" i="16"/>
  <c r="D78" i="22"/>
  <c r="F78" i="22" s="1"/>
  <c r="F134" i="16"/>
  <c r="D237" i="22"/>
  <c r="F237" i="22" s="1"/>
  <c r="C139" i="16"/>
  <c r="F441" i="22"/>
  <c r="I441" i="22" s="1"/>
  <c r="B20" i="23" s="1"/>
  <c r="C180" i="16"/>
  <c r="D173" i="22"/>
  <c r="F173" i="22" s="1"/>
  <c r="C137" i="16"/>
  <c r="E277" i="22"/>
  <c r="H380" i="22"/>
  <c r="C377" i="22"/>
  <c r="G65" i="16"/>
  <c r="G67" i="16"/>
  <c r="C445" i="22"/>
  <c r="C809" i="22"/>
  <c r="G78" i="16"/>
  <c r="B45" i="22"/>
  <c r="G16" i="16"/>
  <c r="G36" i="16"/>
  <c r="B707" i="22"/>
  <c r="E707" i="22" s="1"/>
  <c r="G231" i="16"/>
  <c r="F945" i="22"/>
  <c r="G20" i="16"/>
  <c r="B177" i="22"/>
  <c r="E177" i="22" s="1"/>
  <c r="H141" i="16"/>
  <c r="D310" i="22"/>
  <c r="F310" i="22" s="1"/>
  <c r="H137" i="16"/>
  <c r="D178" i="22"/>
  <c r="F178" i="22" s="1"/>
  <c r="E179" i="16"/>
  <c r="F409" i="22"/>
  <c r="I409" i="22" s="1"/>
  <c r="E140" i="16"/>
  <c r="D273" i="22"/>
  <c r="F273" i="22" s="1"/>
  <c r="G13" i="23"/>
  <c r="D212" i="22"/>
  <c r="I137" i="16"/>
  <c r="D179" i="22"/>
  <c r="F179" i="22" s="1"/>
  <c r="E704" i="22"/>
  <c r="E26" i="23"/>
  <c r="E638" i="22"/>
  <c r="F638" i="22"/>
  <c r="E271" i="22"/>
  <c r="E175" i="22"/>
  <c r="D13" i="23"/>
  <c r="D209" i="22"/>
  <c r="C10" i="23"/>
  <c r="D110" i="22"/>
  <c r="E273" i="22"/>
  <c r="D176" i="22"/>
  <c r="F176" i="22" s="1"/>
  <c r="F137" i="16"/>
  <c r="F407" i="22"/>
  <c r="I407" i="22" s="1"/>
  <c r="C179" i="16"/>
  <c r="C177" i="16"/>
  <c r="F339" i="22"/>
  <c r="I339" i="22" s="1"/>
  <c r="H344" i="22"/>
  <c r="H379" i="22"/>
  <c r="H409" i="22"/>
  <c r="H375" i="22"/>
  <c r="E307" i="22"/>
  <c r="G744" i="22"/>
  <c r="H744" i="22"/>
  <c r="J224" i="9"/>
  <c r="I20" i="10" s="1"/>
  <c r="J68" i="10" s="1"/>
  <c r="D477" i="22"/>
  <c r="D21" i="23"/>
  <c r="F606" i="22"/>
  <c r="E606" i="22"/>
  <c r="E610" i="22"/>
  <c r="F610" i="22"/>
  <c r="D509" i="22"/>
  <c r="D22" i="23"/>
  <c r="D546" i="22"/>
  <c r="I23" i="23"/>
  <c r="J37" i="13"/>
  <c r="J40" i="13"/>
  <c r="J39" i="13"/>
  <c r="J36" i="13"/>
  <c r="J26" i="13"/>
  <c r="J25" i="13"/>
  <c r="J42" i="13"/>
  <c r="J33" i="13"/>
  <c r="J35" i="14" s="1"/>
  <c r="J94" i="14" s="1"/>
  <c r="J31" i="13"/>
  <c r="J33" i="14" s="1"/>
  <c r="J92" i="14" s="1"/>
  <c r="J35" i="13"/>
  <c r="J34" i="13"/>
  <c r="J41" i="13"/>
  <c r="J32" i="13"/>
  <c r="J34" i="14" s="1"/>
  <c r="J93" i="14" s="1"/>
  <c r="J29" i="13"/>
  <c r="J30" i="13"/>
  <c r="J28" i="13"/>
  <c r="J38" i="13"/>
  <c r="J27" i="13"/>
  <c r="F22" i="23"/>
  <c r="D511" i="22"/>
  <c r="F21" i="23"/>
  <c r="D479" i="22"/>
  <c r="D514" i="22"/>
  <c r="I22" i="23"/>
  <c r="E607" i="22"/>
  <c r="F607" i="22"/>
  <c r="B224" i="9"/>
  <c r="I224" i="9"/>
  <c r="H20" i="10" s="1"/>
  <c r="I68" i="10" s="1"/>
  <c r="G224" i="9"/>
  <c r="G108" i="10" s="1"/>
  <c r="P11" i="12" s="1"/>
  <c r="H224" i="9"/>
  <c r="G20" i="10" s="1"/>
  <c r="H68" i="10" s="1"/>
  <c r="E224" i="9"/>
  <c r="D20" i="10" s="1"/>
  <c r="E68" i="10" s="1"/>
  <c r="I21" i="23"/>
  <c r="D482" i="22"/>
  <c r="G23" i="23"/>
  <c r="D544" i="22"/>
  <c r="D541" i="22"/>
  <c r="D23" i="23"/>
  <c r="E608" i="22"/>
  <c r="F608" i="22"/>
  <c r="E605" i="22"/>
  <c r="F605" i="22"/>
  <c r="D545" i="22"/>
  <c r="H23" i="23"/>
  <c r="F609" i="22"/>
  <c r="E609" i="22"/>
  <c r="G21" i="23"/>
  <c r="D480" i="22"/>
  <c r="D583" i="22"/>
  <c r="G918" i="22"/>
  <c r="F918" i="22"/>
  <c r="E684" i="22"/>
  <c r="F684" i="22"/>
  <c r="G922" i="22"/>
  <c r="F922" i="22"/>
  <c r="D341" i="18"/>
  <c r="D345" i="18"/>
  <c r="D266" i="18"/>
  <c r="D271" i="18"/>
  <c r="D324" i="18"/>
  <c r="D254" i="18"/>
  <c r="D353" i="18"/>
  <c r="D298" i="18"/>
  <c r="D275" i="18"/>
  <c r="D328" i="18"/>
  <c r="D286" i="18"/>
  <c r="D333" i="18"/>
  <c r="D230" i="18"/>
  <c r="D257" i="18"/>
  <c r="D314" i="18"/>
  <c r="D335" i="18"/>
  <c r="D279" i="18"/>
  <c r="D243" i="18"/>
  <c r="D332" i="18"/>
  <c r="D260" i="18"/>
  <c r="D350" i="18"/>
  <c r="D245" i="18"/>
  <c r="D294" i="18"/>
  <c r="D273" i="18"/>
  <c r="D322" i="18"/>
  <c r="D339" i="18"/>
  <c r="D283" i="18"/>
  <c r="D247" i="18"/>
  <c r="D336" i="18"/>
  <c r="D268" i="18"/>
  <c r="D253" i="18"/>
  <c r="D310" i="18"/>
  <c r="D330" i="18"/>
  <c r="D295" i="18"/>
  <c r="D340" i="18"/>
  <c r="D317" i="18"/>
  <c r="D326" i="18"/>
  <c r="D338" i="18"/>
  <c r="D311" i="18"/>
  <c r="D344" i="18"/>
  <c r="G920" i="22"/>
  <c r="F920" i="22"/>
  <c r="D581" i="22"/>
  <c r="F686" i="22"/>
  <c r="E686" i="22"/>
  <c r="D587" i="22"/>
  <c r="F685" i="22"/>
  <c r="E685" i="22"/>
  <c r="D586" i="22"/>
  <c r="F687" i="22"/>
  <c r="E687" i="22"/>
  <c r="D584" i="22"/>
  <c r="F921" i="22"/>
  <c r="G921" i="22"/>
  <c r="F683" i="22"/>
  <c r="E683" i="22"/>
  <c r="H458" i="22"/>
  <c r="E680" i="22"/>
  <c r="F680" i="22"/>
  <c r="F679" i="22"/>
  <c r="E679" i="22"/>
  <c r="D334" i="18"/>
  <c r="D241" i="18"/>
  <c r="D327" i="18"/>
  <c r="D227" i="18"/>
  <c r="D244" i="18"/>
  <c r="D269" i="18"/>
  <c r="D249" i="18"/>
  <c r="D331" i="18"/>
  <c r="D239" i="18"/>
  <c r="D256" i="18"/>
  <c r="D309" i="18"/>
  <c r="D342" i="18"/>
  <c r="D329" i="18"/>
  <c r="D354" i="18"/>
  <c r="D355" i="18"/>
  <c r="D315" i="18"/>
  <c r="D259" i="18"/>
  <c r="D352" i="18"/>
  <c r="D312" i="18"/>
  <c r="D228" i="18"/>
  <c r="D325" i="18"/>
  <c r="D238" i="18"/>
  <c r="D337" i="18"/>
  <c r="D225" i="18"/>
  <c r="D258" i="18"/>
  <c r="D323" i="18"/>
  <c r="D267" i="18"/>
  <c r="D356" i="18"/>
  <c r="D316" i="18"/>
  <c r="D240" i="18"/>
  <c r="D261" i="18"/>
  <c r="D297" i="18"/>
  <c r="D343" i="18"/>
  <c r="D251" i="18"/>
  <c r="D272" i="18"/>
  <c r="D277" i="18"/>
  <c r="D313" i="18"/>
  <c r="D351" i="18"/>
  <c r="D255" i="18"/>
  <c r="D296" i="18"/>
  <c r="D580" i="22"/>
  <c r="F682" i="22"/>
  <c r="E682" i="22"/>
  <c r="D585" i="22"/>
  <c r="G925" i="22"/>
  <c r="F925" i="22"/>
  <c r="D588" i="22"/>
  <c r="H451" i="22"/>
  <c r="H454" i="22"/>
  <c r="H452" i="22"/>
  <c r="H457" i="22"/>
  <c r="H455" i="22"/>
  <c r="B14" i="23" l="1"/>
  <c r="H237" i="22"/>
  <c r="G237" i="22"/>
  <c r="I29" i="23"/>
  <c r="I744" i="22"/>
  <c r="J744" i="22"/>
  <c r="G179" i="22"/>
  <c r="H12" i="23"/>
  <c r="H179" i="22"/>
  <c r="G12" i="23"/>
  <c r="H178" i="22"/>
  <c r="G178" i="22"/>
  <c r="F28" i="23"/>
  <c r="G707" i="22"/>
  <c r="F707" i="22"/>
  <c r="F145" i="22"/>
  <c r="H11" i="23"/>
  <c r="E145" i="22"/>
  <c r="D9" i="23"/>
  <c r="H77" i="22"/>
  <c r="G77" i="22"/>
  <c r="F10" i="23"/>
  <c r="D113" i="22"/>
  <c r="G772" i="22"/>
  <c r="F772" i="22"/>
  <c r="C30" i="23"/>
  <c r="G741" i="22"/>
  <c r="H741" i="22"/>
  <c r="D8" i="23"/>
  <c r="F43" i="22"/>
  <c r="E43" i="22"/>
  <c r="F26" i="23"/>
  <c r="F639" i="22"/>
  <c r="E639" i="22"/>
  <c r="H31" i="23"/>
  <c r="J811" i="22"/>
  <c r="I811" i="22"/>
  <c r="K413" i="22"/>
  <c r="H19" i="23"/>
  <c r="L413" i="22"/>
  <c r="J413" i="22"/>
  <c r="D17" i="23"/>
  <c r="K341" i="22"/>
  <c r="L341" i="22"/>
  <c r="J341" i="22"/>
  <c r="D211" i="22"/>
  <c r="F13" i="23"/>
  <c r="E29" i="23"/>
  <c r="J740" i="22"/>
  <c r="I740" i="22"/>
  <c r="J873" i="22"/>
  <c r="I873" i="22"/>
  <c r="B33" i="23"/>
  <c r="K344" i="22"/>
  <c r="L344" i="22"/>
  <c r="G17" i="23"/>
  <c r="J344" i="22"/>
  <c r="C14" i="23"/>
  <c r="H238" i="22"/>
  <c r="G238" i="22"/>
  <c r="H272" i="22"/>
  <c r="G272" i="22"/>
  <c r="C15" i="23"/>
  <c r="F777" i="22"/>
  <c r="H30" i="23"/>
  <c r="G777" i="22"/>
  <c r="C31" i="23"/>
  <c r="I806" i="22"/>
  <c r="J806" i="22"/>
  <c r="F139" i="22"/>
  <c r="E139" i="22"/>
  <c r="B11" i="23"/>
  <c r="C33" i="23"/>
  <c r="J874" i="22"/>
  <c r="I874" i="22"/>
  <c r="G19" i="23"/>
  <c r="J412" i="22"/>
  <c r="L412" i="22"/>
  <c r="K412" i="22"/>
  <c r="H28" i="23"/>
  <c r="G709" i="22"/>
  <c r="F709" i="22"/>
  <c r="G141" i="16"/>
  <c r="D309" i="22"/>
  <c r="F309" i="22" s="1"/>
  <c r="D79" i="22"/>
  <c r="F79" i="22" s="1"/>
  <c r="G134" i="16"/>
  <c r="H14" i="23"/>
  <c r="G243" i="22"/>
  <c r="H243" i="22"/>
  <c r="B15" i="23"/>
  <c r="H271" i="22"/>
  <c r="G271" i="22"/>
  <c r="I807" i="22"/>
  <c r="J807" i="22"/>
  <c r="D31" i="23"/>
  <c r="J407" i="22"/>
  <c r="L407" i="22"/>
  <c r="B19" i="23"/>
  <c r="K407" i="22"/>
  <c r="G16" i="23"/>
  <c r="G310" i="22"/>
  <c r="H310" i="22"/>
  <c r="B30" i="23"/>
  <c r="G771" i="22"/>
  <c r="F771" i="22"/>
  <c r="J876" i="22"/>
  <c r="E33" i="23"/>
  <c r="I876" i="22"/>
  <c r="H9" i="23"/>
  <c r="H81" i="22"/>
  <c r="G81" i="22"/>
  <c r="G33" i="23"/>
  <c r="J878" i="22"/>
  <c r="I878" i="22"/>
  <c r="K379" i="22"/>
  <c r="L379" i="22"/>
  <c r="H18" i="23"/>
  <c r="J379" i="22"/>
  <c r="G179" i="16"/>
  <c r="F411" i="22"/>
  <c r="I411" i="22" s="1"/>
  <c r="F377" i="22"/>
  <c r="I377" i="22" s="1"/>
  <c r="G178" i="16"/>
  <c r="E79" i="22"/>
  <c r="D28" i="23"/>
  <c r="F705" i="22"/>
  <c r="G705" i="22"/>
  <c r="H411" i="22"/>
  <c r="K340" i="22"/>
  <c r="C17" i="23"/>
  <c r="L340" i="22"/>
  <c r="J340" i="22"/>
  <c r="H16" i="23"/>
  <c r="G311" i="22"/>
  <c r="H311" i="22"/>
  <c r="E843" i="22"/>
  <c r="E9" i="23"/>
  <c r="H78" i="22"/>
  <c r="G78" i="22"/>
  <c r="H15" i="23"/>
  <c r="H277" i="22"/>
  <c r="G277" i="22"/>
  <c r="I743" i="22"/>
  <c r="J743" i="22"/>
  <c r="H29" i="23"/>
  <c r="B16" i="23"/>
  <c r="G305" i="22"/>
  <c r="H305" i="22"/>
  <c r="H239" i="22"/>
  <c r="G239" i="22"/>
  <c r="D14" i="23"/>
  <c r="D32" i="23"/>
  <c r="G841" i="22"/>
  <c r="F841" i="22"/>
  <c r="F839" i="22"/>
  <c r="G839" i="22"/>
  <c r="B32" i="23"/>
  <c r="E309" i="22"/>
  <c r="C16" i="23"/>
  <c r="G306" i="22"/>
  <c r="H306" i="22"/>
  <c r="E19" i="23"/>
  <c r="L410" i="22"/>
  <c r="K410" i="22"/>
  <c r="J410" i="22"/>
  <c r="K342" i="22"/>
  <c r="E17" i="23"/>
  <c r="L342" i="22"/>
  <c r="J342" i="22"/>
  <c r="C143" i="22"/>
  <c r="D143" i="22" s="1"/>
  <c r="G136" i="16"/>
  <c r="G133" i="16"/>
  <c r="C45" i="22"/>
  <c r="D45" i="22" s="1"/>
  <c r="E911" i="22"/>
  <c r="F34" i="23" s="1"/>
  <c r="J408" i="22"/>
  <c r="L408" i="22"/>
  <c r="K408" i="22"/>
  <c r="C19" i="23"/>
  <c r="H17" i="23"/>
  <c r="K345" i="22"/>
  <c r="L345" i="22"/>
  <c r="J345" i="22"/>
  <c r="G176" i="22"/>
  <c r="H176" i="22"/>
  <c r="E12" i="23"/>
  <c r="H273" i="22"/>
  <c r="G273" i="22"/>
  <c r="D15" i="23"/>
  <c r="G9" i="23"/>
  <c r="H80" i="22"/>
  <c r="G80" i="22"/>
  <c r="H76" i="22"/>
  <c r="C9" i="23"/>
  <c r="G76" i="22"/>
  <c r="E11" i="23"/>
  <c r="E142" i="22"/>
  <c r="F142" i="22"/>
  <c r="G276" i="22"/>
  <c r="G15" i="23"/>
  <c r="H276" i="22"/>
  <c r="D33" i="23"/>
  <c r="I875" i="22"/>
  <c r="J875" i="22"/>
  <c r="H945" i="22"/>
  <c r="F35" i="23" s="1"/>
  <c r="C11" i="23"/>
  <c r="F140" i="22"/>
  <c r="E140" i="22"/>
  <c r="E30" i="23"/>
  <c r="G774" i="22"/>
  <c r="F774" i="22"/>
  <c r="I30" i="23"/>
  <c r="F778" i="22"/>
  <c r="G778" i="22"/>
  <c r="G31" i="23"/>
  <c r="I810" i="22"/>
  <c r="J810" i="22"/>
  <c r="D177" i="22"/>
  <c r="F177" i="22" s="1"/>
  <c r="G137" i="16"/>
  <c r="G180" i="16"/>
  <c r="F445" i="22"/>
  <c r="I445" i="22" s="1"/>
  <c r="F20" i="23" s="1"/>
  <c r="C12" i="23"/>
  <c r="H174" i="22"/>
  <c r="G174" i="22"/>
  <c r="G809" i="22"/>
  <c r="H809" i="22"/>
  <c r="G14" i="23"/>
  <c r="G242" i="22"/>
  <c r="H242" i="22"/>
  <c r="C8" i="23"/>
  <c r="F42" i="22"/>
  <c r="E42" i="22"/>
  <c r="B12" i="23"/>
  <c r="G173" i="22"/>
  <c r="H173" i="22"/>
  <c r="L376" i="22"/>
  <c r="J376" i="22"/>
  <c r="E18" i="23"/>
  <c r="K376" i="22"/>
  <c r="G29" i="23"/>
  <c r="I742" i="22"/>
  <c r="J742" i="22"/>
  <c r="I812" i="22"/>
  <c r="I31" i="23"/>
  <c r="J812" i="22"/>
  <c r="J880" i="22"/>
  <c r="I880" i="22"/>
  <c r="I33" i="23"/>
  <c r="H343" i="22"/>
  <c r="G18" i="23"/>
  <c r="K378" i="22"/>
  <c r="L378" i="22"/>
  <c r="J378" i="22"/>
  <c r="G140" i="16"/>
  <c r="D275" i="22"/>
  <c r="F275" i="22" s="1"/>
  <c r="E775" i="22"/>
  <c r="K375" i="22"/>
  <c r="L375" i="22"/>
  <c r="D18" i="23"/>
  <c r="J375" i="22"/>
  <c r="H377" i="22"/>
  <c r="G840" i="22"/>
  <c r="F840" i="22"/>
  <c r="C32" i="23"/>
  <c r="J409" i="22"/>
  <c r="D19" i="23"/>
  <c r="K409" i="22"/>
  <c r="L409" i="22"/>
  <c r="C29" i="23"/>
  <c r="I738" i="22"/>
  <c r="J738" i="22"/>
  <c r="G842" i="22"/>
  <c r="E32" i="23"/>
  <c r="F842" i="22"/>
  <c r="E41" i="22"/>
  <c r="F41" i="22"/>
  <c r="B8" i="23"/>
  <c r="G11" i="23"/>
  <c r="F144" i="22"/>
  <c r="E144" i="22"/>
  <c r="I879" i="22"/>
  <c r="H33" i="23"/>
  <c r="J879" i="22"/>
  <c r="B29" i="23"/>
  <c r="I737" i="22"/>
  <c r="J737" i="22"/>
  <c r="D30" i="23"/>
  <c r="G773" i="22"/>
  <c r="F773" i="22"/>
  <c r="H877" i="22"/>
  <c r="G877" i="22"/>
  <c r="D11" i="23"/>
  <c r="E141" i="22"/>
  <c r="F141" i="22"/>
  <c r="F343" i="22"/>
  <c r="I343" i="22" s="1"/>
  <c r="G177" i="16"/>
  <c r="G274" i="22"/>
  <c r="E15" i="23"/>
  <c r="H274" i="22"/>
  <c r="E16" i="23"/>
  <c r="H308" i="22"/>
  <c r="G308" i="22"/>
  <c r="B17" i="23"/>
  <c r="K339" i="22"/>
  <c r="L339" i="22"/>
  <c r="J339" i="22"/>
  <c r="C28" i="23"/>
  <c r="G704" i="22"/>
  <c r="F704" i="22"/>
  <c r="J739" i="22"/>
  <c r="D29" i="23"/>
  <c r="I739" i="22"/>
  <c r="F46" i="22"/>
  <c r="E46" i="22"/>
  <c r="G8" i="23"/>
  <c r="D543" i="22"/>
  <c r="F23" i="23"/>
  <c r="E14" i="23"/>
  <c r="H240" i="22"/>
  <c r="G240" i="22"/>
  <c r="H8" i="23"/>
  <c r="F47" i="22"/>
  <c r="E47" i="22"/>
  <c r="D12" i="23"/>
  <c r="H175" i="22"/>
  <c r="G175" i="22"/>
  <c r="B9" i="23"/>
  <c r="H75" i="22"/>
  <c r="G75" i="22"/>
  <c r="I808" i="22"/>
  <c r="E31" i="23"/>
  <c r="J808" i="22"/>
  <c r="K373" i="22"/>
  <c r="B18" i="23"/>
  <c r="J373" i="22"/>
  <c r="L373" i="22"/>
  <c r="D241" i="22"/>
  <c r="F241" i="22" s="1"/>
  <c r="G139" i="16"/>
  <c r="K374" i="22"/>
  <c r="L374" i="22"/>
  <c r="C18" i="23"/>
  <c r="J374" i="22"/>
  <c r="E8" i="23"/>
  <c r="E44" i="22"/>
  <c r="F44" i="22"/>
  <c r="B31" i="23"/>
  <c r="I805" i="22"/>
  <c r="J805" i="22"/>
  <c r="D16" i="23"/>
  <c r="H307" i="22"/>
  <c r="G307" i="22"/>
  <c r="D25" i="23"/>
  <c r="G605" i="22"/>
  <c r="G608" i="22"/>
  <c r="G25" i="23"/>
  <c r="G41" i="23" s="1"/>
  <c r="P73" i="15"/>
  <c r="P90" i="15" s="1"/>
  <c r="P70" i="15"/>
  <c r="P87" i="15" s="1"/>
  <c r="P11" i="13"/>
  <c r="P31" i="12"/>
  <c r="P62" i="13" s="1"/>
  <c r="P47" i="12"/>
  <c r="P34" i="12"/>
  <c r="P65" i="13" s="1"/>
  <c r="P11" i="15" s="1"/>
  <c r="P24" i="15" s="1"/>
  <c r="P46" i="12"/>
  <c r="P28" i="12"/>
  <c r="P59" i="13" s="1"/>
  <c r="P44" i="12"/>
  <c r="P29" i="12"/>
  <c r="P60" i="13" s="1"/>
  <c r="P25" i="12"/>
  <c r="P56" i="13" s="1"/>
  <c r="P32" i="12"/>
  <c r="P63" i="13" s="1"/>
  <c r="P9" i="15" s="1"/>
  <c r="P22" i="15" s="1"/>
  <c r="P131" i="12"/>
  <c r="P78" i="12"/>
  <c r="P27" i="12"/>
  <c r="P58" i="13" s="1"/>
  <c r="P30" i="12"/>
  <c r="P61" i="13" s="1"/>
  <c r="P72" i="15"/>
  <c r="P89" i="15" s="1"/>
  <c r="P108" i="12"/>
  <c r="P71" i="15"/>
  <c r="P88" i="15" s="1"/>
  <c r="P68" i="15"/>
  <c r="P85" i="15" s="1"/>
  <c r="P24" i="12"/>
  <c r="P55" i="13" s="1"/>
  <c r="P48" i="12"/>
  <c r="P111" i="12"/>
  <c r="P79" i="12"/>
  <c r="P132" i="12"/>
  <c r="P66" i="12"/>
  <c r="P84" i="13" s="1"/>
  <c r="P71" i="12"/>
  <c r="P89" i="13" s="1"/>
  <c r="P103" i="12"/>
  <c r="P114" i="13" s="1"/>
  <c r="P107" i="12"/>
  <c r="P118" i="13" s="1"/>
  <c r="P65" i="12"/>
  <c r="P83" i="13" s="1"/>
  <c r="P101" i="12"/>
  <c r="P112" i="13" s="1"/>
  <c r="P129" i="12"/>
  <c r="P133" i="13" s="1"/>
  <c r="P127" i="12"/>
  <c r="P131" i="13" s="1"/>
  <c r="P128" i="12"/>
  <c r="P132" i="13" s="1"/>
  <c r="P104" i="12"/>
  <c r="P115" i="13" s="1"/>
  <c r="P106" i="12"/>
  <c r="P117" i="13" s="1"/>
  <c r="P81" i="12"/>
  <c r="P83" i="12"/>
  <c r="P135" i="12"/>
  <c r="P74" i="15"/>
  <c r="P91" i="15" s="1"/>
  <c r="P23" i="12"/>
  <c r="P54" i="13" s="1"/>
  <c r="P39" i="12"/>
  <c r="P70" i="13" s="1"/>
  <c r="P26" i="12"/>
  <c r="P57" i="13" s="1"/>
  <c r="P38" i="12"/>
  <c r="P69" i="13" s="1"/>
  <c r="P75" i="15"/>
  <c r="P92" i="15" s="1"/>
  <c r="P36" i="12"/>
  <c r="P67" i="13" s="1"/>
  <c r="P40" i="12"/>
  <c r="P71" i="13" s="1"/>
  <c r="P45" i="12"/>
  <c r="P41" i="12"/>
  <c r="P37" i="12"/>
  <c r="P68" i="13" s="1"/>
  <c r="P77" i="12"/>
  <c r="P69" i="15"/>
  <c r="P86" i="15" s="1"/>
  <c r="P43" i="12"/>
  <c r="P42" i="12"/>
  <c r="P49" i="12"/>
  <c r="P76" i="12"/>
  <c r="P35" i="12"/>
  <c r="P66" i="13" s="1"/>
  <c r="P12" i="15" s="1"/>
  <c r="P25" i="15" s="1"/>
  <c r="P50" i="12"/>
  <c r="P33" i="12"/>
  <c r="P64" i="13" s="1"/>
  <c r="P10" i="15" s="1"/>
  <c r="P23" i="15" s="1"/>
  <c r="P109" i="12"/>
  <c r="P134" i="12"/>
  <c r="P110" i="12"/>
  <c r="P133" i="12"/>
  <c r="P68" i="12"/>
  <c r="P86" i="13" s="1"/>
  <c r="P75" i="12"/>
  <c r="P93" i="13" s="1"/>
  <c r="P99" i="12"/>
  <c r="P110" i="13" s="1"/>
  <c r="P69" i="12"/>
  <c r="P87" i="13" s="1"/>
  <c r="P130" i="12"/>
  <c r="P134" i="13" s="1"/>
  <c r="P74" i="12"/>
  <c r="P92" i="13" s="1"/>
  <c r="P72" i="12"/>
  <c r="P90" i="13" s="1"/>
  <c r="P73" i="12"/>
  <c r="P91" i="13" s="1"/>
  <c r="P105" i="12"/>
  <c r="P116" i="13" s="1"/>
  <c r="P67" i="12"/>
  <c r="P85" i="13" s="1"/>
  <c r="P100" i="12"/>
  <c r="P111" i="13" s="1"/>
  <c r="P82" i="12"/>
  <c r="P102" i="12"/>
  <c r="P113" i="13" s="1"/>
  <c r="P70" i="12"/>
  <c r="P88" i="13" s="1"/>
  <c r="P112" i="12"/>
  <c r="P80" i="12"/>
  <c r="P84" i="12"/>
  <c r="J140" i="16"/>
  <c r="D278" i="22"/>
  <c r="F278" i="22" s="1"/>
  <c r="G278" i="22" s="1"/>
  <c r="F346" i="22"/>
  <c r="I346" i="22" s="1"/>
  <c r="J346" i="22" s="1"/>
  <c r="J177" i="16"/>
  <c r="D244" i="22"/>
  <c r="F244" i="22" s="1"/>
  <c r="I14" i="23" s="1"/>
  <c r="J139" i="16"/>
  <c r="B76" i="14"/>
  <c r="J89" i="14" s="1"/>
  <c r="J30" i="14"/>
  <c r="J180" i="16"/>
  <c r="F448" i="22"/>
  <c r="I448" i="22" s="1"/>
  <c r="I20" i="23" s="1"/>
  <c r="G606" i="22"/>
  <c r="E25" i="23"/>
  <c r="E41" i="23" s="1"/>
  <c r="G609" i="22"/>
  <c r="H25" i="23"/>
  <c r="H41" i="23" s="1"/>
  <c r="F25" i="23"/>
  <c r="G607" i="22"/>
  <c r="B77" i="14"/>
  <c r="J90" i="14" s="1"/>
  <c r="J31" i="14"/>
  <c r="B78" i="14"/>
  <c r="J91" i="14" s="1"/>
  <c r="J32" i="14"/>
  <c r="J178" i="16"/>
  <c r="F380" i="22"/>
  <c r="I380" i="22" s="1"/>
  <c r="I18" i="23" s="1"/>
  <c r="D312" i="22"/>
  <c r="F312" i="22" s="1"/>
  <c r="I16" i="23" s="1"/>
  <c r="J141" i="16"/>
  <c r="J29" i="14"/>
  <c r="B75" i="14"/>
  <c r="J88" i="14" s="1"/>
  <c r="F414" i="22"/>
  <c r="I414" i="22" s="1"/>
  <c r="I19" i="23" s="1"/>
  <c r="J179" i="16"/>
  <c r="G610" i="22"/>
  <c r="I25" i="23"/>
  <c r="H244" i="22"/>
  <c r="G924" i="22"/>
  <c r="F924" i="22"/>
  <c r="L455" i="22"/>
  <c r="J455" i="22"/>
  <c r="K455" i="22"/>
  <c r="J452" i="22"/>
  <c r="K452" i="22"/>
  <c r="L452" i="22"/>
  <c r="J451" i="22"/>
  <c r="K451" i="22"/>
  <c r="L451" i="22"/>
  <c r="L456" i="22"/>
  <c r="J456" i="22"/>
  <c r="K456" i="22"/>
  <c r="J454" i="22"/>
  <c r="K454" i="22"/>
  <c r="L454" i="22"/>
  <c r="G923" i="22"/>
  <c r="F923" i="22"/>
  <c r="G917" i="22"/>
  <c r="F917" i="22"/>
  <c r="J459" i="22"/>
  <c r="K459" i="22"/>
  <c r="L459" i="22"/>
  <c r="J457" i="22"/>
  <c r="K457" i="22"/>
  <c r="L457" i="22"/>
  <c r="J458" i="22"/>
  <c r="K458" i="22"/>
  <c r="L458" i="22"/>
  <c r="I877" i="22" l="1"/>
  <c r="F33" i="23"/>
  <c r="J877" i="22"/>
  <c r="F31" i="23"/>
  <c r="I809" i="22"/>
  <c r="J809" i="22"/>
  <c r="G177" i="22"/>
  <c r="F12" i="23"/>
  <c r="H177" i="22"/>
  <c r="F19" i="23"/>
  <c r="J411" i="22"/>
  <c r="L411" i="22"/>
  <c r="K411" i="22"/>
  <c r="F14" i="23"/>
  <c r="G241" i="22"/>
  <c r="H241" i="22"/>
  <c r="F32" i="23"/>
  <c r="F843" i="22"/>
  <c r="G843" i="22"/>
  <c r="D41" i="23"/>
  <c r="F30" i="23"/>
  <c r="G775" i="22"/>
  <c r="F775" i="22"/>
  <c r="F17" i="23"/>
  <c r="L343" i="22"/>
  <c r="K343" i="22"/>
  <c r="J343" i="22"/>
  <c r="H275" i="22"/>
  <c r="G275" i="22"/>
  <c r="F15" i="23"/>
  <c r="F9" i="23"/>
  <c r="G79" i="22"/>
  <c r="H79" i="22"/>
  <c r="F8" i="23"/>
  <c r="F41" i="23" s="1"/>
  <c r="E45" i="22"/>
  <c r="F45" i="22"/>
  <c r="F16" i="23"/>
  <c r="G309" i="22"/>
  <c r="H309" i="22"/>
  <c r="J741" i="22"/>
  <c r="F29" i="23"/>
  <c r="I741" i="22"/>
  <c r="I17" i="23"/>
  <c r="K346" i="22"/>
  <c r="E143" i="22"/>
  <c r="F143" i="22"/>
  <c r="F11" i="23"/>
  <c r="F18" i="23"/>
  <c r="L377" i="22"/>
  <c r="J377" i="22"/>
  <c r="K377" i="22"/>
  <c r="G244" i="22"/>
  <c r="L346" i="22"/>
  <c r="H312" i="22"/>
  <c r="G312" i="22"/>
  <c r="K414" i="22"/>
  <c r="J414" i="22"/>
  <c r="L414" i="22"/>
  <c r="J380" i="22"/>
  <c r="H278" i="22"/>
  <c r="L380" i="22"/>
  <c r="I15" i="23"/>
  <c r="D180" i="22"/>
  <c r="F180" i="22" s="1"/>
  <c r="G180" i="22" s="1"/>
  <c r="J137" i="16"/>
  <c r="J136" i="16"/>
  <c r="C146" i="22"/>
  <c r="D146" i="22" s="1"/>
  <c r="J134" i="16"/>
  <c r="D82" i="22"/>
  <c r="F82" i="22" s="1"/>
  <c r="P94" i="13"/>
  <c r="R29" i="16"/>
  <c r="B489" i="22"/>
  <c r="C489" i="22" s="1"/>
  <c r="R23" i="16"/>
  <c r="B286" i="22"/>
  <c r="R31" i="16"/>
  <c r="B553" i="22"/>
  <c r="C553" i="22" s="1"/>
  <c r="P96" i="13"/>
  <c r="B188" i="22"/>
  <c r="R20" i="16"/>
  <c r="R26" i="16"/>
  <c r="B388" i="22"/>
  <c r="B422" i="22"/>
  <c r="R27" i="16"/>
  <c r="R22" i="16"/>
  <c r="B252" i="22"/>
  <c r="B456" i="22"/>
  <c r="H456" i="22" s="1"/>
  <c r="R28" i="16"/>
  <c r="D888" i="22"/>
  <c r="R119" i="16"/>
  <c r="D956" i="22"/>
  <c r="R121" i="16"/>
  <c r="R214" i="16"/>
  <c r="G388" i="22"/>
  <c r="R216" i="16"/>
  <c r="G456" i="22"/>
  <c r="R42" i="16"/>
  <c r="B922" i="22"/>
  <c r="R36" i="16"/>
  <c r="B718" i="22"/>
  <c r="R39" i="16"/>
  <c r="B820" i="22"/>
  <c r="B650" i="22"/>
  <c r="D650" i="22" s="1"/>
  <c r="R34" i="16"/>
  <c r="R231" i="16"/>
  <c r="F956" i="22"/>
  <c r="B154" i="22"/>
  <c r="R19" i="16"/>
  <c r="B56" i="22"/>
  <c r="R16" i="16"/>
  <c r="R111" i="16"/>
  <c r="P135" i="13"/>
  <c r="D617" i="22"/>
  <c r="R30" i="16"/>
  <c r="P95" i="13"/>
  <c r="B521" i="22"/>
  <c r="C521" i="22" s="1"/>
  <c r="C354" i="22"/>
  <c r="R64" i="16"/>
  <c r="D354" i="22"/>
  <c r="R103" i="16"/>
  <c r="C252" i="22"/>
  <c r="R61" i="16"/>
  <c r="C456" i="22"/>
  <c r="R67" i="16"/>
  <c r="R24" i="16"/>
  <c r="B320" i="22"/>
  <c r="R117" i="16"/>
  <c r="D820" i="22"/>
  <c r="R82" i="16"/>
  <c r="C956" i="22"/>
  <c r="R227" i="16"/>
  <c r="F820" i="22"/>
  <c r="D854" i="22"/>
  <c r="R228" i="16"/>
  <c r="R115" i="16"/>
  <c r="D752" i="22"/>
  <c r="R40" i="16"/>
  <c r="B854" i="22"/>
  <c r="P33" i="13"/>
  <c r="P35" i="14" s="1"/>
  <c r="P94" i="14" s="1"/>
  <c r="P38" i="13"/>
  <c r="P35" i="13"/>
  <c r="P29" i="13"/>
  <c r="P32" i="14" s="1"/>
  <c r="P91" i="14" s="1"/>
  <c r="P31" i="13"/>
  <c r="P33" i="14" s="1"/>
  <c r="P92" i="14" s="1"/>
  <c r="P30" i="13"/>
  <c r="P39" i="13"/>
  <c r="P28" i="13"/>
  <c r="P31" i="14" s="1"/>
  <c r="P90" i="14" s="1"/>
  <c r="P32" i="13"/>
  <c r="P34" i="14" s="1"/>
  <c r="P93" i="14" s="1"/>
  <c r="P27" i="13"/>
  <c r="P34" i="13"/>
  <c r="P25" i="13"/>
  <c r="P29" i="14" s="1"/>
  <c r="P88" i="14" s="1"/>
  <c r="P37" i="13"/>
  <c r="P42" i="13"/>
  <c r="P26" i="13"/>
  <c r="P30" i="14" s="1"/>
  <c r="P89" i="14" s="1"/>
  <c r="P40" i="13"/>
  <c r="P36" i="13"/>
  <c r="P41" i="13"/>
  <c r="R229" i="16"/>
  <c r="F888" i="22"/>
  <c r="K380" i="22"/>
  <c r="C48" i="22"/>
  <c r="D48" i="22" s="1"/>
  <c r="F48" i="22" s="1"/>
  <c r="J133" i="16"/>
  <c r="R33" i="16"/>
  <c r="P98" i="13"/>
  <c r="B617" i="22"/>
  <c r="R72" i="16"/>
  <c r="P119" i="13"/>
  <c r="C617" i="22"/>
  <c r="R62" i="16"/>
  <c r="C286" i="22"/>
  <c r="R59" i="16"/>
  <c r="C188" i="22"/>
  <c r="R65" i="16"/>
  <c r="C388" i="22"/>
  <c r="B354" i="22"/>
  <c r="R25" i="16"/>
  <c r="R106" i="16"/>
  <c r="D456" i="22"/>
  <c r="R56" i="16"/>
  <c r="C90" i="22"/>
  <c r="R21" i="16"/>
  <c r="B220" i="22"/>
  <c r="C220" i="22" s="1"/>
  <c r="R80" i="16"/>
  <c r="C888" i="22"/>
  <c r="R78" i="16"/>
  <c r="C820" i="22"/>
  <c r="B752" i="22"/>
  <c r="R37" i="16"/>
  <c r="R35" i="16"/>
  <c r="B684" i="22"/>
  <c r="D684" i="22" s="1"/>
  <c r="Q27" i="23" s="1"/>
  <c r="F752" i="22"/>
  <c r="R225" i="16"/>
  <c r="B786" i="22"/>
  <c r="R38" i="16"/>
  <c r="R230" i="16"/>
  <c r="D922" i="22"/>
  <c r="B585" i="22"/>
  <c r="C585" i="22" s="1"/>
  <c r="Q24" i="23" s="1"/>
  <c r="P97" i="13"/>
  <c r="R32" i="16"/>
  <c r="R66" i="16"/>
  <c r="C422" i="22"/>
  <c r="D388" i="22"/>
  <c r="R104" i="16"/>
  <c r="R105" i="16"/>
  <c r="D422" i="22"/>
  <c r="R17" i="16"/>
  <c r="B90" i="22"/>
  <c r="C320" i="22"/>
  <c r="R63" i="16"/>
  <c r="R18" i="16"/>
  <c r="B122" i="22"/>
  <c r="C122" i="22" s="1"/>
  <c r="R43" i="16"/>
  <c r="B956" i="22"/>
  <c r="R224" i="16"/>
  <c r="D718" i="22"/>
  <c r="C752" i="22"/>
  <c r="R76" i="16"/>
  <c r="R41" i="16"/>
  <c r="B888" i="22"/>
  <c r="G354" i="22"/>
  <c r="R213" i="16"/>
  <c r="G422" i="22"/>
  <c r="R215" i="16"/>
  <c r="D786" i="22"/>
  <c r="R226" i="16"/>
  <c r="F146" i="22"/>
  <c r="I11" i="23"/>
  <c r="E146" i="22"/>
  <c r="E48" i="22"/>
  <c r="I12" i="23"/>
  <c r="H180" i="22"/>
  <c r="I9" i="23"/>
  <c r="G82" i="22"/>
  <c r="H82" i="22"/>
  <c r="E90" i="22" l="1"/>
  <c r="E786" i="22"/>
  <c r="G786" i="22" s="1"/>
  <c r="E854" i="22"/>
  <c r="Q32" i="23" s="1"/>
  <c r="E252" i="22"/>
  <c r="H354" i="22"/>
  <c r="H956" i="22"/>
  <c r="G956" i="22"/>
  <c r="H752" i="22"/>
  <c r="G752" i="22"/>
  <c r="E617" i="22"/>
  <c r="F617" i="22"/>
  <c r="Q13" i="23"/>
  <c r="D220" i="22"/>
  <c r="R179" i="16"/>
  <c r="F422" i="22"/>
  <c r="I422" i="22" s="1"/>
  <c r="R134" i="16"/>
  <c r="D90" i="22"/>
  <c r="F90" i="22" s="1"/>
  <c r="F456" i="22"/>
  <c r="I456" i="22" s="1"/>
  <c r="Q20" i="23" s="1"/>
  <c r="R180" i="16"/>
  <c r="R177" i="16"/>
  <c r="F354" i="22"/>
  <c r="I354" i="22" s="1"/>
  <c r="D286" i="22"/>
  <c r="F286" i="22" s="1"/>
  <c r="R140" i="16"/>
  <c r="D252" i="22"/>
  <c r="F252" i="22" s="1"/>
  <c r="R139" i="16"/>
  <c r="R178" i="16"/>
  <c r="F388" i="22"/>
  <c r="I388" i="22" s="1"/>
  <c r="D320" i="22"/>
  <c r="F320" i="22" s="1"/>
  <c r="R141" i="16"/>
  <c r="Q26" i="23"/>
  <c r="F650" i="22"/>
  <c r="E650" i="22"/>
  <c r="Q23" i="23"/>
  <c r="D553" i="22"/>
  <c r="Q21" i="23"/>
  <c r="D489" i="22"/>
  <c r="I8" i="23"/>
  <c r="I41" i="23" s="1"/>
  <c r="H422" i="22"/>
  <c r="E188" i="22"/>
  <c r="E286" i="22"/>
  <c r="H888" i="22"/>
  <c r="G888" i="22"/>
  <c r="Q10" i="23"/>
  <c r="D122" i="22"/>
  <c r="R133" i="16"/>
  <c r="C56" i="22"/>
  <c r="D56" i="22" s="1"/>
  <c r="C154" i="22"/>
  <c r="D154" i="22" s="1"/>
  <c r="R136" i="16"/>
  <c r="R137" i="16"/>
  <c r="D188" i="22"/>
  <c r="F188" i="22" s="1"/>
  <c r="G854" i="22"/>
  <c r="F854" i="22"/>
  <c r="D521" i="22"/>
  <c r="Q22" i="23"/>
  <c r="H820" i="22"/>
  <c r="G820" i="22"/>
  <c r="E320" i="22"/>
  <c r="E718" i="22"/>
  <c r="E922" i="22"/>
  <c r="Q34" i="23" s="1"/>
  <c r="H388" i="22"/>
  <c r="Q30" i="23" l="1"/>
  <c r="F786" i="22"/>
  <c r="F56" i="22"/>
  <c r="E56" i="22"/>
  <c r="Q8" i="23"/>
  <c r="G718" i="22"/>
  <c r="F718" i="22"/>
  <c r="Q28" i="23"/>
  <c r="E154" i="22"/>
  <c r="Q11" i="23"/>
  <c r="F154" i="22"/>
  <c r="I888" i="22"/>
  <c r="Q33" i="23"/>
  <c r="J888" i="22"/>
  <c r="J388" i="22"/>
  <c r="K388" i="22"/>
  <c r="L388" i="22"/>
  <c r="Q18" i="23"/>
  <c r="L354" i="22"/>
  <c r="K354" i="22"/>
  <c r="Q17" i="23"/>
  <c r="J354" i="22"/>
  <c r="G90" i="22"/>
  <c r="Q9" i="23"/>
  <c r="H90" i="22"/>
  <c r="K422" i="22"/>
  <c r="Q19" i="23"/>
  <c r="L422" i="22"/>
  <c r="J422" i="22"/>
  <c r="Q25" i="23"/>
  <c r="G617" i="22"/>
  <c r="Q35" i="23"/>
  <c r="I956" i="22"/>
  <c r="J956" i="22"/>
  <c r="Q31" i="23"/>
  <c r="J820" i="22"/>
  <c r="I820" i="22"/>
  <c r="Q12" i="23"/>
  <c r="G188" i="22"/>
  <c r="H188" i="22"/>
  <c r="H320" i="22"/>
  <c r="Q16" i="23"/>
  <c r="G320" i="22"/>
  <c r="H252" i="22"/>
  <c r="G252" i="22"/>
  <c r="Q14" i="23"/>
  <c r="Q15" i="23"/>
  <c r="G286" i="22"/>
  <c r="H286" i="22"/>
  <c r="J752" i="22"/>
  <c r="Q29" i="23"/>
  <c r="I752" i="22"/>
  <c r="G429" i="18"/>
  <c r="B431" i="18"/>
  <c r="G427" i="18"/>
  <c r="E429" i="18"/>
  <c r="G428" i="18"/>
  <c r="G434" i="18"/>
  <c r="G430" i="18"/>
  <c r="E433" i="18"/>
  <c r="E425" i="18"/>
  <c r="E427" i="18"/>
  <c r="E434" i="18"/>
  <c r="E431" i="18"/>
  <c r="E432" i="18"/>
  <c r="B428" i="18"/>
  <c r="D428" i="18"/>
  <c r="B430" i="18"/>
  <c r="C430" i="18"/>
  <c r="B434" i="18"/>
  <c r="C426" i="18"/>
  <c r="F431" i="18"/>
  <c r="D433" i="18"/>
  <c r="F426" i="18"/>
  <c r="D425" i="18"/>
  <c r="G426" i="18"/>
  <c r="C433" i="18"/>
  <c r="D431" i="18"/>
  <c r="F434" i="18"/>
  <c r="G425" i="18"/>
  <c r="D429" i="18"/>
  <c r="G431" i="18"/>
  <c r="G432" i="18"/>
  <c r="B427" i="18"/>
  <c r="B426" i="18"/>
  <c r="B429" i="18"/>
  <c r="G433" i="18"/>
  <c r="E430" i="18"/>
  <c r="E428" i="18"/>
  <c r="E426" i="18"/>
  <c r="B433" i="18"/>
  <c r="B425" i="18"/>
  <c r="C432" i="18"/>
  <c r="B432" i="18"/>
  <c r="C428" i="18"/>
  <c r="D432" i="18"/>
  <c r="D434" i="18"/>
  <c r="C434" i="18"/>
  <c r="D430" i="18"/>
  <c r="D426" i="18"/>
  <c r="C427" i="18"/>
  <c r="C429" i="18"/>
  <c r="F433" i="18"/>
  <c r="C425" i="18"/>
  <c r="C431" i="18"/>
  <c r="F428" i="18"/>
  <c r="F429" i="18"/>
  <c r="F432" i="18"/>
  <c r="F425" i="18"/>
  <c r="F427" i="18"/>
  <c r="D427" i="18"/>
  <c r="F430" i="18"/>
  <c r="Q41" i="23" l="1"/>
  <c r="D826" i="22"/>
  <c r="D962" i="22"/>
  <c r="C758" i="22"/>
  <c r="C894" i="22"/>
  <c r="B656" i="22"/>
  <c r="E758" i="22"/>
  <c r="H428" i="18"/>
  <c r="D928" i="22"/>
  <c r="B724" i="22"/>
  <c r="D860" i="22"/>
  <c r="B962" i="22"/>
  <c r="D758" i="22"/>
  <c r="B758" i="22"/>
  <c r="H432" i="18"/>
  <c r="E894" i="22"/>
  <c r="E962" i="22"/>
  <c r="H434" i="18"/>
  <c r="F826" i="22"/>
  <c r="F758" i="22"/>
  <c r="D724" i="22"/>
  <c r="C962" i="22"/>
  <c r="D894" i="22"/>
  <c r="B894" i="22"/>
  <c r="B928" i="22"/>
  <c r="C690" i="22"/>
  <c r="H426" i="18"/>
  <c r="H430" i="18"/>
  <c r="E826" i="22"/>
  <c r="B792" i="22"/>
  <c r="B690" i="22"/>
  <c r="F894" i="22"/>
  <c r="C826" i="22"/>
  <c r="B826" i="22"/>
  <c r="H431" i="18"/>
  <c r="C860" i="22"/>
  <c r="C724" i="22"/>
  <c r="H427" i="18"/>
  <c r="C656" i="22"/>
  <c r="H425" i="18"/>
  <c r="C928" i="22"/>
  <c r="H433" i="18"/>
  <c r="F962" i="22"/>
  <c r="H429" i="18"/>
  <c r="C792" i="22"/>
  <c r="B860" i="22"/>
  <c r="D792" i="22"/>
  <c r="E928" i="22" l="1"/>
  <c r="E724" i="22"/>
  <c r="G724" i="22" s="1"/>
  <c r="H962" i="22"/>
  <c r="J962" i="22" s="1"/>
  <c r="H894" i="22"/>
  <c r="J894" i="22" s="1"/>
  <c r="W34" i="23"/>
  <c r="F928" i="22"/>
  <c r="G928" i="22"/>
  <c r="D590" i="22"/>
  <c r="E792" i="22"/>
  <c r="E860" i="22"/>
  <c r="H826" i="22"/>
  <c r="D690" i="22"/>
  <c r="G758" i="22"/>
  <c r="D656" i="22"/>
  <c r="G826" i="22"/>
  <c r="G894" i="22"/>
  <c r="G962" i="22"/>
  <c r="H758" i="22"/>
  <c r="F724" i="22" l="1"/>
  <c r="W28" i="23"/>
  <c r="W33" i="23"/>
  <c r="I962" i="22"/>
  <c r="I894" i="22"/>
  <c r="W35" i="23"/>
  <c r="F656" i="22"/>
  <c r="W26" i="23"/>
  <c r="E656" i="22"/>
  <c r="L462" i="22"/>
  <c r="K462" i="22"/>
  <c r="J462" i="22"/>
  <c r="W31" i="23"/>
  <c r="J826" i="22"/>
  <c r="I826" i="22"/>
  <c r="G792" i="22"/>
  <c r="W30" i="23"/>
  <c r="F792" i="22"/>
  <c r="J758" i="22"/>
  <c r="W29" i="23"/>
  <c r="I758" i="22"/>
  <c r="W27" i="23"/>
  <c r="E690" i="22"/>
  <c r="F690" i="22"/>
  <c r="G860" i="22"/>
  <c r="W32" i="23"/>
  <c r="F860" i="22"/>
  <c r="H463" i="22"/>
  <c r="L463" i="22" l="1"/>
  <c r="L466" i="22" s="1"/>
  <c r="J463" i="22"/>
  <c r="J466" i="22" s="1"/>
  <c r="K463" i="22"/>
  <c r="K466" i="22" s="1"/>
  <c r="F929" i="22"/>
  <c r="F932" i="22" s="1"/>
  <c r="G929" i="22"/>
  <c r="G932" i="22" s="1"/>
  <c r="D591" i="22"/>
  <c r="D594" i="22" s="1"/>
  <c r="E691" i="22"/>
  <c r="E694" i="22" s="1"/>
  <c r="F691" i="22"/>
  <c r="F694" i="22" s="1"/>
  <c r="K148" i="21"/>
  <c r="H462" i="22" l="1"/>
  <c r="I148" i="21"/>
  <c r="J148" i="21"/>
  <c r="J110" i="21"/>
  <c r="I110" i="21"/>
  <c r="J126" i="21"/>
  <c r="I126" i="21"/>
  <c r="J115" i="21"/>
  <c r="I115" i="21"/>
  <c r="K115" i="21"/>
  <c r="K137" i="21"/>
  <c r="B30" i="25"/>
  <c r="I113" i="21"/>
  <c r="J113" i="21"/>
  <c r="K113" i="21"/>
  <c r="K114" i="21"/>
  <c r="J119" i="21"/>
  <c r="I119" i="21"/>
  <c r="K99" i="21"/>
  <c r="B26" i="25"/>
  <c r="I99" i="21"/>
  <c r="J99" i="21"/>
  <c r="K111" i="21"/>
  <c r="I111" i="21"/>
  <c r="J111" i="21"/>
  <c r="K110" i="21"/>
  <c r="J137" i="21"/>
  <c r="I137" i="21"/>
  <c r="I118" i="21"/>
  <c r="J118" i="21"/>
  <c r="K118" i="21"/>
  <c r="J114" i="21"/>
  <c r="I114" i="21"/>
  <c r="K119" i="21"/>
  <c r="K97" i="21" l="1"/>
  <c r="J146" i="21"/>
  <c r="I97" i="21"/>
  <c r="I129" i="21"/>
  <c r="J133" i="21"/>
  <c r="J129" i="21"/>
  <c r="J140" i="21"/>
  <c r="I134" i="21"/>
  <c r="J134" i="21"/>
  <c r="I143" i="21"/>
  <c r="J143" i="21"/>
  <c r="K122" i="21"/>
  <c r="K140" i="21"/>
  <c r="K143" i="21"/>
  <c r="J79" i="21"/>
  <c r="I79" i="21"/>
  <c r="J125" i="21"/>
  <c r="I125" i="21"/>
  <c r="J130" i="21"/>
  <c r="I130" i="21"/>
  <c r="K90" i="21"/>
  <c r="I67" i="21"/>
  <c r="J67" i="21"/>
  <c r="K67" i="21"/>
  <c r="K66" i="21"/>
  <c r="K146" i="21"/>
  <c r="K103" i="21"/>
  <c r="K94" i="21"/>
  <c r="K134" i="21"/>
  <c r="K79" i="21"/>
  <c r="I122" i="21"/>
  <c r="J122" i="21"/>
  <c r="I102" i="21"/>
  <c r="J102" i="21"/>
  <c r="K102" i="21"/>
  <c r="K125" i="21"/>
  <c r="I78" i="21"/>
  <c r="J78" i="21"/>
  <c r="I123" i="21"/>
  <c r="J123" i="21"/>
  <c r="J66" i="21"/>
  <c r="I66" i="21"/>
  <c r="K130" i="21"/>
  <c r="J103" i="21"/>
  <c r="I103" i="21"/>
  <c r="K126" i="21"/>
  <c r="K133" i="21"/>
  <c r="I94" i="21"/>
  <c r="J94" i="21"/>
  <c r="K129" i="21"/>
  <c r="K123" i="21"/>
  <c r="I90" i="21"/>
  <c r="J90" i="21"/>
  <c r="K78" i="21"/>
  <c r="J97" i="21" l="1"/>
  <c r="F500" i="7" l="1"/>
  <c r="F499" i="7"/>
  <c r="G500" i="7" l="1"/>
  <c r="B518" i="7" s="1"/>
  <c r="K532" i="7" s="1"/>
  <c r="C518" i="7"/>
  <c r="L532" i="7" s="1"/>
  <c r="G499" i="7"/>
  <c r="B517" i="7" s="1"/>
  <c r="G532" i="7" s="1"/>
  <c r="C517" i="7"/>
  <c r="H532" i="7" s="1"/>
  <c r="L546" i="7" l="1"/>
  <c r="L547" i="7"/>
  <c r="L545" i="7"/>
  <c r="L543" i="7"/>
  <c r="L544" i="7"/>
  <c r="G546" i="7"/>
  <c r="C559" i="7" s="1"/>
  <c r="C605" i="7" s="1"/>
  <c r="G545" i="7"/>
  <c r="G544" i="7"/>
  <c r="G543" i="7"/>
  <c r="G547" i="7"/>
  <c r="H547" i="7"/>
  <c r="H543" i="7"/>
  <c r="H546" i="7"/>
  <c r="H545" i="7"/>
  <c r="H544" i="7"/>
  <c r="K544" i="7"/>
  <c r="D557" i="7" s="1"/>
  <c r="D603" i="7" s="1"/>
  <c r="K546" i="7"/>
  <c r="D559" i="7" s="1"/>
  <c r="D605" i="7" s="1"/>
  <c r="K545" i="7"/>
  <c r="D558" i="7" s="1"/>
  <c r="D604" i="7" s="1"/>
  <c r="K547" i="7"/>
  <c r="K543" i="7"/>
  <c r="D556" i="7" s="1"/>
  <c r="D602" i="7" s="1"/>
  <c r="C557" i="7" l="1"/>
  <c r="C603" i="7" s="1"/>
  <c r="D81" i="12"/>
  <c r="D15" i="8"/>
  <c r="D120" i="8" s="1"/>
  <c r="D155" i="9" s="1"/>
  <c r="D17" i="8"/>
  <c r="D122" i="8" s="1"/>
  <c r="D157" i="9" s="1"/>
  <c r="D83" i="12"/>
  <c r="C556" i="7"/>
  <c r="C602" i="7" s="1"/>
  <c r="D16" i="8"/>
  <c r="D121" i="8" s="1"/>
  <c r="D156" i="9" s="1"/>
  <c r="D82" i="12"/>
  <c r="C569" i="7"/>
  <c r="C628" i="7" s="1"/>
  <c r="C560" i="7"/>
  <c r="C606" i="7" s="1"/>
  <c r="C578" i="7"/>
  <c r="C645" i="7" s="1"/>
  <c r="D80" i="12"/>
  <c r="D14" i="8"/>
  <c r="D119" i="8" s="1"/>
  <c r="C83" i="12"/>
  <c r="C17" i="8"/>
  <c r="C122" i="8" s="1"/>
  <c r="C157" i="9" s="1"/>
  <c r="D560" i="7"/>
  <c r="D606" i="7" s="1"/>
  <c r="D578" i="7"/>
  <c r="D645" i="7" s="1"/>
  <c r="D569" i="7"/>
  <c r="D628" i="7" s="1"/>
  <c r="C558" i="7"/>
  <c r="C604" i="7" s="1"/>
  <c r="C81" i="12"/>
  <c r="C15" i="8"/>
  <c r="C120" i="8" s="1"/>
  <c r="C155" i="9" s="1"/>
  <c r="B507" i="22" l="1"/>
  <c r="C30" i="16"/>
  <c r="C95" i="13"/>
  <c r="D84" i="12"/>
  <c r="D57" i="8"/>
  <c r="D123" i="8" s="1"/>
  <c r="D158" i="9" s="1"/>
  <c r="D135" i="12"/>
  <c r="B571" i="22"/>
  <c r="C32" i="16"/>
  <c r="C97" i="13"/>
  <c r="C135" i="12"/>
  <c r="D96" i="13"/>
  <c r="D31" i="16"/>
  <c r="B540" i="22"/>
  <c r="C540" i="22" s="1"/>
  <c r="D32" i="16"/>
  <c r="B572" i="22"/>
  <c r="C572" i="22" s="1"/>
  <c r="C24" i="23" s="1"/>
  <c r="D97" i="13"/>
  <c r="B508" i="22"/>
  <c r="C508" i="22" s="1"/>
  <c r="D95" i="13"/>
  <c r="D30" i="16"/>
  <c r="B476" i="22"/>
  <c r="C476" i="22" s="1"/>
  <c r="D94" i="13"/>
  <c r="D29" i="16"/>
  <c r="D112" i="12"/>
  <c r="C82" i="12"/>
  <c r="C16" i="8"/>
  <c r="C121" i="8" s="1"/>
  <c r="C156" i="9" s="1"/>
  <c r="D154" i="9"/>
  <c r="C112" i="12"/>
  <c r="C14" i="8"/>
  <c r="C119" i="8" s="1"/>
  <c r="C80" i="12"/>
  <c r="C84" i="12"/>
  <c r="C57" i="8"/>
  <c r="C123" i="8" s="1"/>
  <c r="C158" i="9" s="1"/>
  <c r="D141" i="8" l="1"/>
  <c r="C98" i="13"/>
  <c r="B603" i="22"/>
  <c r="C33" i="16"/>
  <c r="C154" i="9"/>
  <c r="C166" i="9" s="1"/>
  <c r="C141" i="8"/>
  <c r="C21" i="23"/>
  <c r="D476" i="22"/>
  <c r="D98" i="13"/>
  <c r="B604" i="22"/>
  <c r="D33" i="16"/>
  <c r="C507" i="22"/>
  <c r="D166" i="9"/>
  <c r="D224" i="9" s="1"/>
  <c r="C96" i="13"/>
  <c r="B539" i="22"/>
  <c r="C31" i="16"/>
  <c r="C22" i="23"/>
  <c r="D508" i="22"/>
  <c r="D540" i="22"/>
  <c r="C23" i="23"/>
  <c r="D603" i="22"/>
  <c r="C111" i="16"/>
  <c r="C135" i="13"/>
  <c r="C571" i="22"/>
  <c r="B475" i="22"/>
  <c r="C29" i="16"/>
  <c r="C94" i="13"/>
  <c r="C603" i="22"/>
  <c r="C72" i="16"/>
  <c r="C119" i="13"/>
  <c r="D119" i="13"/>
  <c r="D72" i="16"/>
  <c r="C604" i="22"/>
  <c r="D111" i="16"/>
  <c r="D604" i="22"/>
  <c r="D135" i="13"/>
  <c r="C224" i="9" l="1"/>
  <c r="C475" i="22"/>
  <c r="C20" i="10"/>
  <c r="D68" i="10" s="1"/>
  <c r="B24" i="23"/>
  <c r="E604" i="22"/>
  <c r="F604" i="22"/>
  <c r="B20" i="10"/>
  <c r="C68" i="10" s="1"/>
  <c r="E603" i="22"/>
  <c r="F603" i="22"/>
  <c r="C539" i="22"/>
  <c r="B22" i="23"/>
  <c r="D507" i="22"/>
  <c r="B23" i="23" l="1"/>
  <c r="D539" i="22"/>
  <c r="G603" i="22"/>
  <c r="B25" i="23"/>
  <c r="B21" i="23"/>
  <c r="D475" i="22"/>
  <c r="C25" i="23"/>
  <c r="C41" i="23" s="1"/>
  <c r="G604" i="22"/>
  <c r="M68" i="10"/>
  <c r="B41" i="23" l="1"/>
  <c r="E90" i="10"/>
  <c r="K90" i="10"/>
  <c r="K99" i="10" s="1"/>
  <c r="L90" i="10"/>
  <c r="L99" i="10" s="1"/>
  <c r="D90" i="10"/>
  <c r="G90" i="10"/>
  <c r="B90" i="10"/>
  <c r="B108" i="10" s="1"/>
  <c r="K11" i="12" s="1"/>
  <c r="I90" i="10"/>
  <c r="J90" i="10"/>
  <c r="C90" i="10"/>
  <c r="H90" i="10"/>
  <c r="F90" i="10"/>
  <c r="H99" i="10" l="1"/>
  <c r="H108" i="10"/>
  <c r="Q11" i="12" s="1"/>
  <c r="C124" i="10"/>
  <c r="C147" i="10"/>
  <c r="C132" i="10"/>
  <c r="C142" i="10"/>
  <c r="C138" i="10"/>
  <c r="C130" i="10"/>
  <c r="C127" i="10"/>
  <c r="C133" i="10"/>
  <c r="C136" i="10"/>
  <c r="C146" i="10"/>
  <c r="C131" i="10"/>
  <c r="C137" i="10"/>
  <c r="C128" i="10"/>
  <c r="C140" i="10"/>
  <c r="C148" i="10"/>
  <c r="C121" i="10"/>
  <c r="C135" i="10"/>
  <c r="C141" i="10"/>
  <c r="C139" i="10"/>
  <c r="C145" i="10"/>
  <c r="C144" i="10"/>
  <c r="C134" i="10"/>
  <c r="C126" i="10"/>
  <c r="C122" i="10"/>
  <c r="C125" i="10"/>
  <c r="C123" i="10"/>
  <c r="C129" i="10"/>
  <c r="C143" i="10"/>
  <c r="J99" i="10"/>
  <c r="J108" i="10"/>
  <c r="S11" i="12" s="1"/>
  <c r="C108" i="10"/>
  <c r="L11" i="12" s="1"/>
  <c r="C99" i="10"/>
  <c r="E99" i="10"/>
  <c r="E108" i="10"/>
  <c r="N11" i="12" s="1"/>
  <c r="B160" i="10"/>
  <c r="B157" i="10"/>
  <c r="B137" i="10"/>
  <c r="B141" i="10"/>
  <c r="B135" i="10"/>
  <c r="B133" i="10"/>
  <c r="B131" i="10"/>
  <c r="B129" i="10"/>
  <c r="B127" i="10"/>
  <c r="B125" i="10"/>
  <c r="B121" i="10"/>
  <c r="B138" i="10"/>
  <c r="B142" i="10"/>
  <c r="B134" i="10"/>
  <c r="D134" i="10" s="1"/>
  <c r="B146" i="10"/>
  <c r="B159" i="10"/>
  <c r="B145" i="10"/>
  <c r="B123" i="10"/>
  <c r="D123" i="10" s="1"/>
  <c r="B158" i="10"/>
  <c r="B130" i="10"/>
  <c r="B126" i="10"/>
  <c r="D126" i="10" s="1"/>
  <c r="B122" i="10"/>
  <c r="B144" i="10"/>
  <c r="B148" i="10"/>
  <c r="B132" i="10"/>
  <c r="B140" i="10"/>
  <c r="B124" i="10"/>
  <c r="B136" i="10"/>
  <c r="B161" i="10"/>
  <c r="B128" i="10"/>
  <c r="B147" i="10"/>
  <c r="B143" i="10"/>
  <c r="B139" i="10"/>
  <c r="I99" i="10"/>
  <c r="I108" i="10"/>
  <c r="R11" i="12" s="1"/>
  <c r="K26" i="12"/>
  <c r="K57" i="13" s="1"/>
  <c r="K25" i="12"/>
  <c r="K56" i="13" s="1"/>
  <c r="K111" i="12"/>
  <c r="K68" i="12"/>
  <c r="K67" i="12"/>
  <c r="K39" i="12"/>
  <c r="K70" i="13" s="1"/>
  <c r="K32" i="12"/>
  <c r="K63" i="13" s="1"/>
  <c r="K72" i="15"/>
  <c r="K89" i="15" s="1"/>
  <c r="K131" i="12"/>
  <c r="K127" i="12"/>
  <c r="K74" i="12"/>
  <c r="K99" i="12"/>
  <c r="K79" i="12"/>
  <c r="K29" i="12"/>
  <c r="K60" i="13" s="1"/>
  <c r="K34" i="12"/>
  <c r="K65" i="13" s="1"/>
  <c r="K112" i="12"/>
  <c r="K108" i="12"/>
  <c r="K77" i="12"/>
  <c r="K48" i="12"/>
  <c r="K47" i="12"/>
  <c r="K31" i="12"/>
  <c r="K62" i="13" s="1"/>
  <c r="K30" i="12"/>
  <c r="K61" i="13" s="1"/>
  <c r="K41" i="12"/>
  <c r="K69" i="12"/>
  <c r="K104" i="12"/>
  <c r="K23" i="12"/>
  <c r="K54" i="13" s="1"/>
  <c r="B10" i="18"/>
  <c r="M19" i="18" s="1"/>
  <c r="K40" i="12"/>
  <c r="K71" i="13" s="1"/>
  <c r="K101" i="12"/>
  <c r="K72" i="12"/>
  <c r="K73" i="12"/>
  <c r="K82" i="12"/>
  <c r="K133" i="12"/>
  <c r="K69" i="15"/>
  <c r="K86" i="15" s="1"/>
  <c r="K44" i="12"/>
  <c r="K106" i="12"/>
  <c r="K107" i="12"/>
  <c r="K132" i="12"/>
  <c r="K109" i="12"/>
  <c r="K50" i="12"/>
  <c r="K73" i="15"/>
  <c r="K90" i="15" s="1"/>
  <c r="K33" i="12"/>
  <c r="K64" i="13" s="1"/>
  <c r="K38" i="12"/>
  <c r="K69" i="13" s="1"/>
  <c r="K76" i="12"/>
  <c r="K83" i="12"/>
  <c r="K70" i="12"/>
  <c r="K49" i="12"/>
  <c r="K11" i="13"/>
  <c r="K110" i="12"/>
  <c r="K80" i="12"/>
  <c r="K128" i="12"/>
  <c r="K129" i="12"/>
  <c r="K75" i="12"/>
  <c r="K24" i="12"/>
  <c r="K55" i="13" s="1"/>
  <c r="K74" i="15"/>
  <c r="K91" i="15" s="1"/>
  <c r="K102" i="12"/>
  <c r="K81" i="12"/>
  <c r="K66" i="12"/>
  <c r="K68" i="15"/>
  <c r="K85" i="15" s="1"/>
  <c r="K36" i="12"/>
  <c r="K67" i="13" s="1"/>
  <c r="K71" i="15"/>
  <c r="K88" i="15" s="1"/>
  <c r="K75" i="15"/>
  <c r="K92" i="15" s="1"/>
  <c r="K70" i="15"/>
  <c r="K87" i="15" s="1"/>
  <c r="K78" i="12"/>
  <c r="K71" i="12"/>
  <c r="K84" i="12"/>
  <c r="K42" i="12"/>
  <c r="K45" i="12"/>
  <c r="K134" i="12"/>
  <c r="K130" i="12"/>
  <c r="K100" i="12"/>
  <c r="K135" i="12"/>
  <c r="K65" i="12"/>
  <c r="K37" i="12"/>
  <c r="K68" i="13" s="1"/>
  <c r="K46" i="12"/>
  <c r="K35" i="12"/>
  <c r="K66" i="13" s="1"/>
  <c r="K105" i="12"/>
  <c r="K103" i="12"/>
  <c r="K28" i="12"/>
  <c r="K59" i="13" s="1"/>
  <c r="K43" i="12"/>
  <c r="K27" i="12"/>
  <c r="K58" i="13" s="1"/>
  <c r="F108" i="10"/>
  <c r="O11" i="12" s="1"/>
  <c r="F99" i="10"/>
  <c r="D108" i="10"/>
  <c r="M11" i="12" s="1"/>
  <c r="D99" i="10"/>
  <c r="D136" i="10" l="1"/>
  <c r="D138" i="10"/>
  <c r="D135" i="10"/>
  <c r="K134" i="13"/>
  <c r="K98" i="13"/>
  <c r="M33" i="16"/>
  <c r="B612" i="22"/>
  <c r="M231" i="16"/>
  <c r="F951" i="22"/>
  <c r="K84" i="13"/>
  <c r="B484" i="22"/>
  <c r="M29" i="16"/>
  <c r="K94" i="13"/>
  <c r="K88" i="13"/>
  <c r="K10" i="15"/>
  <c r="K23" i="15" s="1"/>
  <c r="M117" i="16"/>
  <c r="D815" i="22"/>
  <c r="F747" i="22"/>
  <c r="M225" i="16"/>
  <c r="K90" i="13"/>
  <c r="M16" i="16"/>
  <c r="B51" i="22"/>
  <c r="M39" i="16"/>
  <c r="B815" i="22"/>
  <c r="K131" i="13"/>
  <c r="D139" i="10"/>
  <c r="C654" i="22"/>
  <c r="V151" i="16"/>
  <c r="D621" i="22"/>
  <c r="B621" i="22"/>
  <c r="C621" i="22"/>
  <c r="V111" i="16"/>
  <c r="V33" i="16"/>
  <c r="V72" i="16"/>
  <c r="E426" i="22"/>
  <c r="V144" i="16"/>
  <c r="D132" i="10"/>
  <c r="V157" i="16"/>
  <c r="D145" i="10"/>
  <c r="C858" i="22"/>
  <c r="V154" i="16"/>
  <c r="D142" i="10"/>
  <c r="E756" i="22"/>
  <c r="V139" i="16"/>
  <c r="D127" i="10"/>
  <c r="D256" i="22"/>
  <c r="F256" i="22" s="1"/>
  <c r="B589" i="22"/>
  <c r="C589" i="22" s="1"/>
  <c r="U24" i="23" s="1"/>
  <c r="V32" i="16"/>
  <c r="L24" i="12"/>
  <c r="L55" i="13" s="1"/>
  <c r="L49" i="12"/>
  <c r="L131" i="12"/>
  <c r="L40" i="12"/>
  <c r="L71" i="13" s="1"/>
  <c r="L109" i="12"/>
  <c r="L79" i="12"/>
  <c r="L37" i="12"/>
  <c r="L68" i="13" s="1"/>
  <c r="L76" i="12"/>
  <c r="L133" i="12"/>
  <c r="L70" i="12"/>
  <c r="L88" i="13" s="1"/>
  <c r="L25" i="12"/>
  <c r="L56" i="13" s="1"/>
  <c r="L69" i="15"/>
  <c r="L86" i="15" s="1"/>
  <c r="L78" i="12"/>
  <c r="L102" i="12"/>
  <c r="L113" i="13" s="1"/>
  <c r="L26" i="12"/>
  <c r="L57" i="13" s="1"/>
  <c r="L75" i="15"/>
  <c r="L92" i="15" s="1"/>
  <c r="L45" i="12"/>
  <c r="L99" i="12"/>
  <c r="L110" i="13" s="1"/>
  <c r="L34" i="12"/>
  <c r="L65" i="13" s="1"/>
  <c r="L11" i="15" s="1"/>
  <c r="L24" i="15" s="1"/>
  <c r="L36" i="12"/>
  <c r="L67" i="13" s="1"/>
  <c r="L110" i="12"/>
  <c r="L71" i="12"/>
  <c r="L89" i="13" s="1"/>
  <c r="L74" i="12"/>
  <c r="L92" i="13" s="1"/>
  <c r="L42" i="12"/>
  <c r="L32" i="12"/>
  <c r="L63" i="13" s="1"/>
  <c r="L9" i="15" s="1"/>
  <c r="L22" i="15" s="1"/>
  <c r="L111" i="12"/>
  <c r="L65" i="12"/>
  <c r="L83" i="13" s="1"/>
  <c r="L100" i="12"/>
  <c r="L111" i="13" s="1"/>
  <c r="L50" i="12"/>
  <c r="L72" i="15"/>
  <c r="L89" i="15" s="1"/>
  <c r="L77" i="12"/>
  <c r="L68" i="12"/>
  <c r="L86" i="13" s="1"/>
  <c r="L106" i="12"/>
  <c r="L117" i="13" s="1"/>
  <c r="L23" i="12"/>
  <c r="L54" i="13" s="1"/>
  <c r="L71" i="15"/>
  <c r="L88" i="15" s="1"/>
  <c r="L28" i="12"/>
  <c r="L59" i="13" s="1"/>
  <c r="L103" i="12"/>
  <c r="L114" i="13" s="1"/>
  <c r="L127" i="12"/>
  <c r="L131" i="13" s="1"/>
  <c r="L31" i="12"/>
  <c r="L62" i="13" s="1"/>
  <c r="L35" i="12"/>
  <c r="L66" i="13" s="1"/>
  <c r="L12" i="15" s="1"/>
  <c r="L25" i="15" s="1"/>
  <c r="L44" i="12"/>
  <c r="L75" i="12"/>
  <c r="L93" i="13" s="1"/>
  <c r="L73" i="12"/>
  <c r="L91" i="13" s="1"/>
  <c r="L39" i="12"/>
  <c r="L70" i="13" s="1"/>
  <c r="L68" i="15"/>
  <c r="L85" i="15" s="1"/>
  <c r="L29" i="12"/>
  <c r="L60" i="13" s="1"/>
  <c r="L107" i="12"/>
  <c r="L118" i="13" s="1"/>
  <c r="L104" i="12"/>
  <c r="L115" i="13" s="1"/>
  <c r="L47" i="12"/>
  <c r="L38" i="12"/>
  <c r="L69" i="13" s="1"/>
  <c r="L33" i="12"/>
  <c r="L64" i="13" s="1"/>
  <c r="L10" i="15" s="1"/>
  <c r="L23" i="15" s="1"/>
  <c r="L101" i="12"/>
  <c r="L112" i="13" s="1"/>
  <c r="L128" i="12"/>
  <c r="L132" i="13" s="1"/>
  <c r="L70" i="15"/>
  <c r="L87" i="15" s="1"/>
  <c r="L41" i="12"/>
  <c r="L27" i="12"/>
  <c r="L58" i="13" s="1"/>
  <c r="L132" i="12"/>
  <c r="L67" i="12"/>
  <c r="L85" i="13" s="1"/>
  <c r="L74" i="15"/>
  <c r="L91" i="15" s="1"/>
  <c r="L48" i="12"/>
  <c r="L43" i="12"/>
  <c r="L66" i="12"/>
  <c r="L84" i="13" s="1"/>
  <c r="L129" i="12"/>
  <c r="L133" i="13" s="1"/>
  <c r="L11" i="13"/>
  <c r="L108" i="12"/>
  <c r="L30" i="12"/>
  <c r="L61" i="13" s="1"/>
  <c r="L130" i="12"/>
  <c r="L134" i="13" s="1"/>
  <c r="L105" i="12"/>
  <c r="L116" i="13" s="1"/>
  <c r="L73" i="15"/>
  <c r="L90" i="15" s="1"/>
  <c r="L134" i="12"/>
  <c r="L46" i="12"/>
  <c r="L69" i="12"/>
  <c r="L87" i="13" s="1"/>
  <c r="L72" i="12"/>
  <c r="L90" i="13" s="1"/>
  <c r="L83" i="12"/>
  <c r="L81" i="12"/>
  <c r="L135" i="12"/>
  <c r="L84" i="12"/>
  <c r="L80" i="12"/>
  <c r="L82" i="12"/>
  <c r="L112" i="12"/>
  <c r="D325" i="22"/>
  <c r="F325" i="22" s="1"/>
  <c r="W141" i="16"/>
  <c r="C655" i="22"/>
  <c r="D655" i="22" s="1"/>
  <c r="W151" i="16"/>
  <c r="E961" i="22"/>
  <c r="H961" i="22" s="1"/>
  <c r="W160" i="16"/>
  <c r="E393" i="22"/>
  <c r="I393" i="22" s="1"/>
  <c r="W143" i="16"/>
  <c r="D257" i="22"/>
  <c r="F257" i="22" s="1"/>
  <c r="W139" i="16"/>
  <c r="E427" i="22"/>
  <c r="I427" i="22" s="1"/>
  <c r="W144" i="16"/>
  <c r="B679" i="22"/>
  <c r="D679" i="22" s="1"/>
  <c r="L27" i="23" s="1"/>
  <c r="M35" i="16"/>
  <c r="M224" i="16"/>
  <c r="D713" i="22"/>
  <c r="K132" i="13"/>
  <c r="M42" i="16"/>
  <c r="B917" i="22"/>
  <c r="M78" i="16"/>
  <c r="C815" i="22"/>
  <c r="K91" i="13"/>
  <c r="F51" i="18"/>
  <c r="F55" i="18"/>
  <c r="F104" i="18" s="1"/>
  <c r="C330" i="18" s="1"/>
  <c r="F61" i="18"/>
  <c r="F110" i="18" s="1"/>
  <c r="C336" i="18" s="1"/>
  <c r="F47" i="18"/>
  <c r="G47" i="18"/>
  <c r="D60" i="18"/>
  <c r="D109" i="18" s="1"/>
  <c r="C279" i="18" s="1"/>
  <c r="C39" i="18"/>
  <c r="D56" i="18"/>
  <c r="D105" i="18" s="1"/>
  <c r="C275" i="18" s="1"/>
  <c r="F49" i="18"/>
  <c r="G38" i="18"/>
  <c r="F38" i="18"/>
  <c r="G40" i="18"/>
  <c r="F41" i="18"/>
  <c r="D39" i="18"/>
  <c r="F50" i="18"/>
  <c r="D40" i="18"/>
  <c r="F54" i="18"/>
  <c r="F103" i="18" s="1"/>
  <c r="C329" i="18" s="1"/>
  <c r="C48" i="18"/>
  <c r="C53" i="18"/>
  <c r="C102" i="18" s="1"/>
  <c r="C244" i="18" s="1"/>
  <c r="F59" i="18"/>
  <c r="F108" i="18" s="1"/>
  <c r="C334" i="18" s="1"/>
  <c r="G35" i="18"/>
  <c r="E48" i="18"/>
  <c r="D49" i="18"/>
  <c r="G36" i="18"/>
  <c r="C54" i="18"/>
  <c r="C103" i="18" s="1"/>
  <c r="C245" i="18" s="1"/>
  <c r="C52" i="18"/>
  <c r="C101" i="18" s="1"/>
  <c r="C243" i="18" s="1"/>
  <c r="D38" i="18"/>
  <c r="F53" i="18"/>
  <c r="F102" i="18" s="1"/>
  <c r="C328" i="18" s="1"/>
  <c r="D35" i="18"/>
  <c r="G42" i="18"/>
  <c r="G48" i="18"/>
  <c r="C60" i="18"/>
  <c r="C109" i="18" s="1"/>
  <c r="C251" i="18" s="1"/>
  <c r="C49" i="18"/>
  <c r="F48" i="18"/>
  <c r="C47" i="18"/>
  <c r="G49" i="18"/>
  <c r="G51" i="18"/>
  <c r="D37" i="18"/>
  <c r="D50" i="18"/>
  <c r="C50" i="18"/>
  <c r="F36" i="18"/>
  <c r="G37" i="18"/>
  <c r="D34" i="18"/>
  <c r="E36" i="18"/>
  <c r="E47" i="18"/>
  <c r="F57" i="18"/>
  <c r="F106" i="18" s="1"/>
  <c r="C332" i="18" s="1"/>
  <c r="F39" i="18"/>
  <c r="E39" i="18"/>
  <c r="G50" i="18"/>
  <c r="D47" i="18"/>
  <c r="D36" i="18"/>
  <c r="D53" i="18"/>
  <c r="D102" i="18" s="1"/>
  <c r="C272" i="18" s="1"/>
  <c r="D42" i="18"/>
  <c r="D48" i="18"/>
  <c r="G34" i="18"/>
  <c r="F37" i="18"/>
  <c r="G52" i="18"/>
  <c r="G101" i="18" s="1"/>
  <c r="C355" i="18" s="1"/>
  <c r="F34" i="18"/>
  <c r="C58" i="18"/>
  <c r="C107" i="18" s="1"/>
  <c r="C249" i="18" s="1"/>
  <c r="F52" i="18"/>
  <c r="F101" i="18" s="1"/>
  <c r="C327" i="18" s="1"/>
  <c r="G41" i="18"/>
  <c r="F42" i="18"/>
  <c r="F35" i="18"/>
  <c r="C56" i="18"/>
  <c r="C105" i="18" s="1"/>
  <c r="C247" i="18" s="1"/>
  <c r="D54" i="18"/>
  <c r="D103" i="18" s="1"/>
  <c r="C273" i="18" s="1"/>
  <c r="D41" i="18"/>
  <c r="F60" i="18"/>
  <c r="F109" i="18" s="1"/>
  <c r="C335" i="18" s="1"/>
  <c r="F58" i="18"/>
  <c r="F107" i="18" s="1"/>
  <c r="C333" i="18" s="1"/>
  <c r="E51" i="18"/>
  <c r="D52" i="18"/>
  <c r="D101" i="18" s="1"/>
  <c r="C271" i="18" s="1"/>
  <c r="E49" i="18"/>
  <c r="D58" i="18"/>
  <c r="D107" i="18" s="1"/>
  <c r="C277" i="18" s="1"/>
  <c r="E50" i="18"/>
  <c r="G53" i="18"/>
  <c r="G102" i="18" s="1"/>
  <c r="C356" i="18" s="1"/>
  <c r="C34" i="18"/>
  <c r="C37" i="18"/>
  <c r="F40" i="18"/>
  <c r="G39" i="18"/>
  <c r="F56" i="18"/>
  <c r="F105" i="18" s="1"/>
  <c r="C331" i="18" s="1"/>
  <c r="C36" i="18"/>
  <c r="B645" i="22"/>
  <c r="D645" i="22" s="1"/>
  <c r="M34" i="16"/>
  <c r="K11" i="15"/>
  <c r="K24" i="15" s="1"/>
  <c r="K92" i="13"/>
  <c r="K9" i="15"/>
  <c r="K22" i="15" s="1"/>
  <c r="C951" i="22"/>
  <c r="M82" i="16"/>
  <c r="D128" i="10"/>
  <c r="D290" i="22"/>
  <c r="F290" i="22" s="1"/>
  <c r="V140" i="16"/>
  <c r="D140" i="10"/>
  <c r="C688" i="22"/>
  <c r="V152" i="16"/>
  <c r="D94" i="22"/>
  <c r="F94" i="22" s="1"/>
  <c r="D122" i="10"/>
  <c r="V134" i="16"/>
  <c r="D192" i="22"/>
  <c r="F192" i="22" s="1"/>
  <c r="D125" i="10"/>
  <c r="V137" i="16"/>
  <c r="E460" i="22"/>
  <c r="V145" i="16"/>
  <c r="D133" i="10"/>
  <c r="V29" i="16"/>
  <c r="B493" i="22"/>
  <c r="C493" i="22" s="1"/>
  <c r="C791" i="22"/>
  <c r="E791" i="22" s="1"/>
  <c r="W155" i="16"/>
  <c r="D95" i="22"/>
  <c r="F95" i="22" s="1"/>
  <c r="W134" i="16"/>
  <c r="W157" i="16"/>
  <c r="C859" i="22"/>
  <c r="E859" i="22" s="1"/>
  <c r="C61" i="22"/>
  <c r="D61" i="22" s="1"/>
  <c r="W133" i="16"/>
  <c r="W145" i="16"/>
  <c r="E461" i="22"/>
  <c r="I461" i="22" s="1"/>
  <c r="V20" i="23" s="1"/>
  <c r="E757" i="22"/>
  <c r="H757" i="22" s="1"/>
  <c r="W154" i="16"/>
  <c r="Q132" i="12"/>
  <c r="Q69" i="15"/>
  <c r="Q86" i="15" s="1"/>
  <c r="Q78" i="12"/>
  <c r="Q82" i="12"/>
  <c r="Q84" i="12"/>
  <c r="Q134" i="12"/>
  <c r="Q70" i="15"/>
  <c r="Q87" i="15" s="1"/>
  <c r="Q133" i="12"/>
  <c r="Q80" i="12"/>
  <c r="Q106" i="12"/>
  <c r="Q117" i="13" s="1"/>
  <c r="Q73" i="15"/>
  <c r="Q90" i="15" s="1"/>
  <c r="Q27" i="12"/>
  <c r="Q58" i="13" s="1"/>
  <c r="Q110" i="12"/>
  <c r="Q83" i="12"/>
  <c r="Q102" i="12"/>
  <c r="Q113" i="13" s="1"/>
  <c r="Q74" i="15"/>
  <c r="Q91" i="15" s="1"/>
  <c r="Q71" i="15"/>
  <c r="Q88" i="15" s="1"/>
  <c r="Q77" i="12"/>
  <c r="Q81" i="12"/>
  <c r="Q70" i="12"/>
  <c r="Q88" i="13" s="1"/>
  <c r="Q44" i="12"/>
  <c r="Q33" i="12"/>
  <c r="Q64" i="13" s="1"/>
  <c r="Q10" i="15" s="1"/>
  <c r="Q23" i="15" s="1"/>
  <c r="Q109" i="12"/>
  <c r="Q107" i="12"/>
  <c r="Q118" i="13" s="1"/>
  <c r="Q72" i="12"/>
  <c r="Q90" i="13" s="1"/>
  <c r="Q75" i="15"/>
  <c r="Q92" i="15" s="1"/>
  <c r="Q72" i="15"/>
  <c r="Q89" i="15" s="1"/>
  <c r="Q49" i="12"/>
  <c r="Q99" i="12"/>
  <c r="Q110" i="13" s="1"/>
  <c r="Q128" i="12"/>
  <c r="Q132" i="13" s="1"/>
  <c r="Q45" i="12"/>
  <c r="Q111" i="12"/>
  <c r="Q108" i="12"/>
  <c r="Q69" i="12"/>
  <c r="Q87" i="13" s="1"/>
  <c r="Q129" i="12"/>
  <c r="Q133" i="13" s="1"/>
  <c r="Q29" i="12"/>
  <c r="Q60" i="13" s="1"/>
  <c r="Q131" i="12"/>
  <c r="Q76" i="12"/>
  <c r="Q130" i="12"/>
  <c r="Q134" i="13" s="1"/>
  <c r="Q104" i="12"/>
  <c r="Q115" i="13" s="1"/>
  <c r="Q34" i="12"/>
  <c r="Q65" i="13" s="1"/>
  <c r="Q11" i="15" s="1"/>
  <c r="Q24" i="15" s="1"/>
  <c r="Q40" i="12"/>
  <c r="Q71" i="13" s="1"/>
  <c r="Q41" i="12"/>
  <c r="Q71" i="12"/>
  <c r="Q89" i="13" s="1"/>
  <c r="Q105" i="12"/>
  <c r="Q116" i="13" s="1"/>
  <c r="Q26" i="12"/>
  <c r="Q57" i="13" s="1"/>
  <c r="Q24" i="12"/>
  <c r="Q55" i="13" s="1"/>
  <c r="Q48" i="12"/>
  <c r="Q101" i="12"/>
  <c r="Q112" i="13" s="1"/>
  <c r="Q73" i="12"/>
  <c r="Q91" i="13" s="1"/>
  <c r="Q50" i="12"/>
  <c r="Q37" i="12"/>
  <c r="Q68" i="13" s="1"/>
  <c r="Q25" i="12"/>
  <c r="Q56" i="13" s="1"/>
  <c r="Q68" i="12"/>
  <c r="Q86" i="13" s="1"/>
  <c r="Q112" i="12"/>
  <c r="Q42" i="12"/>
  <c r="Q28" i="12"/>
  <c r="Q59" i="13" s="1"/>
  <c r="Q36" i="12"/>
  <c r="Q67" i="13" s="1"/>
  <c r="Q65" i="12"/>
  <c r="Q83" i="13" s="1"/>
  <c r="Q135" i="12"/>
  <c r="Q31" i="12"/>
  <c r="Q62" i="13" s="1"/>
  <c r="Q35" i="12"/>
  <c r="Q66" i="13" s="1"/>
  <c r="Q12" i="15" s="1"/>
  <c r="Q25" i="15" s="1"/>
  <c r="Q30" i="12"/>
  <c r="Q61" i="13" s="1"/>
  <c r="Q66" i="12"/>
  <c r="Q84" i="13" s="1"/>
  <c r="Q100" i="12"/>
  <c r="Q111" i="13" s="1"/>
  <c r="Q23" i="12"/>
  <c r="Q54" i="13" s="1"/>
  <c r="Q11" i="13"/>
  <c r="Q43" i="12"/>
  <c r="Q79" i="12"/>
  <c r="Q67" i="12"/>
  <c r="Q85" i="13" s="1"/>
  <c r="Q47" i="12"/>
  <c r="Q38" i="12"/>
  <c r="Q69" i="13" s="1"/>
  <c r="Q32" i="12"/>
  <c r="Q63" i="13" s="1"/>
  <c r="Q9" i="15" s="1"/>
  <c r="Q22" i="15" s="1"/>
  <c r="Q75" i="12"/>
  <c r="Q93" i="13" s="1"/>
  <c r="Q127" i="12"/>
  <c r="Q131" i="13" s="1"/>
  <c r="Q39" i="12"/>
  <c r="Q70" i="13" s="1"/>
  <c r="Q68" i="15"/>
  <c r="Q85" i="15" s="1"/>
  <c r="Q46" i="12"/>
  <c r="Q103" i="12"/>
  <c r="Q114" i="13" s="1"/>
  <c r="Q74" i="12"/>
  <c r="Q92" i="13" s="1"/>
  <c r="O29" i="12"/>
  <c r="O60" i="13" s="1"/>
  <c r="O11" i="13"/>
  <c r="O81" i="12"/>
  <c r="O68" i="15"/>
  <c r="O85" i="15" s="1"/>
  <c r="O25" i="12"/>
  <c r="O56" i="13" s="1"/>
  <c r="O47" i="12"/>
  <c r="O76" i="12"/>
  <c r="O43" i="12"/>
  <c r="O79" i="12"/>
  <c r="O68" i="12"/>
  <c r="O86" i="13" s="1"/>
  <c r="O128" i="12"/>
  <c r="O132" i="13" s="1"/>
  <c r="O32" i="12"/>
  <c r="O63" i="13" s="1"/>
  <c r="O9" i="15" s="1"/>
  <c r="O22" i="15" s="1"/>
  <c r="O34" i="12"/>
  <c r="O65" i="13" s="1"/>
  <c r="O11" i="15" s="1"/>
  <c r="O24" i="15" s="1"/>
  <c r="O39" i="12"/>
  <c r="O70" i="13" s="1"/>
  <c r="O75" i="12"/>
  <c r="O93" i="13" s="1"/>
  <c r="O70" i="15"/>
  <c r="O87" i="15" s="1"/>
  <c r="O101" i="12"/>
  <c r="O112" i="13" s="1"/>
  <c r="O133" i="12"/>
  <c r="O37" i="12"/>
  <c r="O68" i="13" s="1"/>
  <c r="O99" i="12"/>
  <c r="O110" i="13" s="1"/>
  <c r="O30" i="12"/>
  <c r="O61" i="13" s="1"/>
  <c r="O71" i="15"/>
  <c r="O88" i="15" s="1"/>
  <c r="O67" i="12"/>
  <c r="O85" i="13" s="1"/>
  <c r="O73" i="15"/>
  <c r="O90" i="15" s="1"/>
  <c r="O23" i="12"/>
  <c r="O54" i="13" s="1"/>
  <c r="O112" i="12"/>
  <c r="O45" i="12"/>
  <c r="O27" i="12"/>
  <c r="O58" i="13" s="1"/>
  <c r="O33" i="12"/>
  <c r="O64" i="13" s="1"/>
  <c r="O10" i="15" s="1"/>
  <c r="O23" i="15" s="1"/>
  <c r="O71" i="12"/>
  <c r="O89" i="13" s="1"/>
  <c r="O83" i="12"/>
  <c r="O31" i="12"/>
  <c r="O62" i="13" s="1"/>
  <c r="O65" i="12"/>
  <c r="O83" i="13" s="1"/>
  <c r="O74" i="15"/>
  <c r="O91" i="15" s="1"/>
  <c r="O102" i="12"/>
  <c r="O113" i="13" s="1"/>
  <c r="O50" i="12"/>
  <c r="O110" i="12"/>
  <c r="O135" i="12"/>
  <c r="O26" i="12"/>
  <c r="O57" i="13" s="1"/>
  <c r="O111" i="12"/>
  <c r="O104" i="12"/>
  <c r="O115" i="13" s="1"/>
  <c r="O77" i="12"/>
  <c r="O109" i="12"/>
  <c r="O44" i="12"/>
  <c r="O42" i="12"/>
  <c r="O82" i="12"/>
  <c r="O28" i="12"/>
  <c r="O59" i="13" s="1"/>
  <c r="O69" i="15"/>
  <c r="O86" i="15" s="1"/>
  <c r="O72" i="15"/>
  <c r="O89" i="15" s="1"/>
  <c r="O107" i="12"/>
  <c r="O118" i="13" s="1"/>
  <c r="O73" i="12"/>
  <c r="O91" i="13" s="1"/>
  <c r="O74" i="12"/>
  <c r="O92" i="13" s="1"/>
  <c r="O100" i="12"/>
  <c r="O111" i="13" s="1"/>
  <c r="O132" i="12"/>
  <c r="O49" i="12"/>
  <c r="O70" i="12"/>
  <c r="O88" i="13" s="1"/>
  <c r="O40" i="12"/>
  <c r="O71" i="13" s="1"/>
  <c r="O127" i="12"/>
  <c r="O131" i="13" s="1"/>
  <c r="O134" i="12"/>
  <c r="O46" i="12"/>
  <c r="O80" i="12"/>
  <c r="O78" i="12"/>
  <c r="O41" i="12"/>
  <c r="O105" i="12"/>
  <c r="O116" i="13" s="1"/>
  <c r="O69" i="12"/>
  <c r="O87" i="13" s="1"/>
  <c r="O130" i="12"/>
  <c r="O134" i="13" s="1"/>
  <c r="O38" i="12"/>
  <c r="O69" i="13" s="1"/>
  <c r="O106" i="12"/>
  <c r="O117" i="13" s="1"/>
  <c r="O24" i="12"/>
  <c r="O55" i="13" s="1"/>
  <c r="O129" i="12"/>
  <c r="O133" i="13" s="1"/>
  <c r="O84" i="12"/>
  <c r="O66" i="12"/>
  <c r="O84" i="13" s="1"/>
  <c r="O108" i="12"/>
  <c r="O75" i="15"/>
  <c r="O92" i="15" s="1"/>
  <c r="O48" i="12"/>
  <c r="O72" i="12"/>
  <c r="O90" i="13" s="1"/>
  <c r="O35" i="12"/>
  <c r="O66" i="13" s="1"/>
  <c r="O12" i="15" s="1"/>
  <c r="O25" i="15" s="1"/>
  <c r="O103" i="12"/>
  <c r="O114" i="13" s="1"/>
  <c r="O36" i="12"/>
  <c r="O67" i="13" s="1"/>
  <c r="O131" i="12"/>
  <c r="K114" i="13"/>
  <c r="K111" i="13"/>
  <c r="M226" i="16"/>
  <c r="D781" i="22"/>
  <c r="M230" i="16"/>
  <c r="D917" i="22"/>
  <c r="M47" i="12"/>
  <c r="M128" i="12"/>
  <c r="M132" i="13" s="1"/>
  <c r="M73" i="12"/>
  <c r="M91" i="13" s="1"/>
  <c r="M108" i="12"/>
  <c r="M45" i="12"/>
  <c r="M104" i="12"/>
  <c r="M115" i="13" s="1"/>
  <c r="M35" i="12"/>
  <c r="M66" i="13" s="1"/>
  <c r="M12" i="15" s="1"/>
  <c r="M25" i="15" s="1"/>
  <c r="M68" i="15"/>
  <c r="M85" i="15" s="1"/>
  <c r="M67" i="12"/>
  <c r="M85" i="13" s="1"/>
  <c r="M27" i="12"/>
  <c r="M58" i="13" s="1"/>
  <c r="M28" i="12"/>
  <c r="M59" i="13" s="1"/>
  <c r="M106" i="12"/>
  <c r="M117" i="13" s="1"/>
  <c r="M107" i="12"/>
  <c r="M118" i="13" s="1"/>
  <c r="M38" i="12"/>
  <c r="M69" i="13" s="1"/>
  <c r="M65" i="12"/>
  <c r="M83" i="13" s="1"/>
  <c r="M39" i="12"/>
  <c r="M70" i="13" s="1"/>
  <c r="M23" i="12"/>
  <c r="M54" i="13" s="1"/>
  <c r="M70" i="15"/>
  <c r="M87" i="15" s="1"/>
  <c r="M102" i="12"/>
  <c r="M113" i="13" s="1"/>
  <c r="M48" i="12"/>
  <c r="M72" i="12"/>
  <c r="M90" i="13" s="1"/>
  <c r="M71" i="15"/>
  <c r="M88" i="15" s="1"/>
  <c r="M100" i="12"/>
  <c r="M111" i="13" s="1"/>
  <c r="M71" i="12"/>
  <c r="M89" i="13" s="1"/>
  <c r="M109" i="12"/>
  <c r="M24" i="12"/>
  <c r="M55" i="13" s="1"/>
  <c r="M99" i="12"/>
  <c r="M110" i="13" s="1"/>
  <c r="M75" i="12"/>
  <c r="M93" i="13" s="1"/>
  <c r="M34" i="12"/>
  <c r="M65" i="13" s="1"/>
  <c r="M11" i="15" s="1"/>
  <c r="M24" i="15" s="1"/>
  <c r="M46" i="12"/>
  <c r="M31" i="12"/>
  <c r="M62" i="13" s="1"/>
  <c r="M37" i="12"/>
  <c r="M68" i="13" s="1"/>
  <c r="M11" i="13"/>
  <c r="M32" i="12"/>
  <c r="M63" i="13" s="1"/>
  <c r="M9" i="15" s="1"/>
  <c r="M22" i="15" s="1"/>
  <c r="M30" i="12"/>
  <c r="M61" i="13" s="1"/>
  <c r="M43" i="12"/>
  <c r="M33" i="12"/>
  <c r="M64" i="13" s="1"/>
  <c r="M10" i="15" s="1"/>
  <c r="M23" i="15" s="1"/>
  <c r="M49" i="12"/>
  <c r="M111" i="12"/>
  <c r="M69" i="15"/>
  <c r="M86" i="15" s="1"/>
  <c r="M66" i="12"/>
  <c r="M84" i="13" s="1"/>
  <c r="M75" i="15"/>
  <c r="M92" i="15" s="1"/>
  <c r="M127" i="12"/>
  <c r="M131" i="13" s="1"/>
  <c r="M29" i="12"/>
  <c r="M60" i="13" s="1"/>
  <c r="M44" i="12"/>
  <c r="M72" i="15"/>
  <c r="M89" i="15" s="1"/>
  <c r="M105" i="12"/>
  <c r="M116" i="13" s="1"/>
  <c r="M77" i="12"/>
  <c r="M133" i="12"/>
  <c r="M79" i="12"/>
  <c r="M110" i="12"/>
  <c r="M25" i="12"/>
  <c r="M56" i="13" s="1"/>
  <c r="M41" i="12"/>
  <c r="M40" i="12"/>
  <c r="M71" i="13" s="1"/>
  <c r="M68" i="12"/>
  <c r="M86" i="13" s="1"/>
  <c r="M101" i="12"/>
  <c r="M112" i="13" s="1"/>
  <c r="M76" i="12"/>
  <c r="M69" i="12"/>
  <c r="M87" i="13" s="1"/>
  <c r="M74" i="15"/>
  <c r="M91" i="15" s="1"/>
  <c r="M42" i="12"/>
  <c r="M26" i="12"/>
  <c r="M57" i="13" s="1"/>
  <c r="M134" i="12"/>
  <c r="M78" i="12"/>
  <c r="M132" i="12"/>
  <c r="M129" i="12"/>
  <c r="M133" i="13" s="1"/>
  <c r="M103" i="12"/>
  <c r="M114" i="13" s="1"/>
  <c r="M36" i="12"/>
  <c r="M67" i="13" s="1"/>
  <c r="M50" i="12"/>
  <c r="M70" i="12"/>
  <c r="M88" i="13" s="1"/>
  <c r="M73" i="15"/>
  <c r="M90" i="15" s="1"/>
  <c r="M130" i="12"/>
  <c r="M134" i="13" s="1"/>
  <c r="M74" i="12"/>
  <c r="M92" i="13" s="1"/>
  <c r="M131" i="12"/>
  <c r="M81" i="12"/>
  <c r="M83" i="12"/>
  <c r="M82" i="12"/>
  <c r="M80" i="12"/>
  <c r="M84" i="12"/>
  <c r="M135" i="12"/>
  <c r="M112" i="12"/>
  <c r="M36" i="16"/>
  <c r="B713" i="22"/>
  <c r="E713" i="22" s="1"/>
  <c r="K12" i="15"/>
  <c r="K25" i="15" s="1"/>
  <c r="M111" i="16"/>
  <c r="K135" i="13"/>
  <c r="D612" i="22"/>
  <c r="B781" i="22"/>
  <c r="M38" i="16"/>
  <c r="B883" i="22"/>
  <c r="M41" i="16"/>
  <c r="K113" i="13"/>
  <c r="K133" i="13"/>
  <c r="K28" i="13"/>
  <c r="K31" i="14" s="1"/>
  <c r="K90" i="14" s="1"/>
  <c r="K40" i="13"/>
  <c r="K26" i="13"/>
  <c r="K30" i="14" s="1"/>
  <c r="K89" i="14" s="1"/>
  <c r="K32" i="13"/>
  <c r="K34" i="14" s="1"/>
  <c r="K93" i="14" s="1"/>
  <c r="K42" i="13"/>
  <c r="K35" i="13"/>
  <c r="K30" i="13"/>
  <c r="K29" i="13"/>
  <c r="K32" i="14" s="1"/>
  <c r="K91" i="14" s="1"/>
  <c r="K41" i="13"/>
  <c r="K37" i="13"/>
  <c r="K27" i="13"/>
  <c r="K31" i="13"/>
  <c r="K33" i="14" s="1"/>
  <c r="K92" i="14" s="1"/>
  <c r="K36" i="13"/>
  <c r="K39" i="13"/>
  <c r="K25" i="13"/>
  <c r="K29" i="14" s="1"/>
  <c r="K88" i="14" s="1"/>
  <c r="K38" i="13"/>
  <c r="K33" i="13"/>
  <c r="K35" i="14" s="1"/>
  <c r="K94" i="14" s="1"/>
  <c r="K34" i="13"/>
  <c r="B747" i="22"/>
  <c r="M37" i="16"/>
  <c r="K117" i="13"/>
  <c r="B548" i="22"/>
  <c r="K96" i="13"/>
  <c r="M31" i="16"/>
  <c r="K87" i="13"/>
  <c r="B849" i="22"/>
  <c r="M40" i="16"/>
  <c r="C612" i="22"/>
  <c r="K119" i="13"/>
  <c r="M72" i="16"/>
  <c r="K110" i="13"/>
  <c r="M228" i="16"/>
  <c r="D849" i="22"/>
  <c r="K86" i="13"/>
  <c r="R34" i="12"/>
  <c r="R65" i="13" s="1"/>
  <c r="R11" i="15" s="1"/>
  <c r="R24" i="15" s="1"/>
  <c r="R44" i="12"/>
  <c r="R134" i="12"/>
  <c r="R82" i="12"/>
  <c r="R112" i="12"/>
  <c r="R42" i="12"/>
  <c r="R72" i="15"/>
  <c r="R89" i="15" s="1"/>
  <c r="R133" i="12"/>
  <c r="R83" i="12"/>
  <c r="R73" i="12"/>
  <c r="R91" i="13" s="1"/>
  <c r="R50" i="12"/>
  <c r="R33" i="12"/>
  <c r="R64" i="13" s="1"/>
  <c r="R10" i="15" s="1"/>
  <c r="R23" i="15" s="1"/>
  <c r="R78" i="12"/>
  <c r="R80" i="12"/>
  <c r="R70" i="12"/>
  <c r="R88" i="13" s="1"/>
  <c r="R40" i="12"/>
  <c r="R71" i="13" s="1"/>
  <c r="R11" i="13"/>
  <c r="R79" i="12"/>
  <c r="R81" i="12"/>
  <c r="R102" i="12"/>
  <c r="R113" i="13" s="1"/>
  <c r="R35" i="12"/>
  <c r="R66" i="13" s="1"/>
  <c r="R12" i="15" s="1"/>
  <c r="R25" i="15" s="1"/>
  <c r="R43" i="12"/>
  <c r="R29" i="12"/>
  <c r="R60" i="13" s="1"/>
  <c r="R75" i="12"/>
  <c r="R93" i="13" s="1"/>
  <c r="R106" i="12"/>
  <c r="R117" i="13" s="1"/>
  <c r="R39" i="12"/>
  <c r="R70" i="13" s="1"/>
  <c r="R30" i="12"/>
  <c r="R61" i="13" s="1"/>
  <c r="R25" i="12"/>
  <c r="R56" i="13" s="1"/>
  <c r="R101" i="12"/>
  <c r="R112" i="13" s="1"/>
  <c r="R67" i="12"/>
  <c r="R85" i="13" s="1"/>
  <c r="R47" i="12"/>
  <c r="R46" i="12"/>
  <c r="R41" i="12"/>
  <c r="R107" i="12"/>
  <c r="R118" i="13" s="1"/>
  <c r="R135" i="12"/>
  <c r="R26" i="12"/>
  <c r="R57" i="13" s="1"/>
  <c r="R28" i="12"/>
  <c r="R59" i="13" s="1"/>
  <c r="R32" i="12"/>
  <c r="R63" i="13" s="1"/>
  <c r="R9" i="15" s="1"/>
  <c r="R22" i="15" s="1"/>
  <c r="R103" i="12"/>
  <c r="R114" i="13" s="1"/>
  <c r="R127" i="12"/>
  <c r="R131" i="13" s="1"/>
  <c r="R71" i="15"/>
  <c r="R88" i="15" s="1"/>
  <c r="R77" i="12"/>
  <c r="R68" i="15"/>
  <c r="R85" i="15" s="1"/>
  <c r="R130" i="12"/>
  <c r="R134" i="13" s="1"/>
  <c r="R84" i="12"/>
  <c r="R23" i="12"/>
  <c r="R54" i="13" s="1"/>
  <c r="R109" i="12"/>
  <c r="R38" i="12"/>
  <c r="R69" i="13" s="1"/>
  <c r="R71" i="12"/>
  <c r="R89" i="13" s="1"/>
  <c r="R105" i="12"/>
  <c r="R116" i="13" s="1"/>
  <c r="R27" i="12"/>
  <c r="R58" i="13" s="1"/>
  <c r="R131" i="12"/>
  <c r="R75" i="15"/>
  <c r="R92" i="15" s="1"/>
  <c r="R99" i="12"/>
  <c r="R110" i="13" s="1"/>
  <c r="R72" i="12"/>
  <c r="R90" i="13" s="1"/>
  <c r="R31" i="12"/>
  <c r="R62" i="13" s="1"/>
  <c r="R108" i="12"/>
  <c r="R36" i="12"/>
  <c r="R67" i="13" s="1"/>
  <c r="R65" i="12"/>
  <c r="R83" i="13" s="1"/>
  <c r="R104" i="12"/>
  <c r="R115" i="13" s="1"/>
  <c r="R70" i="15"/>
  <c r="R87" i="15" s="1"/>
  <c r="R45" i="12"/>
  <c r="R37" i="12"/>
  <c r="R68" i="13" s="1"/>
  <c r="R76" i="12"/>
  <c r="R129" i="12"/>
  <c r="R133" i="13" s="1"/>
  <c r="R74" i="15"/>
  <c r="R91" i="15" s="1"/>
  <c r="R49" i="12"/>
  <c r="R110" i="12"/>
  <c r="R66" i="12"/>
  <c r="R84" i="13" s="1"/>
  <c r="R100" i="12"/>
  <c r="R111" i="13" s="1"/>
  <c r="R69" i="15"/>
  <c r="R86" i="15" s="1"/>
  <c r="R24" i="12"/>
  <c r="R55" i="13" s="1"/>
  <c r="R111" i="12"/>
  <c r="R69" i="12"/>
  <c r="R87" i="13" s="1"/>
  <c r="R74" i="12"/>
  <c r="R92" i="13" s="1"/>
  <c r="R73" i="15"/>
  <c r="R90" i="15" s="1"/>
  <c r="R48" i="12"/>
  <c r="R132" i="12"/>
  <c r="R68" i="12"/>
  <c r="R86" i="13" s="1"/>
  <c r="R128" i="12"/>
  <c r="R132" i="13" s="1"/>
  <c r="V159" i="16"/>
  <c r="D147" i="10"/>
  <c r="C926" i="22"/>
  <c r="V136" i="16"/>
  <c r="D124" i="10"/>
  <c r="C158" i="22"/>
  <c r="D158" i="22" s="1"/>
  <c r="E824" i="22"/>
  <c r="V156" i="16"/>
  <c r="D144" i="10"/>
  <c r="V30" i="16"/>
  <c r="B525" i="22"/>
  <c r="C525" i="22" s="1"/>
  <c r="D146" i="10"/>
  <c r="E892" i="22"/>
  <c r="V158" i="16"/>
  <c r="C60" i="22"/>
  <c r="D60" i="22" s="1"/>
  <c r="V133" i="16"/>
  <c r="D121" i="10"/>
  <c r="D131" i="10"/>
  <c r="E392" i="22"/>
  <c r="V143" i="16"/>
  <c r="D193" i="22"/>
  <c r="F193" i="22" s="1"/>
  <c r="W137" i="16"/>
  <c r="E825" i="22"/>
  <c r="H825" i="22" s="1"/>
  <c r="W156" i="16"/>
  <c r="D291" i="22"/>
  <c r="F291" i="22" s="1"/>
  <c r="W140" i="16"/>
  <c r="C159" i="22"/>
  <c r="D159" i="22" s="1"/>
  <c r="W136" i="16"/>
  <c r="D137" i="10"/>
  <c r="K116" i="13"/>
  <c r="K83" i="13"/>
  <c r="D951" i="22"/>
  <c r="M121" i="16"/>
  <c r="K89" i="13"/>
  <c r="F815" i="22"/>
  <c r="M227" i="16"/>
  <c r="B516" i="22"/>
  <c r="M30" i="16"/>
  <c r="K95" i="13"/>
  <c r="K93" i="13"/>
  <c r="C883" i="22"/>
  <c r="M80" i="16"/>
  <c r="M32" i="16"/>
  <c r="K97" i="13"/>
  <c r="B580" i="22"/>
  <c r="F883" i="22"/>
  <c r="M229" i="16"/>
  <c r="K118" i="13"/>
  <c r="M119" i="16"/>
  <c r="D883" i="22"/>
  <c r="K112" i="13"/>
  <c r="K115" i="13"/>
  <c r="C747" i="22"/>
  <c r="M76" i="16"/>
  <c r="B951" i="22"/>
  <c r="M43" i="16"/>
  <c r="D747" i="22"/>
  <c r="M115" i="16"/>
  <c r="K85" i="13"/>
  <c r="M19" i="16"/>
  <c r="B149" i="22"/>
  <c r="C790" i="22"/>
  <c r="D143" i="10"/>
  <c r="V155" i="16"/>
  <c r="E960" i="22"/>
  <c r="D148" i="10"/>
  <c r="V160" i="16"/>
  <c r="D130" i="10"/>
  <c r="V142" i="16"/>
  <c r="E358" i="22"/>
  <c r="V31" i="16"/>
  <c r="B557" i="22"/>
  <c r="C557" i="22" s="1"/>
  <c r="V141" i="16"/>
  <c r="D324" i="22"/>
  <c r="F324" i="22" s="1"/>
  <c r="D129" i="10"/>
  <c r="C722" i="22"/>
  <c r="V153" i="16"/>
  <c r="D141" i="10"/>
  <c r="N32" i="12"/>
  <c r="N63" i="13" s="1"/>
  <c r="N9" i="15" s="1"/>
  <c r="N22" i="15" s="1"/>
  <c r="N69" i="15"/>
  <c r="N86" i="15" s="1"/>
  <c r="N74" i="15"/>
  <c r="N91" i="15" s="1"/>
  <c r="N49" i="12"/>
  <c r="N107" i="12"/>
  <c r="N118" i="13" s="1"/>
  <c r="N99" i="12"/>
  <c r="N110" i="13" s="1"/>
  <c r="N78" i="12"/>
  <c r="N82" i="12"/>
  <c r="N105" i="12"/>
  <c r="N116" i="13" s="1"/>
  <c r="N102" i="12"/>
  <c r="N113" i="13" s="1"/>
  <c r="N24" i="12"/>
  <c r="N55" i="13" s="1"/>
  <c r="N70" i="15"/>
  <c r="N87" i="15" s="1"/>
  <c r="N11" i="13"/>
  <c r="N72" i="15"/>
  <c r="N89" i="15" s="1"/>
  <c r="N75" i="12"/>
  <c r="N93" i="13" s="1"/>
  <c r="N103" i="12"/>
  <c r="N114" i="13" s="1"/>
  <c r="N81" i="12"/>
  <c r="N83" i="12"/>
  <c r="N104" i="12"/>
  <c r="N115" i="13" s="1"/>
  <c r="N70" i="12"/>
  <c r="N88" i="13" s="1"/>
  <c r="N36" i="12"/>
  <c r="N67" i="13" s="1"/>
  <c r="N45" i="12"/>
  <c r="N33" i="12"/>
  <c r="N64" i="13" s="1"/>
  <c r="N10" i="15" s="1"/>
  <c r="N23" i="15" s="1"/>
  <c r="N44" i="12"/>
  <c r="N66" i="12"/>
  <c r="N84" i="13" s="1"/>
  <c r="N69" i="12"/>
  <c r="N87" i="13" s="1"/>
  <c r="N80" i="12"/>
  <c r="N131" i="12"/>
  <c r="N72" i="12"/>
  <c r="N90" i="13" s="1"/>
  <c r="N67" i="12"/>
  <c r="N85" i="13" s="1"/>
  <c r="N75" i="15"/>
  <c r="N92" i="15" s="1"/>
  <c r="N40" i="12"/>
  <c r="N71" i="13" s="1"/>
  <c r="N29" i="12"/>
  <c r="N60" i="13" s="1"/>
  <c r="N50" i="12"/>
  <c r="N30" i="12"/>
  <c r="N61" i="13" s="1"/>
  <c r="N65" i="12"/>
  <c r="N83" i="13" s="1"/>
  <c r="N79" i="12"/>
  <c r="N77" i="12"/>
  <c r="N135" i="12"/>
  <c r="N74" i="12"/>
  <c r="N92" i="13" s="1"/>
  <c r="N42" i="12"/>
  <c r="N41" i="12"/>
  <c r="N28" i="12"/>
  <c r="N59" i="13" s="1"/>
  <c r="N47" i="12"/>
  <c r="N38" i="12"/>
  <c r="N69" i="13" s="1"/>
  <c r="N71" i="12"/>
  <c r="N89" i="13" s="1"/>
  <c r="N108" i="12"/>
  <c r="N133" i="12"/>
  <c r="N84" i="12"/>
  <c r="N100" i="12"/>
  <c r="N111" i="13" s="1"/>
  <c r="N34" i="12"/>
  <c r="N65" i="13" s="1"/>
  <c r="N11" i="15" s="1"/>
  <c r="N24" i="15" s="1"/>
  <c r="N25" i="12"/>
  <c r="N56" i="13" s="1"/>
  <c r="N39" i="12"/>
  <c r="N70" i="13" s="1"/>
  <c r="N35" i="12"/>
  <c r="N66" i="13" s="1"/>
  <c r="N12" i="15" s="1"/>
  <c r="N25" i="15" s="1"/>
  <c r="N46" i="12"/>
  <c r="N130" i="12"/>
  <c r="N134" i="13" s="1"/>
  <c r="N110" i="12"/>
  <c r="N111" i="12"/>
  <c r="N112" i="12"/>
  <c r="N73" i="12"/>
  <c r="N91" i="13" s="1"/>
  <c r="N26" i="12"/>
  <c r="N57" i="13" s="1"/>
  <c r="N37" i="12"/>
  <c r="N68" i="13" s="1"/>
  <c r="N31" i="12"/>
  <c r="N62" i="13" s="1"/>
  <c r="N23" i="12"/>
  <c r="N54" i="13" s="1"/>
  <c r="N43" i="12"/>
  <c r="N68" i="12"/>
  <c r="N86" i="13" s="1"/>
  <c r="N134" i="12"/>
  <c r="N76" i="12"/>
  <c r="N106" i="12"/>
  <c r="N117" i="13" s="1"/>
  <c r="N127" i="12"/>
  <c r="N131" i="13" s="1"/>
  <c r="N68" i="15"/>
  <c r="N85" i="15" s="1"/>
  <c r="N48" i="12"/>
  <c r="N71" i="15"/>
  <c r="N88" i="15" s="1"/>
  <c r="N73" i="15"/>
  <c r="N90" i="15" s="1"/>
  <c r="N27" i="12"/>
  <c r="N58" i="13" s="1"/>
  <c r="N101" i="12"/>
  <c r="N112" i="13" s="1"/>
  <c r="N109" i="12"/>
  <c r="N132" i="12"/>
  <c r="N129" i="12"/>
  <c r="N133" i="13" s="1"/>
  <c r="N128" i="12"/>
  <c r="N132" i="13" s="1"/>
  <c r="S31" i="12"/>
  <c r="S62" i="13" s="1"/>
  <c r="S36" i="12"/>
  <c r="S67" i="13" s="1"/>
  <c r="S76" i="12"/>
  <c r="S133" i="12"/>
  <c r="S135" i="12"/>
  <c r="S39" i="12"/>
  <c r="S70" i="13" s="1"/>
  <c r="S28" i="12"/>
  <c r="S59" i="13" s="1"/>
  <c r="S71" i="12"/>
  <c r="S89" i="13" s="1"/>
  <c r="S100" i="12"/>
  <c r="S111" i="13" s="1"/>
  <c r="S112" i="12"/>
  <c r="S73" i="15"/>
  <c r="S90" i="15" s="1"/>
  <c r="S33" i="12"/>
  <c r="S64" i="13" s="1"/>
  <c r="S10" i="15" s="1"/>
  <c r="S23" i="15" s="1"/>
  <c r="S109" i="12"/>
  <c r="S128" i="12"/>
  <c r="S132" i="13" s="1"/>
  <c r="S80" i="12"/>
  <c r="S23" i="12"/>
  <c r="S54" i="13" s="1"/>
  <c r="S46" i="12"/>
  <c r="S79" i="12"/>
  <c r="S72" i="12"/>
  <c r="S90" i="13" s="1"/>
  <c r="S84" i="12"/>
  <c r="S37" i="12"/>
  <c r="S68" i="13" s="1"/>
  <c r="S25" i="12"/>
  <c r="S56" i="13" s="1"/>
  <c r="S106" i="12"/>
  <c r="S117" i="13" s="1"/>
  <c r="S105" i="12"/>
  <c r="S116" i="13" s="1"/>
  <c r="S81" i="12"/>
  <c r="S74" i="15"/>
  <c r="S91" i="15" s="1"/>
  <c r="S44" i="12"/>
  <c r="S74" i="12"/>
  <c r="S92" i="13" s="1"/>
  <c r="S127" i="12"/>
  <c r="S131" i="13" s="1"/>
  <c r="S70" i="12"/>
  <c r="S88" i="13" s="1"/>
  <c r="S43" i="12"/>
  <c r="S41" i="12"/>
  <c r="S75" i="12"/>
  <c r="S93" i="13" s="1"/>
  <c r="S104" i="12"/>
  <c r="S115" i="13" s="1"/>
  <c r="S102" i="12"/>
  <c r="S113" i="13" s="1"/>
  <c r="S75" i="15"/>
  <c r="S92" i="15" s="1"/>
  <c r="S42" i="12"/>
  <c r="S99" i="12"/>
  <c r="S110" i="13" s="1"/>
  <c r="S73" i="12"/>
  <c r="S91" i="13" s="1"/>
  <c r="S82" i="12"/>
  <c r="S27" i="12"/>
  <c r="S58" i="13" s="1"/>
  <c r="S24" i="12"/>
  <c r="S55" i="13" s="1"/>
  <c r="S66" i="12"/>
  <c r="S84" i="13" s="1"/>
  <c r="S131" i="12"/>
  <c r="S69" i="12"/>
  <c r="S87" i="13" s="1"/>
  <c r="S35" i="12"/>
  <c r="S66" i="13" s="1"/>
  <c r="S12" i="15" s="1"/>
  <c r="S25" i="15" s="1"/>
  <c r="S34" i="12"/>
  <c r="S65" i="13" s="1"/>
  <c r="S11" i="15" s="1"/>
  <c r="S24" i="15" s="1"/>
  <c r="S110" i="12"/>
  <c r="S103" i="12"/>
  <c r="S114" i="13" s="1"/>
  <c r="S83" i="12"/>
  <c r="S69" i="15"/>
  <c r="S86" i="15" s="1"/>
  <c r="S32" i="12"/>
  <c r="S63" i="13" s="1"/>
  <c r="S9" i="15" s="1"/>
  <c r="S22" i="15" s="1"/>
  <c r="S40" i="12"/>
  <c r="S71" i="13" s="1"/>
  <c r="S129" i="12"/>
  <c r="S133" i="13" s="1"/>
  <c r="S77" i="12"/>
  <c r="S71" i="15"/>
  <c r="S88" i="15" s="1"/>
  <c r="S26" i="12"/>
  <c r="S57" i="13" s="1"/>
  <c r="S68" i="12"/>
  <c r="S86" i="13" s="1"/>
  <c r="S111" i="12"/>
  <c r="S134" i="12"/>
  <c r="S72" i="15"/>
  <c r="S89" i="15" s="1"/>
  <c r="S30" i="12"/>
  <c r="S61" i="13" s="1"/>
  <c r="S38" i="12"/>
  <c r="S69" i="13" s="1"/>
  <c r="S65" i="12"/>
  <c r="S83" i="13" s="1"/>
  <c r="S101" i="12"/>
  <c r="S112" i="13" s="1"/>
  <c r="S70" i="15"/>
  <c r="S87" i="15" s="1"/>
  <c r="S45" i="12"/>
  <c r="S29" i="12"/>
  <c r="S60" i="13" s="1"/>
  <c r="T60" i="13" s="1"/>
  <c r="S67" i="12"/>
  <c r="S85" i="13" s="1"/>
  <c r="S107" i="12"/>
  <c r="S118" i="13" s="1"/>
  <c r="S47" i="12"/>
  <c r="S68" i="15"/>
  <c r="S85" i="15" s="1"/>
  <c r="S48" i="12"/>
  <c r="S78" i="12"/>
  <c r="S132" i="12"/>
  <c r="S11" i="13"/>
  <c r="S49" i="12"/>
  <c r="S50" i="12"/>
  <c r="S130" i="12"/>
  <c r="S134" i="13" s="1"/>
  <c r="S108" i="12"/>
  <c r="W153" i="16"/>
  <c r="C723" i="22"/>
  <c r="E723" i="22" s="1"/>
  <c r="C689" i="22"/>
  <c r="D689" i="22" s="1"/>
  <c r="V27" i="23" s="1"/>
  <c r="W152" i="16"/>
  <c r="W158" i="16"/>
  <c r="E893" i="22"/>
  <c r="H893" i="22" s="1"/>
  <c r="E359" i="22"/>
  <c r="I359" i="22" s="1"/>
  <c r="W142" i="16"/>
  <c r="C927" i="22"/>
  <c r="E927" i="22" s="1"/>
  <c r="V34" i="23" s="1"/>
  <c r="W159" i="16"/>
  <c r="T69" i="13" l="1"/>
  <c r="T71" i="13"/>
  <c r="T62" i="13"/>
  <c r="E781" i="22"/>
  <c r="F781" i="22" s="1"/>
  <c r="E849" i="22"/>
  <c r="L32" i="23" s="1"/>
  <c r="T112" i="12"/>
  <c r="T133" i="12"/>
  <c r="T68" i="13"/>
  <c r="T111" i="12"/>
  <c r="T61" i="13"/>
  <c r="T59" i="13"/>
  <c r="T58" i="13"/>
  <c r="T108" i="12"/>
  <c r="T78" i="12"/>
  <c r="T56" i="13"/>
  <c r="T70" i="13"/>
  <c r="T84" i="12"/>
  <c r="T67" i="13"/>
  <c r="T55" i="13"/>
  <c r="U20" i="16"/>
  <c r="B191" i="22"/>
  <c r="U19" i="16"/>
  <c r="B157" i="22"/>
  <c r="I893" i="22"/>
  <c r="V33" i="23"/>
  <c r="J893" i="22"/>
  <c r="U226" i="16"/>
  <c r="D789" i="22"/>
  <c r="U21" i="16"/>
  <c r="B223" i="22"/>
  <c r="C223" i="22" s="1"/>
  <c r="B588" i="22"/>
  <c r="C588" i="22" s="1"/>
  <c r="T24" i="23" s="1"/>
  <c r="S97" i="13"/>
  <c r="U32" i="16"/>
  <c r="C93" i="22"/>
  <c r="U56" i="16"/>
  <c r="U23" i="16"/>
  <c r="B289" i="22"/>
  <c r="U43" i="16"/>
  <c r="B959" i="22"/>
  <c r="U72" i="16"/>
  <c r="S119" i="13"/>
  <c r="C620" i="22"/>
  <c r="F886" i="22"/>
  <c r="P229" i="16"/>
  <c r="T132" i="12"/>
  <c r="U117" i="16"/>
  <c r="D823" i="22"/>
  <c r="U38" i="16"/>
  <c r="B789" i="22"/>
  <c r="C755" i="22"/>
  <c r="U76" i="16"/>
  <c r="S27" i="13"/>
  <c r="S29" i="13"/>
  <c r="S33" i="13"/>
  <c r="S35" i="14" s="1"/>
  <c r="S94" i="14" s="1"/>
  <c r="S28" i="13"/>
  <c r="S34" i="13"/>
  <c r="S37" i="13"/>
  <c r="S39" i="13"/>
  <c r="S26" i="13"/>
  <c r="S31" i="13"/>
  <c r="S33" i="14" s="1"/>
  <c r="S92" i="14" s="1"/>
  <c r="S40" i="13"/>
  <c r="S32" i="13"/>
  <c r="S34" i="14" s="1"/>
  <c r="S93" i="14" s="1"/>
  <c r="S42" i="13"/>
  <c r="S38" i="13"/>
  <c r="S35" i="13"/>
  <c r="S36" i="13"/>
  <c r="S30" i="13"/>
  <c r="S41" i="13"/>
  <c r="S25" i="13"/>
  <c r="U224" i="16"/>
  <c r="D721" i="22"/>
  <c r="B93" i="22"/>
  <c r="U17" i="16"/>
  <c r="T134" i="12"/>
  <c r="U121" i="16"/>
  <c r="D959" i="22"/>
  <c r="F823" i="22"/>
  <c r="U227" i="16"/>
  <c r="U213" i="16"/>
  <c r="G357" i="22"/>
  <c r="C891" i="22"/>
  <c r="U80" i="16"/>
  <c r="U115" i="16"/>
  <c r="D755" i="22"/>
  <c r="T82" i="12"/>
  <c r="B556" i="22"/>
  <c r="C556" i="22" s="1"/>
  <c r="S96" i="13"/>
  <c r="U31" i="16"/>
  <c r="U231" i="16"/>
  <c r="F959" i="22"/>
  <c r="B653" i="22"/>
  <c r="D653" i="22" s="1"/>
  <c r="U34" i="16"/>
  <c r="U27" i="16"/>
  <c r="B425" i="22"/>
  <c r="U65" i="16"/>
  <c r="C391" i="22"/>
  <c r="U33" i="16"/>
  <c r="S98" i="13"/>
  <c r="B620" i="22"/>
  <c r="B59" i="22"/>
  <c r="U16" i="16"/>
  <c r="U214" i="16"/>
  <c r="G391" i="22"/>
  <c r="B323" i="22"/>
  <c r="U24" i="16"/>
  <c r="U119" i="16"/>
  <c r="D891" i="22"/>
  <c r="D386" i="22"/>
  <c r="P104" i="16"/>
  <c r="P61" i="16"/>
  <c r="C250" i="22"/>
  <c r="B750" i="22"/>
  <c r="P37" i="16"/>
  <c r="P16" i="16"/>
  <c r="B54" i="22"/>
  <c r="B386" i="22"/>
  <c r="P26" i="16"/>
  <c r="P106" i="16"/>
  <c r="D454" i="22"/>
  <c r="P119" i="16"/>
  <c r="D886" i="22"/>
  <c r="B852" i="22"/>
  <c r="P40" i="16"/>
  <c r="P27" i="16"/>
  <c r="B420" i="22"/>
  <c r="P17" i="16"/>
  <c r="B88" i="22"/>
  <c r="D750" i="22"/>
  <c r="P115" i="16"/>
  <c r="P23" i="16"/>
  <c r="B284" i="22"/>
  <c r="P63" i="16"/>
  <c r="C318" i="22"/>
  <c r="P226" i="16"/>
  <c r="D784" i="22"/>
  <c r="N96" i="13"/>
  <c r="P31" i="16"/>
  <c r="B551" i="22"/>
  <c r="C551" i="22" s="1"/>
  <c r="B920" i="22"/>
  <c r="P42" i="16"/>
  <c r="U16" i="23"/>
  <c r="H324" i="22"/>
  <c r="G324" i="22"/>
  <c r="I358" i="22"/>
  <c r="E790" i="22"/>
  <c r="M64" i="16"/>
  <c r="C349" i="22"/>
  <c r="T115" i="13"/>
  <c r="M65" i="16"/>
  <c r="C383" i="22"/>
  <c r="T116" i="13"/>
  <c r="E255" i="16"/>
  <c r="E44" i="18"/>
  <c r="E268" i="16"/>
  <c r="E57" i="18"/>
  <c r="T104" i="16"/>
  <c r="D390" i="22"/>
  <c r="T229" i="16"/>
  <c r="F890" i="22"/>
  <c r="C890" i="22"/>
  <c r="T80" i="16"/>
  <c r="B754" i="22"/>
  <c r="T37" i="16"/>
  <c r="C356" i="22"/>
  <c r="T64" i="16"/>
  <c r="D754" i="22"/>
  <c r="T115" i="16"/>
  <c r="D458" i="22"/>
  <c r="T106" i="16"/>
  <c r="D356" i="22"/>
  <c r="T103" i="16"/>
  <c r="B156" i="22"/>
  <c r="T19" i="16"/>
  <c r="B458" i="22"/>
  <c r="T28" i="16"/>
  <c r="C288" i="22"/>
  <c r="T62" i="16"/>
  <c r="T214" i="16"/>
  <c r="G390" i="22"/>
  <c r="D890" i="22"/>
  <c r="T119" i="16"/>
  <c r="R96" i="13"/>
  <c r="T31" i="16"/>
  <c r="B555" i="22"/>
  <c r="C555" i="22" s="1"/>
  <c r="C548" i="22"/>
  <c r="D247" i="22"/>
  <c r="M139" i="16"/>
  <c r="M137" i="16"/>
  <c r="D183" i="22"/>
  <c r="M140" i="16"/>
  <c r="D281" i="22"/>
  <c r="L30" i="23"/>
  <c r="B486" i="22"/>
  <c r="C486" i="22" s="1"/>
  <c r="M94" i="13"/>
  <c r="O29" i="16"/>
  <c r="D749" i="22"/>
  <c r="O115" i="16"/>
  <c r="O23" i="16"/>
  <c r="B283" i="22"/>
  <c r="D419" i="22"/>
  <c r="O105" i="16"/>
  <c r="B151" i="22"/>
  <c r="O19" i="16"/>
  <c r="B749" i="22"/>
  <c r="O37" i="16"/>
  <c r="B647" i="22"/>
  <c r="D647" i="22" s="1"/>
  <c r="O34" i="16"/>
  <c r="O119" i="16"/>
  <c r="D885" i="22"/>
  <c r="O18" i="16"/>
  <c r="B119" i="22"/>
  <c r="C119" i="22" s="1"/>
  <c r="O214" i="16"/>
  <c r="G385" i="22"/>
  <c r="M39" i="13"/>
  <c r="M25" i="13"/>
  <c r="M29" i="14" s="1"/>
  <c r="M88" i="14" s="1"/>
  <c r="M35" i="13"/>
  <c r="M32" i="13"/>
  <c r="M34" i="14" s="1"/>
  <c r="M93" i="14" s="1"/>
  <c r="M34" i="13"/>
  <c r="M36" i="13"/>
  <c r="M28" i="13"/>
  <c r="M31" i="14" s="1"/>
  <c r="M90" i="14" s="1"/>
  <c r="M31" i="13"/>
  <c r="M33" i="14" s="1"/>
  <c r="M92" i="14" s="1"/>
  <c r="M40" i="13"/>
  <c r="M38" i="13"/>
  <c r="M41" i="13"/>
  <c r="M33" i="13"/>
  <c r="M35" i="14" s="1"/>
  <c r="M94" i="14" s="1"/>
  <c r="M37" i="13"/>
  <c r="M29" i="13"/>
  <c r="M32" i="14" s="1"/>
  <c r="M91" i="14" s="1"/>
  <c r="M30" i="13"/>
  <c r="M27" i="13"/>
  <c r="M26" i="13"/>
  <c r="M30" i="14" s="1"/>
  <c r="M89" i="14" s="1"/>
  <c r="M42" i="13"/>
  <c r="O215" i="16"/>
  <c r="G419" i="22"/>
  <c r="O78" i="16"/>
  <c r="C817" i="22"/>
  <c r="O25" i="16"/>
  <c r="B351" i="22"/>
  <c r="B53" i="22"/>
  <c r="O16" i="16"/>
  <c r="C453" i="22"/>
  <c r="O67" i="16"/>
  <c r="O20" i="16"/>
  <c r="B185" i="22"/>
  <c r="B783" i="22"/>
  <c r="O38" i="16"/>
  <c r="O40" i="16"/>
  <c r="B851" i="22"/>
  <c r="M63" i="16"/>
  <c r="T114" i="13"/>
  <c r="C315" i="22"/>
  <c r="Q216" i="16"/>
  <c r="G455" i="22"/>
  <c r="C751" i="22"/>
  <c r="Q76" i="16"/>
  <c r="Q22" i="16"/>
  <c r="B251" i="22"/>
  <c r="O94" i="13"/>
  <c r="B488" i="22"/>
  <c r="C488" i="22" s="1"/>
  <c r="Q29" i="16"/>
  <c r="C187" i="22"/>
  <c r="Q59" i="16"/>
  <c r="D853" i="22"/>
  <c r="Q228" i="16"/>
  <c r="B683" i="22"/>
  <c r="D683" i="22" s="1"/>
  <c r="P27" i="23" s="1"/>
  <c r="Q35" i="16"/>
  <c r="Q64" i="16"/>
  <c r="C353" i="22"/>
  <c r="C887" i="22"/>
  <c r="Q80" i="16"/>
  <c r="Q17" i="16"/>
  <c r="B89" i="22"/>
  <c r="G387" i="22"/>
  <c r="Q214" i="16"/>
  <c r="B55" i="22"/>
  <c r="Q16" i="16"/>
  <c r="C251" i="22"/>
  <c r="Q61" i="16"/>
  <c r="G421" i="22"/>
  <c r="Q215" i="16"/>
  <c r="B955" i="22"/>
  <c r="Q43" i="16"/>
  <c r="S28" i="16"/>
  <c r="B457" i="22"/>
  <c r="S20" i="16"/>
  <c r="B189" i="22"/>
  <c r="S16" i="16"/>
  <c r="B57" i="22"/>
  <c r="G457" i="22"/>
  <c r="S216" i="16"/>
  <c r="B221" i="22"/>
  <c r="C221" i="22" s="1"/>
  <c r="S21" i="16"/>
  <c r="B389" i="22"/>
  <c r="S26" i="16"/>
  <c r="B155" i="22"/>
  <c r="S19" i="16"/>
  <c r="B753" i="22"/>
  <c r="S37" i="16"/>
  <c r="B253" i="22"/>
  <c r="S22" i="16"/>
  <c r="D389" i="22"/>
  <c r="S104" i="16"/>
  <c r="F957" i="22"/>
  <c r="S231" i="16"/>
  <c r="S214" i="16"/>
  <c r="G389" i="22"/>
  <c r="B821" i="22"/>
  <c r="S39" i="16"/>
  <c r="Q97" i="13"/>
  <c r="S32" i="16"/>
  <c r="B586" i="22"/>
  <c r="C586" i="22" s="1"/>
  <c r="R24" i="23" s="1"/>
  <c r="C423" i="22"/>
  <c r="S66" i="16"/>
  <c r="S121" i="16"/>
  <c r="D957" i="22"/>
  <c r="S225" i="16"/>
  <c r="F753" i="22"/>
  <c r="G859" i="22"/>
  <c r="V32" i="23"/>
  <c r="F859" i="22"/>
  <c r="G94" i="22"/>
  <c r="H94" i="22"/>
  <c r="U9" i="23"/>
  <c r="G88" i="18"/>
  <c r="C342" i="18" s="1"/>
  <c r="D90" i="18"/>
  <c r="C260" i="18" s="1"/>
  <c r="F91" i="18"/>
  <c r="C317" i="18" s="1"/>
  <c r="F83" i="18"/>
  <c r="C309" i="18" s="1"/>
  <c r="D97" i="18"/>
  <c r="C267" i="18" s="1"/>
  <c r="D96" i="18"/>
  <c r="C266" i="18" s="1"/>
  <c r="G86" i="18"/>
  <c r="C340" i="18" s="1"/>
  <c r="D86" i="18"/>
  <c r="C256" i="18" s="1"/>
  <c r="F97" i="18"/>
  <c r="C323" i="18" s="1"/>
  <c r="G91" i="18"/>
  <c r="C345" i="18" s="1"/>
  <c r="E97" i="18"/>
  <c r="C295" i="18" s="1"/>
  <c r="C97" i="18"/>
  <c r="C239" i="18" s="1"/>
  <c r="D88" i="18"/>
  <c r="C258" i="18" s="1"/>
  <c r="G87" i="18"/>
  <c r="C341" i="18" s="1"/>
  <c r="N29" i="16"/>
  <c r="B485" i="22"/>
  <c r="C485" i="22" s="1"/>
  <c r="L94" i="13"/>
  <c r="L97" i="13"/>
  <c r="B581" i="22"/>
  <c r="C581" i="22" s="1"/>
  <c r="M24" i="23" s="1"/>
  <c r="N32" i="16"/>
  <c r="D952" i="22"/>
  <c r="N121" i="16"/>
  <c r="B118" i="22"/>
  <c r="C118" i="22" s="1"/>
  <c r="N18" i="16"/>
  <c r="B184" i="22"/>
  <c r="N20" i="16"/>
  <c r="N226" i="16"/>
  <c r="D782" i="22"/>
  <c r="B452" i="22"/>
  <c r="N28" i="16"/>
  <c r="D350" i="22"/>
  <c r="N103" i="16"/>
  <c r="B52" i="22"/>
  <c r="N16" i="16"/>
  <c r="N228" i="16"/>
  <c r="D850" i="22"/>
  <c r="N82" i="16"/>
  <c r="C952" i="22"/>
  <c r="B316" i="22"/>
  <c r="N24" i="16"/>
  <c r="C86" i="22"/>
  <c r="N56" i="16"/>
  <c r="C282" i="22"/>
  <c r="N62" i="16"/>
  <c r="N23" i="16"/>
  <c r="B282" i="22"/>
  <c r="B952" i="22"/>
  <c r="N43" i="16"/>
  <c r="B918" i="22"/>
  <c r="N42" i="16"/>
  <c r="H256" i="22"/>
  <c r="U14" i="23"/>
  <c r="G256" i="22"/>
  <c r="E58" i="18"/>
  <c r="E269" i="16"/>
  <c r="F621" i="22"/>
  <c r="E621" i="22"/>
  <c r="H815" i="22"/>
  <c r="G815" i="22"/>
  <c r="M214" i="16"/>
  <c r="G383" i="22"/>
  <c r="M18" i="16"/>
  <c r="B117" i="22"/>
  <c r="T84" i="13"/>
  <c r="F612" i="22"/>
  <c r="E612" i="22"/>
  <c r="D451" i="22"/>
  <c r="M106" i="16"/>
  <c r="T134" i="13"/>
  <c r="T67" i="12"/>
  <c r="T68" i="12"/>
  <c r="T99" i="12"/>
  <c r="T69" i="12"/>
  <c r="T129" i="12"/>
  <c r="T74" i="12"/>
  <c r="T128" i="12"/>
  <c r="U42" i="16"/>
  <c r="B925" i="22"/>
  <c r="U228" i="16"/>
  <c r="D857" i="22"/>
  <c r="U22" i="16"/>
  <c r="B255" i="22"/>
  <c r="U28" i="16"/>
  <c r="B459" i="22"/>
  <c r="H459" i="22" s="1"/>
  <c r="H466" i="22" s="1"/>
  <c r="U103" i="16"/>
  <c r="D357" i="22"/>
  <c r="S95" i="13"/>
  <c r="U30" i="16"/>
  <c r="B524" i="22"/>
  <c r="C524" i="22" s="1"/>
  <c r="T109" i="12"/>
  <c r="C823" i="22"/>
  <c r="U78" i="16"/>
  <c r="C191" i="22"/>
  <c r="U59" i="16"/>
  <c r="U111" i="16"/>
  <c r="S135" i="13"/>
  <c r="D620" i="22"/>
  <c r="P78" i="16"/>
  <c r="C818" i="22"/>
  <c r="P227" i="16"/>
  <c r="F818" i="22"/>
  <c r="C420" i="22"/>
  <c r="P66" i="16"/>
  <c r="B716" i="22"/>
  <c r="P36" i="16"/>
  <c r="P19" i="16"/>
  <c r="B152" i="22"/>
  <c r="P80" i="16"/>
  <c r="C886" i="22"/>
  <c r="B615" i="22"/>
  <c r="N98" i="13"/>
  <c r="P33" i="16"/>
  <c r="P35" i="16"/>
  <c r="B682" i="22"/>
  <c r="D682" i="22" s="1"/>
  <c r="O27" i="23" s="1"/>
  <c r="B954" i="22"/>
  <c r="P43" i="16"/>
  <c r="P25" i="16"/>
  <c r="B352" i="22"/>
  <c r="B120" i="22"/>
  <c r="C120" i="22" s="1"/>
  <c r="P18" i="16"/>
  <c r="B519" i="22"/>
  <c r="C519" i="22" s="1"/>
  <c r="P30" i="16"/>
  <c r="N95" i="13"/>
  <c r="N35" i="13"/>
  <c r="N40" i="13"/>
  <c r="N31" i="13"/>
  <c r="N33" i="14" s="1"/>
  <c r="N92" i="14" s="1"/>
  <c r="N28" i="13"/>
  <c r="N31" i="14" s="1"/>
  <c r="N90" i="14" s="1"/>
  <c r="N39" i="13"/>
  <c r="N38" i="13"/>
  <c r="N37" i="13"/>
  <c r="N42" i="13"/>
  <c r="N25" i="13"/>
  <c r="N29" i="14" s="1"/>
  <c r="N88" i="14" s="1"/>
  <c r="N36" i="13"/>
  <c r="N30" i="13"/>
  <c r="N34" i="13"/>
  <c r="N32" i="13"/>
  <c r="N34" i="14" s="1"/>
  <c r="N93" i="14" s="1"/>
  <c r="N27" i="13"/>
  <c r="N33" i="13"/>
  <c r="N35" i="14" s="1"/>
  <c r="N94" i="14" s="1"/>
  <c r="N29" i="13"/>
  <c r="N32" i="14" s="1"/>
  <c r="N91" i="14" s="1"/>
  <c r="N26" i="13"/>
  <c r="N30" i="14" s="1"/>
  <c r="N89" i="14" s="1"/>
  <c r="N41" i="13"/>
  <c r="C386" i="22"/>
  <c r="P65" i="16"/>
  <c r="P67" i="16"/>
  <c r="C454" i="22"/>
  <c r="P213" i="16"/>
  <c r="G352" i="22"/>
  <c r="E61" i="18"/>
  <c r="E272" i="16"/>
  <c r="E48" i="19" s="1"/>
  <c r="E100" i="19" s="1"/>
  <c r="H951" i="22"/>
  <c r="G951" i="22"/>
  <c r="T118" i="13"/>
  <c r="C451" i="22"/>
  <c r="M67" i="16"/>
  <c r="C580" i="22"/>
  <c r="V15" i="23"/>
  <c r="H291" i="22"/>
  <c r="G291" i="22"/>
  <c r="V12" i="23"/>
  <c r="G193" i="22"/>
  <c r="H193" i="22"/>
  <c r="H892" i="22"/>
  <c r="E60" i="18"/>
  <c r="E271" i="16"/>
  <c r="T82" i="16"/>
  <c r="C958" i="22"/>
  <c r="T18" i="16"/>
  <c r="B124" i="22"/>
  <c r="C124" i="22" s="1"/>
  <c r="T105" i="16"/>
  <c r="D424" i="22"/>
  <c r="T226" i="16"/>
  <c r="D788" i="22"/>
  <c r="C754" i="22"/>
  <c r="T76" i="16"/>
  <c r="F958" i="22"/>
  <c r="T231" i="16"/>
  <c r="B322" i="22"/>
  <c r="T24" i="16"/>
  <c r="R98" i="13"/>
  <c r="T33" i="16"/>
  <c r="B619" i="22"/>
  <c r="T227" i="16"/>
  <c r="F822" i="22"/>
  <c r="B652" i="22"/>
  <c r="D652" i="22" s="1"/>
  <c r="T34" i="16"/>
  <c r="C254" i="22"/>
  <c r="T61" i="16"/>
  <c r="T66" i="16"/>
  <c r="C424" i="22"/>
  <c r="G458" i="22"/>
  <c r="T216" i="16"/>
  <c r="R42" i="13"/>
  <c r="R33" i="13"/>
  <c r="R35" i="14" s="1"/>
  <c r="R94" i="14" s="1"/>
  <c r="R27" i="13"/>
  <c r="R34" i="13"/>
  <c r="R37" i="13"/>
  <c r="R38" i="13"/>
  <c r="R39" i="13"/>
  <c r="R32" i="13"/>
  <c r="R34" i="14" s="1"/>
  <c r="R93" i="14" s="1"/>
  <c r="R36" i="13"/>
  <c r="R25" i="13"/>
  <c r="R29" i="14" s="1"/>
  <c r="R88" i="14" s="1"/>
  <c r="R31" i="13"/>
  <c r="R33" i="14" s="1"/>
  <c r="R92" i="14" s="1"/>
  <c r="R30" i="13"/>
  <c r="R28" i="13"/>
  <c r="R31" i="14" s="1"/>
  <c r="R90" i="14" s="1"/>
  <c r="R26" i="13"/>
  <c r="R30" i="14" s="1"/>
  <c r="R89" i="14" s="1"/>
  <c r="R40" i="13"/>
  <c r="R41" i="13"/>
  <c r="R29" i="13"/>
  <c r="R32" i="14" s="1"/>
  <c r="R91" i="14" s="1"/>
  <c r="R35" i="13"/>
  <c r="B890" i="22"/>
  <c r="T41" i="16"/>
  <c r="T32" i="16"/>
  <c r="B587" i="22"/>
  <c r="C587" i="22" s="1"/>
  <c r="S24" i="23" s="1"/>
  <c r="R97" i="13"/>
  <c r="T72" i="16"/>
  <c r="R119" i="13"/>
  <c r="C619" i="22"/>
  <c r="G424" i="22"/>
  <c r="T215" i="16"/>
  <c r="F849" i="22"/>
  <c r="G849" i="22"/>
  <c r="D315" i="22"/>
  <c r="M141" i="16"/>
  <c r="F417" i="22"/>
  <c r="M179" i="16"/>
  <c r="M136" i="16"/>
  <c r="C149" i="22"/>
  <c r="M62" i="16"/>
  <c r="C281" i="22"/>
  <c r="T113" i="13"/>
  <c r="F713" i="22"/>
  <c r="G713" i="22"/>
  <c r="L28" i="23"/>
  <c r="B614" i="22"/>
  <c r="O33" i="16"/>
  <c r="M98" i="13"/>
  <c r="M95" i="13"/>
  <c r="O30" i="16"/>
  <c r="B518" i="22"/>
  <c r="C518" i="22" s="1"/>
  <c r="O229" i="16"/>
  <c r="F885" i="22"/>
  <c r="O63" i="16"/>
  <c r="C317" i="22"/>
  <c r="D953" i="22"/>
  <c r="O121" i="16"/>
  <c r="B249" i="22"/>
  <c r="O22" i="16"/>
  <c r="O43" i="16"/>
  <c r="B953" i="22"/>
  <c r="O228" i="16"/>
  <c r="D851" i="22"/>
  <c r="O231" i="16"/>
  <c r="F953" i="22"/>
  <c r="B919" i="22"/>
  <c r="O42" i="16"/>
  <c r="O213" i="16"/>
  <c r="G351" i="22"/>
  <c r="O227" i="16"/>
  <c r="F817" i="22"/>
  <c r="D783" i="22"/>
  <c r="O226" i="16"/>
  <c r="C351" i="22"/>
  <c r="O64" i="16"/>
  <c r="O104" i="16"/>
  <c r="D385" i="22"/>
  <c r="Q63" i="16"/>
  <c r="C319" i="22"/>
  <c r="F955" i="22"/>
  <c r="Q231" i="16"/>
  <c r="D421" i="22"/>
  <c r="Q105" i="16"/>
  <c r="Q106" i="16"/>
  <c r="D455" i="22"/>
  <c r="Q41" i="16"/>
  <c r="B887" i="22"/>
  <c r="D353" i="22"/>
  <c r="Q103" i="16"/>
  <c r="Q117" i="16"/>
  <c r="D819" i="22"/>
  <c r="C455" i="22"/>
  <c r="Q67" i="16"/>
  <c r="Q31" i="16"/>
  <c r="O96" i="13"/>
  <c r="B552" i="22"/>
  <c r="C552" i="22" s="1"/>
  <c r="Q39" i="16"/>
  <c r="B819" i="22"/>
  <c r="Q111" i="16"/>
  <c r="D616" i="22"/>
  <c r="O135" i="13"/>
  <c r="Q230" i="16"/>
  <c r="D921" i="22"/>
  <c r="Q24" i="16"/>
  <c r="B319" i="22"/>
  <c r="Q72" i="16"/>
  <c r="C616" i="22"/>
  <c r="O119" i="13"/>
  <c r="Q227" i="16"/>
  <c r="F819" i="22"/>
  <c r="D887" i="22"/>
  <c r="Q119" i="16"/>
  <c r="B219" i="22"/>
  <c r="C219" i="22" s="1"/>
  <c r="Q21" i="16"/>
  <c r="B853" i="22"/>
  <c r="E853" i="22" s="1"/>
  <c r="Q40" i="16"/>
  <c r="O30" i="13"/>
  <c r="O34" i="13"/>
  <c r="O33" i="13"/>
  <c r="O35" i="14" s="1"/>
  <c r="O94" i="14" s="1"/>
  <c r="O37" i="13"/>
  <c r="O38" i="13"/>
  <c r="O26" i="13"/>
  <c r="O30" i="14" s="1"/>
  <c r="O89" i="14" s="1"/>
  <c r="O35" i="13"/>
  <c r="O36" i="13"/>
  <c r="O39" i="13"/>
  <c r="O41" i="13"/>
  <c r="O25" i="13"/>
  <c r="O29" i="14" s="1"/>
  <c r="O88" i="14" s="1"/>
  <c r="O40" i="13"/>
  <c r="O31" i="13"/>
  <c r="O33" i="14" s="1"/>
  <c r="O92" i="14" s="1"/>
  <c r="O28" i="13"/>
  <c r="O31" i="14" s="1"/>
  <c r="O90" i="14" s="1"/>
  <c r="O27" i="13"/>
  <c r="O32" i="13"/>
  <c r="O34" i="14" s="1"/>
  <c r="O93" i="14" s="1"/>
  <c r="O29" i="13"/>
  <c r="O32" i="14" s="1"/>
  <c r="O91" i="14" s="1"/>
  <c r="O42" i="13"/>
  <c r="S63" i="16"/>
  <c r="C321" i="22"/>
  <c r="D355" i="22"/>
  <c r="S103" i="16"/>
  <c r="B855" i="22"/>
  <c r="S40" i="16"/>
  <c r="Q34" i="13"/>
  <c r="Q37" i="13"/>
  <c r="Q35" i="13"/>
  <c r="Q32" i="13"/>
  <c r="Q34" i="14" s="1"/>
  <c r="Q93" i="14" s="1"/>
  <c r="Q28" i="13"/>
  <c r="Q31" i="14" s="1"/>
  <c r="Q90" i="14" s="1"/>
  <c r="Q42" i="13"/>
  <c r="Q40" i="13"/>
  <c r="Q36" i="13"/>
  <c r="Q26" i="13"/>
  <c r="Q30" i="14" s="1"/>
  <c r="Q89" i="14" s="1"/>
  <c r="Q25" i="13"/>
  <c r="Q29" i="14" s="1"/>
  <c r="Q88" i="14" s="1"/>
  <c r="Q33" i="13"/>
  <c r="Q35" i="14" s="1"/>
  <c r="Q94" i="14" s="1"/>
  <c r="Q27" i="13"/>
  <c r="Q41" i="13"/>
  <c r="Q30" i="13"/>
  <c r="Q39" i="13"/>
  <c r="Q38" i="13"/>
  <c r="Q29" i="13"/>
  <c r="Q32" i="14" s="1"/>
  <c r="Q91" i="14" s="1"/>
  <c r="Q31" i="13"/>
  <c r="Q33" i="14" s="1"/>
  <c r="Q92" i="14" s="1"/>
  <c r="B91" i="22"/>
  <c r="S17" i="16"/>
  <c r="S72" i="16"/>
  <c r="Q119" i="13"/>
  <c r="C618" i="22"/>
  <c r="S34" i="16"/>
  <c r="B651" i="22"/>
  <c r="D651" i="22" s="1"/>
  <c r="D457" i="22"/>
  <c r="S106" i="16"/>
  <c r="S105" i="16"/>
  <c r="D423" i="22"/>
  <c r="S38" i="16"/>
  <c r="B787" i="22"/>
  <c r="D855" i="22"/>
  <c r="S228" i="16"/>
  <c r="S78" i="16"/>
  <c r="C821" i="22"/>
  <c r="Q95" i="13"/>
  <c r="S30" i="16"/>
  <c r="B522" i="22"/>
  <c r="C522" i="22" s="1"/>
  <c r="S62" i="16"/>
  <c r="C287" i="22"/>
  <c r="S229" i="16"/>
  <c r="F889" i="22"/>
  <c r="S226" i="16"/>
  <c r="D787" i="22"/>
  <c r="B889" i="22"/>
  <c r="S41" i="16"/>
  <c r="V29" i="23"/>
  <c r="I757" i="22"/>
  <c r="J757" i="22"/>
  <c r="E61" i="22"/>
  <c r="F61" i="22"/>
  <c r="V8" i="23"/>
  <c r="G95" i="22"/>
  <c r="H95" i="22"/>
  <c r="V9" i="23"/>
  <c r="G349" i="22"/>
  <c r="M213" i="16"/>
  <c r="G417" i="22"/>
  <c r="M215" i="16"/>
  <c r="C83" i="18"/>
  <c r="C225" i="18" s="1"/>
  <c r="E98" i="18"/>
  <c r="C296" i="18" s="1"/>
  <c r="F84" i="18"/>
  <c r="C310" i="18" s="1"/>
  <c r="G83" i="18"/>
  <c r="C337" i="18" s="1"/>
  <c r="D85" i="18"/>
  <c r="C255" i="18" s="1"/>
  <c r="F88" i="18"/>
  <c r="C314" i="18" s="1"/>
  <c r="D83" i="18"/>
  <c r="C253" i="18" s="1"/>
  <c r="D99" i="18"/>
  <c r="C269" i="18" s="1"/>
  <c r="C96" i="18"/>
  <c r="C238" i="18" s="1"/>
  <c r="G97" i="18"/>
  <c r="C351" i="18" s="1"/>
  <c r="D87" i="18"/>
  <c r="C257" i="18" s="1"/>
  <c r="D98" i="18"/>
  <c r="C268" i="18" s="1"/>
  <c r="F99" i="18"/>
  <c r="C325" i="18" s="1"/>
  <c r="F87" i="18"/>
  <c r="C313" i="18" s="1"/>
  <c r="C88" i="18"/>
  <c r="C230" i="18" s="1"/>
  <c r="B383" i="22"/>
  <c r="T91" i="13"/>
  <c r="M26" i="16"/>
  <c r="K427" i="22"/>
  <c r="L427" i="22"/>
  <c r="V19" i="23"/>
  <c r="J427" i="22"/>
  <c r="L393" i="22"/>
  <c r="J393" i="22"/>
  <c r="K393" i="22"/>
  <c r="V18" i="23"/>
  <c r="F655" i="22"/>
  <c r="E655" i="22"/>
  <c r="V26" i="23"/>
  <c r="B549" i="22"/>
  <c r="C549" i="22" s="1"/>
  <c r="L96" i="13"/>
  <c r="N31" i="16"/>
  <c r="B517" i="22"/>
  <c r="C517" i="22" s="1"/>
  <c r="L95" i="13"/>
  <c r="N30" i="16"/>
  <c r="N106" i="16"/>
  <c r="D452" i="22"/>
  <c r="N105" i="16"/>
  <c r="D418" i="22"/>
  <c r="N230" i="16"/>
  <c r="D918" i="22"/>
  <c r="B646" i="22"/>
  <c r="D646" i="22" s="1"/>
  <c r="N34" i="16"/>
  <c r="G384" i="22"/>
  <c r="N214" i="16"/>
  <c r="N67" i="16"/>
  <c r="C452" i="22"/>
  <c r="B384" i="22"/>
  <c r="N26" i="16"/>
  <c r="F816" i="22"/>
  <c r="N227" i="16"/>
  <c r="B816" i="22"/>
  <c r="N39" i="16"/>
  <c r="N17" i="16"/>
  <c r="B86" i="22"/>
  <c r="B418" i="22"/>
  <c r="N27" i="16"/>
  <c r="N215" i="16"/>
  <c r="G418" i="22"/>
  <c r="N19" i="16"/>
  <c r="B150" i="22"/>
  <c r="D748" i="22"/>
  <c r="N115" i="16"/>
  <c r="H756" i="22"/>
  <c r="I426" i="22"/>
  <c r="D654" i="22"/>
  <c r="T104" i="12"/>
  <c r="T81" i="12"/>
  <c r="T105" i="12"/>
  <c r="T76" i="12"/>
  <c r="T103" i="12"/>
  <c r="T77" i="12"/>
  <c r="T54" i="13"/>
  <c r="T64" i="13"/>
  <c r="T80" i="12"/>
  <c r="T66" i="12"/>
  <c r="T130" i="12"/>
  <c r="U61" i="16"/>
  <c r="C255" i="22"/>
  <c r="C323" i="22"/>
  <c r="U63" i="16"/>
  <c r="V28" i="23"/>
  <c r="G723" i="22"/>
  <c r="F723" i="22"/>
  <c r="C459" i="22"/>
  <c r="U67" i="16"/>
  <c r="U105" i="16"/>
  <c r="D425" i="22"/>
  <c r="D925" i="22"/>
  <c r="U230" i="16"/>
  <c r="D391" i="22"/>
  <c r="U104" i="16"/>
  <c r="P103" i="16"/>
  <c r="D352" i="22"/>
  <c r="P21" i="16"/>
  <c r="B218" i="22"/>
  <c r="C218" i="22" s="1"/>
  <c r="C954" i="22"/>
  <c r="P82" i="16"/>
  <c r="P216" i="16"/>
  <c r="G454" i="22"/>
  <c r="C186" i="22"/>
  <c r="P59" i="16"/>
  <c r="P24" i="16"/>
  <c r="B318" i="22"/>
  <c r="E318" i="22" s="1"/>
  <c r="P34" i="16"/>
  <c r="B648" i="22"/>
  <c r="D648" i="22" s="1"/>
  <c r="P39" i="16"/>
  <c r="B818" i="22"/>
  <c r="B186" i="22"/>
  <c r="E186" i="22" s="1"/>
  <c r="P20" i="16"/>
  <c r="P22" i="16"/>
  <c r="B250" i="22"/>
  <c r="E250" i="22" s="1"/>
  <c r="P38" i="16"/>
  <c r="B784" i="22"/>
  <c r="E784" i="22" s="1"/>
  <c r="N97" i="13"/>
  <c r="B583" i="22"/>
  <c r="C583" i="22" s="1"/>
  <c r="O24" i="23" s="1"/>
  <c r="P32" i="16"/>
  <c r="P228" i="16"/>
  <c r="D852" i="22"/>
  <c r="C284" i="22"/>
  <c r="P62" i="16"/>
  <c r="C88" i="22"/>
  <c r="P56" i="16"/>
  <c r="P225" i="16"/>
  <c r="F750" i="22"/>
  <c r="E722" i="22"/>
  <c r="D557" i="22"/>
  <c r="U23" i="23"/>
  <c r="E267" i="16"/>
  <c r="E56" i="18"/>
  <c r="C247" i="22"/>
  <c r="T112" i="13"/>
  <c r="M61" i="16"/>
  <c r="B451" i="22"/>
  <c r="M28" i="16"/>
  <c r="T93" i="13"/>
  <c r="C516" i="22"/>
  <c r="B85" i="22"/>
  <c r="T83" i="13"/>
  <c r="M17" i="16"/>
  <c r="E59" i="18"/>
  <c r="E270" i="16"/>
  <c r="U11" i="23"/>
  <c r="F158" i="22"/>
  <c r="E158" i="22"/>
  <c r="D822" i="22"/>
  <c r="T117" i="16"/>
  <c r="B254" i="22"/>
  <c r="T22" i="16"/>
  <c r="T59" i="16"/>
  <c r="C190" i="22"/>
  <c r="D924" i="22"/>
  <c r="T230" i="16"/>
  <c r="B788" i="22"/>
  <c r="E788" i="22" s="1"/>
  <c r="T38" i="16"/>
  <c r="C92" i="22"/>
  <c r="T56" i="16"/>
  <c r="T65" i="16"/>
  <c r="C390" i="22"/>
  <c r="B58" i="22"/>
  <c r="T16" i="16"/>
  <c r="T39" i="16"/>
  <c r="B822" i="22"/>
  <c r="G356" i="22"/>
  <c r="T213" i="16"/>
  <c r="T67" i="16"/>
  <c r="C458" i="22"/>
  <c r="T20" i="16"/>
  <c r="B190" i="22"/>
  <c r="B720" i="22"/>
  <c r="T36" i="16"/>
  <c r="T43" i="16"/>
  <c r="B958" i="22"/>
  <c r="T29" i="16"/>
  <c r="B491" i="22"/>
  <c r="C491" i="22" s="1"/>
  <c r="R94" i="13"/>
  <c r="T26" i="16"/>
  <c r="B390" i="22"/>
  <c r="T35" i="16"/>
  <c r="B686" i="22"/>
  <c r="D686" i="22" s="1"/>
  <c r="S27" i="23" s="1"/>
  <c r="C417" i="22"/>
  <c r="M66" i="16"/>
  <c r="T117" i="13"/>
  <c r="F349" i="22"/>
  <c r="M177" i="16"/>
  <c r="F451" i="22"/>
  <c r="M180" i="16"/>
  <c r="F383" i="22"/>
  <c r="M178" i="16"/>
  <c r="M216" i="16"/>
  <c r="G451" i="22"/>
  <c r="M135" i="13"/>
  <c r="D614" i="22"/>
  <c r="O111" i="16"/>
  <c r="M97" i="13"/>
  <c r="O32" i="16"/>
  <c r="B582" i="22"/>
  <c r="C582" i="22" s="1"/>
  <c r="N24" i="23" s="1"/>
  <c r="D453" i="22"/>
  <c r="O106" i="16"/>
  <c r="B885" i="22"/>
  <c r="O41" i="16"/>
  <c r="O230" i="16"/>
  <c r="D919" i="22"/>
  <c r="B217" i="22"/>
  <c r="C217" i="22" s="1"/>
  <c r="O21" i="16"/>
  <c r="C885" i="22"/>
  <c r="O80" i="16"/>
  <c r="C385" i="22"/>
  <c r="O65" i="16"/>
  <c r="O103" i="16"/>
  <c r="D351" i="22"/>
  <c r="C953" i="22"/>
  <c r="O82" i="16"/>
  <c r="C87" i="22"/>
  <c r="O56" i="16"/>
  <c r="O59" i="16"/>
  <c r="C185" i="22"/>
  <c r="O62" i="16"/>
  <c r="C283" i="22"/>
  <c r="O17" i="16"/>
  <c r="B87" i="22"/>
  <c r="G453" i="22"/>
  <c r="O216" i="16"/>
  <c r="O26" i="16"/>
  <c r="B385" i="22"/>
  <c r="T111" i="13"/>
  <c r="C183" i="22"/>
  <c r="M59" i="16"/>
  <c r="Q33" i="16"/>
  <c r="B616" i="22"/>
  <c r="O98" i="13"/>
  <c r="Q34" i="16"/>
  <c r="B649" i="22"/>
  <c r="D649" i="22" s="1"/>
  <c r="D955" i="22"/>
  <c r="Q121" i="16"/>
  <c r="B921" i="22"/>
  <c r="E921" i="22" s="1"/>
  <c r="P34" i="23" s="1"/>
  <c r="Q42" i="16"/>
  <c r="Q26" i="16"/>
  <c r="B387" i="22"/>
  <c r="Q78" i="16"/>
  <c r="C819" i="22"/>
  <c r="B153" i="22"/>
  <c r="Q19" i="16"/>
  <c r="Q62" i="16"/>
  <c r="C285" i="22"/>
  <c r="B584" i="22"/>
  <c r="C584" i="22" s="1"/>
  <c r="P24" i="23" s="1"/>
  <c r="Q32" i="16"/>
  <c r="O97" i="13"/>
  <c r="B785" i="22"/>
  <c r="Q38" i="16"/>
  <c r="B187" i="22"/>
  <c r="Q20" i="16"/>
  <c r="Q28" i="16"/>
  <c r="B455" i="22"/>
  <c r="Q104" i="16"/>
  <c r="D387" i="22"/>
  <c r="B751" i="22"/>
  <c r="Q37" i="16"/>
  <c r="Q30" i="16"/>
  <c r="O95" i="13"/>
  <c r="B520" i="22"/>
  <c r="C520" i="22" s="1"/>
  <c r="B423" i="22"/>
  <c r="S27" i="16"/>
  <c r="S36" i="16"/>
  <c r="B719" i="22"/>
  <c r="B123" i="22"/>
  <c r="C123" i="22" s="1"/>
  <c r="S18" i="16"/>
  <c r="Q135" i="13"/>
  <c r="D618" i="22"/>
  <c r="S111" i="16"/>
  <c r="S35" i="16"/>
  <c r="B685" i="22"/>
  <c r="D685" i="22" s="1"/>
  <c r="R27" i="23" s="1"/>
  <c r="B321" i="22"/>
  <c r="E321" i="22" s="1"/>
  <c r="S24" i="16"/>
  <c r="S64" i="16"/>
  <c r="C355" i="22"/>
  <c r="S82" i="16"/>
  <c r="C957" i="22"/>
  <c r="S42" i="16"/>
  <c r="B923" i="22"/>
  <c r="S67" i="16"/>
  <c r="C457" i="22"/>
  <c r="S23" i="16"/>
  <c r="B287" i="22"/>
  <c r="E287" i="22" s="1"/>
  <c r="S230" i="16"/>
  <c r="D923" i="22"/>
  <c r="D889" i="22"/>
  <c r="S119" i="16"/>
  <c r="S31" i="16"/>
  <c r="B554" i="22"/>
  <c r="C554" i="22" s="1"/>
  <c r="Q96" i="13"/>
  <c r="U21" i="23"/>
  <c r="D493" i="22"/>
  <c r="I460" i="22"/>
  <c r="U20" i="23" s="1"/>
  <c r="D688" i="22"/>
  <c r="U27" i="23" s="1"/>
  <c r="C85" i="18"/>
  <c r="C227" i="18" s="1"/>
  <c r="C86" i="18"/>
  <c r="C228" i="18" s="1"/>
  <c r="F86" i="18"/>
  <c r="C312" i="18" s="1"/>
  <c r="E88" i="18"/>
  <c r="C286" i="18" s="1"/>
  <c r="E85" i="18"/>
  <c r="C283" i="18" s="1"/>
  <c r="C99" i="18"/>
  <c r="C241" i="18" s="1"/>
  <c r="G98" i="18"/>
  <c r="C352" i="18" s="1"/>
  <c r="G85" i="18"/>
  <c r="C339" i="18" s="1"/>
  <c r="D89" i="18"/>
  <c r="C259" i="18" s="1"/>
  <c r="G89" i="18"/>
  <c r="C343" i="18" s="1"/>
  <c r="F96" i="18"/>
  <c r="C322" i="18" s="1"/>
  <c r="L119" i="13"/>
  <c r="N72" i="16"/>
  <c r="C613" i="22"/>
  <c r="N111" i="16"/>
  <c r="L135" i="13"/>
  <c r="D613" i="22"/>
  <c r="N22" i="16"/>
  <c r="B248" i="22"/>
  <c r="N65" i="16"/>
  <c r="C384" i="22"/>
  <c r="L32" i="13"/>
  <c r="L34" i="14" s="1"/>
  <c r="L93" i="14" s="1"/>
  <c r="L33" i="13"/>
  <c r="L35" i="14" s="1"/>
  <c r="L94" i="14" s="1"/>
  <c r="L35" i="13"/>
  <c r="L28" i="13"/>
  <c r="L31" i="14" s="1"/>
  <c r="L90" i="14" s="1"/>
  <c r="L29" i="13"/>
  <c r="L32" i="14" s="1"/>
  <c r="L91" i="14" s="1"/>
  <c r="L26" i="13"/>
  <c r="L30" i="14" s="1"/>
  <c r="L89" i="14" s="1"/>
  <c r="L37" i="13"/>
  <c r="L36" i="13"/>
  <c r="L31" i="13"/>
  <c r="L33" i="14" s="1"/>
  <c r="L92" i="14" s="1"/>
  <c r="L27" i="13"/>
  <c r="L25" i="13"/>
  <c r="L29" i="14" s="1"/>
  <c r="L88" i="14" s="1"/>
  <c r="L38" i="13"/>
  <c r="L42" i="13"/>
  <c r="L34" i="13"/>
  <c r="L40" i="13"/>
  <c r="L30" i="13"/>
  <c r="L41" i="13"/>
  <c r="L39" i="13"/>
  <c r="C248" i="22"/>
  <c r="N61" i="16"/>
  <c r="C350" i="22"/>
  <c r="N64" i="16"/>
  <c r="N216" i="16"/>
  <c r="G452" i="22"/>
  <c r="B216" i="22"/>
  <c r="C216" i="22" s="1"/>
  <c r="N21" i="16"/>
  <c r="N59" i="16"/>
  <c r="C184" i="22"/>
  <c r="N35" i="16"/>
  <c r="B680" i="22"/>
  <c r="D680" i="22" s="1"/>
  <c r="M27" i="23" s="1"/>
  <c r="F952" i="22"/>
  <c r="N231" i="16"/>
  <c r="N225" i="16"/>
  <c r="F748" i="22"/>
  <c r="N37" i="16"/>
  <c r="B748" i="22"/>
  <c r="E858" i="22"/>
  <c r="E256" i="16"/>
  <c r="E45" i="18"/>
  <c r="E52" i="18"/>
  <c r="E263" i="16"/>
  <c r="D349" i="22"/>
  <c r="T131" i="13"/>
  <c r="M103" i="16"/>
  <c r="B349" i="22"/>
  <c r="M25" i="16"/>
  <c r="T90" i="13"/>
  <c r="T88" i="13"/>
  <c r="M23" i="16"/>
  <c r="B281" i="22"/>
  <c r="C484" i="22"/>
  <c r="T131" i="12"/>
  <c r="T107" i="12"/>
  <c r="T83" i="12"/>
  <c r="T110" i="12"/>
  <c r="T71" i="12"/>
  <c r="T102" i="12"/>
  <c r="T63" i="13"/>
  <c r="T65" i="13"/>
  <c r="T73" i="12"/>
  <c r="E917" i="22"/>
  <c r="L34" i="23" s="1"/>
  <c r="B687" i="22"/>
  <c r="D687" i="22" s="1"/>
  <c r="T27" i="23" s="1"/>
  <c r="U35" i="16"/>
  <c r="U41" i="16"/>
  <c r="B891" i="22"/>
  <c r="U216" i="16"/>
  <c r="G459" i="22"/>
  <c r="C357" i="22"/>
  <c r="U64" i="16"/>
  <c r="P117" i="16"/>
  <c r="D818" i="22"/>
  <c r="V17" i="23"/>
  <c r="J359" i="22"/>
  <c r="K359" i="22"/>
  <c r="L359" i="22"/>
  <c r="U106" i="16"/>
  <c r="D459" i="22"/>
  <c r="U40" i="16"/>
  <c r="B857" i="22"/>
  <c r="C959" i="22"/>
  <c r="U82" i="16"/>
  <c r="B823" i="22"/>
  <c r="U39" i="16"/>
  <c r="U225" i="16"/>
  <c r="F755" i="22"/>
  <c r="G425" i="22"/>
  <c r="U215" i="16"/>
  <c r="B125" i="22"/>
  <c r="C125" i="22" s="1"/>
  <c r="U18" i="16"/>
  <c r="B391" i="22"/>
  <c r="U26" i="16"/>
  <c r="U62" i="16"/>
  <c r="C289" i="22"/>
  <c r="U36" i="16"/>
  <c r="B721" i="22"/>
  <c r="U66" i="16"/>
  <c r="C425" i="22"/>
  <c r="B357" i="22"/>
  <c r="U25" i="16"/>
  <c r="U29" i="16"/>
  <c r="B492" i="22"/>
  <c r="C492" i="22" s="1"/>
  <c r="S94" i="13"/>
  <c r="F891" i="22"/>
  <c r="U229" i="16"/>
  <c r="U37" i="16"/>
  <c r="B755" i="22"/>
  <c r="D420" i="22"/>
  <c r="P105" i="16"/>
  <c r="D716" i="22"/>
  <c r="P224" i="16"/>
  <c r="P121" i="16"/>
  <c r="D954" i="22"/>
  <c r="C615" i="22"/>
  <c r="N119" i="13"/>
  <c r="P72" i="16"/>
  <c r="G420" i="22"/>
  <c r="P215" i="16"/>
  <c r="P76" i="16"/>
  <c r="C750" i="22"/>
  <c r="N135" i="13"/>
  <c r="P111" i="16"/>
  <c r="D615" i="22"/>
  <c r="F954" i="22"/>
  <c r="P231" i="16"/>
  <c r="G61" i="18" s="1"/>
  <c r="P29" i="16"/>
  <c r="N94" i="13"/>
  <c r="B487" i="22"/>
  <c r="C487" i="22" s="1"/>
  <c r="G386" i="22"/>
  <c r="P214" i="16"/>
  <c r="P64" i="16"/>
  <c r="C352" i="22"/>
  <c r="P28" i="16"/>
  <c r="B454" i="22"/>
  <c r="P41" i="16"/>
  <c r="B886" i="22"/>
  <c r="P230" i="16"/>
  <c r="D920" i="22"/>
  <c r="E54" i="18"/>
  <c r="E265" i="16"/>
  <c r="E43" i="18"/>
  <c r="E254" i="16"/>
  <c r="H960" i="22"/>
  <c r="M20" i="16"/>
  <c r="B183" i="22"/>
  <c r="T85" i="13"/>
  <c r="B315" i="22"/>
  <c r="T89" i="13"/>
  <c r="M24" i="16"/>
  <c r="E159" i="22"/>
  <c r="F159" i="22"/>
  <c r="V11" i="23"/>
  <c r="I825" i="22"/>
  <c r="J825" i="22"/>
  <c r="V31" i="23"/>
  <c r="I392" i="22"/>
  <c r="U8" i="23"/>
  <c r="F60" i="22"/>
  <c r="E60" i="22"/>
  <c r="D525" i="22"/>
  <c r="U22" i="23"/>
  <c r="H824" i="22"/>
  <c r="E926" i="22"/>
  <c r="U34" i="23" s="1"/>
  <c r="B222" i="22"/>
  <c r="C222" i="22" s="1"/>
  <c r="T21" i="16"/>
  <c r="T27" i="16"/>
  <c r="B424" i="22"/>
  <c r="T225" i="16"/>
  <c r="F754" i="22"/>
  <c r="B924" i="22"/>
  <c r="T42" i="16"/>
  <c r="T17" i="16"/>
  <c r="B92" i="22"/>
  <c r="E92" i="22" s="1"/>
  <c r="B356" i="22"/>
  <c r="T25" i="16"/>
  <c r="T78" i="16"/>
  <c r="C822" i="22"/>
  <c r="T224" i="16"/>
  <c r="D720" i="22"/>
  <c r="T63" i="16"/>
  <c r="C322" i="22"/>
  <c r="D619" i="22"/>
  <c r="T111" i="16"/>
  <c r="R135" i="13"/>
  <c r="T40" i="16"/>
  <c r="B856" i="22"/>
  <c r="B523" i="22"/>
  <c r="C523" i="22" s="1"/>
  <c r="R95" i="13"/>
  <c r="T30" i="16"/>
  <c r="T23" i="16"/>
  <c r="B288" i="22"/>
  <c r="E288" i="22" s="1"/>
  <c r="T228" i="16"/>
  <c r="D856" i="22"/>
  <c r="T121" i="16"/>
  <c r="D958" i="22"/>
  <c r="B215" i="22"/>
  <c r="M21" i="16"/>
  <c r="T86" i="13"/>
  <c r="C85" i="22"/>
  <c r="T110" i="13"/>
  <c r="M56" i="16"/>
  <c r="T87" i="13"/>
  <c r="B247" i="22"/>
  <c r="M22" i="16"/>
  <c r="H747" i="22"/>
  <c r="G747" i="22"/>
  <c r="C51" i="22"/>
  <c r="M133" i="16"/>
  <c r="M134" i="16"/>
  <c r="D85" i="22"/>
  <c r="T133" i="13"/>
  <c r="M105" i="16"/>
  <c r="D417" i="22"/>
  <c r="H883" i="22"/>
  <c r="G883" i="22"/>
  <c r="C614" i="22"/>
  <c r="O72" i="16"/>
  <c r="M119" i="13"/>
  <c r="M96" i="13"/>
  <c r="O31" i="16"/>
  <c r="B550" i="22"/>
  <c r="C550" i="22" s="1"/>
  <c r="B419" i="22"/>
  <c r="O27" i="16"/>
  <c r="O117" i="16"/>
  <c r="D817" i="22"/>
  <c r="O35" i="16"/>
  <c r="B681" i="22"/>
  <c r="D681" i="22" s="1"/>
  <c r="N27" i="23" s="1"/>
  <c r="C249" i="22"/>
  <c r="O61" i="16"/>
  <c r="O39" i="16"/>
  <c r="B817" i="22"/>
  <c r="F749" i="22"/>
  <c r="O225" i="16"/>
  <c r="O36" i="16"/>
  <c r="B715" i="22"/>
  <c r="B453" i="22"/>
  <c r="O28" i="16"/>
  <c r="B317" i="22"/>
  <c r="O24" i="16"/>
  <c r="C419" i="22"/>
  <c r="O66" i="16"/>
  <c r="D715" i="22"/>
  <c r="O224" i="16"/>
  <c r="C749" i="22"/>
  <c r="O76" i="16"/>
  <c r="D751" i="22"/>
  <c r="Q115" i="16"/>
  <c r="B353" i="22"/>
  <c r="Q25" i="16"/>
  <c r="B121" i="22"/>
  <c r="C121" i="22" s="1"/>
  <c r="Q18" i="16"/>
  <c r="C421" i="22"/>
  <c r="Q66" i="16"/>
  <c r="Q65" i="16"/>
  <c r="C387" i="22"/>
  <c r="B285" i="22"/>
  <c r="E285" i="22" s="1"/>
  <c r="Q23" i="16"/>
  <c r="B421" i="22"/>
  <c r="Q27" i="16"/>
  <c r="F751" i="22"/>
  <c r="Q225" i="16"/>
  <c r="C955" i="22"/>
  <c r="Q82" i="16"/>
  <c r="Q229" i="16"/>
  <c r="F887" i="22"/>
  <c r="Q56" i="16"/>
  <c r="C89" i="22"/>
  <c r="Q226" i="16"/>
  <c r="D785" i="22"/>
  <c r="Q213" i="16"/>
  <c r="G353" i="22"/>
  <c r="B717" i="22"/>
  <c r="Q36" i="16"/>
  <c r="D717" i="22"/>
  <c r="Q224" i="16"/>
  <c r="S224" i="16"/>
  <c r="D719" i="22"/>
  <c r="S213" i="16"/>
  <c r="G355" i="22"/>
  <c r="S43" i="16"/>
  <c r="B957" i="22"/>
  <c r="S59" i="16"/>
  <c r="C189" i="22"/>
  <c r="S61" i="16"/>
  <c r="C253" i="22"/>
  <c r="C389" i="22"/>
  <c r="S65" i="16"/>
  <c r="G423" i="22"/>
  <c r="S215" i="16"/>
  <c r="D753" i="22"/>
  <c r="S115" i="16"/>
  <c r="S76" i="16"/>
  <c r="C753" i="22"/>
  <c r="C91" i="22"/>
  <c r="S56" i="16"/>
  <c r="S25" i="16"/>
  <c r="B355" i="22"/>
  <c r="F821" i="22"/>
  <c r="S227" i="16"/>
  <c r="S80" i="16"/>
  <c r="C889" i="22"/>
  <c r="B490" i="22"/>
  <c r="C490" i="22" s="1"/>
  <c r="Q94" i="13"/>
  <c r="S29" i="16"/>
  <c r="B618" i="22"/>
  <c r="Q98" i="13"/>
  <c r="S33" i="16"/>
  <c r="D821" i="22"/>
  <c r="S117" i="16"/>
  <c r="F791" i="22"/>
  <c r="V30" i="23"/>
  <c r="G791" i="22"/>
  <c r="E257" i="16"/>
  <c r="E46" i="18"/>
  <c r="G192" i="22"/>
  <c r="U12" i="23"/>
  <c r="H192" i="22"/>
  <c r="E53" i="18"/>
  <c r="E264" i="16"/>
  <c r="U15" i="23"/>
  <c r="H290" i="22"/>
  <c r="G290" i="22"/>
  <c r="M27" i="16"/>
  <c r="B417" i="22"/>
  <c r="T92" i="13"/>
  <c r="E645" i="22"/>
  <c r="F645" i="22"/>
  <c r="L26" i="23"/>
  <c r="F89" i="18"/>
  <c r="C315" i="18" s="1"/>
  <c r="E99" i="18"/>
  <c r="C297" i="18" s="1"/>
  <c r="E100" i="18"/>
  <c r="C298" i="18" s="1"/>
  <c r="G90" i="18"/>
  <c r="C344" i="18" s="1"/>
  <c r="D91" i="18"/>
  <c r="C261" i="18" s="1"/>
  <c r="G99" i="18"/>
  <c r="C353" i="18" s="1"/>
  <c r="E96" i="18"/>
  <c r="C294" i="18" s="1"/>
  <c r="F85" i="18"/>
  <c r="C311" i="18" s="1"/>
  <c r="G100" i="18"/>
  <c r="C354" i="18" s="1"/>
  <c r="C98" i="18"/>
  <c r="C240" i="18" s="1"/>
  <c r="D84" i="18"/>
  <c r="C254" i="18" s="1"/>
  <c r="G84" i="18"/>
  <c r="C338" i="18" s="1"/>
  <c r="F90" i="18"/>
  <c r="C316" i="18" s="1"/>
  <c r="F98" i="18"/>
  <c r="C324" i="18" s="1"/>
  <c r="G96" i="18"/>
  <c r="C350" i="18" s="1"/>
  <c r="F100" i="18"/>
  <c r="C326" i="18" s="1"/>
  <c r="M104" i="16"/>
  <c r="D383" i="22"/>
  <c r="T132" i="13"/>
  <c r="G257" i="22"/>
  <c r="H257" i="22"/>
  <c r="V14" i="23"/>
  <c r="I961" i="22"/>
  <c r="V35" i="23"/>
  <c r="J961" i="22"/>
  <c r="H325" i="22"/>
  <c r="V16" i="23"/>
  <c r="G325" i="22"/>
  <c r="B613" i="22"/>
  <c r="N33" i="16"/>
  <c r="L98" i="13"/>
  <c r="B350" i="22"/>
  <c r="N25" i="16"/>
  <c r="N229" i="16"/>
  <c r="F884" i="22"/>
  <c r="N76" i="16"/>
  <c r="C748" i="22"/>
  <c r="B714" i="22"/>
  <c r="N36" i="16"/>
  <c r="D816" i="22"/>
  <c r="N117" i="16"/>
  <c r="D384" i="22"/>
  <c r="N104" i="16"/>
  <c r="N40" i="16"/>
  <c r="B850" i="22"/>
  <c r="E850" i="22" s="1"/>
  <c r="N224" i="16"/>
  <c r="D714" i="22"/>
  <c r="N63" i="16"/>
  <c r="C316" i="22"/>
  <c r="N66" i="16"/>
  <c r="C418" i="22"/>
  <c r="N213" i="16"/>
  <c r="G350" i="22"/>
  <c r="C884" i="22"/>
  <c r="N80" i="16"/>
  <c r="N38" i="16"/>
  <c r="B782" i="22"/>
  <c r="E782" i="22" s="1"/>
  <c r="N41" i="16"/>
  <c r="B884" i="22"/>
  <c r="N119" i="16"/>
  <c r="D884" i="22"/>
  <c r="N78" i="16"/>
  <c r="C816" i="22"/>
  <c r="E55" i="18"/>
  <c r="E266" i="16"/>
  <c r="T57" i="13"/>
  <c r="T79" i="12"/>
  <c r="T101" i="12"/>
  <c r="T75" i="12"/>
  <c r="T65" i="12"/>
  <c r="T106" i="12"/>
  <c r="T135" i="12"/>
  <c r="T66" i="13"/>
  <c r="T100" i="12"/>
  <c r="T127" i="12"/>
  <c r="T72" i="12"/>
  <c r="T70" i="12"/>
  <c r="E254" i="22" l="1"/>
  <c r="H424" i="22"/>
  <c r="H355" i="22"/>
  <c r="B258" i="16"/>
  <c r="E86" i="22"/>
  <c r="G781" i="22"/>
  <c r="E721" i="22"/>
  <c r="C266" i="16"/>
  <c r="C42" i="19" s="1"/>
  <c r="C94" i="19" s="1"/>
  <c r="C759" i="22" s="1"/>
  <c r="C762" i="22" s="1"/>
  <c r="B268" i="16"/>
  <c r="B44" i="19" s="1"/>
  <c r="B51" i="18"/>
  <c r="B50" i="18"/>
  <c r="C268" i="16"/>
  <c r="C44" i="19" s="1"/>
  <c r="C96" i="19" s="1"/>
  <c r="C827" i="22" s="1"/>
  <c r="C830" i="22" s="1"/>
  <c r="D59" i="18"/>
  <c r="B59" i="18"/>
  <c r="B56" i="18"/>
  <c r="G270" i="16"/>
  <c r="B61" i="18"/>
  <c r="H421" i="22"/>
  <c r="E317" i="22"/>
  <c r="B57" i="18"/>
  <c r="B260" i="16"/>
  <c r="B36" i="17" s="1"/>
  <c r="H356" i="22"/>
  <c r="E924" i="22"/>
  <c r="S34" i="23" s="1"/>
  <c r="E857" i="22"/>
  <c r="G857" i="22" s="1"/>
  <c r="E187" i="22"/>
  <c r="B248" i="16"/>
  <c r="B34" i="18"/>
  <c r="B83" i="18" s="1"/>
  <c r="C197" i="18" s="1"/>
  <c r="B47" i="18"/>
  <c r="B96" i="18" s="1"/>
  <c r="C210" i="18" s="1"/>
  <c r="H419" i="22"/>
  <c r="C270" i="16"/>
  <c r="C46" i="19" s="1"/>
  <c r="D57" i="18"/>
  <c r="B54" i="18"/>
  <c r="T96" i="13"/>
  <c r="B259" i="16"/>
  <c r="G60" i="18"/>
  <c r="H391" i="22"/>
  <c r="T98" i="13"/>
  <c r="E715" i="22"/>
  <c r="G715" i="22" s="1"/>
  <c r="E248" i="22"/>
  <c r="E282" i="22"/>
  <c r="C57" i="18"/>
  <c r="E787" i="22"/>
  <c r="R30" i="23" s="1"/>
  <c r="G54" i="18"/>
  <c r="E714" i="22"/>
  <c r="M28" i="23" s="1"/>
  <c r="B262" i="16"/>
  <c r="G55" i="18"/>
  <c r="B53" i="18"/>
  <c r="B271" i="16"/>
  <c r="B47" i="19" s="1"/>
  <c r="E87" i="22"/>
  <c r="C61" i="18"/>
  <c r="E789" i="22"/>
  <c r="F789" i="22" s="1"/>
  <c r="D266" i="16"/>
  <c r="D42" i="19" s="1"/>
  <c r="T94" i="13"/>
  <c r="D262" i="16"/>
  <c r="G58" i="18"/>
  <c r="G56" i="18"/>
  <c r="D272" i="16"/>
  <c r="D48" i="19" s="1"/>
  <c r="B269" i="16"/>
  <c r="B45" i="19" s="1"/>
  <c r="T135" i="13"/>
  <c r="T119" i="13"/>
  <c r="T97" i="13"/>
  <c r="G57" i="18"/>
  <c r="B263" i="16"/>
  <c r="B39" i="19" s="1"/>
  <c r="G267" i="16"/>
  <c r="G43" i="19" s="1"/>
  <c r="G95" i="19" s="1"/>
  <c r="D793" i="22" s="1"/>
  <c r="D796" i="22" s="1"/>
  <c r="C51" i="18"/>
  <c r="B35" i="17"/>
  <c r="C100" i="18"/>
  <c r="C242" i="18" s="1"/>
  <c r="G46" i="19"/>
  <c r="B99" i="18"/>
  <c r="C213" i="18" s="1"/>
  <c r="E149" i="18"/>
  <c r="B300" i="18" s="1"/>
  <c r="E102" i="18"/>
  <c r="C300" i="18" s="1"/>
  <c r="E95" i="18"/>
  <c r="C293" i="18" s="1"/>
  <c r="E142" i="18"/>
  <c r="B293" i="18" s="1"/>
  <c r="D490" i="22"/>
  <c r="R21" i="23"/>
  <c r="D121" i="22"/>
  <c r="P10" i="23"/>
  <c r="L33" i="23"/>
  <c r="J883" i="22"/>
  <c r="I883" i="22"/>
  <c r="F85" i="22"/>
  <c r="B42" i="18"/>
  <c r="B253" i="16"/>
  <c r="E183" i="22"/>
  <c r="T21" i="23"/>
  <c r="D492" i="22"/>
  <c r="G891" i="22"/>
  <c r="H891" i="22"/>
  <c r="E281" i="22"/>
  <c r="D43" i="18"/>
  <c r="D254" i="16"/>
  <c r="E101" i="18"/>
  <c r="C299" i="18" s="1"/>
  <c r="E148" i="18"/>
  <c r="B299" i="18" s="1"/>
  <c r="U32" i="23"/>
  <c r="G858" i="22"/>
  <c r="F858" i="22"/>
  <c r="D216" i="22"/>
  <c r="M13" i="23"/>
  <c r="D248" i="22"/>
  <c r="F248" i="22" s="1"/>
  <c r="N139" i="16"/>
  <c r="D184" i="22"/>
  <c r="F184" i="22" s="1"/>
  <c r="N137" i="16"/>
  <c r="D282" i="22"/>
  <c r="F282" i="22" s="1"/>
  <c r="N140" i="16"/>
  <c r="R23" i="23"/>
  <c r="D554" i="22"/>
  <c r="D123" i="22"/>
  <c r="R10" i="23"/>
  <c r="E616" i="22"/>
  <c r="F616" i="22"/>
  <c r="D217" i="22"/>
  <c r="N13" i="23"/>
  <c r="G885" i="22"/>
  <c r="H885" i="22"/>
  <c r="B35" i="18"/>
  <c r="B246" i="16"/>
  <c r="L22" i="23"/>
  <c r="D516" i="22"/>
  <c r="C251" i="16"/>
  <c r="C40" i="18"/>
  <c r="E43" i="19"/>
  <c r="E95" i="19" s="1"/>
  <c r="U28" i="23"/>
  <c r="G722" i="22"/>
  <c r="F722" i="22"/>
  <c r="F784" i="22"/>
  <c r="G784" i="22"/>
  <c r="O30" i="23"/>
  <c r="O26" i="23"/>
  <c r="F648" i="22"/>
  <c r="E648" i="22"/>
  <c r="J426" i="22"/>
  <c r="K426" i="22"/>
  <c r="L426" i="22"/>
  <c r="U19" i="23"/>
  <c r="F646" i="22"/>
  <c r="E646" i="22"/>
  <c r="M26" i="23"/>
  <c r="D549" i="22"/>
  <c r="M23" i="23"/>
  <c r="B44" i="18"/>
  <c r="B255" i="16"/>
  <c r="S179" i="16"/>
  <c r="F423" i="22"/>
  <c r="I423" i="22" s="1"/>
  <c r="D287" i="22"/>
  <c r="F287" i="22" s="1"/>
  <c r="S140" i="16"/>
  <c r="D285" i="22"/>
  <c r="F285" i="22" s="1"/>
  <c r="Q140" i="16"/>
  <c r="F421" i="22"/>
  <c r="I421" i="22" s="1"/>
  <c r="Q179" i="16"/>
  <c r="F455" i="22"/>
  <c r="I455" i="22" s="1"/>
  <c r="P20" i="23" s="1"/>
  <c r="Q180" i="16"/>
  <c r="P23" i="23"/>
  <c r="D552" i="22"/>
  <c r="F315" i="22"/>
  <c r="F390" i="22"/>
  <c r="I390" i="22" s="1"/>
  <c r="T178" i="16"/>
  <c r="D92" i="22"/>
  <c r="F92" i="22" s="1"/>
  <c r="T134" i="16"/>
  <c r="C58" i="22"/>
  <c r="D58" i="22" s="1"/>
  <c r="T133" i="16"/>
  <c r="T141" i="16"/>
  <c r="D322" i="22"/>
  <c r="F322" i="22" s="1"/>
  <c r="F619" i="22"/>
  <c r="E619" i="22"/>
  <c r="I892" i="22"/>
  <c r="U33" i="23"/>
  <c r="J892" i="22"/>
  <c r="E147" i="19"/>
  <c r="E320" i="19" s="1"/>
  <c r="E963" i="22"/>
  <c r="F420" i="22"/>
  <c r="I420" i="22" s="1"/>
  <c r="P179" i="16"/>
  <c r="D519" i="22"/>
  <c r="O22" i="23"/>
  <c r="D524" i="22"/>
  <c r="T22" i="23"/>
  <c r="C117" i="22"/>
  <c r="E45" i="19"/>
  <c r="H952" i="22"/>
  <c r="G952" i="22"/>
  <c r="M10" i="23"/>
  <c r="D118" i="22"/>
  <c r="O137" i="16"/>
  <c r="D185" i="22"/>
  <c r="F185" i="22" s="1"/>
  <c r="O179" i="16"/>
  <c r="F419" i="22"/>
  <c r="I419" i="22" s="1"/>
  <c r="O133" i="16"/>
  <c r="C53" i="22"/>
  <c r="D53" i="22" s="1"/>
  <c r="D119" i="22"/>
  <c r="N10" i="23"/>
  <c r="F281" i="22"/>
  <c r="D555" i="22"/>
  <c r="S23" i="23"/>
  <c r="C43" i="18"/>
  <c r="C254" i="16"/>
  <c r="K358" i="22"/>
  <c r="J358" i="22"/>
  <c r="U17" i="23"/>
  <c r="L358" i="22"/>
  <c r="H750" i="22"/>
  <c r="G750" i="22"/>
  <c r="U139" i="16"/>
  <c r="D255" i="22"/>
  <c r="F255" i="22" s="1"/>
  <c r="U177" i="16"/>
  <c r="F357" i="22"/>
  <c r="I357" i="22" s="1"/>
  <c r="E856" i="22"/>
  <c r="B48" i="18"/>
  <c r="G272" i="16"/>
  <c r="G48" i="19" s="1"/>
  <c r="D268" i="16"/>
  <c r="D44" i="19" s="1"/>
  <c r="H423" i="22"/>
  <c r="I383" i="22"/>
  <c r="I349" i="22"/>
  <c r="B49" i="18"/>
  <c r="G266" i="16"/>
  <c r="G42" i="19" s="1"/>
  <c r="T95" i="13"/>
  <c r="V41" i="23"/>
  <c r="G269" i="16"/>
  <c r="G45" i="19" s="1"/>
  <c r="E322" i="22"/>
  <c r="D61" i="18"/>
  <c r="C59" i="18"/>
  <c r="C155" i="18" s="1"/>
  <c r="B250" i="18" s="1"/>
  <c r="E316" i="22"/>
  <c r="B52" i="18"/>
  <c r="E189" i="22"/>
  <c r="E851" i="22"/>
  <c r="E185" i="22"/>
  <c r="E283" i="22"/>
  <c r="B265" i="16"/>
  <c r="B41" i="19" s="1"/>
  <c r="G59" i="18"/>
  <c r="G155" i="18" s="1"/>
  <c r="B362" i="18" s="1"/>
  <c r="H386" i="22"/>
  <c r="E323" i="22"/>
  <c r="E93" i="22"/>
  <c r="B100" i="18"/>
  <c r="C214" i="18" s="1"/>
  <c r="E42" i="19"/>
  <c r="E94" i="19" s="1"/>
  <c r="G884" i="22"/>
  <c r="H884" i="22"/>
  <c r="B45" i="18"/>
  <c r="B256" i="16"/>
  <c r="E40" i="19"/>
  <c r="E92" i="19" s="1"/>
  <c r="H817" i="22"/>
  <c r="G817" i="22"/>
  <c r="D51" i="22"/>
  <c r="E247" i="22"/>
  <c r="D523" i="22"/>
  <c r="S22" i="23"/>
  <c r="J960" i="22"/>
  <c r="I960" i="22"/>
  <c r="U35" i="23"/>
  <c r="E150" i="18"/>
  <c r="B301" i="18" s="1"/>
  <c r="E103" i="18"/>
  <c r="C301" i="18" s="1"/>
  <c r="H755" i="22"/>
  <c r="G755" i="22"/>
  <c r="H823" i="22"/>
  <c r="G823" i="22"/>
  <c r="D484" i="22"/>
  <c r="L21" i="23"/>
  <c r="H349" i="22"/>
  <c r="E39" i="19"/>
  <c r="F350" i="22"/>
  <c r="I350" i="22" s="1"/>
  <c r="N177" i="16"/>
  <c r="N134" i="16"/>
  <c r="D86" i="22"/>
  <c r="F86" i="22" s="1"/>
  <c r="N141" i="16"/>
  <c r="D316" i="22"/>
  <c r="F316" i="22" s="1"/>
  <c r="H958" i="22"/>
  <c r="G958" i="22"/>
  <c r="E155" i="18"/>
  <c r="B306" i="18" s="1"/>
  <c r="E108" i="18"/>
  <c r="C306" i="18" s="1"/>
  <c r="E105" i="18"/>
  <c r="C303" i="18" s="1"/>
  <c r="E152" i="18"/>
  <c r="B303" i="18" s="1"/>
  <c r="G254" i="16"/>
  <c r="G43" i="18"/>
  <c r="G889" i="22"/>
  <c r="H889" i="22"/>
  <c r="E651" i="22"/>
  <c r="R26" i="23"/>
  <c r="F651" i="22"/>
  <c r="D189" i="22"/>
  <c r="F189" i="22" s="1"/>
  <c r="S137" i="16"/>
  <c r="D91" i="22"/>
  <c r="F91" i="22" s="1"/>
  <c r="S134" i="16"/>
  <c r="C155" i="22"/>
  <c r="D155" i="22" s="1"/>
  <c r="S136" i="16"/>
  <c r="F355" i="22"/>
  <c r="I355" i="22" s="1"/>
  <c r="S177" i="16"/>
  <c r="D187" i="22"/>
  <c r="F187" i="22" s="1"/>
  <c r="Q137" i="16"/>
  <c r="D251" i="22"/>
  <c r="F251" i="22" s="1"/>
  <c r="Q139" i="16"/>
  <c r="D219" i="22"/>
  <c r="P13" i="23"/>
  <c r="G953" i="22"/>
  <c r="H953" i="22"/>
  <c r="D149" i="22"/>
  <c r="G890" i="22"/>
  <c r="H890" i="22"/>
  <c r="T139" i="16"/>
  <c r="D254" i="22"/>
  <c r="F254" i="22" s="1"/>
  <c r="C257" i="16"/>
  <c r="C46" i="18"/>
  <c r="I951" i="22"/>
  <c r="J951" i="22"/>
  <c r="L35" i="23"/>
  <c r="D318" i="22"/>
  <c r="F318" i="22" s="1"/>
  <c r="P141" i="16"/>
  <c r="F454" i="22"/>
  <c r="I454" i="22" s="1"/>
  <c r="O20" i="23" s="1"/>
  <c r="P180" i="16"/>
  <c r="P139" i="16"/>
  <c r="D250" i="22"/>
  <c r="F250" i="22" s="1"/>
  <c r="F615" i="22"/>
  <c r="E615" i="22"/>
  <c r="G255" i="16"/>
  <c r="G44" i="18"/>
  <c r="G621" i="22"/>
  <c r="U25" i="23"/>
  <c r="M21" i="23"/>
  <c r="D485" i="22"/>
  <c r="H821" i="22"/>
  <c r="G821" i="22"/>
  <c r="R13" i="23"/>
  <c r="D221" i="22"/>
  <c r="D488" i="22"/>
  <c r="P21" i="23"/>
  <c r="O136" i="16"/>
  <c r="C151" i="22"/>
  <c r="D151" i="22" s="1"/>
  <c r="O178" i="16"/>
  <c r="F385" i="22"/>
  <c r="I385" i="22" s="1"/>
  <c r="H749" i="22"/>
  <c r="G749" i="22"/>
  <c r="D548" i="22"/>
  <c r="L23" i="23"/>
  <c r="E140" i="18"/>
  <c r="B291" i="18" s="1"/>
  <c r="E93" i="18"/>
  <c r="C291" i="18" s="1"/>
  <c r="C44" i="18"/>
  <c r="C255" i="16"/>
  <c r="C75" i="14"/>
  <c r="S88" i="14" s="1"/>
  <c r="S29" i="14"/>
  <c r="U178" i="16"/>
  <c r="F391" i="22"/>
  <c r="I391" i="22" s="1"/>
  <c r="F459" i="22"/>
  <c r="I459" i="22" s="1"/>
  <c r="T20" i="23" s="1"/>
  <c r="U180" i="16"/>
  <c r="S32" i="14"/>
  <c r="C78" i="14"/>
  <c r="S91" i="14" s="1"/>
  <c r="T30" i="23"/>
  <c r="C55" i="18"/>
  <c r="H357" i="22"/>
  <c r="H387" i="22"/>
  <c r="H385" i="22"/>
  <c r="B58" i="18"/>
  <c r="E190" i="22"/>
  <c r="G265" i="16"/>
  <c r="D55" i="18"/>
  <c r="D151" i="18" s="1"/>
  <c r="B274" i="18" s="1"/>
  <c r="C262" i="16"/>
  <c r="E319" i="22"/>
  <c r="B267" i="16"/>
  <c r="B43" i="19" s="1"/>
  <c r="H352" i="22"/>
  <c r="E255" i="22"/>
  <c r="E925" i="22"/>
  <c r="T34" i="23" s="1"/>
  <c r="B272" i="16"/>
  <c r="B48" i="19" s="1"/>
  <c r="B261" i="16"/>
  <c r="B146" i="18" s="1"/>
  <c r="B213" i="18" s="1"/>
  <c r="E253" i="22"/>
  <c r="E783" i="22"/>
  <c r="B270" i="16"/>
  <c r="B46" i="19" s="1"/>
  <c r="H420" i="22"/>
  <c r="E289" i="22"/>
  <c r="E191" i="22"/>
  <c r="M30" i="23"/>
  <c r="G782" i="22"/>
  <c r="F782" i="22"/>
  <c r="B96" i="19"/>
  <c r="B827" i="22" s="1"/>
  <c r="B34" i="17"/>
  <c r="E104" i="18"/>
  <c r="C302" i="18" s="1"/>
  <c r="E151" i="18"/>
  <c r="B302" i="18" s="1"/>
  <c r="H417" i="22"/>
  <c r="D45" i="18"/>
  <c r="D256" i="16"/>
  <c r="B40" i="18"/>
  <c r="B251" i="16"/>
  <c r="C215" i="22"/>
  <c r="D222" i="22"/>
  <c r="S13" i="23"/>
  <c r="J824" i="22"/>
  <c r="I824" i="22"/>
  <c r="U31" i="23"/>
  <c r="E315" i="22"/>
  <c r="E41" i="19"/>
  <c r="E93" i="19" s="1"/>
  <c r="G886" i="22"/>
  <c r="H886" i="22"/>
  <c r="D487" i="22"/>
  <c r="O21" i="23"/>
  <c r="G721" i="22"/>
  <c r="F721" i="22"/>
  <c r="T28" i="23"/>
  <c r="F857" i="22"/>
  <c r="B43" i="18"/>
  <c r="B254" i="16"/>
  <c r="C52" i="22"/>
  <c r="D52" i="22" s="1"/>
  <c r="N133" i="16"/>
  <c r="F452" i="22"/>
  <c r="I452" i="22" s="1"/>
  <c r="M20" i="23" s="1"/>
  <c r="N180" i="16"/>
  <c r="F384" i="22"/>
  <c r="I384" i="22" s="1"/>
  <c r="N178" i="16"/>
  <c r="C38" i="18"/>
  <c r="C249" i="16"/>
  <c r="G257" i="16"/>
  <c r="G46" i="18"/>
  <c r="C256" i="16"/>
  <c r="C45" i="18"/>
  <c r="F788" i="22"/>
  <c r="G788" i="22"/>
  <c r="S30" i="23"/>
  <c r="E46" i="19"/>
  <c r="E98" i="19" s="1"/>
  <c r="E85" i="22"/>
  <c r="B46" i="18"/>
  <c r="B257" i="16"/>
  <c r="G818" i="22"/>
  <c r="H818" i="22"/>
  <c r="O13" i="23"/>
  <c r="D218" i="22"/>
  <c r="E654" i="22"/>
  <c r="U26" i="23"/>
  <c r="F654" i="22"/>
  <c r="J756" i="22"/>
  <c r="I756" i="22"/>
  <c r="U29" i="23"/>
  <c r="G816" i="22"/>
  <c r="H816" i="22"/>
  <c r="H383" i="22"/>
  <c r="D522" i="22"/>
  <c r="R22" i="23"/>
  <c r="S139" i="16"/>
  <c r="D253" i="22"/>
  <c r="F253" i="22" s="1"/>
  <c r="S133" i="16"/>
  <c r="C57" i="22"/>
  <c r="D57" i="22" s="1"/>
  <c r="F457" i="22"/>
  <c r="I457" i="22" s="1"/>
  <c r="R20" i="23" s="1"/>
  <c r="S180" i="16"/>
  <c r="Q136" i="16"/>
  <c r="C153" i="22"/>
  <c r="D153" i="22" s="1"/>
  <c r="D89" i="22"/>
  <c r="F89" i="22" s="1"/>
  <c r="Q134" i="16"/>
  <c r="F353" i="22"/>
  <c r="I353" i="22" s="1"/>
  <c r="Q177" i="16"/>
  <c r="H819" i="22"/>
  <c r="G819" i="22"/>
  <c r="E614" i="22"/>
  <c r="F614" i="22"/>
  <c r="C41" i="18"/>
  <c r="C252" i="16"/>
  <c r="I417" i="22"/>
  <c r="T140" i="16"/>
  <c r="D288" i="22"/>
  <c r="F288" i="22" s="1"/>
  <c r="F356" i="22"/>
  <c r="I356" i="22" s="1"/>
  <c r="T177" i="16"/>
  <c r="E156" i="18"/>
  <c r="B307" i="18" s="1"/>
  <c r="E109" i="18"/>
  <c r="C307" i="18" s="1"/>
  <c r="L24" i="23"/>
  <c r="P137" i="16"/>
  <c r="D186" i="22"/>
  <c r="F186" i="22" s="1"/>
  <c r="F352" i="22"/>
  <c r="I352" i="22" s="1"/>
  <c r="P177" i="16"/>
  <c r="P136" i="16"/>
  <c r="C152" i="22"/>
  <c r="D152" i="22" s="1"/>
  <c r="O10" i="23"/>
  <c r="D120" i="22"/>
  <c r="H954" i="22"/>
  <c r="G954" i="22"/>
  <c r="D257" i="16"/>
  <c r="D46" i="18"/>
  <c r="L25" i="23"/>
  <c r="G612" i="22"/>
  <c r="O141" i="16"/>
  <c r="D317" i="22"/>
  <c r="F317" i="22" s="1"/>
  <c r="D249" i="22"/>
  <c r="F249" i="22" s="1"/>
  <c r="O139" i="16"/>
  <c r="D283" i="22"/>
  <c r="F283" i="22" s="1"/>
  <c r="O140" i="16"/>
  <c r="N21" i="23"/>
  <c r="D486" i="22"/>
  <c r="F183" i="22"/>
  <c r="G754" i="22"/>
  <c r="H754" i="22"/>
  <c r="E44" i="19"/>
  <c r="E96" i="19" s="1"/>
  <c r="U30" i="23"/>
  <c r="G790" i="22"/>
  <c r="F790" i="22"/>
  <c r="O23" i="23"/>
  <c r="D551" i="22"/>
  <c r="D556" i="22"/>
  <c r="T23" i="23"/>
  <c r="U179" i="16"/>
  <c r="F425" i="22"/>
  <c r="I425" i="22" s="1"/>
  <c r="D289" i="22"/>
  <c r="F289" i="22" s="1"/>
  <c r="U140" i="16"/>
  <c r="U141" i="16"/>
  <c r="D323" i="22"/>
  <c r="F323" i="22" s="1"/>
  <c r="D223" i="22"/>
  <c r="T13" i="23"/>
  <c r="B153" i="18"/>
  <c r="B220" i="18" s="1"/>
  <c r="H350" i="22"/>
  <c r="E717" i="22"/>
  <c r="H353" i="22"/>
  <c r="D270" i="16"/>
  <c r="B55" i="18"/>
  <c r="E923" i="22"/>
  <c r="R34" i="23" s="1"/>
  <c r="G271" i="16"/>
  <c r="G47" i="19" s="1"/>
  <c r="I451" i="22"/>
  <c r="H390" i="22"/>
  <c r="E720" i="22"/>
  <c r="H418" i="22"/>
  <c r="H384" i="22"/>
  <c r="E919" i="22"/>
  <c r="N34" i="23" s="1"/>
  <c r="E249" i="22"/>
  <c r="G268" i="16"/>
  <c r="B266" i="16"/>
  <c r="E918" i="22"/>
  <c r="M34" i="23" s="1"/>
  <c r="E184" i="22"/>
  <c r="B264" i="16"/>
  <c r="B40" i="19" s="1"/>
  <c r="C272" i="16"/>
  <c r="C48" i="19" s="1"/>
  <c r="B37" i="18"/>
  <c r="E89" i="22"/>
  <c r="H351" i="22"/>
  <c r="D51" i="18"/>
  <c r="D147" i="18" s="1"/>
  <c r="B270" i="18" s="1"/>
  <c r="E852" i="22"/>
  <c r="H425" i="22"/>
  <c r="F850" i="22"/>
  <c r="M32" i="23"/>
  <c r="G850" i="22"/>
  <c r="F613" i="22"/>
  <c r="E613" i="22"/>
  <c r="D44" i="18"/>
  <c r="D255" i="16"/>
  <c r="F618" i="22"/>
  <c r="E618" i="22"/>
  <c r="G957" i="22"/>
  <c r="H957" i="22"/>
  <c r="D550" i="22"/>
  <c r="N23" i="23"/>
  <c r="J747" i="22"/>
  <c r="I747" i="22"/>
  <c r="L29" i="23"/>
  <c r="C35" i="18"/>
  <c r="C246" i="16"/>
  <c r="B39" i="18"/>
  <c r="B250" i="16"/>
  <c r="K392" i="22"/>
  <c r="J392" i="22"/>
  <c r="L392" i="22"/>
  <c r="U18" i="23"/>
  <c r="B38" i="18"/>
  <c r="B249" i="16"/>
  <c r="E139" i="18"/>
  <c r="B290" i="18" s="1"/>
  <c r="E92" i="18"/>
  <c r="C290" i="18" s="1"/>
  <c r="T10" i="23"/>
  <c r="D125" i="22"/>
  <c r="B41" i="18"/>
  <c r="B252" i="16"/>
  <c r="E141" i="18"/>
  <c r="B292" i="18" s="1"/>
  <c r="E94" i="18"/>
  <c r="C292" i="18" s="1"/>
  <c r="H748" i="22"/>
  <c r="G748" i="22"/>
  <c r="N179" i="16"/>
  <c r="F418" i="22"/>
  <c r="I418" i="22" s="1"/>
  <c r="N136" i="16"/>
  <c r="C150" i="22"/>
  <c r="D150" i="22" s="1"/>
  <c r="P22" i="23"/>
  <c r="D520" i="22"/>
  <c r="G751" i="22"/>
  <c r="H751" i="22"/>
  <c r="P26" i="23"/>
  <c r="F649" i="22"/>
  <c r="E649" i="22"/>
  <c r="D491" i="22"/>
  <c r="S21" i="23"/>
  <c r="H822" i="22"/>
  <c r="G822" i="22"/>
  <c r="M22" i="23"/>
  <c r="D517" i="22"/>
  <c r="G45" i="18"/>
  <c r="G256" i="16"/>
  <c r="G787" i="22"/>
  <c r="S141" i="16"/>
  <c r="D321" i="22"/>
  <c r="F321" i="22" s="1"/>
  <c r="F389" i="22"/>
  <c r="I389" i="22" s="1"/>
  <c r="S178" i="16"/>
  <c r="Q133" i="16"/>
  <c r="C55" i="22"/>
  <c r="D55" i="22" s="1"/>
  <c r="Q178" i="16"/>
  <c r="F387" i="22"/>
  <c r="I387" i="22" s="1"/>
  <c r="D319" i="22"/>
  <c r="F319" i="22" s="1"/>
  <c r="Q141" i="16"/>
  <c r="G853" i="22"/>
  <c r="F853" i="22"/>
  <c r="P32" i="23"/>
  <c r="H887" i="22"/>
  <c r="G887" i="22"/>
  <c r="D518" i="22"/>
  <c r="N22" i="23"/>
  <c r="D190" i="22"/>
  <c r="F190" i="22" s="1"/>
  <c r="T137" i="16"/>
  <c r="T136" i="16"/>
  <c r="C156" i="22"/>
  <c r="D156" i="22" s="1"/>
  <c r="F424" i="22"/>
  <c r="I424" i="22" s="1"/>
  <c r="T179" i="16"/>
  <c r="T180" i="16"/>
  <c r="F458" i="22"/>
  <c r="I458" i="22" s="1"/>
  <c r="S20" i="23" s="1"/>
  <c r="E652" i="22"/>
  <c r="S26" i="23"/>
  <c r="F652" i="22"/>
  <c r="S10" i="23"/>
  <c r="D124" i="22"/>
  <c r="E47" i="19"/>
  <c r="E99" i="19" s="1"/>
  <c r="E110" i="18"/>
  <c r="C308" i="18" s="1"/>
  <c r="E157" i="18"/>
  <c r="B308" i="18" s="1"/>
  <c r="P134" i="16"/>
  <c r="D88" i="22"/>
  <c r="F88" i="22" s="1"/>
  <c r="P140" i="16"/>
  <c r="D284" i="22"/>
  <c r="F284" i="22" s="1"/>
  <c r="C54" i="22"/>
  <c r="D54" i="22" s="1"/>
  <c r="P133" i="16"/>
  <c r="F386" i="22"/>
  <c r="I386" i="22" s="1"/>
  <c r="P178" i="16"/>
  <c r="B247" i="16"/>
  <c r="B36" i="18"/>
  <c r="L31" i="23"/>
  <c r="J815" i="22"/>
  <c r="I815" i="22"/>
  <c r="E107" i="18"/>
  <c r="C305" i="18" s="1"/>
  <c r="E154" i="18"/>
  <c r="B305" i="18" s="1"/>
  <c r="G753" i="22"/>
  <c r="H753" i="22"/>
  <c r="H955" i="22"/>
  <c r="G955" i="22"/>
  <c r="C42" i="18"/>
  <c r="C253" i="16"/>
  <c r="D87" i="22"/>
  <c r="F87" i="22" s="1"/>
  <c r="O134" i="16"/>
  <c r="O180" i="16"/>
  <c r="F453" i="22"/>
  <c r="I453" i="22" s="1"/>
  <c r="N20" i="23" s="1"/>
  <c r="F351" i="22"/>
  <c r="I351" i="22" s="1"/>
  <c r="O177" i="16"/>
  <c r="N26" i="23"/>
  <c r="E647" i="22"/>
  <c r="F647" i="22"/>
  <c r="F247" i="22"/>
  <c r="E106" i="18"/>
  <c r="C304" i="18" s="1"/>
  <c r="E153" i="18"/>
  <c r="B304" i="18" s="1"/>
  <c r="F620" i="22"/>
  <c r="E620" i="22"/>
  <c r="T26" i="23"/>
  <c r="E653" i="22"/>
  <c r="F653" i="22"/>
  <c r="C76" i="14"/>
  <c r="S89" i="14" s="1"/>
  <c r="S30" i="14"/>
  <c r="C77" i="14"/>
  <c r="S90" i="14" s="1"/>
  <c r="S31" i="14"/>
  <c r="G959" i="22"/>
  <c r="H959" i="22"/>
  <c r="E719" i="22"/>
  <c r="E785" i="22"/>
  <c r="E91" i="22"/>
  <c r="E855" i="22"/>
  <c r="E716" i="22"/>
  <c r="B60" i="18"/>
  <c r="B245" i="16"/>
  <c r="H389" i="22"/>
  <c r="E251" i="22"/>
  <c r="E920" i="22"/>
  <c r="O34" i="23" s="1"/>
  <c r="E284" i="22"/>
  <c r="E88" i="22"/>
  <c r="F714" i="22" l="1"/>
  <c r="B41" i="17"/>
  <c r="B156" i="18"/>
  <c r="B223" i="18" s="1"/>
  <c r="D223" i="18" s="1"/>
  <c r="F787" i="22"/>
  <c r="B143" i="18"/>
  <c r="B210" i="18" s="1"/>
  <c r="T32" i="23"/>
  <c r="N28" i="23"/>
  <c r="G714" i="22"/>
  <c r="B47" i="17"/>
  <c r="B44" i="17"/>
  <c r="B38" i="17"/>
  <c r="B154" i="18"/>
  <c r="B221" i="18" s="1"/>
  <c r="D221" i="18" s="1"/>
  <c r="C151" i="18"/>
  <c r="B246" i="18" s="1"/>
  <c r="F715" i="22"/>
  <c r="B147" i="18"/>
  <c r="B214" i="18" s="1"/>
  <c r="C153" i="18"/>
  <c r="B248" i="18" s="1"/>
  <c r="D248" i="18" s="1"/>
  <c r="F256" i="16"/>
  <c r="G789" i="22"/>
  <c r="B148" i="18"/>
  <c r="B215" i="18" s="1"/>
  <c r="D215" i="18" s="1"/>
  <c r="F45" i="18"/>
  <c r="F94" i="18" s="1"/>
  <c r="C320" i="18" s="1"/>
  <c r="U41" i="23"/>
  <c r="E41" i="18"/>
  <c r="E137" i="18" s="1"/>
  <c r="B288" i="18" s="1"/>
  <c r="E40" i="18"/>
  <c r="E136" i="18" s="1"/>
  <c r="B287" i="18" s="1"/>
  <c r="F254" i="16"/>
  <c r="B30" i="17" s="1"/>
  <c r="E252" i="16"/>
  <c r="B39" i="17"/>
  <c r="D157" i="18"/>
  <c r="B280" i="18" s="1"/>
  <c r="F46" i="18"/>
  <c r="F142" i="18" s="1"/>
  <c r="B321" i="18" s="1"/>
  <c r="G142" i="19"/>
  <c r="G306" i="19" s="1"/>
  <c r="F255" i="16"/>
  <c r="B31" i="17" s="1"/>
  <c r="G152" i="18"/>
  <c r="B359" i="18" s="1"/>
  <c r="D359" i="18" s="1"/>
  <c r="E253" i="16"/>
  <c r="B29" i="17" s="1"/>
  <c r="C141" i="19"/>
  <c r="C303" i="19" s="1"/>
  <c r="E42" i="18"/>
  <c r="E91" i="18" s="1"/>
  <c r="C289" i="18" s="1"/>
  <c r="F43" i="18"/>
  <c r="F92" i="18" s="1"/>
  <c r="C318" i="18" s="1"/>
  <c r="D362" i="18"/>
  <c r="D250" i="18"/>
  <c r="D213" i="18"/>
  <c r="D274" i="18"/>
  <c r="B28" i="17"/>
  <c r="D305" i="18"/>
  <c r="S11" i="23"/>
  <c r="E156" i="22"/>
  <c r="F156" i="22"/>
  <c r="J389" i="22"/>
  <c r="L389" i="22"/>
  <c r="K389" i="22"/>
  <c r="R18" i="23"/>
  <c r="J748" i="22"/>
  <c r="M29" i="23"/>
  <c r="I748" i="22"/>
  <c r="F785" i="22"/>
  <c r="P30" i="23"/>
  <c r="G785" i="22"/>
  <c r="C157" i="22"/>
  <c r="D157" i="22" s="1"/>
  <c r="U136" i="16"/>
  <c r="E248" i="16" s="1"/>
  <c r="D304" i="18"/>
  <c r="C91" i="18"/>
  <c r="C233" i="18" s="1"/>
  <c r="C138" i="18"/>
  <c r="B233" i="18" s="1"/>
  <c r="H284" i="22"/>
  <c r="G284" i="22"/>
  <c r="O15" i="23"/>
  <c r="D308" i="18"/>
  <c r="L424" i="22"/>
  <c r="K424" i="22"/>
  <c r="J424" i="22"/>
  <c r="S19" i="23"/>
  <c r="S12" i="23"/>
  <c r="G190" i="22"/>
  <c r="H190" i="22"/>
  <c r="L387" i="22"/>
  <c r="J387" i="22"/>
  <c r="K387" i="22"/>
  <c r="P18" i="23"/>
  <c r="G141" i="18"/>
  <c r="B348" i="18" s="1"/>
  <c r="G94" i="18"/>
  <c r="C348" i="18" s="1"/>
  <c r="S31" i="23"/>
  <c r="I822" i="22"/>
  <c r="J822" i="22"/>
  <c r="P29" i="23"/>
  <c r="J751" i="22"/>
  <c r="I751" i="22"/>
  <c r="M11" i="23"/>
  <c r="F150" i="22"/>
  <c r="E150" i="22"/>
  <c r="D292" i="18"/>
  <c r="D140" i="18"/>
  <c r="B263" i="18" s="1"/>
  <c r="D93" i="18"/>
  <c r="C263" i="18" s="1"/>
  <c r="B86" i="18"/>
  <c r="C200" i="18" s="1"/>
  <c r="G99" i="19"/>
  <c r="D929" i="22" s="1"/>
  <c r="D932" i="22" s="1"/>
  <c r="G183" i="22"/>
  <c r="L12" i="23"/>
  <c r="H183" i="22"/>
  <c r="N15" i="23"/>
  <c r="G283" i="22"/>
  <c r="H283" i="22"/>
  <c r="D142" i="18"/>
  <c r="B265" i="18" s="1"/>
  <c r="D95" i="18"/>
  <c r="C265" i="18" s="1"/>
  <c r="G614" i="22"/>
  <c r="N25" i="23"/>
  <c r="F153" i="22"/>
  <c r="E153" i="22"/>
  <c r="P11" i="23"/>
  <c r="F57" i="22"/>
  <c r="E57" i="22"/>
  <c r="R8" i="23"/>
  <c r="M31" i="23"/>
  <c r="I816" i="22"/>
  <c r="J816" i="22"/>
  <c r="E145" i="19"/>
  <c r="E895" i="22"/>
  <c r="M18" i="23"/>
  <c r="L384" i="22"/>
  <c r="K384" i="22"/>
  <c r="J384" i="22"/>
  <c r="F52" i="22"/>
  <c r="E52" i="22"/>
  <c r="M8" i="23"/>
  <c r="G783" i="22"/>
  <c r="N30" i="23"/>
  <c r="F783" i="22"/>
  <c r="B100" i="19"/>
  <c r="B147" i="19" s="1"/>
  <c r="B320" i="19" s="1"/>
  <c r="C140" i="18"/>
  <c r="B235" i="18" s="1"/>
  <c r="C93" i="18"/>
  <c r="C235" i="18" s="1"/>
  <c r="I821" i="22"/>
  <c r="J821" i="22"/>
  <c r="R31" i="23"/>
  <c r="O25" i="23"/>
  <c r="G615" i="22"/>
  <c r="H254" i="22"/>
  <c r="G254" i="22"/>
  <c r="S14" i="23"/>
  <c r="J953" i="22"/>
  <c r="N35" i="23"/>
  <c r="I953" i="22"/>
  <c r="J958" i="22"/>
  <c r="S35" i="23"/>
  <c r="I958" i="22"/>
  <c r="F51" i="22"/>
  <c r="L8" i="23"/>
  <c r="E51" i="22"/>
  <c r="E141" i="19"/>
  <c r="E759" i="22"/>
  <c r="D214" i="18"/>
  <c r="G97" i="19"/>
  <c r="D861" i="22" s="1"/>
  <c r="D864" i="22" s="1"/>
  <c r="L383" i="22"/>
  <c r="L18" i="23"/>
  <c r="K383" i="22"/>
  <c r="J383" i="22"/>
  <c r="O29" i="23"/>
  <c r="I750" i="22"/>
  <c r="J750" i="22"/>
  <c r="H281" i="22"/>
  <c r="L15" i="23"/>
  <c r="G281" i="22"/>
  <c r="J952" i="22"/>
  <c r="I952" i="22"/>
  <c r="M35" i="23"/>
  <c r="L10" i="23"/>
  <c r="D117" i="22"/>
  <c r="G92" i="22"/>
  <c r="H92" i="22"/>
  <c r="S9" i="23"/>
  <c r="H315" i="22"/>
  <c r="G315" i="22"/>
  <c r="L16" i="23"/>
  <c r="P15" i="23"/>
  <c r="H285" i="22"/>
  <c r="G285" i="22"/>
  <c r="B138" i="18"/>
  <c r="B205" i="18" s="1"/>
  <c r="B91" i="18"/>
  <c r="C205" i="18" s="1"/>
  <c r="D94" i="19"/>
  <c r="D759" i="22" s="1"/>
  <c r="D762" i="22" s="1"/>
  <c r="B99" i="19"/>
  <c r="B929" i="22" s="1"/>
  <c r="B932" i="22" s="1"/>
  <c r="B97" i="19"/>
  <c r="B861" i="22" s="1"/>
  <c r="B864" i="22" s="1"/>
  <c r="F257" i="16"/>
  <c r="B143" i="19"/>
  <c r="F44" i="18"/>
  <c r="C143" i="19"/>
  <c r="C157" i="18"/>
  <c r="B252" i="18" s="1"/>
  <c r="B152" i="18"/>
  <c r="B219" i="18" s="1"/>
  <c r="R28" i="23"/>
  <c r="F719" i="22"/>
  <c r="G719" i="22"/>
  <c r="G716" i="22"/>
  <c r="F716" i="22"/>
  <c r="O28" i="23"/>
  <c r="G620" i="22"/>
  <c r="T25" i="23"/>
  <c r="L14" i="23"/>
  <c r="G247" i="22"/>
  <c r="H247" i="22"/>
  <c r="I753" i="22"/>
  <c r="R29" i="23"/>
  <c r="J753" i="22"/>
  <c r="B23" i="17"/>
  <c r="E54" i="22"/>
  <c r="F54" i="22"/>
  <c r="O8" i="23"/>
  <c r="G319" i="22"/>
  <c r="H319" i="22"/>
  <c r="P16" i="23"/>
  <c r="D290" i="18"/>
  <c r="B88" i="18"/>
  <c r="C202" i="18" s="1"/>
  <c r="B135" i="18"/>
  <c r="B202" i="18" s="1"/>
  <c r="I957" i="22"/>
  <c r="J957" i="22"/>
  <c r="R35" i="23"/>
  <c r="D210" i="18"/>
  <c r="L20" i="23"/>
  <c r="D220" i="18"/>
  <c r="E143" i="19"/>
  <c r="E827" i="22"/>
  <c r="H317" i="22"/>
  <c r="N16" i="23"/>
  <c r="G317" i="22"/>
  <c r="O35" i="23"/>
  <c r="I954" i="22"/>
  <c r="J954" i="22"/>
  <c r="D307" i="18"/>
  <c r="C90" i="18"/>
  <c r="C232" i="18" s="1"/>
  <c r="C137" i="18"/>
  <c r="B232" i="18" s="1"/>
  <c r="I819" i="22"/>
  <c r="J819" i="22"/>
  <c r="P31" i="23"/>
  <c r="G89" i="22"/>
  <c r="H89" i="22"/>
  <c r="P9" i="23"/>
  <c r="G95" i="18"/>
  <c r="C349" i="18" s="1"/>
  <c r="G142" i="18"/>
  <c r="B349" i="18" s="1"/>
  <c r="O33" i="23"/>
  <c r="I886" i="22"/>
  <c r="J886" i="22"/>
  <c r="L13" i="23"/>
  <c r="D215" i="22"/>
  <c r="D94" i="18"/>
  <c r="C264" i="18" s="1"/>
  <c r="D141" i="18"/>
  <c r="B264" i="18" s="1"/>
  <c r="B98" i="19"/>
  <c r="B895" i="22" s="1"/>
  <c r="B37" i="17"/>
  <c r="U137" i="16"/>
  <c r="E38" i="18" s="1"/>
  <c r="D191" i="22"/>
  <c r="F191" i="22" s="1"/>
  <c r="L391" i="22"/>
  <c r="J391" i="22"/>
  <c r="T18" i="23"/>
  <c r="K391" i="22"/>
  <c r="D291" i="18"/>
  <c r="L385" i="22"/>
  <c r="J385" i="22"/>
  <c r="K385" i="22"/>
  <c r="N18" i="23"/>
  <c r="L11" i="23"/>
  <c r="E149" i="22"/>
  <c r="F149" i="22"/>
  <c r="H187" i="22"/>
  <c r="G187" i="22"/>
  <c r="P12" i="23"/>
  <c r="F155" i="22"/>
  <c r="E155" i="22"/>
  <c r="R11" i="23"/>
  <c r="G189" i="22"/>
  <c r="R12" i="23"/>
  <c r="H189" i="22"/>
  <c r="R33" i="23"/>
  <c r="J889" i="22"/>
  <c r="I889" i="22"/>
  <c r="D303" i="18"/>
  <c r="M9" i="23"/>
  <c r="G86" i="22"/>
  <c r="H86" i="22"/>
  <c r="E91" i="19"/>
  <c r="J823" i="22"/>
  <c r="T31" i="23"/>
  <c r="I823" i="22"/>
  <c r="D301" i="18"/>
  <c r="J349" i="22"/>
  <c r="L17" i="23"/>
  <c r="L349" i="22"/>
  <c r="K349" i="22"/>
  <c r="G100" i="19"/>
  <c r="F963" i="22" s="1"/>
  <c r="F966" i="22" s="1"/>
  <c r="L357" i="22"/>
  <c r="T17" i="23"/>
  <c r="K357" i="22"/>
  <c r="J357" i="22"/>
  <c r="E53" i="22"/>
  <c r="N8" i="23"/>
  <c r="F53" i="22"/>
  <c r="N12" i="23"/>
  <c r="G185" i="22"/>
  <c r="H185" i="22"/>
  <c r="E966" i="22"/>
  <c r="G322" i="22"/>
  <c r="S16" i="23"/>
  <c r="H322" i="22"/>
  <c r="J423" i="22"/>
  <c r="R19" i="23"/>
  <c r="L423" i="22"/>
  <c r="K423" i="22"/>
  <c r="C136" i="18"/>
  <c r="B231" i="18" s="1"/>
  <c r="C89" i="18"/>
  <c r="C231" i="18" s="1"/>
  <c r="H184" i="22"/>
  <c r="M12" i="23"/>
  <c r="G184" i="22"/>
  <c r="D299" i="18"/>
  <c r="D293" i="18"/>
  <c r="B91" i="19"/>
  <c r="B657" i="22" s="1"/>
  <c r="B660" i="22" s="1"/>
  <c r="B40" i="17"/>
  <c r="B48" i="17"/>
  <c r="B155" i="18"/>
  <c r="B222" i="18" s="1"/>
  <c r="G156" i="18"/>
  <c r="B363" i="18" s="1"/>
  <c r="B150" i="18"/>
  <c r="B217" i="18" s="1"/>
  <c r="R32" i="23"/>
  <c r="F855" i="22"/>
  <c r="G855" i="22"/>
  <c r="D93" i="22"/>
  <c r="F93" i="22" s="1"/>
  <c r="U134" i="16"/>
  <c r="E246" i="16" s="1"/>
  <c r="J351" i="22"/>
  <c r="N17" i="23"/>
  <c r="K351" i="22"/>
  <c r="L351" i="22"/>
  <c r="H87" i="22"/>
  <c r="G87" i="22"/>
  <c r="N9" i="23"/>
  <c r="J955" i="22"/>
  <c r="I955" i="22"/>
  <c r="P35" i="23"/>
  <c r="B85" i="18"/>
  <c r="C199" i="18" s="1"/>
  <c r="B132" i="18"/>
  <c r="B199" i="18" s="1"/>
  <c r="G88" i="22"/>
  <c r="O9" i="23"/>
  <c r="H88" i="22"/>
  <c r="E146" i="19"/>
  <c r="E318" i="19" s="1"/>
  <c r="C929" i="22"/>
  <c r="B32" i="17"/>
  <c r="I887" i="22"/>
  <c r="J887" i="22"/>
  <c r="P33" i="23"/>
  <c r="F55" i="22"/>
  <c r="P8" i="23"/>
  <c r="E55" i="22"/>
  <c r="H321" i="22"/>
  <c r="G321" i="22"/>
  <c r="R16" i="23"/>
  <c r="L418" i="22"/>
  <c r="J418" i="22"/>
  <c r="M19" i="23"/>
  <c r="K418" i="22"/>
  <c r="B137" i="18"/>
  <c r="B204" i="18" s="1"/>
  <c r="B90" i="18"/>
  <c r="C204" i="18" s="1"/>
  <c r="B26" i="17"/>
  <c r="G618" i="22"/>
  <c r="R25" i="23"/>
  <c r="G613" i="22"/>
  <c r="M25" i="23"/>
  <c r="F852" i="22"/>
  <c r="O32" i="23"/>
  <c r="G852" i="22"/>
  <c r="B92" i="19"/>
  <c r="B691" i="22" s="1"/>
  <c r="B694" i="22" s="1"/>
  <c r="G153" i="18"/>
  <c r="B360" i="18" s="1"/>
  <c r="G44" i="19"/>
  <c r="D155" i="18"/>
  <c r="B278" i="18" s="1"/>
  <c r="D46" i="19"/>
  <c r="T16" i="23"/>
  <c r="G323" i="22"/>
  <c r="H323" i="22"/>
  <c r="T19" i="23"/>
  <c r="L425" i="22"/>
  <c r="K425" i="22"/>
  <c r="J425" i="22"/>
  <c r="N14" i="23"/>
  <c r="H249" i="22"/>
  <c r="G249" i="22"/>
  <c r="O11" i="23"/>
  <c r="F152" i="22"/>
  <c r="E152" i="22"/>
  <c r="H186" i="22"/>
  <c r="O12" i="23"/>
  <c r="G186" i="22"/>
  <c r="H288" i="22"/>
  <c r="G288" i="22"/>
  <c r="S15" i="23"/>
  <c r="H253" i="22"/>
  <c r="G253" i="22"/>
  <c r="R14" i="23"/>
  <c r="I818" i="22"/>
  <c r="J818" i="22"/>
  <c r="O31" i="23"/>
  <c r="C87" i="18"/>
  <c r="C229" i="18" s="1"/>
  <c r="C134" i="18"/>
  <c r="B229" i="18" s="1"/>
  <c r="B139" i="18"/>
  <c r="B206" i="18" s="1"/>
  <c r="B92" i="18"/>
  <c r="C206" i="18" s="1"/>
  <c r="D302" i="18"/>
  <c r="C304" i="19"/>
  <c r="D246" i="18"/>
  <c r="C59" i="22"/>
  <c r="D59" i="22" s="1"/>
  <c r="U133" i="16"/>
  <c r="E245" i="16" s="1"/>
  <c r="N29" i="23"/>
  <c r="I749" i="22"/>
  <c r="J749" i="22"/>
  <c r="O16" i="23"/>
  <c r="H318" i="22"/>
  <c r="G318" i="22"/>
  <c r="C142" i="18"/>
  <c r="B237" i="18" s="1"/>
  <c r="C95" i="18"/>
  <c r="C237" i="18" s="1"/>
  <c r="J890" i="22"/>
  <c r="S33" i="23"/>
  <c r="I890" i="22"/>
  <c r="D306" i="18"/>
  <c r="J350" i="22"/>
  <c r="M17" i="23"/>
  <c r="K350" i="22"/>
  <c r="L350" i="22"/>
  <c r="N31" i="23"/>
  <c r="I817" i="22"/>
  <c r="J817" i="22"/>
  <c r="E139" i="19"/>
  <c r="C691" i="22"/>
  <c r="J884" i="22"/>
  <c r="M33" i="23"/>
  <c r="I884" i="22"/>
  <c r="B93" i="19"/>
  <c r="B725" i="22" s="1"/>
  <c r="B728" i="22" s="1"/>
  <c r="D280" i="18"/>
  <c r="B98" i="18"/>
  <c r="C212" i="18" s="1"/>
  <c r="B145" i="18"/>
  <c r="B212" i="18" s="1"/>
  <c r="D96" i="19"/>
  <c r="D827" i="22" s="1"/>
  <c r="D830" i="22" s="1"/>
  <c r="F856" i="22"/>
  <c r="S32" i="23"/>
  <c r="G856" i="22"/>
  <c r="C139" i="18"/>
  <c r="B234" i="18" s="1"/>
  <c r="C92" i="18"/>
  <c r="C234" i="18" s="1"/>
  <c r="O19" i="23"/>
  <c r="L420" i="22"/>
  <c r="K420" i="22"/>
  <c r="J420" i="22"/>
  <c r="G619" i="22"/>
  <c r="S25" i="23"/>
  <c r="E58" i="22"/>
  <c r="S8" i="23"/>
  <c r="F58" i="22"/>
  <c r="J390" i="22"/>
  <c r="L390" i="22"/>
  <c r="S18" i="23"/>
  <c r="K390" i="22"/>
  <c r="K421" i="22"/>
  <c r="L421" i="22"/>
  <c r="P19" i="23"/>
  <c r="J421" i="22"/>
  <c r="G287" i="22"/>
  <c r="H287" i="22"/>
  <c r="R15" i="23"/>
  <c r="B140" i="18"/>
  <c r="B207" i="18" s="1"/>
  <c r="B93" i="18"/>
  <c r="C207" i="18" s="1"/>
  <c r="J885" i="22"/>
  <c r="I885" i="22"/>
  <c r="N33" i="23"/>
  <c r="P25" i="23"/>
  <c r="G616" i="22"/>
  <c r="D139" i="18"/>
  <c r="B262" i="18" s="1"/>
  <c r="D92" i="18"/>
  <c r="C262" i="18" s="1"/>
  <c r="H85" i="22"/>
  <c r="G85" i="22"/>
  <c r="L9" i="23"/>
  <c r="D300" i="18"/>
  <c r="D100" i="19"/>
  <c r="D963" i="22" s="1"/>
  <c r="D966" i="22" s="1"/>
  <c r="C98" i="19"/>
  <c r="C895" i="22" s="1"/>
  <c r="C898" i="22" s="1"/>
  <c r="G98" i="19"/>
  <c r="F895" i="22" s="1"/>
  <c r="F898" i="22" s="1"/>
  <c r="E251" i="16"/>
  <c r="B45" i="17"/>
  <c r="B43" i="17"/>
  <c r="B133" i="18"/>
  <c r="B200" i="18" s="1"/>
  <c r="G151" i="18"/>
  <c r="B358" i="18" s="1"/>
  <c r="B130" i="18"/>
  <c r="B197" i="18" s="1"/>
  <c r="G157" i="18"/>
  <c r="B364" i="18" s="1"/>
  <c r="B157" i="18"/>
  <c r="B224" i="18" s="1"/>
  <c r="J959" i="22"/>
  <c r="I959" i="22"/>
  <c r="T35" i="23"/>
  <c r="O18" i="23"/>
  <c r="L386" i="22"/>
  <c r="K386" i="22"/>
  <c r="J386" i="22"/>
  <c r="B134" i="18"/>
  <c r="B201" i="18" s="1"/>
  <c r="B87" i="18"/>
  <c r="C201" i="18" s="1"/>
  <c r="C131" i="18"/>
  <c r="B226" i="18" s="1"/>
  <c r="C84" i="18"/>
  <c r="C226" i="18" s="1"/>
  <c r="D100" i="18"/>
  <c r="C270" i="18" s="1"/>
  <c r="D270" i="18" s="1"/>
  <c r="C100" i="19"/>
  <c r="C963" i="22" s="1"/>
  <c r="C966" i="22" s="1"/>
  <c r="B151" i="18"/>
  <c r="B218" i="18" s="1"/>
  <c r="B42" i="19"/>
  <c r="G720" i="22"/>
  <c r="S28" i="23"/>
  <c r="F720" i="22"/>
  <c r="P28" i="23"/>
  <c r="G717" i="22"/>
  <c r="F717" i="22"/>
  <c r="T15" i="23"/>
  <c r="H289" i="22"/>
  <c r="G289" i="22"/>
  <c r="S29" i="23"/>
  <c r="I754" i="22"/>
  <c r="J754" i="22"/>
  <c r="L352" i="22"/>
  <c r="K352" i="22"/>
  <c r="J352" i="22"/>
  <c r="O17" i="23"/>
  <c r="L356" i="22"/>
  <c r="K356" i="22"/>
  <c r="J356" i="22"/>
  <c r="S17" i="23"/>
  <c r="J417" i="22"/>
  <c r="K417" i="22"/>
  <c r="L417" i="22"/>
  <c r="L19" i="23"/>
  <c r="J353" i="22"/>
  <c r="P17" i="23"/>
  <c r="L353" i="22"/>
  <c r="K353" i="22"/>
  <c r="B142" i="18"/>
  <c r="B209" i="18" s="1"/>
  <c r="B95" i="18"/>
  <c r="C209" i="18" s="1"/>
  <c r="C94" i="18"/>
  <c r="C236" i="18" s="1"/>
  <c r="C141" i="18"/>
  <c r="B236" i="18" s="1"/>
  <c r="E140" i="19"/>
  <c r="C725" i="22"/>
  <c r="B89" i="18"/>
  <c r="C203" i="18" s="1"/>
  <c r="B136" i="18"/>
  <c r="B203" i="18" s="1"/>
  <c r="B830" i="22"/>
  <c r="B95" i="19"/>
  <c r="B793" i="22" s="1"/>
  <c r="B796" i="22" s="1"/>
  <c r="G150" i="18"/>
  <c r="B357" i="18" s="1"/>
  <c r="G41" i="19"/>
  <c r="F151" i="22"/>
  <c r="N11" i="23"/>
  <c r="E151" i="22"/>
  <c r="G93" i="18"/>
  <c r="C347" i="18" s="1"/>
  <c r="G140" i="18"/>
  <c r="B347" i="18" s="1"/>
  <c r="H250" i="22"/>
  <c r="O14" i="23"/>
  <c r="G250" i="22"/>
  <c r="G251" i="22"/>
  <c r="H251" i="22"/>
  <c r="P14" i="23"/>
  <c r="L355" i="22"/>
  <c r="K355" i="22"/>
  <c r="R17" i="23"/>
  <c r="J355" i="22"/>
  <c r="G91" i="22"/>
  <c r="R9" i="23"/>
  <c r="H91" i="22"/>
  <c r="G139" i="18"/>
  <c r="B346" i="18" s="1"/>
  <c r="G92" i="18"/>
  <c r="C346" i="18" s="1"/>
  <c r="G316" i="22"/>
  <c r="H316" i="22"/>
  <c r="M16" i="23"/>
  <c r="I755" i="22"/>
  <c r="J755" i="22"/>
  <c r="T29" i="23"/>
  <c r="B141" i="18"/>
  <c r="B208" i="18" s="1"/>
  <c r="B94" i="18"/>
  <c r="C208" i="18" s="1"/>
  <c r="N32" i="23"/>
  <c r="F851" i="22"/>
  <c r="G851" i="22"/>
  <c r="G94" i="19"/>
  <c r="F759" i="22" s="1"/>
  <c r="F762" i="22" s="1"/>
  <c r="B97" i="18"/>
  <c r="C211" i="18" s="1"/>
  <c r="B144" i="18"/>
  <c r="B211" i="18" s="1"/>
  <c r="H255" i="22"/>
  <c r="G255" i="22"/>
  <c r="T14" i="23"/>
  <c r="J419" i="22"/>
  <c r="L419" i="22"/>
  <c r="N19" i="23"/>
  <c r="K419" i="22"/>
  <c r="E97" i="19"/>
  <c r="E144" i="19" s="1"/>
  <c r="F150" i="21"/>
  <c r="G42" i="20"/>
  <c r="E142" i="19"/>
  <c r="C793" i="22"/>
  <c r="B131" i="18"/>
  <c r="B198" i="18" s="1"/>
  <c r="B84" i="18"/>
  <c r="C198" i="18" s="1"/>
  <c r="H282" i="22"/>
  <c r="M15" i="23"/>
  <c r="G282" i="22"/>
  <c r="M14" i="23"/>
  <c r="H248" i="22"/>
  <c r="G248" i="22"/>
  <c r="I891" i="22"/>
  <c r="T33" i="23"/>
  <c r="J891" i="22"/>
  <c r="G307" i="19"/>
  <c r="B46" i="17"/>
  <c r="B42" i="17"/>
  <c r="G154" i="18"/>
  <c r="B361" i="18" s="1"/>
  <c r="B149" i="18"/>
  <c r="B216" i="18" s="1"/>
  <c r="D153" i="18"/>
  <c r="B276" i="18" s="1"/>
  <c r="C147" i="18"/>
  <c r="B242" i="18" s="1"/>
  <c r="C302" i="19" l="1"/>
  <c r="E89" i="18"/>
  <c r="C287" i="18" s="1"/>
  <c r="B193" i="19"/>
  <c r="F141" i="18"/>
  <c r="B320" i="18" s="1"/>
  <c r="E138" i="18"/>
  <c r="B289" i="18" s="1"/>
  <c r="E90" i="18"/>
  <c r="C288" i="18" s="1"/>
  <c r="F95" i="18"/>
  <c r="C321" i="18" s="1"/>
  <c r="B189" i="19"/>
  <c r="B144" i="19"/>
  <c r="B313" i="19" s="1"/>
  <c r="B146" i="19"/>
  <c r="B318" i="19" s="1"/>
  <c r="L148" i="21" s="1"/>
  <c r="D141" i="19"/>
  <c r="D303" i="19" s="1"/>
  <c r="G141" i="19"/>
  <c r="G302" i="19" s="1"/>
  <c r="F139" i="18"/>
  <c r="B318" i="18" s="1"/>
  <c r="D318" i="18" s="1"/>
  <c r="B142" i="19"/>
  <c r="B307" i="19" s="1"/>
  <c r="C145" i="19"/>
  <c r="C316" i="19" s="1"/>
  <c r="B186" i="19"/>
  <c r="G145" i="19"/>
  <c r="G315" i="19" s="1"/>
  <c r="D147" i="19"/>
  <c r="D320" i="19" s="1"/>
  <c r="F42" i="20" s="1"/>
  <c r="B140" i="19"/>
  <c r="B300" i="19" s="1"/>
  <c r="B138" i="19"/>
  <c r="B291" i="19" s="1"/>
  <c r="G146" i="19"/>
  <c r="G318" i="19" s="1"/>
  <c r="I41" i="20" s="1"/>
  <c r="L150" i="21"/>
  <c r="D42" i="20"/>
  <c r="E87" i="18"/>
  <c r="C285" i="18" s="1"/>
  <c r="E134" i="18"/>
  <c r="B285" i="18" s="1"/>
  <c r="D361" i="18"/>
  <c r="D216" i="18"/>
  <c r="B191" i="19"/>
  <c r="C861" i="22"/>
  <c r="D357" i="18"/>
  <c r="C728" i="22"/>
  <c r="D236" i="18"/>
  <c r="D209" i="18"/>
  <c r="D358" i="18"/>
  <c r="B27" i="17"/>
  <c r="E296" i="19"/>
  <c r="E295" i="19"/>
  <c r="E58" i="20"/>
  <c r="M133" i="21"/>
  <c r="G96" i="19"/>
  <c r="F827" i="22" s="1"/>
  <c r="E929" i="22"/>
  <c r="C932" i="22"/>
  <c r="D363" i="18"/>
  <c r="B898" i="22"/>
  <c r="D232" i="18"/>
  <c r="E310" i="19"/>
  <c r="E309" i="19"/>
  <c r="F93" i="18"/>
  <c r="C319" i="18" s="1"/>
  <c r="F140" i="18"/>
  <c r="B319" i="18" s="1"/>
  <c r="E898" i="22"/>
  <c r="D265" i="18"/>
  <c r="D288" i="18"/>
  <c r="D289" i="18"/>
  <c r="D321" i="18"/>
  <c r="C147" i="19"/>
  <c r="C320" i="19" s="1"/>
  <c r="S41" i="23"/>
  <c r="P41" i="23"/>
  <c r="N41" i="23"/>
  <c r="G144" i="19"/>
  <c r="I37" i="20"/>
  <c r="H136" i="21"/>
  <c r="D198" i="18"/>
  <c r="E312" i="19"/>
  <c r="E313" i="19"/>
  <c r="D346" i="18"/>
  <c r="G93" i="19"/>
  <c r="D218" i="18"/>
  <c r="D197" i="18"/>
  <c r="D262" i="18"/>
  <c r="D207" i="18"/>
  <c r="D237" i="18"/>
  <c r="E59" i="22"/>
  <c r="F59" i="22"/>
  <c r="T8" i="23"/>
  <c r="E77" i="20"/>
  <c r="M134" i="21"/>
  <c r="D229" i="18"/>
  <c r="D278" i="18"/>
  <c r="D204" i="18"/>
  <c r="G93" i="22"/>
  <c r="H93" i="22"/>
  <c r="T9" i="23"/>
  <c r="D217" i="18"/>
  <c r="B293" i="19"/>
  <c r="B185" i="19"/>
  <c r="C657" i="22"/>
  <c r="T12" i="23"/>
  <c r="H191" i="22"/>
  <c r="G191" i="22"/>
  <c r="D349" i="18"/>
  <c r="D202" i="18"/>
  <c r="C310" i="19"/>
  <c r="C309" i="19"/>
  <c r="D302" i="19"/>
  <c r="D205" i="18"/>
  <c r="D235" i="18"/>
  <c r="D348" i="18"/>
  <c r="D287" i="18"/>
  <c r="B145" i="19"/>
  <c r="E37" i="18"/>
  <c r="D242" i="18"/>
  <c r="I78" i="20"/>
  <c r="H137" i="21"/>
  <c r="E306" i="19"/>
  <c r="E307" i="19"/>
  <c r="D208" i="18"/>
  <c r="D347" i="18"/>
  <c r="D203" i="18"/>
  <c r="E298" i="19"/>
  <c r="E300" i="19"/>
  <c r="E299" i="19"/>
  <c r="B94" i="19"/>
  <c r="B141" i="19" s="1"/>
  <c r="D226" i="18"/>
  <c r="D364" i="18"/>
  <c r="D234" i="18"/>
  <c r="D691" i="22"/>
  <c r="C694" i="22"/>
  <c r="B21" i="17"/>
  <c r="E36" i="20"/>
  <c r="M132" i="21"/>
  <c r="D98" i="19"/>
  <c r="D895" i="22" s="1"/>
  <c r="D898" i="22" s="1"/>
  <c r="D199" i="18"/>
  <c r="B22" i="17"/>
  <c r="D231" i="18"/>
  <c r="D264" i="18"/>
  <c r="H827" i="22"/>
  <c r="E830" i="22"/>
  <c r="D252" i="18"/>
  <c r="B310" i="19"/>
  <c r="B309" i="19"/>
  <c r="B33" i="17"/>
  <c r="E304" i="19"/>
  <c r="E303" i="19"/>
  <c r="E302" i="19"/>
  <c r="E315" i="19"/>
  <c r="E316" i="19"/>
  <c r="T11" i="23"/>
  <c r="F157" i="22"/>
  <c r="E157" i="22"/>
  <c r="D143" i="19"/>
  <c r="B139" i="19"/>
  <c r="G147" i="19"/>
  <c r="G320" i="19" s="1"/>
  <c r="E138" i="19"/>
  <c r="O41" i="23"/>
  <c r="R41" i="23"/>
  <c r="E34" i="18"/>
  <c r="E249" i="16"/>
  <c r="D276" i="18"/>
  <c r="E793" i="22"/>
  <c r="C796" i="22"/>
  <c r="D211" i="18"/>
  <c r="B306" i="19"/>
  <c r="D201" i="18"/>
  <c r="D224" i="18"/>
  <c r="D200" i="18"/>
  <c r="G316" i="19"/>
  <c r="N150" i="21"/>
  <c r="D212" i="18"/>
  <c r="D206" i="18"/>
  <c r="D360" i="18"/>
  <c r="F148" i="21"/>
  <c r="G41" i="20"/>
  <c r="H235" i="24"/>
  <c r="D222" i="18"/>
  <c r="D320" i="18"/>
  <c r="D219" i="18"/>
  <c r="E148" i="21"/>
  <c r="D41" i="20"/>
  <c r="E762" i="22"/>
  <c r="L41" i="23"/>
  <c r="B963" i="22"/>
  <c r="B194" i="19"/>
  <c r="D263" i="18"/>
  <c r="D233" i="18"/>
  <c r="B24" i="17"/>
  <c r="M41" i="23"/>
  <c r="E35" i="18"/>
  <c r="B299" i="19" l="1"/>
  <c r="L129" i="21" s="1"/>
  <c r="D304" i="19"/>
  <c r="B312" i="19"/>
  <c r="E142" i="21" s="1"/>
  <c r="B190" i="19"/>
  <c r="B292" i="19"/>
  <c r="D56" i="20" s="1"/>
  <c r="G304" i="19"/>
  <c r="H134" i="21" s="1"/>
  <c r="H148" i="21"/>
  <c r="C315" i="19"/>
  <c r="B192" i="19"/>
  <c r="D148" i="21"/>
  <c r="R148" i="21" s="1"/>
  <c r="B298" i="19"/>
  <c r="L128" i="21" s="1"/>
  <c r="G303" i="19"/>
  <c r="H237" i="24"/>
  <c r="G143" i="19"/>
  <c r="G310" i="19" s="1"/>
  <c r="B302" i="19"/>
  <c r="D132" i="21" s="1"/>
  <c r="B304" i="19"/>
  <c r="B303" i="19"/>
  <c r="E131" i="18"/>
  <c r="B282" i="18" s="1"/>
  <c r="E84" i="18"/>
  <c r="C282" i="18" s="1"/>
  <c r="B966" i="22"/>
  <c r="G963" i="22"/>
  <c r="G966" i="22" s="1"/>
  <c r="H963" i="22"/>
  <c r="P148" i="21"/>
  <c r="Q148" i="21"/>
  <c r="D57" i="20"/>
  <c r="E129" i="21"/>
  <c r="B296" i="19"/>
  <c r="B295" i="19"/>
  <c r="H212" i="24" s="1"/>
  <c r="C60" i="25" s="1"/>
  <c r="D60" i="25" s="1"/>
  <c r="G58" i="20"/>
  <c r="F133" i="21"/>
  <c r="L139" i="21"/>
  <c r="D38" i="20"/>
  <c r="F128" i="21"/>
  <c r="G35" i="20"/>
  <c r="H223" i="24"/>
  <c r="C63" i="25" s="1"/>
  <c r="D63" i="25" s="1"/>
  <c r="F136" i="21"/>
  <c r="G37" i="20"/>
  <c r="D136" i="21"/>
  <c r="F77" i="20"/>
  <c r="N134" i="21"/>
  <c r="E79" i="20"/>
  <c r="M140" i="21"/>
  <c r="D657" i="22"/>
  <c r="C660" i="22"/>
  <c r="D33" i="20"/>
  <c r="L121" i="21"/>
  <c r="E121" i="21"/>
  <c r="E81" i="20"/>
  <c r="M146" i="21"/>
  <c r="D725" i="22"/>
  <c r="B187" i="19"/>
  <c r="I77" i="20"/>
  <c r="G313" i="19"/>
  <c r="D143" i="21" s="1"/>
  <c r="G312" i="19"/>
  <c r="D319" i="18"/>
  <c r="G34" i="20"/>
  <c r="F125" i="21"/>
  <c r="D125" i="21"/>
  <c r="E128" i="21"/>
  <c r="D35" i="20"/>
  <c r="I81" i="20"/>
  <c r="H146" i="21"/>
  <c r="E136" i="21"/>
  <c r="L136" i="21"/>
  <c r="D37" i="20"/>
  <c r="E796" i="22"/>
  <c r="G793" i="22"/>
  <c r="G796" i="22" s="1"/>
  <c r="X30" i="23"/>
  <c r="Y30" i="23" s="1"/>
  <c r="F793" i="22"/>
  <c r="F796" i="22" s="1"/>
  <c r="B25" i="17"/>
  <c r="B67" i="17" s="1"/>
  <c r="E130" i="18"/>
  <c r="B281" i="18" s="1"/>
  <c r="E83" i="18"/>
  <c r="C281" i="18" s="1"/>
  <c r="I42" i="20"/>
  <c r="H150" i="21"/>
  <c r="F132" i="21"/>
  <c r="G36" i="20"/>
  <c r="H219" i="24"/>
  <c r="C62" i="25" s="1"/>
  <c r="F130" i="21"/>
  <c r="G76" i="20"/>
  <c r="H224" i="24"/>
  <c r="B294" i="24" s="1"/>
  <c r="G78" i="20"/>
  <c r="F137" i="21"/>
  <c r="D137" i="21"/>
  <c r="N133" i="21"/>
  <c r="F58" i="20"/>
  <c r="M139" i="21"/>
  <c r="E38" i="20"/>
  <c r="L123" i="21"/>
  <c r="E123" i="21"/>
  <c r="D74" i="20"/>
  <c r="E40" i="20"/>
  <c r="M145" i="21"/>
  <c r="I58" i="20"/>
  <c r="H133" i="21"/>
  <c r="F142" i="21"/>
  <c r="G39" i="20"/>
  <c r="E42" i="20"/>
  <c r="M150" i="21"/>
  <c r="G79" i="20"/>
  <c r="F140" i="21"/>
  <c r="E932" i="22"/>
  <c r="X34" i="23"/>
  <c r="Y34" i="23" s="1"/>
  <c r="O148" i="21"/>
  <c r="T41" i="23"/>
  <c r="G140" i="19"/>
  <c r="I40" i="20"/>
  <c r="H145" i="21"/>
  <c r="D78" i="20"/>
  <c r="E137" i="21"/>
  <c r="L137" i="21"/>
  <c r="E291" i="19"/>
  <c r="E293" i="19"/>
  <c r="E292" i="19"/>
  <c r="F145" i="21"/>
  <c r="G40" i="20"/>
  <c r="G57" i="20"/>
  <c r="F129" i="21"/>
  <c r="B316" i="19"/>
  <c r="B315" i="19"/>
  <c r="F36" i="20"/>
  <c r="N132" i="21"/>
  <c r="D39" i="20"/>
  <c r="E122" i="21"/>
  <c r="L122" i="21"/>
  <c r="F143" i="21"/>
  <c r="G80" i="20"/>
  <c r="H230" i="24"/>
  <c r="B296" i="24" s="1"/>
  <c r="G38" i="20"/>
  <c r="F139" i="21"/>
  <c r="E861" i="22"/>
  <c r="C864" i="22"/>
  <c r="D285" i="18"/>
  <c r="D145" i="19"/>
  <c r="H895" i="22"/>
  <c r="G895" i="22"/>
  <c r="G898" i="22" s="1"/>
  <c r="E150" i="21"/>
  <c r="E130" i="21"/>
  <c r="D76" i="20"/>
  <c r="L130" i="21"/>
  <c r="D310" i="19"/>
  <c r="E140" i="21" s="1"/>
  <c r="D309" i="19"/>
  <c r="E139" i="21" s="1"/>
  <c r="G81" i="20"/>
  <c r="F146" i="21"/>
  <c r="F134" i="21"/>
  <c r="G77" i="20"/>
  <c r="D134" i="21"/>
  <c r="H221" i="24"/>
  <c r="B293" i="24" s="1"/>
  <c r="L140" i="21"/>
  <c r="D79" i="20"/>
  <c r="H830" i="22"/>
  <c r="I827" i="22"/>
  <c r="I830" i="22" s="1"/>
  <c r="J827" i="22"/>
  <c r="J830" i="22" s="1"/>
  <c r="X31" i="23"/>
  <c r="Y31" i="23" s="1"/>
  <c r="D694" i="22"/>
  <c r="X27" i="23"/>
  <c r="Y27" i="23" s="1"/>
  <c r="B759" i="22"/>
  <c r="B188" i="19"/>
  <c r="E133" i="18"/>
  <c r="B284" i="18" s="1"/>
  <c r="F285" i="18" s="1"/>
  <c r="H285" i="18" s="1"/>
  <c r="E86" i="18"/>
  <c r="C284" i="18" s="1"/>
  <c r="E143" i="21"/>
  <c r="D80" i="20"/>
  <c r="L143" i="21"/>
  <c r="H132" i="21"/>
  <c r="I36" i="20"/>
  <c r="F830" i="22"/>
  <c r="G827" i="22"/>
  <c r="G830" i="22" s="1"/>
  <c r="G75" i="20"/>
  <c r="F126" i="21"/>
  <c r="H213" i="24"/>
  <c r="B291" i="24" s="1"/>
  <c r="E60" i="25" s="1"/>
  <c r="D150" i="21"/>
  <c r="S148" i="21" l="1"/>
  <c r="G309" i="19"/>
  <c r="D139" i="21" s="1"/>
  <c r="T132" i="21"/>
  <c r="L142" i="21"/>
  <c r="H229" i="24"/>
  <c r="C65" i="25" s="1"/>
  <c r="D65" i="25" s="1"/>
  <c r="T148" i="21"/>
  <c r="E62" i="25"/>
  <c r="D142" i="21"/>
  <c r="H220" i="24"/>
  <c r="B263" i="24" s="1"/>
  <c r="D62" i="25" s="1"/>
  <c r="E63" i="25"/>
  <c r="D133" i="21"/>
  <c r="T133" i="21" s="1"/>
  <c r="F319" i="18"/>
  <c r="H319" i="18" s="1"/>
  <c r="K139" i="21"/>
  <c r="O139" i="21"/>
  <c r="P139" i="21"/>
  <c r="B762" i="22"/>
  <c r="G759" i="22"/>
  <c r="G762" i="22" s="1"/>
  <c r="H759" i="22"/>
  <c r="P143" i="21"/>
  <c r="Q143" i="21"/>
  <c r="O143" i="21"/>
  <c r="F79" i="20"/>
  <c r="N140" i="21"/>
  <c r="D284" i="18"/>
  <c r="F284" i="18"/>
  <c r="H284" i="18" s="1"/>
  <c r="P130" i="21"/>
  <c r="Q130" i="21"/>
  <c r="O130" i="21"/>
  <c r="D316" i="19"/>
  <c r="E146" i="21" s="1"/>
  <c r="D315" i="19"/>
  <c r="E145" i="21" s="1"/>
  <c r="G74" i="20"/>
  <c r="F123" i="21"/>
  <c r="H210" i="24"/>
  <c r="B290" i="24" s="1"/>
  <c r="D123" i="21"/>
  <c r="S150" i="21"/>
  <c r="R150" i="21"/>
  <c r="T150" i="21"/>
  <c r="I150" i="21"/>
  <c r="J150" i="21"/>
  <c r="H898" i="22"/>
  <c r="X33" i="23"/>
  <c r="Y33" i="23" s="1"/>
  <c r="J895" i="22"/>
  <c r="J898" i="22" s="1"/>
  <c r="I895" i="22"/>
  <c r="I898" i="22" s="1"/>
  <c r="O122" i="21"/>
  <c r="Q122" i="21"/>
  <c r="P122" i="21"/>
  <c r="H209" i="24"/>
  <c r="B260" i="24" s="1"/>
  <c r="F122" i="21"/>
  <c r="D122" i="21"/>
  <c r="G56" i="20"/>
  <c r="P137" i="21"/>
  <c r="Q137" i="21"/>
  <c r="O137" i="21"/>
  <c r="G298" i="19"/>
  <c r="G300" i="19"/>
  <c r="G299" i="19"/>
  <c r="Q123" i="21"/>
  <c r="O123" i="21"/>
  <c r="P123" i="21"/>
  <c r="C67" i="17"/>
  <c r="B164" i="18" s="1"/>
  <c r="B171" i="18" s="1"/>
  <c r="B210" i="19"/>
  <c r="P128" i="21"/>
  <c r="K128" i="21"/>
  <c r="Q128" i="21"/>
  <c r="O128" i="21"/>
  <c r="H966" i="22"/>
  <c r="J963" i="22"/>
  <c r="J966" i="22" s="1"/>
  <c r="I963" i="22"/>
  <c r="I966" i="22" s="1"/>
  <c r="X35" i="23"/>
  <c r="Y35" i="23" s="1"/>
  <c r="E132" i="21"/>
  <c r="D36" i="20"/>
  <c r="L132" i="21"/>
  <c r="P140" i="21"/>
  <c r="O140" i="21"/>
  <c r="Q140" i="21"/>
  <c r="R143" i="21"/>
  <c r="S143" i="21"/>
  <c r="T143" i="21"/>
  <c r="Q142" i="21"/>
  <c r="P142" i="21"/>
  <c r="O142" i="21"/>
  <c r="K142" i="21"/>
  <c r="D81" i="20"/>
  <c r="L146" i="21"/>
  <c r="J132" i="21"/>
  <c r="R132" i="21"/>
  <c r="S132" i="21"/>
  <c r="I132" i="21"/>
  <c r="K136" i="21"/>
  <c r="P136" i="21"/>
  <c r="Q136" i="21"/>
  <c r="O136" i="21"/>
  <c r="O129" i="21"/>
  <c r="Q129" i="21"/>
  <c r="P129" i="21"/>
  <c r="L134" i="21"/>
  <c r="E134" i="21"/>
  <c r="D77" i="20"/>
  <c r="D40" i="20"/>
  <c r="L145" i="21"/>
  <c r="G33" i="20"/>
  <c r="F121" i="21"/>
  <c r="H208" i="24"/>
  <c r="C59" i="25" s="1"/>
  <c r="D121" i="21"/>
  <c r="R142" i="21"/>
  <c r="I142" i="21"/>
  <c r="S142" i="21"/>
  <c r="J142" i="21"/>
  <c r="S137" i="21"/>
  <c r="T137" i="21"/>
  <c r="R137" i="21"/>
  <c r="D281" i="18"/>
  <c r="F281" i="18"/>
  <c r="H281" i="18" s="1"/>
  <c r="F288" i="18"/>
  <c r="H288" i="18" s="1"/>
  <c r="F321" i="18"/>
  <c r="H321" i="18" s="1"/>
  <c r="F306" i="18"/>
  <c r="H306" i="18" s="1"/>
  <c r="F274" i="18"/>
  <c r="H274" i="18" s="1"/>
  <c r="F346" i="18"/>
  <c r="H346" i="18" s="1"/>
  <c r="F218" i="18"/>
  <c r="H218" i="18" s="1"/>
  <c r="F273" i="18"/>
  <c r="H273" i="18" s="1"/>
  <c r="F342" i="18"/>
  <c r="H342" i="18" s="1"/>
  <c r="F295" i="18"/>
  <c r="H295" i="18" s="1"/>
  <c r="F259" i="18"/>
  <c r="H259" i="18" s="1"/>
  <c r="F269" i="18"/>
  <c r="H269" i="18" s="1"/>
  <c r="F327" i="18"/>
  <c r="H327" i="18" s="1"/>
  <c r="F197" i="18"/>
  <c r="H197" i="18" s="1"/>
  <c r="F296" i="18"/>
  <c r="H296" i="18" s="1"/>
  <c r="F254" i="18"/>
  <c r="H254" i="18" s="1"/>
  <c r="F240" i="18"/>
  <c r="H240" i="18" s="1"/>
  <c r="F339" i="18"/>
  <c r="H339" i="18" s="1"/>
  <c r="F333" i="18"/>
  <c r="H333" i="18" s="1"/>
  <c r="F311" i="18"/>
  <c r="H311" i="18" s="1"/>
  <c r="F245" i="18"/>
  <c r="H245" i="18" s="1"/>
  <c r="F258" i="18"/>
  <c r="H258" i="18" s="1"/>
  <c r="F334" i="18"/>
  <c r="H334" i="18" s="1"/>
  <c r="F343" i="18"/>
  <c r="H343" i="18" s="1"/>
  <c r="F294" i="18"/>
  <c r="H294" i="18" s="1"/>
  <c r="F329" i="18"/>
  <c r="H329" i="18" s="1"/>
  <c r="F260" i="18"/>
  <c r="H260" i="18" s="1"/>
  <c r="F359" i="18"/>
  <c r="H359" i="18" s="1"/>
  <c r="F262" i="18"/>
  <c r="H262" i="18" s="1"/>
  <c r="F237" i="18"/>
  <c r="H237" i="18" s="1"/>
  <c r="F217" i="18"/>
  <c r="H217" i="18" s="1"/>
  <c r="F202" i="18"/>
  <c r="H202" i="18" s="1"/>
  <c r="F287" i="18"/>
  <c r="H287" i="18" s="1"/>
  <c r="F208" i="18"/>
  <c r="H208" i="18" s="1"/>
  <c r="F203" i="18"/>
  <c r="H203" i="18" s="1"/>
  <c r="F307" i="18"/>
  <c r="H307" i="18" s="1"/>
  <c r="F215" i="18"/>
  <c r="H215" i="18" s="1"/>
  <c r="F206" i="18"/>
  <c r="H206" i="18" s="1"/>
  <c r="F222" i="18"/>
  <c r="H222" i="18" s="1"/>
  <c r="F219" i="18"/>
  <c r="H219" i="18" s="1"/>
  <c r="F220" i="18"/>
  <c r="H220" i="18" s="1"/>
  <c r="F361" i="18"/>
  <c r="H361" i="18" s="1"/>
  <c r="F209" i="18"/>
  <c r="H209" i="18" s="1"/>
  <c r="F270" i="18"/>
  <c r="H270" i="18" s="1"/>
  <c r="F261" i="18"/>
  <c r="H261" i="18" s="1"/>
  <c r="F353" i="18"/>
  <c r="H353" i="18" s="1"/>
  <c r="F230" i="18"/>
  <c r="H230" i="18" s="1"/>
  <c r="F340" i="18"/>
  <c r="H340" i="18" s="1"/>
  <c r="F351" i="18"/>
  <c r="H351" i="18" s="1"/>
  <c r="F312" i="18"/>
  <c r="H312" i="18" s="1"/>
  <c r="F322" i="18"/>
  <c r="H322" i="18" s="1"/>
  <c r="F225" i="18"/>
  <c r="H225" i="18" s="1"/>
  <c r="F350" i="18"/>
  <c r="H350" i="18" s="1"/>
  <c r="F277" i="18"/>
  <c r="H277" i="18" s="1"/>
  <c r="F267" i="18"/>
  <c r="H267" i="18" s="1"/>
  <c r="F241" i="18"/>
  <c r="H241" i="18" s="1"/>
  <c r="F228" i="18"/>
  <c r="H228" i="18" s="1"/>
  <c r="F309" i="18"/>
  <c r="H309" i="18" s="1"/>
  <c r="F313" i="18"/>
  <c r="H313" i="18" s="1"/>
  <c r="F315" i="18"/>
  <c r="H315" i="18" s="1"/>
  <c r="F352" i="18"/>
  <c r="H352" i="18" s="1"/>
  <c r="F271" i="18"/>
  <c r="H271" i="18" s="1"/>
  <c r="F314" i="18"/>
  <c r="H314" i="18" s="1"/>
  <c r="F354" i="18"/>
  <c r="H354" i="18" s="1"/>
  <c r="F248" i="18"/>
  <c r="H248" i="18" s="1"/>
  <c r="F229" i="18"/>
  <c r="H229" i="18" s="1"/>
  <c r="F204" i="18"/>
  <c r="H204" i="18" s="1"/>
  <c r="F235" i="18"/>
  <c r="H235" i="18" s="1"/>
  <c r="F348" i="18"/>
  <c r="H348" i="18" s="1"/>
  <c r="F280" i="18"/>
  <c r="H280" i="18" s="1"/>
  <c r="F304" i="18"/>
  <c r="H304" i="18" s="1"/>
  <c r="F226" i="18"/>
  <c r="H226" i="18" s="1"/>
  <c r="F234" i="18"/>
  <c r="H234" i="18" s="1"/>
  <c r="F264" i="18"/>
  <c r="H264" i="18" s="1"/>
  <c r="F252" i="18"/>
  <c r="H252" i="18" s="1"/>
  <c r="F221" i="18"/>
  <c r="H221" i="18" s="1"/>
  <c r="F362" i="18"/>
  <c r="H362" i="18" s="1"/>
  <c r="F224" i="18"/>
  <c r="H224" i="18" s="1"/>
  <c r="F212" i="18"/>
  <c r="H212" i="18" s="1"/>
  <c r="F291" i="18"/>
  <c r="H291" i="18" s="1"/>
  <c r="F320" i="18"/>
  <c r="H320" i="18" s="1"/>
  <c r="F233" i="18"/>
  <c r="H233" i="18" s="1"/>
  <c r="F301" i="18"/>
  <c r="H301" i="18" s="1"/>
  <c r="F263" i="18"/>
  <c r="H263" i="18" s="1"/>
  <c r="F265" i="18"/>
  <c r="H265" i="18" s="1"/>
  <c r="F289" i="18"/>
  <c r="H289" i="18" s="1"/>
  <c r="F305" i="18"/>
  <c r="H305" i="18" s="1"/>
  <c r="F251" i="18"/>
  <c r="H251" i="18" s="1"/>
  <c r="F323" i="18"/>
  <c r="H323" i="18" s="1"/>
  <c r="F243" i="18"/>
  <c r="H243" i="18" s="1"/>
  <c r="F337" i="18"/>
  <c r="H337" i="18" s="1"/>
  <c r="F336" i="18"/>
  <c r="H336" i="18" s="1"/>
  <c r="F297" i="18"/>
  <c r="H297" i="18" s="1"/>
  <c r="F324" i="18"/>
  <c r="H324" i="18" s="1"/>
  <c r="F326" i="18"/>
  <c r="H326" i="18" s="1"/>
  <c r="F238" i="18"/>
  <c r="H238" i="18" s="1"/>
  <c r="F355" i="18"/>
  <c r="H355" i="18" s="1"/>
  <c r="F328" i="18"/>
  <c r="H328" i="18" s="1"/>
  <c r="F275" i="18"/>
  <c r="H275" i="18" s="1"/>
  <c r="F253" i="18"/>
  <c r="H253" i="18" s="1"/>
  <c r="F247" i="18"/>
  <c r="H247" i="18" s="1"/>
  <c r="F310" i="18"/>
  <c r="H310" i="18" s="1"/>
  <c r="F244" i="18"/>
  <c r="H244" i="18" s="1"/>
  <c r="F257" i="18"/>
  <c r="H257" i="18" s="1"/>
  <c r="F256" i="18"/>
  <c r="H256" i="18" s="1"/>
  <c r="F272" i="18"/>
  <c r="H272" i="18" s="1"/>
  <c r="F266" i="18"/>
  <c r="H266" i="18" s="1"/>
  <c r="F249" i="18"/>
  <c r="H249" i="18" s="1"/>
  <c r="F207" i="18"/>
  <c r="H207" i="18" s="1"/>
  <c r="F349" i="18"/>
  <c r="H349" i="18" s="1"/>
  <c r="F300" i="18"/>
  <c r="H300" i="18" s="1"/>
  <c r="F303" i="18"/>
  <c r="H303" i="18" s="1"/>
  <c r="F308" i="18"/>
  <c r="H308" i="18" s="1"/>
  <c r="F242" i="18"/>
  <c r="H242" i="18" s="1"/>
  <c r="F347" i="18"/>
  <c r="H347" i="18" s="1"/>
  <c r="F214" i="18"/>
  <c r="H214" i="18" s="1"/>
  <c r="F360" i="18"/>
  <c r="H360" i="18" s="1"/>
  <c r="F318" i="18"/>
  <c r="H318" i="18" s="1"/>
  <c r="F290" i="18"/>
  <c r="H290" i="18" s="1"/>
  <c r="F302" i="18"/>
  <c r="H302" i="18" s="1"/>
  <c r="F223" i="18"/>
  <c r="H223" i="18" s="1"/>
  <c r="F216" i="18"/>
  <c r="H216" i="18" s="1"/>
  <c r="F357" i="18"/>
  <c r="H357" i="18" s="1"/>
  <c r="F236" i="18"/>
  <c r="H236" i="18" s="1"/>
  <c r="F358" i="18"/>
  <c r="H358" i="18" s="1"/>
  <c r="F363" i="18"/>
  <c r="H363" i="18" s="1"/>
  <c r="F232" i="18"/>
  <c r="H232" i="18" s="1"/>
  <c r="F246" i="18"/>
  <c r="H246" i="18" s="1"/>
  <c r="F250" i="18"/>
  <c r="H250" i="18" s="1"/>
  <c r="F198" i="18"/>
  <c r="H198" i="18" s="1"/>
  <c r="F356" i="18"/>
  <c r="H356" i="18" s="1"/>
  <c r="F286" i="18"/>
  <c r="H286" i="18" s="1"/>
  <c r="F330" i="18"/>
  <c r="H330" i="18" s="1"/>
  <c r="F227" i="18"/>
  <c r="H227" i="18" s="1"/>
  <c r="F345" i="18"/>
  <c r="H345" i="18" s="1"/>
  <c r="F255" i="18"/>
  <c r="H255" i="18" s="1"/>
  <c r="F317" i="18"/>
  <c r="H317" i="18" s="1"/>
  <c r="F268" i="18"/>
  <c r="H268" i="18" s="1"/>
  <c r="F344" i="18"/>
  <c r="H344" i="18" s="1"/>
  <c r="F335" i="18"/>
  <c r="H335" i="18" s="1"/>
  <c r="F332" i="18"/>
  <c r="H332" i="18" s="1"/>
  <c r="F279" i="18"/>
  <c r="H279" i="18" s="1"/>
  <c r="F283" i="18"/>
  <c r="H283" i="18" s="1"/>
  <c r="F338" i="18"/>
  <c r="H338" i="18" s="1"/>
  <c r="F298" i="18"/>
  <c r="H298" i="18" s="1"/>
  <c r="F331" i="18"/>
  <c r="H331" i="18" s="1"/>
  <c r="F341" i="18"/>
  <c r="H341" i="18" s="1"/>
  <c r="F316" i="18"/>
  <c r="H316" i="18" s="1"/>
  <c r="F325" i="18"/>
  <c r="H325" i="18" s="1"/>
  <c r="F239" i="18"/>
  <c r="H239" i="18" s="1"/>
  <c r="F278" i="18"/>
  <c r="H278" i="18" s="1"/>
  <c r="F205" i="18"/>
  <c r="H205" i="18" s="1"/>
  <c r="F299" i="18"/>
  <c r="H299" i="18" s="1"/>
  <c r="F364" i="18"/>
  <c r="H364" i="18" s="1"/>
  <c r="F199" i="18"/>
  <c r="H199" i="18" s="1"/>
  <c r="F231" i="18"/>
  <c r="H231" i="18" s="1"/>
  <c r="F292" i="18"/>
  <c r="H292" i="18" s="1"/>
  <c r="F213" i="18"/>
  <c r="H213" i="18" s="1"/>
  <c r="F276" i="18"/>
  <c r="H276" i="18" s="1"/>
  <c r="F211" i="18"/>
  <c r="H211" i="18" s="1"/>
  <c r="F201" i="18"/>
  <c r="H201" i="18" s="1"/>
  <c r="F200" i="18"/>
  <c r="H200" i="18" s="1"/>
  <c r="F293" i="18"/>
  <c r="H293" i="18" s="1"/>
  <c r="F210" i="18"/>
  <c r="H210" i="18" s="1"/>
  <c r="I38" i="20"/>
  <c r="H139" i="21"/>
  <c r="I80" i="20"/>
  <c r="H143" i="21"/>
  <c r="D728" i="22"/>
  <c r="E725" i="22"/>
  <c r="J136" i="21"/>
  <c r="T136" i="21"/>
  <c r="I136" i="21"/>
  <c r="R136" i="21"/>
  <c r="S136" i="21"/>
  <c r="I133" i="21"/>
  <c r="S133" i="21"/>
  <c r="R133" i="21"/>
  <c r="D126" i="21"/>
  <c r="D75" i="20"/>
  <c r="L126" i="21"/>
  <c r="E126" i="21"/>
  <c r="E133" i="21"/>
  <c r="D58" i="20"/>
  <c r="L133" i="21"/>
  <c r="H227" i="24"/>
  <c r="B295" i="24" s="1"/>
  <c r="R134" i="21"/>
  <c r="S134" i="21"/>
  <c r="T134" i="21"/>
  <c r="K150" i="21"/>
  <c r="P150" i="21"/>
  <c r="Q150" i="21"/>
  <c r="O150" i="21"/>
  <c r="N139" i="21"/>
  <c r="Q139" i="21" s="1"/>
  <c r="F38" i="20"/>
  <c r="E864" i="22"/>
  <c r="F861" i="22"/>
  <c r="F864" i="22" s="1"/>
  <c r="G861" i="22"/>
  <c r="G864" i="22" s="1"/>
  <c r="X32" i="23"/>
  <c r="Y32" i="23" s="1"/>
  <c r="S125" i="21"/>
  <c r="R125" i="21"/>
  <c r="T125" i="21"/>
  <c r="I79" i="20"/>
  <c r="H140" i="21"/>
  <c r="I39" i="20"/>
  <c r="H142" i="21"/>
  <c r="T142" i="21" s="1"/>
  <c r="O121" i="21"/>
  <c r="K121" i="21"/>
  <c r="P121" i="21"/>
  <c r="Q121" i="21"/>
  <c r="D660" i="22"/>
  <c r="X26" i="23"/>
  <c r="Y26" i="23" s="1"/>
  <c r="E657" i="22"/>
  <c r="E660" i="22" s="1"/>
  <c r="F657" i="22"/>
  <c r="F660" i="22" s="1"/>
  <c r="L125" i="21"/>
  <c r="E125" i="21"/>
  <c r="D34" i="20"/>
  <c r="D282" i="18"/>
  <c r="F282" i="18"/>
  <c r="H282" i="18" s="1"/>
  <c r="I282" i="18" s="1"/>
  <c r="D140" i="21"/>
  <c r="H226" i="24" l="1"/>
  <c r="C64" i="25" s="1"/>
  <c r="D64" i="25" s="1"/>
  <c r="R139" i="21"/>
  <c r="I139" i="21"/>
  <c r="J139" i="21"/>
  <c r="D145" i="21"/>
  <c r="R145" i="21" s="1"/>
  <c r="T139" i="21"/>
  <c r="S139" i="21"/>
  <c r="E65" i="25"/>
  <c r="I285" i="18"/>
  <c r="P133" i="21"/>
  <c r="O133" i="21"/>
  <c r="Q133" i="21"/>
  <c r="T145" i="21"/>
  <c r="I140" i="21"/>
  <c r="T140" i="21"/>
  <c r="S140" i="21"/>
  <c r="R140" i="21"/>
  <c r="P126" i="21"/>
  <c r="Q126" i="21"/>
  <c r="O126" i="21"/>
  <c r="E728" i="22"/>
  <c r="X28" i="23"/>
  <c r="Y28" i="23" s="1"/>
  <c r="G725" i="22"/>
  <c r="G728" i="22" s="1"/>
  <c r="F725" i="22"/>
  <c r="F728" i="22" s="1"/>
  <c r="Q134" i="21"/>
  <c r="P134" i="21"/>
  <c r="O134" i="21"/>
  <c r="P132" i="21"/>
  <c r="K132" i="21"/>
  <c r="O132" i="21"/>
  <c r="Q132" i="21"/>
  <c r="I35" i="20"/>
  <c r="H128" i="21"/>
  <c r="D128" i="21"/>
  <c r="H215" i="24"/>
  <c r="C61" i="25" s="1"/>
  <c r="R123" i="21"/>
  <c r="S123" i="21"/>
  <c r="T123" i="21"/>
  <c r="F40" i="20"/>
  <c r="N145" i="21"/>
  <c r="Q145" i="21" s="1"/>
  <c r="H762" i="22"/>
  <c r="I759" i="22"/>
  <c r="I762" i="22" s="1"/>
  <c r="X29" i="23"/>
  <c r="Y29" i="23" s="1"/>
  <c r="J759" i="22"/>
  <c r="J762" i="22" s="1"/>
  <c r="I200" i="18"/>
  <c r="I213" i="18"/>
  <c r="I364" i="18"/>
  <c r="I239" i="18"/>
  <c r="I331" i="18"/>
  <c r="I279" i="18"/>
  <c r="I268" i="18"/>
  <c r="I227" i="18"/>
  <c r="I198" i="18"/>
  <c r="I363" i="18"/>
  <c r="I216" i="18"/>
  <c r="I318" i="18"/>
  <c r="I242" i="18"/>
  <c r="I349" i="18"/>
  <c r="I272" i="18"/>
  <c r="I310" i="18"/>
  <c r="I328" i="18"/>
  <c r="I324" i="18"/>
  <c r="I243" i="18"/>
  <c r="I289" i="18"/>
  <c r="I233" i="18"/>
  <c r="I224" i="18"/>
  <c r="I264" i="18"/>
  <c r="I280" i="18"/>
  <c r="I229" i="18"/>
  <c r="I271" i="18"/>
  <c r="I309" i="18"/>
  <c r="I277" i="18"/>
  <c r="I312" i="18"/>
  <c r="I353" i="18"/>
  <c r="I361" i="18"/>
  <c r="I206" i="18"/>
  <c r="I208" i="18"/>
  <c r="I237" i="18"/>
  <c r="I329" i="18"/>
  <c r="I258" i="18"/>
  <c r="I339" i="18"/>
  <c r="I197" i="18"/>
  <c r="I295" i="18"/>
  <c r="I346" i="18"/>
  <c r="I288" i="18"/>
  <c r="I319" i="18"/>
  <c r="S126" i="21"/>
  <c r="R126" i="21"/>
  <c r="T126" i="21"/>
  <c r="R121" i="21"/>
  <c r="S121" i="21"/>
  <c r="J121" i="21"/>
  <c r="T121" i="21"/>
  <c r="I121" i="21"/>
  <c r="P145" i="21"/>
  <c r="O145" i="21"/>
  <c r="K145" i="21"/>
  <c r="Q146" i="21"/>
  <c r="O146" i="21"/>
  <c r="P146" i="21"/>
  <c r="H130" i="21"/>
  <c r="I76" i="20"/>
  <c r="H217" i="24"/>
  <c r="B292" i="24" s="1"/>
  <c r="E61" i="25" s="1"/>
  <c r="D130" i="21"/>
  <c r="I293" i="18"/>
  <c r="I276" i="18"/>
  <c r="I199" i="18"/>
  <c r="I278" i="18"/>
  <c r="I341" i="18"/>
  <c r="I283" i="18"/>
  <c r="I344" i="18"/>
  <c r="I345" i="18"/>
  <c r="I356" i="18"/>
  <c r="I232" i="18"/>
  <c r="I357" i="18"/>
  <c r="I290" i="18"/>
  <c r="I347" i="18"/>
  <c r="I300" i="18"/>
  <c r="I266" i="18"/>
  <c r="I244" i="18"/>
  <c r="I275" i="18"/>
  <c r="I326" i="18"/>
  <c r="I337" i="18"/>
  <c r="I305" i="18"/>
  <c r="I301" i="18"/>
  <c r="I212" i="18"/>
  <c r="I252" i="18"/>
  <c r="I304" i="18"/>
  <c r="I204" i="18"/>
  <c r="I314" i="18"/>
  <c r="I313" i="18"/>
  <c r="I267" i="18"/>
  <c r="I322" i="18"/>
  <c r="I230" i="18"/>
  <c r="I209" i="18"/>
  <c r="I222" i="18"/>
  <c r="I203" i="18"/>
  <c r="I217" i="18"/>
  <c r="I260" i="18"/>
  <c r="I334" i="18"/>
  <c r="I333" i="18"/>
  <c r="I296" i="18"/>
  <c r="I259" i="18"/>
  <c r="I218" i="18"/>
  <c r="I321" i="18"/>
  <c r="D59" i="25"/>
  <c r="H232" i="24"/>
  <c r="C66" i="25" s="1"/>
  <c r="D66" i="25" s="1"/>
  <c r="E237" i="18"/>
  <c r="E197" i="18"/>
  <c r="E224" i="18"/>
  <c r="E212" i="18"/>
  <c r="E346" i="18"/>
  <c r="E348" i="18"/>
  <c r="E246" i="18"/>
  <c r="E264" i="18"/>
  <c r="E314" i="18"/>
  <c r="E253" i="18"/>
  <c r="E315" i="18"/>
  <c r="E269" i="18"/>
  <c r="E242" i="18"/>
  <c r="E362" i="18"/>
  <c r="E357" i="18"/>
  <c r="E274" i="18"/>
  <c r="E213" i="18"/>
  <c r="E359" i="18"/>
  <c r="E287" i="18"/>
  <c r="E203" i="18"/>
  <c r="E234" i="18"/>
  <c r="E232" i="18"/>
  <c r="E298" i="18"/>
  <c r="E335" i="18"/>
  <c r="E273" i="18"/>
  <c r="E310" i="18"/>
  <c r="E344" i="18"/>
  <c r="E354" i="18"/>
  <c r="E316" i="18"/>
  <c r="E227" i="18"/>
  <c r="E325" i="18"/>
  <c r="E351" i="18"/>
  <c r="E229" i="18"/>
  <c r="E324" i="18"/>
  <c r="E350" i="18"/>
  <c r="E326" i="18"/>
  <c r="E228" i="18"/>
  <c r="E309" i="18"/>
  <c r="E296" i="18"/>
  <c r="E291" i="18"/>
  <c r="E300" i="18"/>
  <c r="E301" i="18"/>
  <c r="E211" i="18"/>
  <c r="E215" i="18"/>
  <c r="E250" i="18"/>
  <c r="E231" i="18"/>
  <c r="E265" i="18"/>
  <c r="E349" i="18"/>
  <c r="E280" i="18"/>
  <c r="E318" i="18"/>
  <c r="E286" i="18"/>
  <c r="E283" i="18"/>
  <c r="E331" i="18"/>
  <c r="E255" i="18"/>
  <c r="E297" i="18"/>
  <c r="E276" i="18"/>
  <c r="E199" i="18"/>
  <c r="E217" i="18"/>
  <c r="E198" i="18"/>
  <c r="E360" i="18"/>
  <c r="E219" i="18"/>
  <c r="E218" i="18"/>
  <c r="E235" i="18"/>
  <c r="E236" i="18"/>
  <c r="E254" i="18"/>
  <c r="E257" i="18"/>
  <c r="E245" i="18"/>
  <c r="E268" i="18"/>
  <c r="E338" i="18"/>
  <c r="E256" i="18"/>
  <c r="E323" i="18"/>
  <c r="E204" i="18"/>
  <c r="E259" i="18"/>
  <c r="E251" i="18"/>
  <c r="E321" i="18"/>
  <c r="E341" i="18"/>
  <c r="E279" i="18"/>
  <c r="E330" i="18"/>
  <c r="E342" i="18"/>
  <c r="E241" i="18"/>
  <c r="E277" i="18"/>
  <c r="E305" i="18"/>
  <c r="E292" i="18"/>
  <c r="E293" i="18"/>
  <c r="E233" i="18"/>
  <c r="E363" i="18"/>
  <c r="E278" i="18"/>
  <c r="E200" i="18"/>
  <c r="E202" i="18"/>
  <c r="E248" i="18"/>
  <c r="E216" i="18"/>
  <c r="E262" i="18"/>
  <c r="E353" i="18"/>
  <c r="E294" i="18"/>
  <c r="E334" i="18"/>
  <c r="E261" i="18"/>
  <c r="E337" i="18"/>
  <c r="E209" i="18"/>
  <c r="E222" i="18"/>
  <c r="E364" i="18"/>
  <c r="E214" i="18"/>
  <c r="E252" i="18"/>
  <c r="E284" i="18"/>
  <c r="E281" i="18"/>
  <c r="E319" i="18"/>
  <c r="E207" i="18"/>
  <c r="E271" i="18"/>
  <c r="E333" i="18"/>
  <c r="E260" i="18"/>
  <c r="E247" i="18"/>
  <c r="E317" i="18"/>
  <c r="E249" i="18"/>
  <c r="E238" i="18"/>
  <c r="E313" i="18"/>
  <c r="E329" i="18"/>
  <c r="E240" i="18"/>
  <c r="E205" i="18"/>
  <c r="E206" i="18"/>
  <c r="E230" i="18"/>
  <c r="E336" i="18"/>
  <c r="E244" i="18"/>
  <c r="E272" i="18"/>
  <c r="E356" i="18"/>
  <c r="E303" i="18"/>
  <c r="E306" i="18"/>
  <c r="E299" i="18"/>
  <c r="E304" i="18"/>
  <c r="E289" i="18"/>
  <c r="E285" i="18"/>
  <c r="E288" i="18"/>
  <c r="E270" i="18"/>
  <c r="E361" i="18"/>
  <c r="E220" i="18"/>
  <c r="E263" i="18"/>
  <c r="E266" i="18"/>
  <c r="E332" i="18"/>
  <c r="E340" i="18"/>
  <c r="E225" i="18"/>
  <c r="E355" i="18"/>
  <c r="E226" i="18"/>
  <c r="B196" i="18"/>
  <c r="K196" i="18" s="1"/>
  <c r="E347" i="18"/>
  <c r="E210" i="18"/>
  <c r="E282" i="18"/>
  <c r="E221" i="18"/>
  <c r="E223" i="18"/>
  <c r="E201" i="18"/>
  <c r="E320" i="18"/>
  <c r="E345" i="18"/>
  <c r="E328" i="18"/>
  <c r="E243" i="18"/>
  <c r="E339" i="18"/>
  <c r="E295" i="18"/>
  <c r="E327" i="18"/>
  <c r="E352" i="18"/>
  <c r="E343" i="18"/>
  <c r="E239" i="18"/>
  <c r="E258" i="18"/>
  <c r="E358" i="18"/>
  <c r="E208" i="18"/>
  <c r="E275" i="18"/>
  <c r="E322" i="18"/>
  <c r="E311" i="18"/>
  <c r="E267" i="18"/>
  <c r="E312" i="18"/>
  <c r="E290" i="18"/>
  <c r="E307" i="18"/>
  <c r="E302" i="18"/>
  <c r="E308" i="18"/>
  <c r="H129" i="21"/>
  <c r="I57" i="20"/>
  <c r="D129" i="21"/>
  <c r="H216" i="24"/>
  <c r="B262" i="24" s="1"/>
  <c r="D61" i="25" s="1"/>
  <c r="I210" i="18"/>
  <c r="I211" i="18"/>
  <c r="I231" i="18"/>
  <c r="I205" i="18"/>
  <c r="I316" i="18"/>
  <c r="I338" i="18"/>
  <c r="I335" i="18"/>
  <c r="I255" i="18"/>
  <c r="I286" i="18"/>
  <c r="I246" i="18"/>
  <c r="I236" i="18"/>
  <c r="I302" i="18"/>
  <c r="I214" i="18"/>
  <c r="I303" i="18"/>
  <c r="I249" i="18"/>
  <c r="I257" i="18"/>
  <c r="I253" i="18"/>
  <c r="I238" i="18"/>
  <c r="I336" i="18"/>
  <c r="I251" i="18"/>
  <c r="I263" i="18"/>
  <c r="I291" i="18"/>
  <c r="I221" i="18"/>
  <c r="I226" i="18"/>
  <c r="I235" i="18"/>
  <c r="I354" i="18"/>
  <c r="I315" i="18"/>
  <c r="I241" i="18"/>
  <c r="I225" i="18"/>
  <c r="I340" i="18"/>
  <c r="I270" i="18"/>
  <c r="I219" i="18"/>
  <c r="I307" i="18"/>
  <c r="I202" i="18"/>
  <c r="I359" i="18"/>
  <c r="I343" i="18"/>
  <c r="I311" i="18"/>
  <c r="I254" i="18"/>
  <c r="I269" i="18"/>
  <c r="I273" i="18"/>
  <c r="I306" i="18"/>
  <c r="L196" i="18"/>
  <c r="P125" i="21"/>
  <c r="Q125" i="21"/>
  <c r="O125" i="21"/>
  <c r="R122" i="21"/>
  <c r="S122" i="21"/>
  <c r="T122" i="21"/>
  <c r="N146" i="21"/>
  <c r="F81" i="20"/>
  <c r="D146" i="21"/>
  <c r="H233" i="24"/>
  <c r="B297" i="24" s="1"/>
  <c r="E66" i="25" s="1"/>
  <c r="I201" i="18"/>
  <c r="I292" i="18"/>
  <c r="I299" i="18"/>
  <c r="I325" i="18"/>
  <c r="I298" i="18"/>
  <c r="I332" i="18"/>
  <c r="I317" i="18"/>
  <c r="I330" i="18"/>
  <c r="I250" i="18"/>
  <c r="I358" i="18"/>
  <c r="I223" i="18"/>
  <c r="I360" i="18"/>
  <c r="I308" i="18"/>
  <c r="I207" i="18"/>
  <c r="I256" i="18"/>
  <c r="I247" i="18"/>
  <c r="I355" i="18"/>
  <c r="I297" i="18"/>
  <c r="I323" i="18"/>
  <c r="I265" i="18"/>
  <c r="I320" i="18"/>
  <c r="I362" i="18"/>
  <c r="I234" i="18"/>
  <c r="I348" i="18"/>
  <c r="I248" i="18"/>
  <c r="I352" i="18"/>
  <c r="I228" i="18"/>
  <c r="I350" i="18"/>
  <c r="I351" i="18"/>
  <c r="I261" i="18"/>
  <c r="I220" i="18"/>
  <c r="I215" i="18"/>
  <c r="I287" i="18"/>
  <c r="I262" i="18"/>
  <c r="I294" i="18"/>
  <c r="I245" i="18"/>
  <c r="I240" i="18"/>
  <c r="I327" i="18"/>
  <c r="I342" i="18"/>
  <c r="I274" i="18"/>
  <c r="I281" i="18"/>
  <c r="E59" i="25"/>
  <c r="I284" i="18"/>
  <c r="J145" i="21" l="1"/>
  <c r="E64" i="25"/>
  <c r="I145" i="21"/>
  <c r="S145" i="21"/>
  <c r="T129" i="21"/>
  <c r="J322" i="18"/>
  <c r="K322" i="18" s="1"/>
  <c r="J286" i="18"/>
  <c r="K286" i="18" s="1"/>
  <c r="J357" i="18"/>
  <c r="K357" i="18" s="1"/>
  <c r="J215" i="18"/>
  <c r="K215" i="18" s="1"/>
  <c r="J216" i="18"/>
  <c r="K216" i="18" s="1"/>
  <c r="J355" i="18"/>
  <c r="K355" i="18" s="1"/>
  <c r="J298" i="18"/>
  <c r="K298" i="18" s="1"/>
  <c r="J305" i="18"/>
  <c r="K305" i="18" s="1"/>
  <c r="J197" i="18"/>
  <c r="K197" i="18" s="1"/>
  <c r="J311" i="18"/>
  <c r="K311" i="18" s="1"/>
  <c r="J347" i="18"/>
  <c r="K347" i="18" s="1"/>
  <c r="J327" i="18"/>
  <c r="K327" i="18" s="1"/>
  <c r="J272" i="18"/>
  <c r="K272" i="18" s="1"/>
  <c r="J285" i="18"/>
  <c r="K285" i="18" s="1"/>
  <c r="J212" i="18"/>
  <c r="K212" i="18" s="1"/>
  <c r="J226" i="18"/>
  <c r="K226" i="18" s="1"/>
  <c r="J308" i="18"/>
  <c r="K308" i="18" s="1"/>
  <c r="J208" i="18"/>
  <c r="K208" i="18" s="1"/>
  <c r="J254" i="18"/>
  <c r="K254" i="18" s="1"/>
  <c r="J295" i="18"/>
  <c r="K295" i="18" s="1"/>
  <c r="J261" i="18"/>
  <c r="K261" i="18" s="1"/>
  <c r="J249" i="18"/>
  <c r="K249" i="18" s="1"/>
  <c r="J313" i="18"/>
  <c r="K313" i="18" s="1"/>
  <c r="J312" i="18"/>
  <c r="K312" i="18" s="1"/>
  <c r="J251" i="18"/>
  <c r="K251" i="18" s="1"/>
  <c r="J246" i="18"/>
  <c r="K246" i="18" s="1"/>
  <c r="J331" i="18"/>
  <c r="K331" i="18" s="1"/>
  <c r="J224" i="18"/>
  <c r="K224" i="18" s="1"/>
  <c r="J282" i="18"/>
  <c r="K282" i="18" s="1"/>
  <c r="J316" i="18"/>
  <c r="K316" i="18" s="1"/>
  <c r="J361" i="18"/>
  <c r="K361" i="18" s="1"/>
  <c r="J257" i="18"/>
  <c r="K257" i="18" s="1"/>
  <c r="J221" i="18"/>
  <c r="K221" i="18" s="1"/>
  <c r="J283" i="18"/>
  <c r="K283" i="18" s="1"/>
  <c r="J342" i="18"/>
  <c r="K342" i="18" s="1"/>
  <c r="J307" i="18"/>
  <c r="K307" i="18" s="1"/>
  <c r="J210" i="18"/>
  <c r="K210" i="18" s="1"/>
  <c r="J260" i="18"/>
  <c r="K260" i="18" s="1"/>
  <c r="J204" i="18"/>
  <c r="K204" i="18" s="1"/>
  <c r="J198" i="18"/>
  <c r="K198" i="18" s="1"/>
  <c r="J314" i="18"/>
  <c r="K314" i="18" s="1"/>
  <c r="J262" i="18"/>
  <c r="K262" i="18" s="1"/>
  <c r="J218" i="18"/>
  <c r="K218" i="18" s="1"/>
  <c r="J278" i="18"/>
  <c r="K278" i="18" s="1"/>
  <c r="J315" i="18"/>
  <c r="K315" i="18" s="1"/>
  <c r="J354" i="18"/>
  <c r="K354" i="18" s="1"/>
  <c r="J296" i="18"/>
  <c r="K296" i="18" s="1"/>
  <c r="J227" i="18"/>
  <c r="K227" i="18" s="1"/>
  <c r="J231" i="18"/>
  <c r="K231" i="18" s="1"/>
  <c r="J268" i="18"/>
  <c r="K268" i="18" s="1"/>
  <c r="J269" i="18"/>
  <c r="K269" i="18" s="1"/>
  <c r="J306" i="18"/>
  <c r="K306" i="18" s="1"/>
  <c r="J239" i="18"/>
  <c r="K239" i="18" s="1"/>
  <c r="J339" i="18"/>
  <c r="K339" i="18" s="1"/>
  <c r="J201" i="18"/>
  <c r="K201" i="18" s="1"/>
  <c r="J225" i="18"/>
  <c r="K225" i="18" s="1"/>
  <c r="J294" i="18"/>
  <c r="K294" i="18" s="1"/>
  <c r="J333" i="18"/>
  <c r="K333" i="18" s="1"/>
  <c r="J280" i="18"/>
  <c r="K280" i="18" s="1"/>
  <c r="J199" i="18"/>
  <c r="K199" i="18" s="1"/>
  <c r="J363" i="18"/>
  <c r="K363" i="18" s="1"/>
  <c r="J255" i="18"/>
  <c r="K255" i="18" s="1"/>
  <c r="J250" i="18"/>
  <c r="K250" i="18" s="1"/>
  <c r="J332" i="18"/>
  <c r="K332" i="18" s="1"/>
  <c r="J230" i="18"/>
  <c r="K230" i="18" s="1"/>
  <c r="J302" i="18"/>
  <c r="K302" i="18" s="1"/>
  <c r="J301" i="18"/>
  <c r="K301" i="18" s="1"/>
  <c r="J248" i="18"/>
  <c r="K248" i="18" s="1"/>
  <c r="J234" i="18"/>
  <c r="K234" i="18" s="1"/>
  <c r="J348" i="18"/>
  <c r="K348" i="18" s="1"/>
  <c r="J235" i="18"/>
  <c r="K235" i="18" s="1"/>
  <c r="J310" i="18"/>
  <c r="K310" i="18" s="1"/>
  <c r="J200" i="18"/>
  <c r="K200" i="18" s="1"/>
  <c r="J345" i="18"/>
  <c r="K345" i="18" s="1"/>
  <c r="J265" i="18"/>
  <c r="K265" i="18" s="1"/>
  <c r="J338" i="18"/>
  <c r="K338" i="18" s="1"/>
  <c r="J267" i="18"/>
  <c r="K267" i="18" s="1"/>
  <c r="J324" i="18"/>
  <c r="K324" i="18" s="1"/>
  <c r="J245" i="18"/>
  <c r="K245" i="18" s="1"/>
  <c r="J202" i="18"/>
  <c r="K202" i="18" s="1"/>
  <c r="J303" i="18"/>
  <c r="K303" i="18" s="1"/>
  <c r="J291" i="18"/>
  <c r="K291" i="18" s="1"/>
  <c r="J299" i="18"/>
  <c r="K299" i="18" s="1"/>
  <c r="J358" i="18"/>
  <c r="K358" i="18" s="1"/>
  <c r="J203" i="18"/>
  <c r="K203" i="18" s="1"/>
  <c r="J362" i="18"/>
  <c r="K362" i="18" s="1"/>
  <c r="J275" i="18"/>
  <c r="K275" i="18" s="1"/>
  <c r="J289" i="18"/>
  <c r="K289" i="18" s="1"/>
  <c r="J346" i="18"/>
  <c r="K346" i="18" s="1"/>
  <c r="J279" i="18"/>
  <c r="K279" i="18" s="1"/>
  <c r="J320" i="18"/>
  <c r="K320" i="18" s="1"/>
  <c r="J349" i="18"/>
  <c r="K349" i="18" s="1"/>
  <c r="J237" i="18"/>
  <c r="K237" i="18" s="1"/>
  <c r="J300" i="18"/>
  <c r="K300" i="18" s="1"/>
  <c r="J343" i="18"/>
  <c r="K343" i="18" s="1"/>
  <c r="J297" i="18"/>
  <c r="K297" i="18" s="1"/>
  <c r="J258" i="18"/>
  <c r="K258" i="18" s="1"/>
  <c r="J340" i="18"/>
  <c r="K340" i="18" s="1"/>
  <c r="J288" i="18"/>
  <c r="K288" i="18" s="1"/>
  <c r="J259" i="18"/>
  <c r="K259" i="18" s="1"/>
  <c r="J329" i="18"/>
  <c r="K329" i="18" s="1"/>
  <c r="J220" i="18"/>
  <c r="K220" i="18" s="1"/>
  <c r="J206" i="18"/>
  <c r="K206" i="18" s="1"/>
  <c r="J247" i="18"/>
  <c r="K247" i="18" s="1"/>
  <c r="J270" i="18"/>
  <c r="K270" i="18" s="1"/>
  <c r="J292" i="18"/>
  <c r="K292" i="18" s="1"/>
  <c r="J217" i="18"/>
  <c r="K217" i="18" s="1"/>
  <c r="J228" i="18"/>
  <c r="K228" i="18" s="1"/>
  <c r="J222" i="18"/>
  <c r="K222" i="18" s="1"/>
  <c r="J352" i="18"/>
  <c r="K352" i="18" s="1"/>
  <c r="J253" i="18"/>
  <c r="K253" i="18" s="1"/>
  <c r="J281" i="18"/>
  <c r="K281" i="18" s="1"/>
  <c r="J350" i="18"/>
  <c r="K350" i="18" s="1"/>
  <c r="J290" i="18"/>
  <c r="K290" i="18" s="1"/>
  <c r="J244" i="18"/>
  <c r="K244" i="18" s="1"/>
  <c r="J252" i="18"/>
  <c r="K252" i="18" s="1"/>
  <c r="J242" i="18"/>
  <c r="K242" i="18" s="1"/>
  <c r="J273" i="18"/>
  <c r="K273" i="18" s="1"/>
  <c r="J219" i="18"/>
  <c r="K219" i="18" s="1"/>
  <c r="J325" i="18"/>
  <c r="K325" i="18" s="1"/>
  <c r="J211" i="18"/>
  <c r="K211" i="18" s="1"/>
  <c r="J236" i="18"/>
  <c r="K236" i="18" s="1"/>
  <c r="J334" i="18"/>
  <c r="K334" i="18" s="1"/>
  <c r="J238" i="18"/>
  <c r="K238" i="18" s="1"/>
  <c r="J309" i="18"/>
  <c r="K309" i="18" s="1"/>
  <c r="J353" i="18"/>
  <c r="K353" i="18" s="1"/>
  <c r="J223" i="18"/>
  <c r="K223" i="18" s="1"/>
  <c r="J266" i="18"/>
  <c r="K266" i="18" s="1"/>
  <c r="J337" i="18"/>
  <c r="K337" i="18" s="1"/>
  <c r="J240" i="18"/>
  <c r="K240" i="18" s="1"/>
  <c r="J326" i="18"/>
  <c r="K326" i="18" s="1"/>
  <c r="J344" i="18"/>
  <c r="K344" i="18" s="1"/>
  <c r="J256" i="18"/>
  <c r="K256" i="18" s="1"/>
  <c r="J213" i="18"/>
  <c r="K213" i="18" s="1"/>
  <c r="J341" i="18"/>
  <c r="K341" i="18" s="1"/>
  <c r="J241" i="18"/>
  <c r="K241" i="18" s="1"/>
  <c r="J274" i="18"/>
  <c r="K274" i="18" s="1"/>
  <c r="J318" i="18"/>
  <c r="K318" i="18" s="1"/>
  <c r="J330" i="18"/>
  <c r="K330" i="18" s="1"/>
  <c r="J229" i="18"/>
  <c r="K229" i="18" s="1"/>
  <c r="J276" i="18"/>
  <c r="K276" i="18" s="1"/>
  <c r="J287" i="18"/>
  <c r="K287" i="18" s="1"/>
  <c r="J328" i="18"/>
  <c r="K328" i="18" s="1"/>
  <c r="J284" i="18"/>
  <c r="K284" i="18" s="1"/>
  <c r="J214" i="18"/>
  <c r="K214" i="18" s="1"/>
  <c r="J271" i="18"/>
  <c r="K271" i="18" s="1"/>
  <c r="J293" i="18"/>
  <c r="K293" i="18" s="1"/>
  <c r="J233" i="18"/>
  <c r="K233" i="18" s="1"/>
  <c r="J364" i="18"/>
  <c r="K364" i="18" s="1"/>
  <c r="J205" i="18"/>
  <c r="K205" i="18" s="1"/>
  <c r="J359" i="18"/>
  <c r="K359" i="18" s="1"/>
  <c r="J304" i="18"/>
  <c r="K304" i="18" s="1"/>
  <c r="J264" i="18"/>
  <c r="K264" i="18" s="1"/>
  <c r="J356" i="18"/>
  <c r="K356" i="18" s="1"/>
  <c r="J351" i="18"/>
  <c r="K351" i="18" s="1"/>
  <c r="J319" i="18"/>
  <c r="K319" i="18" s="1"/>
  <c r="J321" i="18"/>
  <c r="K321" i="18" s="1"/>
  <c r="J207" i="18"/>
  <c r="K207" i="18" s="1"/>
  <c r="J209" i="18"/>
  <c r="K209" i="18" s="1"/>
  <c r="J243" i="18"/>
  <c r="K243" i="18" s="1"/>
  <c r="J335" i="18"/>
  <c r="K335" i="18" s="1"/>
  <c r="J323" i="18"/>
  <c r="K323" i="18" s="1"/>
  <c r="J277" i="18"/>
  <c r="K277" i="18" s="1"/>
  <c r="J263" i="18"/>
  <c r="K263" i="18" s="1"/>
  <c r="J336" i="18"/>
  <c r="K336" i="18" s="1"/>
  <c r="J360" i="18"/>
  <c r="K360" i="18" s="1"/>
  <c r="J232" i="18"/>
  <c r="K232" i="18" s="1"/>
  <c r="J317" i="18"/>
  <c r="K317" i="18" s="1"/>
  <c r="R128" i="21"/>
  <c r="I128" i="21"/>
  <c r="S128" i="21"/>
  <c r="T128" i="21"/>
  <c r="J128" i="21"/>
  <c r="M196" i="18"/>
  <c r="L197" i="18"/>
  <c r="I146" i="21"/>
  <c r="R146" i="21"/>
  <c r="S146" i="21"/>
  <c r="T146" i="21"/>
  <c r="S129" i="21"/>
  <c r="R129" i="21"/>
  <c r="T130" i="21"/>
  <c r="R130" i="21"/>
  <c r="S130" i="21"/>
  <c r="L198" i="18" l="1"/>
  <c r="L199" i="18" s="1"/>
  <c r="L200" i="18" s="1"/>
  <c r="L201" i="18" s="1"/>
  <c r="L202" i="18" s="1"/>
  <c r="L203" i="18" s="1"/>
  <c r="L204" i="18" s="1"/>
  <c r="L205" i="18" s="1"/>
  <c r="L206" i="18" s="1"/>
  <c r="L207" i="18" s="1"/>
  <c r="L208" i="18" s="1"/>
  <c r="L209" i="18" s="1"/>
  <c r="L210" i="18" s="1"/>
  <c r="L211" i="18" s="1"/>
  <c r="L212" i="18" s="1"/>
  <c r="L213" i="18" s="1"/>
  <c r="L214" i="18" s="1"/>
  <c r="L215" i="18" s="1"/>
  <c r="L216" i="18" s="1"/>
  <c r="L217" i="18" s="1"/>
  <c r="L218" i="18" s="1"/>
  <c r="L219" i="18" s="1"/>
  <c r="L220" i="18" s="1"/>
  <c r="L221" i="18" s="1"/>
  <c r="L222" i="18" s="1"/>
  <c r="L223" i="18" s="1"/>
  <c r="L224" i="18" s="1"/>
  <c r="L225" i="18" s="1"/>
  <c r="L226" i="18" s="1"/>
  <c r="L227" i="18" s="1"/>
  <c r="L228" i="18" s="1"/>
  <c r="L229" i="18" s="1"/>
  <c r="L230" i="18" s="1"/>
  <c r="L231" i="18" s="1"/>
  <c r="L232" i="18" s="1"/>
  <c r="L233" i="18" s="1"/>
  <c r="L234" i="18" s="1"/>
  <c r="L235" i="18" s="1"/>
  <c r="L236" i="18" s="1"/>
  <c r="L237" i="18" s="1"/>
  <c r="L238" i="18" s="1"/>
  <c r="L239" i="18" s="1"/>
  <c r="L240" i="18" s="1"/>
  <c r="L241" i="18" s="1"/>
  <c r="L242" i="18" s="1"/>
  <c r="L243" i="18" s="1"/>
  <c r="L244" i="18" s="1"/>
  <c r="L245" i="18" s="1"/>
  <c r="L246" i="18" s="1"/>
  <c r="L247" i="18" s="1"/>
  <c r="L248" i="18" s="1"/>
  <c r="L249" i="18" s="1"/>
  <c r="L250" i="18" s="1"/>
  <c r="L251" i="18" s="1"/>
  <c r="L252" i="18" s="1"/>
  <c r="L253" i="18" s="1"/>
  <c r="L254" i="18" s="1"/>
  <c r="L255" i="18" s="1"/>
  <c r="L256" i="18" s="1"/>
  <c r="L257" i="18" s="1"/>
  <c r="L258" i="18" s="1"/>
  <c r="L259" i="18" s="1"/>
  <c r="L260" i="18" s="1"/>
  <c r="L261" i="18" s="1"/>
  <c r="L262" i="18" s="1"/>
  <c r="L263" i="18" s="1"/>
  <c r="L264" i="18" s="1"/>
  <c r="L265" i="18" s="1"/>
  <c r="L266" i="18" s="1"/>
  <c r="L267" i="18" s="1"/>
  <c r="L268" i="18" s="1"/>
  <c r="L269" i="18" s="1"/>
  <c r="L270" i="18" s="1"/>
  <c r="L271" i="18" s="1"/>
  <c r="L272" i="18" s="1"/>
  <c r="L273" i="18" s="1"/>
  <c r="L274" i="18" s="1"/>
  <c r="L275" i="18" s="1"/>
  <c r="L276" i="18" s="1"/>
  <c r="L277" i="18" s="1"/>
  <c r="L278" i="18" s="1"/>
  <c r="L279" i="18" s="1"/>
  <c r="L280" i="18" s="1"/>
  <c r="L281" i="18" s="1"/>
  <c r="L282" i="18" s="1"/>
  <c r="L283" i="18" s="1"/>
  <c r="L284" i="18" s="1"/>
  <c r="L285" i="18" s="1"/>
  <c r="L286" i="18" s="1"/>
  <c r="L287" i="18" s="1"/>
  <c r="L288" i="18" s="1"/>
  <c r="L289" i="18" s="1"/>
  <c r="L290" i="18" s="1"/>
  <c r="L291" i="18" s="1"/>
  <c r="L292" i="18" s="1"/>
  <c r="L293" i="18" s="1"/>
  <c r="L294" i="18" s="1"/>
  <c r="L295" i="18" s="1"/>
  <c r="L296" i="18" s="1"/>
  <c r="L297" i="18" s="1"/>
  <c r="L298" i="18" s="1"/>
  <c r="L299" i="18" s="1"/>
  <c r="L300" i="18" s="1"/>
  <c r="L301" i="18" s="1"/>
  <c r="L302" i="18" s="1"/>
  <c r="L303" i="18" s="1"/>
  <c r="L304" i="18" s="1"/>
  <c r="L305" i="18" s="1"/>
  <c r="L306" i="18" s="1"/>
  <c r="L307" i="18" s="1"/>
  <c r="L308" i="18" s="1"/>
  <c r="L309" i="18" s="1"/>
  <c r="L310" i="18" s="1"/>
  <c r="L311" i="18" s="1"/>
  <c r="L312" i="18" s="1"/>
  <c r="L313" i="18" s="1"/>
  <c r="L314" i="18" s="1"/>
  <c r="L315" i="18" s="1"/>
  <c r="L316" i="18" s="1"/>
  <c r="L317" i="18" s="1"/>
  <c r="L318" i="18" s="1"/>
  <c r="L319" i="18" s="1"/>
  <c r="L320" i="18" s="1"/>
  <c r="L321" i="18" s="1"/>
  <c r="L322" i="18" s="1"/>
  <c r="L323" i="18" s="1"/>
  <c r="L324" i="18" s="1"/>
  <c r="L325" i="18" s="1"/>
  <c r="L326" i="18" s="1"/>
  <c r="L327" i="18" s="1"/>
  <c r="L328" i="18" s="1"/>
  <c r="L329" i="18" s="1"/>
  <c r="L330" i="18" s="1"/>
  <c r="L331" i="18" s="1"/>
  <c r="L332" i="18" s="1"/>
  <c r="L333" i="18" s="1"/>
  <c r="L334" i="18" s="1"/>
  <c r="L335" i="18" s="1"/>
  <c r="L336" i="18" s="1"/>
  <c r="L337" i="18" s="1"/>
  <c r="L338" i="18" s="1"/>
  <c r="L339" i="18" s="1"/>
  <c r="L340" i="18" s="1"/>
  <c r="L341" i="18" s="1"/>
  <c r="L342" i="18" s="1"/>
  <c r="L343" i="18" s="1"/>
  <c r="L344" i="18" s="1"/>
  <c r="L345" i="18" s="1"/>
  <c r="L346" i="18" s="1"/>
  <c r="L347" i="18" s="1"/>
  <c r="L348" i="18" s="1"/>
  <c r="L349" i="18" s="1"/>
  <c r="L350" i="18" s="1"/>
  <c r="L351" i="18" s="1"/>
  <c r="L352" i="18" s="1"/>
  <c r="L353" i="18" s="1"/>
  <c r="L354" i="18" s="1"/>
  <c r="L355" i="18" s="1"/>
  <c r="L356" i="18" s="1"/>
  <c r="L357" i="18" s="1"/>
  <c r="L358" i="18" s="1"/>
  <c r="L359" i="18" s="1"/>
  <c r="L360" i="18" s="1"/>
  <c r="L361" i="18" s="1"/>
  <c r="L362" i="18" s="1"/>
  <c r="L363" i="18" s="1"/>
  <c r="L364" i="18" s="1"/>
  <c r="M197" i="18"/>
  <c r="N197" i="18" s="1"/>
  <c r="M198" i="18" l="1"/>
  <c r="M199" i="18" l="1"/>
  <c r="M200" i="18" s="1"/>
  <c r="N198" i="18"/>
  <c r="N199" i="18" l="1"/>
  <c r="N200" i="18"/>
  <c r="M201" i="18"/>
  <c r="N201" i="18" l="1"/>
  <c r="M202" i="18"/>
  <c r="N202" i="18" s="1"/>
  <c r="M203" i="18" l="1"/>
  <c r="M204" i="18" s="1"/>
  <c r="N203" i="18" l="1"/>
  <c r="N204" i="18"/>
  <c r="M205" i="18"/>
  <c r="M206" i="18" s="1"/>
  <c r="N206" i="18" l="1"/>
  <c r="M207" i="18"/>
  <c r="N205" i="18"/>
  <c r="N207" i="18" l="1"/>
  <c r="M208" i="18"/>
  <c r="M209" i="18" l="1"/>
  <c r="N209" i="18" s="1"/>
  <c r="N208" i="18"/>
  <c r="M210" i="18" l="1"/>
  <c r="N210" i="18" s="1"/>
  <c r="M211" i="18" l="1"/>
  <c r="N211" i="18" s="1"/>
  <c r="M212" i="18" l="1"/>
  <c r="M213" i="18" l="1"/>
  <c r="N213" i="18" s="1"/>
  <c r="N212" i="18"/>
  <c r="M214" i="18" l="1"/>
  <c r="M215" i="18" s="1"/>
  <c r="N214" i="18" l="1"/>
  <c r="N215" i="18"/>
  <c r="M216" i="18"/>
  <c r="M217" i="18" s="1"/>
  <c r="N217" i="18" l="1"/>
  <c r="M218" i="18"/>
  <c r="N216" i="18"/>
  <c r="M219" i="18" l="1"/>
  <c r="N219" i="18" s="1"/>
  <c r="N218" i="18"/>
  <c r="M220" i="18" l="1"/>
  <c r="N220" i="18" s="1"/>
  <c r="M221" i="18" l="1"/>
  <c r="M222" i="18" l="1"/>
  <c r="N222" i="18" s="1"/>
  <c r="N221" i="18"/>
  <c r="M223" i="18" l="1"/>
  <c r="N223" i="18" s="1"/>
  <c r="M224" i="18" l="1"/>
  <c r="M225" i="18" s="1"/>
  <c r="N224" i="18" l="1"/>
  <c r="N225" i="18"/>
  <c r="M226" i="18"/>
  <c r="N226" i="18" s="1"/>
  <c r="M227" i="18" l="1"/>
  <c r="N227" i="18" s="1"/>
  <c r="M228" i="18" l="1"/>
  <c r="N228" i="18" s="1"/>
  <c r="M229" i="18" l="1"/>
  <c r="N229" i="18" s="1"/>
  <c r="M230" i="18" l="1"/>
  <c r="N230" i="18" s="1"/>
  <c r="M231" i="18" l="1"/>
  <c r="N231" i="18" s="1"/>
  <c r="M232" i="18" l="1"/>
  <c r="N232" i="18" s="1"/>
  <c r="M233" i="18" l="1"/>
  <c r="M234" i="18" l="1"/>
  <c r="N234" i="18" s="1"/>
  <c r="N233" i="18"/>
  <c r="M235" i="18" l="1"/>
  <c r="N235" i="18" s="1"/>
  <c r="M236" i="18" l="1"/>
  <c r="N236" i="18" s="1"/>
  <c r="M237" i="18" l="1"/>
  <c r="N237" i="18" s="1"/>
  <c r="M238" i="18" l="1"/>
  <c r="N238" i="18" s="1"/>
  <c r="M239" i="18" l="1"/>
  <c r="N239" i="18" s="1"/>
  <c r="M240" i="18" l="1"/>
  <c r="M241" i="18" l="1"/>
  <c r="N241" i="18" s="1"/>
  <c r="N240" i="18"/>
  <c r="M242" i="18" l="1"/>
  <c r="N242" i="18" s="1"/>
  <c r="M243" i="18" l="1"/>
  <c r="N243" i="18" s="1"/>
  <c r="M244" i="18" l="1"/>
  <c r="N244" i="18" s="1"/>
  <c r="M245" i="18" l="1"/>
  <c r="M246" i="18" s="1"/>
  <c r="N245" i="18" l="1"/>
  <c r="N246" i="18"/>
  <c r="M247" i="18"/>
  <c r="N247" i="18" l="1"/>
  <c r="M248" i="18"/>
  <c r="M249" i="18" l="1"/>
  <c r="N249" i="18" s="1"/>
  <c r="N248" i="18"/>
  <c r="M250" i="18" l="1"/>
  <c r="N250" i="18" s="1"/>
  <c r="M251" i="18" l="1"/>
  <c r="N251" i="18" s="1"/>
  <c r="M252" i="18" l="1"/>
  <c r="N252" i="18" s="1"/>
  <c r="M253" i="18" l="1"/>
  <c r="N253" i="18" s="1"/>
  <c r="M254" i="18" l="1"/>
  <c r="N254" i="18" s="1"/>
  <c r="M255" i="18" l="1"/>
  <c r="N255" i="18" s="1"/>
  <c r="M256" i="18" l="1"/>
  <c r="M257" i="18" s="1"/>
  <c r="N256" i="18" l="1"/>
  <c r="N257" i="18"/>
  <c r="M258" i="18"/>
  <c r="M259" i="18" l="1"/>
  <c r="N259" i="18" s="1"/>
  <c r="N258" i="18"/>
  <c r="M260" i="18" l="1"/>
  <c r="M261" i="18" l="1"/>
  <c r="N261" i="18" s="1"/>
  <c r="N260" i="18"/>
  <c r="M262" i="18" l="1"/>
  <c r="N262" i="18" s="1"/>
  <c r="M263" i="18" l="1"/>
  <c r="N263" i="18" s="1"/>
  <c r="M264" i="18" l="1"/>
  <c r="N264" i="18" s="1"/>
  <c r="M265" i="18" l="1"/>
  <c r="N265" i="18" s="1"/>
  <c r="M266" i="18" l="1"/>
  <c r="N266" i="18" s="1"/>
  <c r="M267" i="18" l="1"/>
  <c r="N267" i="18" s="1"/>
  <c r="M268" i="18" l="1"/>
  <c r="N268" i="18" s="1"/>
  <c r="M269" i="18" l="1"/>
  <c r="N269" i="18" s="1"/>
  <c r="M270" i="18" l="1"/>
  <c r="N270" i="18" s="1"/>
  <c r="M271" i="18" l="1"/>
  <c r="N271" i="18" s="1"/>
  <c r="M272" i="18" l="1"/>
  <c r="N272" i="18" s="1"/>
  <c r="M273" i="18" l="1"/>
  <c r="N273" i="18" s="1"/>
  <c r="M274" i="18" l="1"/>
  <c r="N274" i="18" s="1"/>
  <c r="M275" i="18" l="1"/>
  <c r="N275" i="18" s="1"/>
  <c r="M276" i="18" l="1"/>
  <c r="N276" i="18" s="1"/>
  <c r="M277" i="18" l="1"/>
  <c r="N277" i="18" s="1"/>
  <c r="M278" i="18" l="1"/>
  <c r="M279" i="18" l="1"/>
  <c r="N279" i="18" s="1"/>
  <c r="N278" i="18"/>
  <c r="M280" i="18" l="1"/>
  <c r="N280" i="18" s="1"/>
  <c r="M281" i="18" l="1"/>
  <c r="N281" i="18" s="1"/>
  <c r="M282" i="18" l="1"/>
  <c r="N282" i="18" s="1"/>
  <c r="M283" i="18" l="1"/>
  <c r="N283" i="18" s="1"/>
  <c r="M284" i="18" l="1"/>
  <c r="N284" i="18" s="1"/>
  <c r="M285" i="18" l="1"/>
  <c r="N285" i="18" s="1"/>
  <c r="M286" i="18" l="1"/>
  <c r="N286" i="18" s="1"/>
  <c r="M287" i="18" l="1"/>
  <c r="N287" i="18" s="1"/>
  <c r="M288" i="18" l="1"/>
  <c r="N288" i="18" s="1"/>
  <c r="M289" i="18" l="1"/>
  <c r="N289" i="18" s="1"/>
  <c r="M290" i="18" l="1"/>
  <c r="N290" i="18" s="1"/>
  <c r="M291" i="18" l="1"/>
  <c r="N291" i="18" s="1"/>
  <c r="M292" i="18" l="1"/>
  <c r="N292" i="18" s="1"/>
  <c r="M293" i="18" l="1"/>
  <c r="N293" i="18" s="1"/>
  <c r="M294" i="18" l="1"/>
  <c r="N294" i="18" s="1"/>
  <c r="M295" i="18" l="1"/>
  <c r="N295" i="18" s="1"/>
  <c r="M296" i="18" l="1"/>
  <c r="M297" i="18" l="1"/>
  <c r="N297" i="18" s="1"/>
  <c r="N296" i="18"/>
  <c r="M298" i="18" l="1"/>
  <c r="N298" i="18" s="1"/>
  <c r="M299" i="18" l="1"/>
  <c r="N299" i="18" s="1"/>
  <c r="M300" i="18" l="1"/>
  <c r="N300" i="18" s="1"/>
  <c r="M301" i="18" l="1"/>
  <c r="N301" i="18" s="1"/>
  <c r="M302" i="18" l="1"/>
  <c r="N302" i="18" s="1"/>
  <c r="M303" i="18" l="1"/>
  <c r="N303" i="18" s="1"/>
  <c r="M304" i="18" l="1"/>
  <c r="N304" i="18" s="1"/>
  <c r="M305" i="18" l="1"/>
  <c r="N305" i="18" s="1"/>
  <c r="M306" i="18" l="1"/>
  <c r="N306" i="18" s="1"/>
  <c r="M307" i="18" l="1"/>
  <c r="N307" i="18" s="1"/>
  <c r="M308" i="18" l="1"/>
  <c r="N308" i="18" s="1"/>
  <c r="M309" i="18" l="1"/>
  <c r="N309" i="18" s="1"/>
  <c r="M310" i="18" l="1"/>
  <c r="N310" i="18" s="1"/>
  <c r="M311" i="18" l="1"/>
  <c r="N311" i="18" s="1"/>
  <c r="M312" i="18" l="1"/>
  <c r="N312" i="18" s="1"/>
  <c r="M313" i="18" l="1"/>
  <c r="N313" i="18" s="1"/>
  <c r="M314" i="18" l="1"/>
  <c r="M315" i="18" l="1"/>
  <c r="N315" i="18" s="1"/>
  <c r="N314" i="18"/>
  <c r="M316" i="18" l="1"/>
  <c r="N316" i="18" s="1"/>
  <c r="M317" i="18" l="1"/>
  <c r="N317" i="18" s="1"/>
  <c r="M318" i="18" l="1"/>
  <c r="N318" i="18" s="1"/>
  <c r="M319" i="18" l="1"/>
  <c r="N319" i="18" s="1"/>
  <c r="M320" i="18" l="1"/>
  <c r="N320" i="18" s="1"/>
  <c r="M321" i="18" l="1"/>
  <c r="M322" i="18" s="1"/>
  <c r="N321" i="18" l="1"/>
  <c r="N322" i="18"/>
  <c r="M323" i="18"/>
  <c r="M324" i="18" l="1"/>
  <c r="N324" i="18" s="1"/>
  <c r="N323" i="18"/>
  <c r="M325" i="18" l="1"/>
  <c r="N325" i="18" s="1"/>
  <c r="M326" i="18" l="1"/>
  <c r="N326" i="18" s="1"/>
  <c r="M327" i="18" l="1"/>
  <c r="N327" i="18" s="1"/>
  <c r="M328" i="18" l="1"/>
  <c r="N328" i="18" s="1"/>
  <c r="M329" i="18" l="1"/>
  <c r="N329" i="18" s="1"/>
  <c r="M330" i="18" l="1"/>
  <c r="N330" i="18" s="1"/>
  <c r="M331" i="18" l="1"/>
  <c r="N331" i="18" s="1"/>
  <c r="M332" i="18" l="1"/>
  <c r="N332" i="18" s="1"/>
  <c r="M333" i="18" l="1"/>
  <c r="M334" i="18" l="1"/>
  <c r="N334" i="18" s="1"/>
  <c r="N333" i="18"/>
  <c r="M335" i="18" l="1"/>
  <c r="N335" i="18" s="1"/>
  <c r="M336" i="18" l="1"/>
  <c r="N336" i="18" s="1"/>
  <c r="M337" i="18" l="1"/>
  <c r="N337" i="18" s="1"/>
  <c r="M338" i="18" l="1"/>
  <c r="N338" i="18" s="1"/>
  <c r="M339" i="18" l="1"/>
  <c r="N339" i="18" s="1"/>
  <c r="M340" i="18" l="1"/>
  <c r="N340" i="18" s="1"/>
  <c r="M341" i="18" l="1"/>
  <c r="N341" i="18" s="1"/>
  <c r="M342" i="18" l="1"/>
  <c r="N342" i="18" s="1"/>
  <c r="M343" i="18" l="1"/>
  <c r="N343" i="18" s="1"/>
  <c r="M344" i="18" l="1"/>
  <c r="N344" i="18" s="1"/>
  <c r="M345" i="18" l="1"/>
  <c r="N345" i="18" s="1"/>
  <c r="M346" i="18" l="1"/>
  <c r="N346" i="18" s="1"/>
  <c r="M347" i="18" l="1"/>
  <c r="M348" i="18" s="1"/>
  <c r="N347" i="18" l="1"/>
  <c r="N348" i="18"/>
  <c r="M349" i="18"/>
  <c r="M350" i="18" l="1"/>
  <c r="N350" i="18" s="1"/>
  <c r="N349" i="18"/>
  <c r="M351" i="18" l="1"/>
  <c r="N351" i="18" s="1"/>
  <c r="M352" i="18" l="1"/>
  <c r="M353" i="18" l="1"/>
  <c r="N353" i="18" s="1"/>
  <c r="N352" i="18"/>
  <c r="M354" i="18" l="1"/>
  <c r="N354" i="18" s="1"/>
  <c r="M355" i="18" l="1"/>
  <c r="N355" i="18" s="1"/>
  <c r="M356" i="18" l="1"/>
  <c r="N356" i="18" s="1"/>
  <c r="M357" i="18" l="1"/>
  <c r="N357" i="18" s="1"/>
  <c r="M358" i="18" l="1"/>
  <c r="N358" i="18" s="1"/>
  <c r="M359" i="18" l="1"/>
  <c r="N359" i="18" s="1"/>
  <c r="M360" i="18" l="1"/>
  <c r="N360" i="18" s="1"/>
  <c r="M361" i="18" l="1"/>
  <c r="N361" i="18" s="1"/>
  <c r="M362" i="18" l="1"/>
  <c r="N362" i="18" s="1"/>
  <c r="M363" i="18" l="1"/>
  <c r="N363" i="18" s="1"/>
  <c r="M364" i="18" l="1"/>
  <c r="N196" i="18" s="1"/>
  <c r="N364" i="18" l="1"/>
  <c r="B372" i="18" s="1"/>
  <c r="G412" i="18" s="1"/>
  <c r="E407" i="18" l="1"/>
  <c r="E410" i="18"/>
  <c r="E411" i="18"/>
  <c r="B421" i="18"/>
  <c r="C408" i="18"/>
  <c r="B422" i="18"/>
  <c r="F416" i="18"/>
  <c r="B411" i="18"/>
  <c r="D417" i="18"/>
  <c r="D424" i="18"/>
  <c r="G419" i="18"/>
  <c r="E408" i="18"/>
  <c r="F417" i="18"/>
  <c r="B408" i="18"/>
  <c r="B418" i="18"/>
  <c r="C416" i="18"/>
  <c r="C413" i="18"/>
  <c r="C418" i="18"/>
  <c r="C414" i="18"/>
  <c r="E415" i="18"/>
  <c r="C411" i="18"/>
  <c r="B413" i="18"/>
  <c r="E413" i="18"/>
  <c r="B420" i="18"/>
  <c r="E414" i="18"/>
  <c r="B410" i="18"/>
  <c r="C415" i="18"/>
  <c r="B416" i="18"/>
  <c r="F419" i="18"/>
  <c r="D419" i="18"/>
  <c r="D416" i="18"/>
  <c r="B409" i="18"/>
  <c r="B414" i="18"/>
  <c r="C417" i="18"/>
  <c r="E418" i="18"/>
  <c r="F414" i="18"/>
  <c r="G417" i="18"/>
  <c r="C419" i="18"/>
  <c r="B415" i="18"/>
  <c r="E416" i="18"/>
  <c r="B407" i="18"/>
  <c r="F418" i="18"/>
  <c r="B419" i="18"/>
  <c r="B412" i="18"/>
  <c r="G416" i="18"/>
  <c r="B417" i="18"/>
  <c r="D418" i="18"/>
  <c r="G418" i="18"/>
  <c r="B424" i="18"/>
  <c r="G422" i="18"/>
  <c r="B423" i="18"/>
  <c r="F420" i="18"/>
  <c r="D408" i="18"/>
  <c r="E417" i="18"/>
  <c r="G424" i="18"/>
  <c r="E424" i="18"/>
  <c r="D407" i="18"/>
  <c r="F423" i="18"/>
  <c r="C424" i="18"/>
  <c r="E419" i="18"/>
  <c r="G420" i="18"/>
  <c r="E420" i="18"/>
  <c r="F410" i="18"/>
  <c r="F408" i="18"/>
  <c r="D420" i="18"/>
  <c r="D415" i="18"/>
  <c r="F413" i="18"/>
  <c r="D413" i="18"/>
  <c r="E409" i="18"/>
  <c r="C412" i="18"/>
  <c r="D411" i="18"/>
  <c r="D409" i="18"/>
  <c r="G411" i="18"/>
  <c r="C422" i="18"/>
  <c r="G409" i="18"/>
  <c r="G415" i="18"/>
  <c r="F422" i="18"/>
  <c r="G423" i="18"/>
  <c r="G421" i="18"/>
  <c r="F411" i="18"/>
  <c r="F415" i="18"/>
  <c r="G410" i="18"/>
  <c r="C409" i="18"/>
  <c r="C420" i="18"/>
  <c r="C407" i="18"/>
  <c r="D414" i="18"/>
  <c r="E423" i="18"/>
  <c r="F412" i="18"/>
  <c r="E412" i="18"/>
  <c r="E422" i="18"/>
  <c r="E421" i="18"/>
  <c r="C421" i="18"/>
  <c r="D410" i="18"/>
  <c r="F407" i="18"/>
  <c r="F424" i="18"/>
  <c r="G408" i="18"/>
  <c r="F409" i="18"/>
  <c r="G414" i="18"/>
  <c r="G413" i="18"/>
  <c r="C423" i="18"/>
  <c r="C410" i="18"/>
  <c r="D422" i="18"/>
  <c r="D423" i="18"/>
  <c r="G407" i="18"/>
  <c r="D412" i="18"/>
  <c r="F421" i="18"/>
  <c r="D421" i="18"/>
  <c r="C160" i="22"/>
  <c r="E24" i="19"/>
  <c r="E76" i="19" s="1"/>
  <c r="F428" i="22"/>
  <c r="F32" i="19"/>
  <c r="B96" i="22"/>
  <c r="B22" i="19"/>
  <c r="C292" i="22"/>
  <c r="C28" i="19"/>
  <c r="D360" i="22"/>
  <c r="D30" i="19"/>
  <c r="C62" i="22"/>
  <c r="E21" i="19"/>
  <c r="E73" i="19" s="1"/>
  <c r="C96" i="22"/>
  <c r="C22" i="19"/>
  <c r="F394" i="22"/>
  <c r="F31" i="19"/>
  <c r="B428" i="22"/>
  <c r="B32" i="19"/>
  <c r="C258" i="22"/>
  <c r="C27" i="19"/>
  <c r="B194" i="22"/>
  <c r="B25" i="19"/>
  <c r="D394" i="22"/>
  <c r="D31" i="19"/>
  <c r="D622" i="22"/>
  <c r="D38" i="19"/>
  <c r="D462" i="22"/>
  <c r="D33" i="19"/>
  <c r="G394" i="22"/>
  <c r="G31" i="19"/>
  <c r="C462" i="22"/>
  <c r="C33" i="19"/>
  <c r="B326" i="22"/>
  <c r="B29" i="19"/>
  <c r="H416" i="18"/>
  <c r="E360" i="22"/>
  <c r="E30" i="19"/>
  <c r="E82" i="19" s="1"/>
  <c r="B622" i="22"/>
  <c r="B38" i="19"/>
  <c r="B62" i="22"/>
  <c r="B21" i="19"/>
  <c r="C428" i="22"/>
  <c r="C32" i="19"/>
  <c r="B224" i="22"/>
  <c r="B26" i="19"/>
  <c r="B78" i="19" s="1"/>
  <c r="G360" i="22"/>
  <c r="G30" i="19"/>
  <c r="B394" i="22"/>
  <c r="B31" i="19"/>
  <c r="D428" i="22"/>
  <c r="D32" i="19"/>
  <c r="G428" i="22"/>
  <c r="G32" i="19"/>
  <c r="B494" i="22"/>
  <c r="B34" i="19"/>
  <c r="B86" i="19" s="1"/>
  <c r="E394" i="22"/>
  <c r="H417" i="18"/>
  <c r="E31" i="19"/>
  <c r="E83" i="19" s="1"/>
  <c r="B558" i="22"/>
  <c r="B36" i="19"/>
  <c r="H408" i="18"/>
  <c r="D96" i="22"/>
  <c r="E22" i="19"/>
  <c r="E74" i="19" s="1"/>
  <c r="F360" i="22"/>
  <c r="F30" i="19"/>
  <c r="G462" i="22"/>
  <c r="G33" i="19"/>
  <c r="B126" i="22"/>
  <c r="B23" i="19"/>
  <c r="B75" i="19" s="1"/>
  <c r="B160" i="22"/>
  <c r="B24" i="19"/>
  <c r="E428" i="22"/>
  <c r="H418" i="18"/>
  <c r="E32" i="19"/>
  <c r="B590" i="22"/>
  <c r="B37" i="19"/>
  <c r="B526" i="22"/>
  <c r="B35" i="19"/>
  <c r="B462" i="22"/>
  <c r="B33" i="19"/>
  <c r="C360" i="22"/>
  <c r="C30" i="19"/>
  <c r="F462" i="22"/>
  <c r="F33" i="19"/>
  <c r="H413" i="18"/>
  <c r="D258" i="22"/>
  <c r="E27" i="19"/>
  <c r="E79" i="19" s="1"/>
  <c r="D194" i="22"/>
  <c r="H411" i="18"/>
  <c r="E25" i="19"/>
  <c r="C326" i="22"/>
  <c r="C29" i="19"/>
  <c r="B360" i="22"/>
  <c r="B30" i="19"/>
  <c r="H415" i="18"/>
  <c r="D326" i="22"/>
  <c r="E29" i="19"/>
  <c r="E81" i="19" s="1"/>
  <c r="C194" i="22"/>
  <c r="C25" i="19"/>
  <c r="D292" i="22"/>
  <c r="H414" i="18"/>
  <c r="E28" i="19"/>
  <c r="E80" i="19" s="1"/>
  <c r="B258" i="22"/>
  <c r="B27" i="19"/>
  <c r="B292" i="22"/>
  <c r="B28" i="19"/>
  <c r="C394" i="22"/>
  <c r="C31" i="19"/>
  <c r="C622" i="22"/>
  <c r="C38" i="19"/>
  <c r="H419" i="18"/>
  <c r="E462" i="22"/>
  <c r="E33" i="19"/>
  <c r="H423" i="18"/>
  <c r="H422" i="18"/>
  <c r="H424" i="18" l="1"/>
  <c r="H420" i="18"/>
  <c r="H412" i="18"/>
  <c r="H409" i="18"/>
  <c r="H421" i="18"/>
  <c r="H410" i="18"/>
  <c r="H407" i="18"/>
  <c r="E85" i="19"/>
  <c r="E132" i="19" s="1"/>
  <c r="E269" i="19" s="1"/>
  <c r="E292" i="22"/>
  <c r="E128" i="19"/>
  <c r="E257" i="19" s="1"/>
  <c r="D327" i="22"/>
  <c r="H360" i="22"/>
  <c r="C526" i="22"/>
  <c r="B122" i="19"/>
  <c r="B127" i="22"/>
  <c r="C127" i="22" s="1"/>
  <c r="B169" i="19"/>
  <c r="F82" i="19"/>
  <c r="F361" i="22" s="1"/>
  <c r="F364" i="22" s="1"/>
  <c r="E130" i="19"/>
  <c r="E395" i="22"/>
  <c r="E398" i="22" s="1"/>
  <c r="C494" i="22"/>
  <c r="B90" i="19"/>
  <c r="C80" i="19"/>
  <c r="C293" i="22" s="1"/>
  <c r="F84" i="19"/>
  <c r="F429" i="22" s="1"/>
  <c r="F432" i="22" s="1"/>
  <c r="E127" i="19"/>
  <c r="E255" i="19" s="1"/>
  <c r="D293" i="22"/>
  <c r="D296" i="22" s="1"/>
  <c r="B82" i="19"/>
  <c r="B361" i="22" s="1"/>
  <c r="E77" i="19"/>
  <c r="E124" i="19" s="1"/>
  <c r="F258" i="22"/>
  <c r="C82" i="19"/>
  <c r="C361" i="22" s="1"/>
  <c r="C364" i="22" s="1"/>
  <c r="B87" i="19"/>
  <c r="B134" i="19" s="1"/>
  <c r="E84" i="19"/>
  <c r="E131" i="19" s="1"/>
  <c r="F96" i="22"/>
  <c r="B133" i="19"/>
  <c r="B180" i="19"/>
  <c r="B495" i="22"/>
  <c r="C495" i="22" s="1"/>
  <c r="D84" i="19"/>
  <c r="D429" i="22" s="1"/>
  <c r="D432" i="22" s="1"/>
  <c r="G82" i="19"/>
  <c r="G361" i="22" s="1"/>
  <c r="G364" i="22" s="1"/>
  <c r="C84" i="19"/>
  <c r="C429" i="22" s="1"/>
  <c r="C432" i="22" s="1"/>
  <c r="I360" i="22"/>
  <c r="C85" i="19"/>
  <c r="C463" i="22" s="1"/>
  <c r="C466" i="22" s="1"/>
  <c r="D85" i="19"/>
  <c r="D463" i="22" s="1"/>
  <c r="D466" i="22" s="1"/>
  <c r="D83" i="19"/>
  <c r="D395" i="22" s="1"/>
  <c r="D398" i="22" s="1"/>
  <c r="C79" i="19"/>
  <c r="C259" i="22" s="1"/>
  <c r="C262" i="22" s="1"/>
  <c r="F83" i="19"/>
  <c r="F395" i="22" s="1"/>
  <c r="F398" i="22" s="1"/>
  <c r="E120" i="19"/>
  <c r="C63" i="22"/>
  <c r="C66" i="22" s="1"/>
  <c r="E96" i="22"/>
  <c r="D160" i="22"/>
  <c r="E126" i="19"/>
  <c r="D259" i="22"/>
  <c r="D262" i="22" s="1"/>
  <c r="C590" i="22"/>
  <c r="E121" i="19"/>
  <c r="D97" i="22"/>
  <c r="D100" i="22" s="1"/>
  <c r="I394" i="22"/>
  <c r="H394" i="22"/>
  <c r="C224" i="22"/>
  <c r="B73" i="19"/>
  <c r="B63" i="22" s="1"/>
  <c r="B66" i="22" s="1"/>
  <c r="E129" i="19"/>
  <c r="E361" i="22"/>
  <c r="E364" i="22" s="1"/>
  <c r="E326" i="22"/>
  <c r="E194" i="22"/>
  <c r="H428" i="22"/>
  <c r="D82" i="19"/>
  <c r="D361" i="22" s="1"/>
  <c r="D364" i="22" s="1"/>
  <c r="B74" i="19"/>
  <c r="B97" i="22" s="1"/>
  <c r="E123" i="19"/>
  <c r="C161" i="22"/>
  <c r="C164" i="22" s="1"/>
  <c r="C90" i="19"/>
  <c r="C623" i="22" s="1"/>
  <c r="C626" i="22" s="1"/>
  <c r="B80" i="19"/>
  <c r="B293" i="22" s="1"/>
  <c r="E293" i="22" s="1"/>
  <c r="E258" i="22"/>
  <c r="C77" i="19"/>
  <c r="C195" i="22" s="1"/>
  <c r="C198" i="22" s="1"/>
  <c r="B76" i="19"/>
  <c r="B161" i="22" s="1"/>
  <c r="B164" i="22" s="1"/>
  <c r="G85" i="19"/>
  <c r="G463" i="22" s="1"/>
  <c r="G466" i="22" s="1"/>
  <c r="C558" i="22"/>
  <c r="I462" i="22"/>
  <c r="C83" i="19"/>
  <c r="C395" i="22" s="1"/>
  <c r="B79" i="19"/>
  <c r="B259" i="22" s="1"/>
  <c r="F292" i="22"/>
  <c r="F326" i="22"/>
  <c r="D330" i="22"/>
  <c r="C81" i="19"/>
  <c r="C327" i="22" s="1"/>
  <c r="C330" i="22" s="1"/>
  <c r="F194" i="22"/>
  <c r="F85" i="19"/>
  <c r="F463" i="22" s="1"/>
  <c r="F466" i="22" s="1"/>
  <c r="B85" i="19"/>
  <c r="B463" i="22" s="1"/>
  <c r="B466" i="22" s="1"/>
  <c r="B89" i="19"/>
  <c r="I428" i="22"/>
  <c r="C126" i="22"/>
  <c r="B130" i="22"/>
  <c r="B88" i="19"/>
  <c r="G84" i="19"/>
  <c r="G429" i="22" s="1"/>
  <c r="G432" i="22" s="1"/>
  <c r="B83" i="19"/>
  <c r="B395" i="22" s="1"/>
  <c r="B125" i="19"/>
  <c r="B225" i="22"/>
  <c r="C225" i="22" s="1"/>
  <c r="B172" i="19"/>
  <c r="E622" i="22"/>
  <c r="F622" i="22"/>
  <c r="B81" i="19"/>
  <c r="B327" i="22" s="1"/>
  <c r="B330" i="22" s="1"/>
  <c r="G83" i="19"/>
  <c r="G395" i="22" s="1"/>
  <c r="G398" i="22" s="1"/>
  <c r="D90" i="19"/>
  <c r="D623" i="22" s="1"/>
  <c r="D626" i="22" s="1"/>
  <c r="B77" i="19"/>
  <c r="B195" i="22" s="1"/>
  <c r="B84" i="19"/>
  <c r="B429" i="22" s="1"/>
  <c r="B432" i="22" s="1"/>
  <c r="C74" i="19"/>
  <c r="C97" i="22" s="1"/>
  <c r="C100" i="22" s="1"/>
  <c r="D62" i="22"/>
  <c r="C398" i="22"/>
  <c r="C296" i="22"/>
  <c r="C210" i="19" l="1"/>
  <c r="C25" i="21" s="1"/>
  <c r="E259" i="22"/>
  <c r="E262" i="22" s="1"/>
  <c r="F129" i="19"/>
  <c r="E195" i="22"/>
  <c r="B129" i="19"/>
  <c r="C129" i="19"/>
  <c r="B120" i="19"/>
  <c r="B228" i="22"/>
  <c r="B167" i="19"/>
  <c r="B247" i="19"/>
  <c r="B248" i="19"/>
  <c r="B249" i="19"/>
  <c r="E62" i="22"/>
  <c r="W8" i="23"/>
  <c r="F62" i="22"/>
  <c r="B559" i="22"/>
  <c r="B182" i="19"/>
  <c r="E261" i="19"/>
  <c r="E260" i="19"/>
  <c r="E259" i="19"/>
  <c r="D224" i="22"/>
  <c r="W13" i="23"/>
  <c r="C228" i="22"/>
  <c r="J394" i="22"/>
  <c r="W18" i="23"/>
  <c r="K394" i="22"/>
  <c r="L394" i="22"/>
  <c r="E253" i="19"/>
  <c r="E251" i="19"/>
  <c r="E252" i="19"/>
  <c r="W11" i="23"/>
  <c r="F160" i="22"/>
  <c r="E160" i="22"/>
  <c r="D495" i="22"/>
  <c r="X21" i="23"/>
  <c r="G96" i="22"/>
  <c r="H96" i="22"/>
  <c r="W9" i="23"/>
  <c r="B181" i="19"/>
  <c r="B527" i="22"/>
  <c r="W14" i="23"/>
  <c r="H258" i="22"/>
  <c r="G258" i="22"/>
  <c r="E264" i="19"/>
  <c r="E263" i="19"/>
  <c r="D127" i="22"/>
  <c r="X10" i="23"/>
  <c r="F87" i="21"/>
  <c r="G23" i="20"/>
  <c r="E463" i="22"/>
  <c r="B179" i="19"/>
  <c r="E97" i="22"/>
  <c r="B131" i="19"/>
  <c r="D137" i="19"/>
  <c r="B128" i="19"/>
  <c r="B257" i="19" s="1"/>
  <c r="B130" i="19"/>
  <c r="B135" i="19"/>
  <c r="B132" i="19"/>
  <c r="B269" i="19" s="1"/>
  <c r="B126" i="19"/>
  <c r="G132" i="19"/>
  <c r="G269" i="19" s="1"/>
  <c r="C124" i="19"/>
  <c r="B127" i="19"/>
  <c r="B255" i="19" s="1"/>
  <c r="B121" i="19"/>
  <c r="D63" i="22"/>
  <c r="C126" i="19"/>
  <c r="D132" i="19"/>
  <c r="D269" i="19" s="1"/>
  <c r="G129" i="19"/>
  <c r="H361" i="22"/>
  <c r="H364" i="22" s="1"/>
  <c r="C127" i="19"/>
  <c r="C255" i="19" s="1"/>
  <c r="B498" i="22"/>
  <c r="B364" i="22"/>
  <c r="G622" i="22"/>
  <c r="W25" i="23"/>
  <c r="D126" i="22"/>
  <c r="W10" i="23"/>
  <c r="C130" i="22"/>
  <c r="B591" i="22"/>
  <c r="B183" i="19"/>
  <c r="E239" i="19"/>
  <c r="E240" i="19"/>
  <c r="E241" i="19"/>
  <c r="E232" i="19"/>
  <c r="E233" i="19"/>
  <c r="E231" i="19"/>
  <c r="B276" i="19"/>
  <c r="B277" i="19"/>
  <c r="B275" i="19"/>
  <c r="B260" i="19"/>
  <c r="B261" i="19"/>
  <c r="B259" i="19"/>
  <c r="G22" i="20"/>
  <c r="F85" i="21"/>
  <c r="B623" i="22"/>
  <c r="B184" i="19"/>
  <c r="W22" i="23"/>
  <c r="D526" i="22"/>
  <c r="G27" i="20"/>
  <c r="F99" i="21"/>
  <c r="E198" i="22"/>
  <c r="B176" i="19"/>
  <c r="B173" i="19"/>
  <c r="I395" i="22"/>
  <c r="B175" i="19"/>
  <c r="W15" i="23"/>
  <c r="G292" i="22"/>
  <c r="H292" i="22"/>
  <c r="D558" i="22"/>
  <c r="W23" i="23"/>
  <c r="X13" i="23"/>
  <c r="D225" i="22"/>
  <c r="D228" i="22" s="1"/>
  <c r="B271" i="19"/>
  <c r="B272" i="19"/>
  <c r="B273" i="19"/>
  <c r="E429" i="22"/>
  <c r="B178" i="19"/>
  <c r="D195" i="22"/>
  <c r="B171" i="19"/>
  <c r="C121" i="19"/>
  <c r="B124" i="19"/>
  <c r="G130" i="19"/>
  <c r="G131" i="19"/>
  <c r="B136" i="19"/>
  <c r="F132" i="19"/>
  <c r="F269" i="19" s="1"/>
  <c r="C128" i="19"/>
  <c r="C257" i="19" s="1"/>
  <c r="C130" i="19"/>
  <c r="B123" i="19"/>
  <c r="B262" i="22"/>
  <c r="C137" i="19"/>
  <c r="B170" i="19"/>
  <c r="D129" i="19"/>
  <c r="B198" i="22"/>
  <c r="I361" i="22"/>
  <c r="I364" i="22" s="1"/>
  <c r="F97" i="22"/>
  <c r="F100" i="22" s="1"/>
  <c r="F259" i="22"/>
  <c r="E100" i="22"/>
  <c r="F130" i="19"/>
  <c r="D130" i="19"/>
  <c r="C132" i="19"/>
  <c r="C269" i="19" s="1"/>
  <c r="C131" i="19"/>
  <c r="D131" i="19"/>
  <c r="B174" i="19"/>
  <c r="F131" i="19"/>
  <c r="B137" i="19"/>
  <c r="B177" i="19"/>
  <c r="F327" i="22"/>
  <c r="F330" i="22" s="1"/>
  <c r="E296" i="22"/>
  <c r="K428" i="22"/>
  <c r="W19" i="23"/>
  <c r="J428" i="22"/>
  <c r="L428" i="22"/>
  <c r="W12" i="23"/>
  <c r="G194" i="22"/>
  <c r="H194" i="22"/>
  <c r="H326" i="22"/>
  <c r="W16" i="23"/>
  <c r="G326" i="22"/>
  <c r="W20" i="23"/>
  <c r="B228" i="19"/>
  <c r="B227" i="19"/>
  <c r="B229" i="19"/>
  <c r="W24" i="23"/>
  <c r="E227" i="19"/>
  <c r="E229" i="19"/>
  <c r="E228" i="19"/>
  <c r="L360" i="22"/>
  <c r="K360" i="22"/>
  <c r="W17" i="23"/>
  <c r="J360" i="22"/>
  <c r="E266" i="19"/>
  <c r="E267" i="19"/>
  <c r="C259" i="19"/>
  <c r="C260" i="19"/>
  <c r="C261" i="19"/>
  <c r="E245" i="19"/>
  <c r="E243" i="19"/>
  <c r="E244" i="19"/>
  <c r="W21" i="23"/>
  <c r="D494" i="22"/>
  <c r="C498" i="22"/>
  <c r="F261" i="19"/>
  <c r="F259" i="19"/>
  <c r="F260" i="19"/>
  <c r="B235" i="19"/>
  <c r="B236" i="19"/>
  <c r="B237" i="19"/>
  <c r="H429" i="22"/>
  <c r="E327" i="22"/>
  <c r="E330" i="22" s="1"/>
  <c r="H395" i="22"/>
  <c r="H398" i="22" s="1"/>
  <c r="D161" i="22"/>
  <c r="H432" i="22"/>
  <c r="B398" i="22"/>
  <c r="B168" i="19"/>
  <c r="B100" i="22"/>
  <c r="F293" i="22"/>
  <c r="B296" i="22"/>
  <c r="Y13" i="23" l="1"/>
  <c r="D85" i="21"/>
  <c r="D210" i="19"/>
  <c r="E210" i="19" s="1"/>
  <c r="F210" i="19" s="1"/>
  <c r="D25" i="21" s="1"/>
  <c r="E25" i="21" s="1"/>
  <c r="D130" i="22"/>
  <c r="D65" i="21"/>
  <c r="H152" i="24"/>
  <c r="C46" i="25" s="1"/>
  <c r="L65" i="21"/>
  <c r="E65" i="21"/>
  <c r="D17" i="20"/>
  <c r="H66" i="20"/>
  <c r="G91" i="21"/>
  <c r="X11" i="23"/>
  <c r="Y11" i="23" s="1"/>
  <c r="E161" i="22"/>
  <c r="E164" i="22" s="1"/>
  <c r="F161" i="22"/>
  <c r="F164" i="22" s="1"/>
  <c r="D61" i="20"/>
  <c r="L67" i="21"/>
  <c r="H154" i="24"/>
  <c r="B277" i="24" s="1"/>
  <c r="D67" i="21"/>
  <c r="E67" i="21"/>
  <c r="G89" i="21"/>
  <c r="H24" i="20"/>
  <c r="M91" i="21"/>
  <c r="E66" i="20"/>
  <c r="F96" i="21"/>
  <c r="G26" i="20"/>
  <c r="G15" i="20"/>
  <c r="H144" i="24"/>
  <c r="C44" i="25" s="1"/>
  <c r="F57" i="21"/>
  <c r="D57" i="21"/>
  <c r="L57" i="21"/>
  <c r="D15" i="20"/>
  <c r="E57" i="21"/>
  <c r="F267" i="19"/>
  <c r="F266" i="19"/>
  <c r="M99" i="21"/>
  <c r="E27" i="20"/>
  <c r="X14" i="23"/>
  <c r="Y14" i="23" s="1"/>
  <c r="G259" i="22"/>
  <c r="G262" i="22" s="1"/>
  <c r="H259" i="22"/>
  <c r="H262" i="22" s="1"/>
  <c r="H27" i="20"/>
  <c r="G99" i="21"/>
  <c r="B243" i="19"/>
  <c r="B244" i="19"/>
  <c r="B245" i="19"/>
  <c r="H188" i="24"/>
  <c r="C54" i="25" s="1"/>
  <c r="L101" i="21"/>
  <c r="D28" i="20"/>
  <c r="E101" i="21"/>
  <c r="D101" i="21"/>
  <c r="F623" i="22"/>
  <c r="E623" i="22"/>
  <c r="E626" i="22" s="1"/>
  <c r="B626" i="22"/>
  <c r="D24" i="20"/>
  <c r="L89" i="21"/>
  <c r="D70" i="20"/>
  <c r="L107" i="21"/>
  <c r="D107" i="21"/>
  <c r="H194" i="24"/>
  <c r="B286" i="24" s="1"/>
  <c r="E107" i="21"/>
  <c r="G44" i="20"/>
  <c r="F62" i="21"/>
  <c r="G259" i="19"/>
  <c r="G260" i="19"/>
  <c r="G261" i="19"/>
  <c r="B232" i="19"/>
  <c r="B231" i="19"/>
  <c r="B233" i="19"/>
  <c r="B251" i="19"/>
  <c r="B252" i="19"/>
  <c r="B253" i="19"/>
  <c r="E87" i="21"/>
  <c r="D23" i="20"/>
  <c r="L87" i="21"/>
  <c r="F93" i="21"/>
  <c r="G25" i="20"/>
  <c r="F83" i="21"/>
  <c r="G65" i="20"/>
  <c r="W41" i="23"/>
  <c r="E77" i="21"/>
  <c r="L77" i="21"/>
  <c r="H164" i="24"/>
  <c r="C49" i="25" s="1"/>
  <c r="D20" i="20"/>
  <c r="D77" i="21"/>
  <c r="D99" i="21"/>
  <c r="Y21" i="23"/>
  <c r="X15" i="23"/>
  <c r="Y15" i="23" s="1"/>
  <c r="G293" i="22"/>
  <c r="G296" i="22" s="1"/>
  <c r="H293" i="22"/>
  <c r="H296" i="22" s="1"/>
  <c r="G90" i="21"/>
  <c r="H50" i="20"/>
  <c r="G63" i="20"/>
  <c r="F75" i="21"/>
  <c r="G68" i="20"/>
  <c r="F97" i="21"/>
  <c r="F59" i="21"/>
  <c r="H146" i="24"/>
  <c r="B275" i="24" s="1"/>
  <c r="D59" i="21"/>
  <c r="G59" i="20"/>
  <c r="E59" i="21"/>
  <c r="L59" i="21"/>
  <c r="D59" i="20"/>
  <c r="B288" i="19"/>
  <c r="B289" i="19"/>
  <c r="B287" i="19"/>
  <c r="C267" i="19"/>
  <c r="C266" i="19"/>
  <c r="K361" i="22"/>
  <c r="K364" i="22" s="1"/>
  <c r="X17" i="23"/>
  <c r="Y17" i="23" s="1"/>
  <c r="L361" i="22"/>
  <c r="L364" i="22" s="1"/>
  <c r="J361" i="22"/>
  <c r="J364" i="22" s="1"/>
  <c r="C289" i="19"/>
  <c r="C287" i="19"/>
  <c r="C288" i="19"/>
  <c r="M87" i="21"/>
  <c r="E23" i="20"/>
  <c r="G264" i="19"/>
  <c r="G263" i="19"/>
  <c r="F195" i="22"/>
  <c r="D198" i="22"/>
  <c r="H189" i="24"/>
  <c r="B255" i="24" s="1"/>
  <c r="L102" i="21"/>
  <c r="D102" i="21"/>
  <c r="D51" i="20"/>
  <c r="E102" i="21"/>
  <c r="X18" i="23"/>
  <c r="Y18" i="23" s="1"/>
  <c r="J395" i="22"/>
  <c r="J398" i="22" s="1"/>
  <c r="L395" i="22"/>
  <c r="L398" i="22" s="1"/>
  <c r="K395" i="22"/>
  <c r="K398" i="22" s="1"/>
  <c r="H192" i="24"/>
  <c r="C55" i="25" s="1"/>
  <c r="L105" i="21"/>
  <c r="E105" i="21"/>
  <c r="D29" i="20"/>
  <c r="D105" i="21"/>
  <c r="G60" i="20"/>
  <c r="F63" i="21"/>
  <c r="G18" i="20"/>
  <c r="F69" i="21"/>
  <c r="X8" i="23"/>
  <c r="F63" i="22"/>
  <c r="F66" i="22" s="1"/>
  <c r="E63" i="22"/>
  <c r="E66" i="22" s="1"/>
  <c r="H99" i="21"/>
  <c r="I27" i="20"/>
  <c r="B263" i="19"/>
  <c r="B264" i="19"/>
  <c r="F81" i="21"/>
  <c r="G21" i="20"/>
  <c r="F91" i="21"/>
  <c r="G66" i="20"/>
  <c r="D78" i="21"/>
  <c r="H165" i="24"/>
  <c r="B250" i="24" s="1"/>
  <c r="E78" i="21"/>
  <c r="L78" i="21"/>
  <c r="D48" i="20"/>
  <c r="H174" i="24"/>
  <c r="F73" i="21"/>
  <c r="G19" i="20"/>
  <c r="M89" i="21"/>
  <c r="E24" i="20"/>
  <c r="D58" i="21"/>
  <c r="F58" i="21"/>
  <c r="H145" i="24"/>
  <c r="B245" i="24" s="1"/>
  <c r="D44" i="25" s="1"/>
  <c r="G43" i="20"/>
  <c r="D266" i="19"/>
  <c r="D267" i="19"/>
  <c r="F263" i="19"/>
  <c r="F264" i="19"/>
  <c r="C264" i="19"/>
  <c r="C263" i="19"/>
  <c r="G266" i="19"/>
  <c r="G267" i="19"/>
  <c r="E103" i="21"/>
  <c r="D103" i="21"/>
  <c r="H190" i="24"/>
  <c r="B285" i="24" s="1"/>
  <c r="E54" i="25" s="1"/>
  <c r="L103" i="21"/>
  <c r="D69" i="20"/>
  <c r="D50" i="20"/>
  <c r="L90" i="21"/>
  <c r="F61" i="21"/>
  <c r="G16" i="20"/>
  <c r="G46" i="20"/>
  <c r="F70" i="21"/>
  <c r="H172" i="24"/>
  <c r="M85" i="21"/>
  <c r="E22" i="20"/>
  <c r="C253" i="19"/>
  <c r="C251" i="19"/>
  <c r="D81" i="21" s="1"/>
  <c r="C252" i="19"/>
  <c r="D82" i="21" s="1"/>
  <c r="C245" i="19"/>
  <c r="C244" i="19"/>
  <c r="D74" i="21" s="1"/>
  <c r="C243" i="19"/>
  <c r="D73" i="21" s="1"/>
  <c r="B280" i="19"/>
  <c r="B281" i="19"/>
  <c r="B279" i="19"/>
  <c r="B267" i="19"/>
  <c r="B266" i="19"/>
  <c r="C527" i="22"/>
  <c r="B530" i="22"/>
  <c r="F82" i="21"/>
  <c r="G49" i="20"/>
  <c r="F90" i="21"/>
  <c r="G50" i="20"/>
  <c r="H166" i="24"/>
  <c r="B280" i="24" s="1"/>
  <c r="L79" i="21"/>
  <c r="E79" i="21"/>
  <c r="D64" i="20"/>
  <c r="D79" i="21"/>
  <c r="F296" i="22"/>
  <c r="D87" i="21"/>
  <c r="Y10" i="23"/>
  <c r="F262" i="22"/>
  <c r="D164" i="22"/>
  <c r="D66" i="22"/>
  <c r="D45" i="20"/>
  <c r="D66" i="21"/>
  <c r="H153" i="24"/>
  <c r="B247" i="24" s="1"/>
  <c r="D46" i="25" s="1"/>
  <c r="L66" i="21"/>
  <c r="E66" i="21"/>
  <c r="F74" i="21"/>
  <c r="G47" i="20"/>
  <c r="M90" i="21"/>
  <c r="E50" i="20"/>
  <c r="L58" i="21"/>
  <c r="D43" i="20"/>
  <c r="E58" i="21"/>
  <c r="H327" i="22"/>
  <c r="H330" i="22" s="1"/>
  <c r="X16" i="23"/>
  <c r="Y16" i="23" s="1"/>
  <c r="G327" i="22"/>
  <c r="G330" i="22" s="1"/>
  <c r="D264" i="19"/>
  <c r="D263" i="19"/>
  <c r="G97" i="22"/>
  <c r="G100" i="22" s="1"/>
  <c r="H97" i="22"/>
  <c r="H100" i="22" s="1"/>
  <c r="X9" i="23"/>
  <c r="Y9" i="23" s="1"/>
  <c r="D260" i="19"/>
  <c r="E90" i="21" s="1"/>
  <c r="D259" i="19"/>
  <c r="D261" i="19"/>
  <c r="D91" i="21" s="1"/>
  <c r="B240" i="19"/>
  <c r="H157" i="24" s="1"/>
  <c r="B248" i="24" s="1"/>
  <c r="B241" i="19"/>
  <c r="D71" i="21" s="1"/>
  <c r="B239" i="19"/>
  <c r="B284" i="19"/>
  <c r="B283" i="19"/>
  <c r="B285" i="19"/>
  <c r="C233" i="19"/>
  <c r="C231" i="19"/>
  <c r="H148" i="24" s="1"/>
  <c r="C45" i="25" s="1"/>
  <c r="C232" i="19"/>
  <c r="I429" i="22"/>
  <c r="E432" i="22"/>
  <c r="J85" i="21"/>
  <c r="S85" i="21"/>
  <c r="T85" i="21"/>
  <c r="C21" i="25"/>
  <c r="B21" i="25"/>
  <c r="R85" i="21"/>
  <c r="I85" i="21"/>
  <c r="D66" i="20"/>
  <c r="L91" i="21"/>
  <c r="D106" i="21"/>
  <c r="H193" i="24"/>
  <c r="B256" i="24" s="1"/>
  <c r="D55" i="25" s="1"/>
  <c r="L106" i="21"/>
  <c r="E106" i="21"/>
  <c r="D52" i="20"/>
  <c r="F71" i="21"/>
  <c r="G62" i="20"/>
  <c r="C591" i="22"/>
  <c r="B594" i="22"/>
  <c r="N99" i="21"/>
  <c r="F27" i="20"/>
  <c r="E85" i="21"/>
  <c r="D22" i="20"/>
  <c r="L85" i="21"/>
  <c r="D27" i="20"/>
  <c r="E99" i="21"/>
  <c r="L99" i="21"/>
  <c r="D288" i="19"/>
  <c r="D289" i="19"/>
  <c r="D287" i="19"/>
  <c r="I463" i="22"/>
  <c r="E466" i="22"/>
  <c r="F94" i="21"/>
  <c r="G67" i="20"/>
  <c r="F89" i="21"/>
  <c r="G24" i="20"/>
  <c r="D89" i="21"/>
  <c r="H176" i="24"/>
  <c r="C51" i="25" s="1"/>
  <c r="C559" i="22"/>
  <c r="B562" i="22"/>
  <c r="H186" i="24"/>
  <c r="D498" i="22"/>
  <c r="I398" i="22"/>
  <c r="D94" i="21" l="1"/>
  <c r="H181" i="24"/>
  <c r="B283" i="24" s="1"/>
  <c r="E49" i="25"/>
  <c r="D97" i="21"/>
  <c r="S97" i="21" s="1"/>
  <c r="D49" i="25"/>
  <c r="D54" i="25"/>
  <c r="E44" i="25"/>
  <c r="H158" i="24"/>
  <c r="B278" i="24" s="1"/>
  <c r="D83" i="21"/>
  <c r="R83" i="21" s="1"/>
  <c r="D96" i="21"/>
  <c r="C25" i="25" s="1"/>
  <c r="J73" i="21"/>
  <c r="R73" i="21"/>
  <c r="I73" i="21"/>
  <c r="B18" i="25"/>
  <c r="S73" i="21"/>
  <c r="C18" i="25"/>
  <c r="T73" i="21"/>
  <c r="R91" i="21"/>
  <c r="J91" i="21"/>
  <c r="I91" i="21"/>
  <c r="S91" i="21"/>
  <c r="T97" i="21"/>
  <c r="C20" i="25"/>
  <c r="S81" i="21"/>
  <c r="T81" i="21"/>
  <c r="J81" i="21"/>
  <c r="B20" i="25"/>
  <c r="R81" i="21"/>
  <c r="I81" i="21"/>
  <c r="O90" i="21"/>
  <c r="P90" i="21"/>
  <c r="Q90" i="21"/>
  <c r="S94" i="21"/>
  <c r="T94" i="21"/>
  <c r="R94" i="21"/>
  <c r="H202" i="24"/>
  <c r="B288" i="24" s="1"/>
  <c r="E57" i="25" s="1"/>
  <c r="D72" i="20"/>
  <c r="D115" i="21"/>
  <c r="E115" i="21"/>
  <c r="L115" i="21"/>
  <c r="D62" i="20"/>
  <c r="L71" i="21"/>
  <c r="E71" i="21"/>
  <c r="N93" i="21"/>
  <c r="F25" i="20"/>
  <c r="F32" i="20"/>
  <c r="N117" i="21"/>
  <c r="O99" i="21"/>
  <c r="P99" i="21"/>
  <c r="Q99" i="21"/>
  <c r="O85" i="21"/>
  <c r="Q85" i="21"/>
  <c r="K85" i="21"/>
  <c r="X24" i="23"/>
  <c r="Y24" i="23" s="1"/>
  <c r="C594" i="22"/>
  <c r="E60" i="20"/>
  <c r="M63" i="21"/>
  <c r="L69" i="21"/>
  <c r="D18" i="20"/>
  <c r="E69" i="21"/>
  <c r="N89" i="21"/>
  <c r="F24" i="20"/>
  <c r="L96" i="21"/>
  <c r="D26" i="20"/>
  <c r="E96" i="21"/>
  <c r="L110" i="21"/>
  <c r="E110" i="21"/>
  <c r="D110" i="21"/>
  <c r="H197" i="24"/>
  <c r="B257" i="24" s="1"/>
  <c r="D53" i="20"/>
  <c r="H169" i="24"/>
  <c r="B251" i="24" s="1"/>
  <c r="E49" i="20"/>
  <c r="M82" i="21"/>
  <c r="T103" i="21"/>
  <c r="R103" i="21"/>
  <c r="S103" i="21"/>
  <c r="M93" i="21"/>
  <c r="E25" i="20"/>
  <c r="F68" i="20"/>
  <c r="N97" i="21"/>
  <c r="E94" i="21"/>
  <c r="D67" i="20"/>
  <c r="L94" i="21"/>
  <c r="P102" i="21"/>
  <c r="O102" i="21"/>
  <c r="Q102" i="21"/>
  <c r="H94" i="21"/>
  <c r="I67" i="20"/>
  <c r="E32" i="20"/>
  <c r="M117" i="21"/>
  <c r="H204" i="24"/>
  <c r="C58" i="25" s="1"/>
  <c r="L117" i="21"/>
  <c r="D117" i="21"/>
  <c r="E117" i="21"/>
  <c r="D32" i="20"/>
  <c r="I77" i="21"/>
  <c r="B19" i="25"/>
  <c r="C19" i="25"/>
  <c r="R77" i="21"/>
  <c r="J77" i="21"/>
  <c r="T77" i="21"/>
  <c r="S77" i="21"/>
  <c r="O77" i="21"/>
  <c r="K77" i="21"/>
  <c r="Q77" i="21"/>
  <c r="P77" i="21"/>
  <c r="L81" i="21"/>
  <c r="D21" i="20"/>
  <c r="E81" i="21"/>
  <c r="I66" i="20"/>
  <c r="H91" i="21"/>
  <c r="T91" i="21" s="1"/>
  <c r="H161" i="24"/>
  <c r="B249" i="24" s="1"/>
  <c r="E74" i="21"/>
  <c r="L74" i="21"/>
  <c r="D47" i="20"/>
  <c r="S65" i="21"/>
  <c r="J65" i="21"/>
  <c r="C16" i="25"/>
  <c r="T65" i="21"/>
  <c r="R65" i="21"/>
  <c r="I65" i="21"/>
  <c r="B16" i="25"/>
  <c r="H177" i="24"/>
  <c r="B252" i="24" s="1"/>
  <c r="P85" i="21"/>
  <c r="H156" i="24"/>
  <c r="C47" i="25" s="1"/>
  <c r="E55" i="25"/>
  <c r="E89" i="21"/>
  <c r="E46" i="25"/>
  <c r="J71" i="21"/>
  <c r="I71" i="21"/>
  <c r="T71" i="21"/>
  <c r="R71" i="21"/>
  <c r="S71" i="21"/>
  <c r="H201" i="24"/>
  <c r="B258" i="24" s="1"/>
  <c r="D57" i="25" s="1"/>
  <c r="E114" i="21"/>
  <c r="D114" i="21"/>
  <c r="L114" i="21"/>
  <c r="D54" i="20"/>
  <c r="N91" i="21"/>
  <c r="F66" i="20"/>
  <c r="R87" i="21"/>
  <c r="B22" i="25"/>
  <c r="S87" i="21"/>
  <c r="T87" i="21"/>
  <c r="I87" i="21"/>
  <c r="C22" i="25"/>
  <c r="J87" i="21"/>
  <c r="R82" i="21"/>
  <c r="S82" i="21"/>
  <c r="J82" i="21"/>
  <c r="I82" i="21"/>
  <c r="T82" i="21"/>
  <c r="D527" i="22"/>
  <c r="D530" i="22" s="1"/>
  <c r="X22" i="23"/>
  <c r="Y22" i="23" s="1"/>
  <c r="C530" i="22"/>
  <c r="H198" i="24"/>
  <c r="B287" i="24" s="1"/>
  <c r="E111" i="21"/>
  <c r="D111" i="21"/>
  <c r="D71" i="20"/>
  <c r="L111" i="21"/>
  <c r="M75" i="21"/>
  <c r="E63" i="20"/>
  <c r="H96" i="21"/>
  <c r="I26" i="20"/>
  <c r="H25" i="20"/>
  <c r="G93" i="21"/>
  <c r="R78" i="21"/>
  <c r="S78" i="21"/>
  <c r="T78" i="21"/>
  <c r="B28" i="25"/>
  <c r="J105" i="21"/>
  <c r="R105" i="21"/>
  <c r="T105" i="21"/>
  <c r="C28" i="25"/>
  <c r="I105" i="21"/>
  <c r="S105" i="21"/>
  <c r="H93" i="21"/>
  <c r="I25" i="20"/>
  <c r="E55" i="20"/>
  <c r="M118" i="21"/>
  <c r="M97" i="21"/>
  <c r="E68" i="20"/>
  <c r="T59" i="21"/>
  <c r="R59" i="21"/>
  <c r="J59" i="21"/>
  <c r="I59" i="21"/>
  <c r="S59" i="21"/>
  <c r="D49" i="20"/>
  <c r="L82" i="21"/>
  <c r="E82" i="21"/>
  <c r="E62" i="21"/>
  <c r="L62" i="21"/>
  <c r="D44" i="20"/>
  <c r="Q107" i="21"/>
  <c r="P107" i="21"/>
  <c r="O107" i="21"/>
  <c r="K107" i="21"/>
  <c r="O101" i="21"/>
  <c r="P101" i="21"/>
  <c r="Q101" i="21"/>
  <c r="K101" i="21"/>
  <c r="H162" i="24"/>
  <c r="B279" i="24" s="1"/>
  <c r="D63" i="20"/>
  <c r="E75" i="21"/>
  <c r="L75" i="21"/>
  <c r="Q57" i="21"/>
  <c r="O57" i="21"/>
  <c r="P57" i="21"/>
  <c r="K57" i="21"/>
  <c r="R67" i="21"/>
  <c r="S67" i="21"/>
  <c r="T67" i="21"/>
  <c r="D47" i="25"/>
  <c r="D63" i="21"/>
  <c r="D93" i="21"/>
  <c r="D62" i="21"/>
  <c r="F165" i="21"/>
  <c r="H183" i="24"/>
  <c r="C53" i="25" s="1"/>
  <c r="D53" i="25" s="1"/>
  <c r="R89" i="21"/>
  <c r="C23" i="25"/>
  <c r="B23" i="25"/>
  <c r="J89" i="21"/>
  <c r="S89" i="21"/>
  <c r="I89" i="21"/>
  <c r="X20" i="23"/>
  <c r="Y20" i="23" s="1"/>
  <c r="I466" i="22"/>
  <c r="M61" i="21"/>
  <c r="E16" i="20"/>
  <c r="J74" i="21"/>
  <c r="R74" i="21"/>
  <c r="S74" i="21"/>
  <c r="T74" i="21"/>
  <c r="I74" i="21"/>
  <c r="S79" i="21"/>
  <c r="T79" i="21"/>
  <c r="R79" i="21"/>
  <c r="F55" i="20"/>
  <c r="N118" i="21"/>
  <c r="O106" i="21"/>
  <c r="Q106" i="21"/>
  <c r="P106" i="21"/>
  <c r="K106" i="21"/>
  <c r="M62" i="21"/>
  <c r="E44" i="20"/>
  <c r="D113" i="21"/>
  <c r="H200" i="24"/>
  <c r="C57" i="25" s="1"/>
  <c r="E113" i="21"/>
  <c r="D31" i="20"/>
  <c r="L113" i="21"/>
  <c r="E70" i="21"/>
  <c r="L70" i="21"/>
  <c r="D46" i="20"/>
  <c r="N94" i="21"/>
  <c r="F67" i="20"/>
  <c r="K58" i="21"/>
  <c r="Q58" i="21"/>
  <c r="P58" i="21"/>
  <c r="O58" i="21"/>
  <c r="P66" i="21"/>
  <c r="Q66" i="21"/>
  <c r="O66" i="21"/>
  <c r="D30" i="20"/>
  <c r="H196" i="24"/>
  <c r="C56" i="25" s="1"/>
  <c r="E109" i="21"/>
  <c r="D109" i="21"/>
  <c r="L109" i="21"/>
  <c r="M74" i="21"/>
  <c r="E47" i="20"/>
  <c r="H170" i="24"/>
  <c r="B281" i="24" s="1"/>
  <c r="M83" i="21"/>
  <c r="E65" i="20"/>
  <c r="H97" i="21"/>
  <c r="I68" i="20"/>
  <c r="G94" i="21"/>
  <c r="H67" i="20"/>
  <c r="S102" i="21"/>
  <c r="T102" i="21"/>
  <c r="R102" i="21"/>
  <c r="F198" i="22"/>
  <c r="H195" i="22"/>
  <c r="H198" i="22" s="1"/>
  <c r="X12" i="23"/>
  <c r="Y12" i="23" s="1"/>
  <c r="G195" i="22"/>
  <c r="G198" i="22" s="1"/>
  <c r="M96" i="21"/>
  <c r="E26" i="20"/>
  <c r="L118" i="21"/>
  <c r="D118" i="21"/>
  <c r="D55" i="20"/>
  <c r="E118" i="21"/>
  <c r="H205" i="24"/>
  <c r="B259" i="24" s="1"/>
  <c r="D58" i="25" s="1"/>
  <c r="C26" i="25"/>
  <c r="R99" i="21"/>
  <c r="T99" i="21"/>
  <c r="S99" i="21"/>
  <c r="L83" i="21"/>
  <c r="D65" i="20"/>
  <c r="E83" i="21"/>
  <c r="K83" i="21" s="1"/>
  <c r="E61" i="21"/>
  <c r="L61" i="21"/>
  <c r="D16" i="20"/>
  <c r="I24" i="20"/>
  <c r="H89" i="21"/>
  <c r="T89" i="21" s="1"/>
  <c r="B27" i="25"/>
  <c r="J101" i="21"/>
  <c r="T101" i="21"/>
  <c r="I101" i="21"/>
  <c r="S101" i="21"/>
  <c r="C27" i="25"/>
  <c r="R101" i="21"/>
  <c r="G97" i="21"/>
  <c r="H68" i="20"/>
  <c r="S57" i="21"/>
  <c r="R57" i="21"/>
  <c r="B14" i="25"/>
  <c r="I57" i="21"/>
  <c r="T57" i="21"/>
  <c r="C14" i="25"/>
  <c r="J57" i="21"/>
  <c r="O67" i="21"/>
  <c r="Q67" i="21"/>
  <c r="P67" i="21"/>
  <c r="D51" i="25"/>
  <c r="E91" i="21"/>
  <c r="D70" i="21"/>
  <c r="D61" i="21"/>
  <c r="H149" i="24"/>
  <c r="B246" i="24" s="1"/>
  <c r="D45" i="25" s="1"/>
  <c r="X23" i="23"/>
  <c r="Y23" i="23" s="1"/>
  <c r="D559" i="22"/>
  <c r="D562" i="22" s="1"/>
  <c r="C562" i="22"/>
  <c r="N119" i="21"/>
  <c r="F73" i="20"/>
  <c r="I106" i="21"/>
  <c r="T106" i="21"/>
  <c r="R106" i="21"/>
  <c r="S106" i="21"/>
  <c r="J106" i="21"/>
  <c r="K429" i="22"/>
  <c r="K432" i="22" s="1"/>
  <c r="X19" i="23"/>
  <c r="Y19" i="23" s="1"/>
  <c r="J429" i="22"/>
  <c r="J432" i="22" s="1"/>
  <c r="L429" i="22"/>
  <c r="L432" i="22" s="1"/>
  <c r="I432" i="22"/>
  <c r="D90" i="21"/>
  <c r="N90" i="21"/>
  <c r="F50" i="20"/>
  <c r="R66" i="21"/>
  <c r="T66" i="21"/>
  <c r="S66" i="21"/>
  <c r="Q79" i="21"/>
  <c r="P79" i="21"/>
  <c r="O79" i="21"/>
  <c r="H184" i="24"/>
  <c r="B284" i="24" s="1"/>
  <c r="E53" i="25" s="1"/>
  <c r="E97" i="21"/>
  <c r="L97" i="21"/>
  <c r="D68" i="20"/>
  <c r="M73" i="21"/>
  <c r="E19" i="20"/>
  <c r="E21" i="20"/>
  <c r="M81" i="21"/>
  <c r="P103" i="21"/>
  <c r="Q103" i="21"/>
  <c r="O103" i="21"/>
  <c r="E67" i="20"/>
  <c r="M94" i="21"/>
  <c r="F26" i="20"/>
  <c r="N96" i="21"/>
  <c r="J58" i="21"/>
  <c r="R58" i="21"/>
  <c r="S58" i="21"/>
  <c r="I58" i="21"/>
  <c r="T58" i="21"/>
  <c r="O78" i="21"/>
  <c r="Q78" i="21"/>
  <c r="P78" i="21"/>
  <c r="D25" i="20"/>
  <c r="E93" i="21"/>
  <c r="L93" i="21"/>
  <c r="K105" i="21"/>
  <c r="Q105" i="21"/>
  <c r="P105" i="21"/>
  <c r="O105" i="21"/>
  <c r="E73" i="20"/>
  <c r="M119" i="21"/>
  <c r="D73" i="20"/>
  <c r="H206" i="24"/>
  <c r="B289" i="24" s="1"/>
  <c r="E58" i="25" s="1"/>
  <c r="D119" i="21"/>
  <c r="E119" i="21"/>
  <c r="L119" i="21"/>
  <c r="K59" i="21"/>
  <c r="O59" i="21"/>
  <c r="P59" i="21"/>
  <c r="Q59" i="21"/>
  <c r="K87" i="21"/>
  <c r="O87" i="21"/>
  <c r="P87" i="21"/>
  <c r="Q87" i="21"/>
  <c r="E63" i="21"/>
  <c r="L63" i="21"/>
  <c r="D60" i="20"/>
  <c r="I50" i="20"/>
  <c r="H90" i="21"/>
  <c r="T107" i="21"/>
  <c r="S107" i="21"/>
  <c r="J107" i="21"/>
  <c r="I107" i="21"/>
  <c r="R107" i="21"/>
  <c r="X25" i="23"/>
  <c r="Y25" i="23" s="1"/>
  <c r="G623" i="22"/>
  <c r="G626" i="22" s="1"/>
  <c r="F626" i="22"/>
  <c r="E73" i="21"/>
  <c r="D19" i="20"/>
  <c r="L73" i="21"/>
  <c r="H26" i="20"/>
  <c r="G96" i="21"/>
  <c r="G165" i="21" s="1"/>
  <c r="Q65" i="21"/>
  <c r="P65" i="21"/>
  <c r="O65" i="21"/>
  <c r="K65" i="21"/>
  <c r="H160" i="24"/>
  <c r="C48" i="25" s="1"/>
  <c r="H178" i="24"/>
  <c r="B282" i="24" s="1"/>
  <c r="E51" i="25" s="1"/>
  <c r="H168" i="24"/>
  <c r="C50" i="25" s="1"/>
  <c r="D50" i="25" s="1"/>
  <c r="D69" i="21"/>
  <c r="H150" i="24"/>
  <c r="B276" i="24" s="1"/>
  <c r="E45" i="25" s="1"/>
  <c r="D75" i="21"/>
  <c r="Y8" i="23"/>
  <c r="H180" i="24"/>
  <c r="C52" i="25" s="1"/>
  <c r="D52" i="25" s="1"/>
  <c r="R97" i="21" l="1"/>
  <c r="E48" i="25"/>
  <c r="T96" i="21"/>
  <c r="E47" i="25"/>
  <c r="S83" i="21"/>
  <c r="T83" i="21"/>
  <c r="J83" i="21"/>
  <c r="I83" i="21"/>
  <c r="R96" i="21"/>
  <c r="I96" i="21"/>
  <c r="B25" i="25"/>
  <c r="J96" i="21"/>
  <c r="D165" i="21"/>
  <c r="E165" i="21"/>
  <c r="T75" i="21"/>
  <c r="I75" i="21"/>
  <c r="R75" i="21"/>
  <c r="S75" i="21"/>
  <c r="J75" i="21"/>
  <c r="K93" i="21"/>
  <c r="P93" i="21"/>
  <c r="O93" i="21"/>
  <c r="Q93" i="21"/>
  <c r="K63" i="21"/>
  <c r="O63" i="21"/>
  <c r="P63" i="21"/>
  <c r="Q63" i="21"/>
  <c r="P97" i="21"/>
  <c r="Q97" i="21"/>
  <c r="O97" i="21"/>
  <c r="R118" i="21"/>
  <c r="S118" i="21"/>
  <c r="T118" i="21"/>
  <c r="P70" i="21"/>
  <c r="Q70" i="21"/>
  <c r="K70" i="21"/>
  <c r="O70" i="21"/>
  <c r="C24" i="25"/>
  <c r="T93" i="21"/>
  <c r="S93" i="21"/>
  <c r="B24" i="25"/>
  <c r="R93" i="21"/>
  <c r="J93" i="21"/>
  <c r="I93" i="21"/>
  <c r="Q111" i="21"/>
  <c r="O111" i="21"/>
  <c r="P111" i="21"/>
  <c r="P117" i="21"/>
  <c r="K117" i="21"/>
  <c r="O117" i="21"/>
  <c r="Q117" i="21"/>
  <c r="T115" i="21"/>
  <c r="R115" i="21"/>
  <c r="S115" i="21"/>
  <c r="X41" i="23"/>
  <c r="S96" i="21"/>
  <c r="S69" i="21"/>
  <c r="I69" i="21"/>
  <c r="C17" i="25"/>
  <c r="J69" i="21"/>
  <c r="R69" i="21"/>
  <c r="T69" i="21"/>
  <c r="B17" i="25"/>
  <c r="O73" i="21"/>
  <c r="K73" i="21"/>
  <c r="Q73" i="21"/>
  <c r="P73" i="21"/>
  <c r="O91" i="21"/>
  <c r="K91" i="21"/>
  <c r="Q91" i="21"/>
  <c r="P91" i="21"/>
  <c r="O113" i="21"/>
  <c r="Q113" i="21"/>
  <c r="P113" i="21"/>
  <c r="I62" i="21"/>
  <c r="R62" i="21"/>
  <c r="T62" i="21"/>
  <c r="S62" i="21"/>
  <c r="J62" i="21"/>
  <c r="O82" i="21"/>
  <c r="K82" i="21"/>
  <c r="P82" i="21"/>
  <c r="Q82" i="21"/>
  <c r="S111" i="21"/>
  <c r="R111" i="21"/>
  <c r="T111" i="21"/>
  <c r="Q110" i="21"/>
  <c r="O110" i="21"/>
  <c r="P110" i="21"/>
  <c r="O71" i="21"/>
  <c r="Q71" i="21"/>
  <c r="K71" i="21"/>
  <c r="P71" i="21"/>
  <c r="Q115" i="21"/>
  <c r="P115" i="21"/>
  <c r="O115" i="21"/>
  <c r="Y41" i="23"/>
  <c r="E52" i="25"/>
  <c r="R119" i="21"/>
  <c r="S119" i="21"/>
  <c r="T119" i="21"/>
  <c r="O119" i="21"/>
  <c r="P119" i="21"/>
  <c r="Q119" i="21"/>
  <c r="T90" i="21"/>
  <c r="R90" i="21"/>
  <c r="S90" i="21"/>
  <c r="J70" i="21"/>
  <c r="R70" i="21"/>
  <c r="I70" i="21"/>
  <c r="S70" i="21"/>
  <c r="T70" i="21"/>
  <c r="P83" i="21"/>
  <c r="O83" i="21"/>
  <c r="Q83" i="21"/>
  <c r="P118" i="21"/>
  <c r="Q118" i="21"/>
  <c r="O118" i="21"/>
  <c r="P109" i="21"/>
  <c r="Q109" i="21"/>
  <c r="K109" i="21"/>
  <c r="O109" i="21"/>
  <c r="P62" i="21"/>
  <c r="K62" i="21"/>
  <c r="Q62" i="21"/>
  <c r="O62" i="21"/>
  <c r="O114" i="21"/>
  <c r="P114" i="21"/>
  <c r="Q114" i="21"/>
  <c r="P89" i="21"/>
  <c r="Q89" i="21"/>
  <c r="K89" i="21"/>
  <c r="O89" i="21"/>
  <c r="S110" i="21"/>
  <c r="T110" i="21"/>
  <c r="R110" i="21"/>
  <c r="O69" i="21"/>
  <c r="P69" i="21"/>
  <c r="Q69" i="21"/>
  <c r="K69" i="21"/>
  <c r="D48" i="25"/>
  <c r="J61" i="21"/>
  <c r="T61" i="21"/>
  <c r="S61" i="21"/>
  <c r="I61" i="21"/>
  <c r="B15" i="25"/>
  <c r="C15" i="25"/>
  <c r="R61" i="21"/>
  <c r="P61" i="21"/>
  <c r="Q61" i="21"/>
  <c r="O61" i="21"/>
  <c r="K61" i="21"/>
  <c r="B29" i="25"/>
  <c r="S109" i="21"/>
  <c r="I109" i="21"/>
  <c r="T109" i="21"/>
  <c r="R109" i="21"/>
  <c r="J109" i="21"/>
  <c r="C29" i="25"/>
  <c r="C30" i="25"/>
  <c r="S113" i="21"/>
  <c r="R113" i="21"/>
  <c r="T113" i="21"/>
  <c r="R63" i="21"/>
  <c r="S63" i="21"/>
  <c r="T63" i="21"/>
  <c r="I63" i="21"/>
  <c r="J63" i="21"/>
  <c r="Q75" i="21"/>
  <c r="O75" i="21"/>
  <c r="P75" i="21"/>
  <c r="K75" i="21"/>
  <c r="S114" i="21"/>
  <c r="T114" i="21"/>
  <c r="R114" i="21"/>
  <c r="Q74" i="21"/>
  <c r="O74" i="21"/>
  <c r="K74" i="21"/>
  <c r="P74" i="21"/>
  <c r="Q81" i="21"/>
  <c r="K81" i="21"/>
  <c r="O81" i="21"/>
  <c r="P81" i="21"/>
  <c r="B31" i="25"/>
  <c r="C31" i="25"/>
  <c r="R117" i="21"/>
  <c r="S117" i="21"/>
  <c r="J117" i="21"/>
  <c r="T117" i="21"/>
  <c r="I117" i="21"/>
  <c r="O94" i="21"/>
  <c r="Q94" i="21"/>
  <c r="P94" i="21"/>
  <c r="Q96" i="21"/>
  <c r="P96" i="21"/>
  <c r="O96" i="21"/>
  <c r="K96" i="21"/>
  <c r="H165" i="21"/>
  <c r="E50" i="25"/>
  <c r="E56" i="25"/>
  <c r="D56" i="25"/>
</calcChain>
</file>

<file path=xl/sharedStrings.xml><?xml version="1.0" encoding="utf-8"?>
<sst xmlns="http://schemas.openxmlformats.org/spreadsheetml/2006/main" count="7937" uniqueCount="1851">
  <si>
    <t>1000. Company, charging year, data version</t>
  </si>
  <si>
    <t>Company</t>
  </si>
  <si>
    <t>Year</t>
  </si>
  <si>
    <t>Version</t>
  </si>
  <si>
    <t>Company, charging year, data version</t>
  </si>
  <si>
    <t>1010. Financial and general assumptions</t>
  </si>
  <si>
    <t>Sources: financial assumptions; calendar; network model.</t>
  </si>
  <si>
    <t>These financial assumptions determine the annuity rate applied to convert the asset values of the network model into an annual charge.</t>
  </si>
  <si>
    <t>Rate of return</t>
  </si>
  <si>
    <t>Annualisation period (years)</t>
  </si>
  <si>
    <t>Annuity proportion for customer-contributed assets</t>
  </si>
  <si>
    <t>Power factor</t>
  </si>
  <si>
    <t>Days in the charging year</t>
  </si>
  <si>
    <t>Financial and general assumptions</t>
  </si>
  <si>
    <t>1017. Diversity allowance between top and bottom of network level</t>
  </si>
  <si>
    <t>Source: operational data analysis and/or network model.</t>
  </si>
  <si>
    <t>The diversity figure against GSP is the diversity between GSP Group (the whole system) and individual GSPs.</t>
  </si>
  <si>
    <t>The diversity figure against 132kV is the diversity between GSPs (the top of the 132kV network) and 132kV/EHV bulk supply points (the bottom of the 132kV network). </t>
  </si>
  <si>
    <t>The diversity figure against EHV is the diversity between 132kV/EHV bulk supply points (the top of the EHV network) and EHV/HV primary substations (the bottom of the EHV network). </t>
  </si>
  <si>
    <t>The diversity figure against HV is the diversity between EHV/HV primary substations (the top of the HV network) and HV/LV substations (the bottom of the HV network). </t>
  </si>
  <si>
    <t>Diversity allowance between top and bottom of network level</t>
  </si>
  <si>
    <t>GSPs</t>
  </si>
  <si>
    <t>132kV</t>
  </si>
  <si>
    <t>132kV/EHV</t>
  </si>
  <si>
    <t>EHV</t>
  </si>
  <si>
    <t>EHV/HV</t>
  </si>
  <si>
    <t>HV</t>
  </si>
  <si>
    <t>HV/LV</t>
  </si>
  <si>
    <t>LV circuits</t>
  </si>
  <si>
    <t>1018. Proportion of relevant load going through 132kV/HV direct transformation</t>
  </si>
  <si>
    <t>132kV/HV</t>
  </si>
  <si>
    <t>1019. Network model GSP peak demand (MW)</t>
  </si>
  <si>
    <t>Network model GSP peak demand (MW)</t>
  </si>
  <si>
    <t>1020. Gross asset cost by network level (£)</t>
  </si>
  <si>
    <t>Gross assets £</t>
  </si>
  <si>
    <t>1022. LV service model asset cost (£)</t>
  </si>
  <si>
    <t>LV service model 1</t>
  </si>
  <si>
    <t>LV service model 2</t>
  </si>
  <si>
    <t>LV service model 3</t>
  </si>
  <si>
    <t>LV service model 4</t>
  </si>
  <si>
    <t>LV service model 5</t>
  </si>
  <si>
    <t>LV service model 6</t>
  </si>
  <si>
    <t>LV service model 7</t>
  </si>
  <si>
    <t>LV service model 8</t>
  </si>
  <si>
    <t>LV service model asset cost (£)</t>
  </si>
  <si>
    <t>1023. HV service model asset cost (£)</t>
  </si>
  <si>
    <t>HV service model 1</t>
  </si>
  <si>
    <t>HV service model 2</t>
  </si>
  <si>
    <t>HV service model 3</t>
  </si>
  <si>
    <t>HV service model 4</t>
  </si>
  <si>
    <t>HV service model 5</t>
  </si>
  <si>
    <t>HV service model asset cost (£)</t>
  </si>
  <si>
    <t>1025. Matrix of applicability of LV service models to tariffs with fixed charges</t>
  </si>
  <si>
    <t>Domestic Unrestricted</t>
  </si>
  <si>
    <t>Domestic Two Rate</t>
  </si>
  <si>
    <t>Small Non Domestic Unrestricted</t>
  </si>
  <si>
    <t>Small Non Domestic Two Rate</t>
  </si>
  <si>
    <t>LV Medium Non-Domestic</t>
  </si>
  <si>
    <t>LV Sub Medium Non-Domestic</t>
  </si>
  <si>
    <t>LV HH Metered</t>
  </si>
  <si>
    <t>LV Sub HH Metered</t>
  </si>
  <si>
    <t>LV Generation NHH</t>
  </si>
  <si>
    <t>LV Sub Generation NHH</t>
  </si>
  <si>
    <t>LV Generation Intermittent</t>
  </si>
  <si>
    <t>LV Generation Non-Intermittent</t>
  </si>
  <si>
    <t>LV Sub Generation Intermittent</t>
  </si>
  <si>
    <t>LV Sub Generation Non-Intermittent</t>
  </si>
  <si>
    <t>1026. Matrix of applicability of LV service models to unmetered tariffs</t>
  </si>
  <si>
    <t>Source: service models</t>
  </si>
  <si>
    <t>Proportion of service model involved in connecting load of 1 MWh/year</t>
  </si>
  <si>
    <t>All LV unmetered tariffs</t>
  </si>
  <si>
    <t>1028. Matrix of applicability of HV service models to tariffs with fixed charges</t>
  </si>
  <si>
    <t>HV Medium Non-Domestic</t>
  </si>
  <si>
    <t>HV HH Metered</t>
  </si>
  <si>
    <t>HV Sub HH Metered</t>
  </si>
  <si>
    <t>HV Generation Intermittent</t>
  </si>
  <si>
    <t>HV Generation Non-Intermittent</t>
  </si>
  <si>
    <t>HV Sub Generation Intermittent</t>
  </si>
  <si>
    <t>HV Sub Generation Non-Intermittent</t>
  </si>
  <si>
    <t>1032. Loss adjustment factors to transmission</t>
  </si>
  <si>
    <t>Source: losses model or loss adjustment factors at time of system peak.</t>
  </si>
  <si>
    <t>Loss adjustment factor</t>
  </si>
  <si>
    <t>1037. Embedded network (LDNO) discounts</t>
  </si>
  <si>
    <t>Source: separate price control disaggregation model.</t>
  </si>
  <si>
    <t>No discount</t>
  </si>
  <si>
    <t>LDNO LV: LV user</t>
  </si>
  <si>
    <t>LDNO HV: LV user</t>
  </si>
  <si>
    <t>LDNO HV: LV sub user</t>
  </si>
  <si>
    <t>LDNO HV: HV user</t>
  </si>
  <si>
    <t>LDNO discount</t>
  </si>
  <si>
    <t>1041. Load profile data for demand users</t>
  </si>
  <si>
    <t>Source: load data analysis.</t>
  </si>
  <si>
    <t>Coincidence factor</t>
  </si>
  <si>
    <t>Load factor</t>
  </si>
  <si>
    <t>Domestic Off Peak (related MPAN)</t>
  </si>
  <si>
    <t>Small Non Domestic Off Peak (related MPAN)</t>
  </si>
  <si>
    <t>NHH UMS category A</t>
  </si>
  <si>
    <t>NHH UMS category B</t>
  </si>
  <si>
    <t>NHH UMS category C</t>
  </si>
  <si>
    <t>NHH UMS category D</t>
  </si>
  <si>
    <t>LV UMS (Pseudo HH Metered)</t>
  </si>
  <si>
    <t>1053. Volume forecasts for the charging year</t>
  </si>
  <si>
    <t>Source: forecast.</t>
  </si>
  <si>
    <t>Please include MPAN counts for tariffs with no fixed charge (e.g. off-peak tariffs),</t>
  </si>
  <si>
    <t>but exclude MPANs on tariffs with a fixed charge that are not subject to a fixed charge due to a site grouping arrangement.</t>
  </si>
  <si>
    <t>Rate 1 units (MWh)</t>
  </si>
  <si>
    <t>Rate 2 units (MWh)</t>
  </si>
  <si>
    <t>Rate 3 units (MWh)</t>
  </si>
  <si>
    <t>MPANs</t>
  </si>
  <si>
    <t>Import capacity (kVA)</t>
  </si>
  <si>
    <t>Reactive power units (MVArh)</t>
  </si>
  <si>
    <t>&gt; Domestic Unrestricted</t>
  </si>
  <si>
    <t>LDNO LV: Domestic Unrestricted</t>
  </si>
  <si>
    <t>LDNO HV: Domestic Unrestricted</t>
  </si>
  <si>
    <t>&gt; Domestic Two Rate</t>
  </si>
  <si>
    <t>LDNO LV: Domestic Two Rate</t>
  </si>
  <si>
    <t>LDNO HV: Domestic Two Rate</t>
  </si>
  <si>
    <t>&gt; Domestic Off Peak (related MPAN)</t>
  </si>
  <si>
    <t>LDNO LV: Domestic Off Peak (related MPAN)</t>
  </si>
  <si>
    <t>LDNO HV: Domestic Off Peak (related MPAN)</t>
  </si>
  <si>
    <t>&gt; Small Non Domestic Unrestricted</t>
  </si>
  <si>
    <t>LDNO LV: Small Non Domestic Unrestricted</t>
  </si>
  <si>
    <t>LDNO HV: Small Non Domestic Unrestricted</t>
  </si>
  <si>
    <t>&gt; Small Non Domestic Two Rate</t>
  </si>
  <si>
    <t>LDNO LV: Small Non Domestic Two Rate</t>
  </si>
  <si>
    <t>LDNO HV: Small Non Domestic Two Rate</t>
  </si>
  <si>
    <t>&gt; Small Non Domestic Off Peak (related MPAN)</t>
  </si>
  <si>
    <t>LDNO LV: Small Non Domestic Off Peak (related MPAN)</t>
  </si>
  <si>
    <t>LDNO HV: Small Non Domestic Off Peak (related MPAN)</t>
  </si>
  <si>
    <t>&gt; LV Medium Non-Domestic</t>
  </si>
  <si>
    <t>LDNO LV: LV Medium Non-Domestic</t>
  </si>
  <si>
    <t>LDNO HV: LV Medium Non-Domestic</t>
  </si>
  <si>
    <t>&gt; LV Sub Medium Non-Domestic</t>
  </si>
  <si>
    <t>&gt; HV Medium Non-Domestic</t>
  </si>
  <si>
    <t>&gt; LV HH Metered</t>
  </si>
  <si>
    <t>LDNO LV: LV HH Metered</t>
  </si>
  <si>
    <t>LDNO HV: LV HH Metered</t>
  </si>
  <si>
    <t>&gt; LV Sub HH Metered</t>
  </si>
  <si>
    <t>LDNO HV: LV Sub HH Metered</t>
  </si>
  <si>
    <t>&gt; HV HH Metered</t>
  </si>
  <si>
    <t>LDNO HV: HV HH Metered</t>
  </si>
  <si>
    <t>&gt; HV Sub HH Metered</t>
  </si>
  <si>
    <t>&gt; NHH UMS category A</t>
  </si>
  <si>
    <t>LDNO LV: NHH UMS category A</t>
  </si>
  <si>
    <t>LDNO HV: NHH UMS category A</t>
  </si>
  <si>
    <t>&gt; NHH UMS category B</t>
  </si>
  <si>
    <t>LDNO LV: NHH UMS category B</t>
  </si>
  <si>
    <t>LDNO HV: NHH UMS category B</t>
  </si>
  <si>
    <t>&gt; NHH UMS category C</t>
  </si>
  <si>
    <t>LDNO LV: NHH UMS category C</t>
  </si>
  <si>
    <t>LDNO HV: NHH UMS category C</t>
  </si>
  <si>
    <t>&gt; NHH UMS category D</t>
  </si>
  <si>
    <t>LDNO LV: NHH UMS category D</t>
  </si>
  <si>
    <t>LDNO HV: NHH UMS category D</t>
  </si>
  <si>
    <t>&gt; LV UMS (Pseudo HH Metered)</t>
  </si>
  <si>
    <t>LDNO LV: LV UMS (Pseudo HH Metered)</t>
  </si>
  <si>
    <t>LDNO HV: LV UMS (Pseudo HH Metered)</t>
  </si>
  <si>
    <t>&gt; LV Generation NHH</t>
  </si>
  <si>
    <t>LDNO LV: LV Generation NHH</t>
  </si>
  <si>
    <t>LDNO HV: LV Generation NHH</t>
  </si>
  <si>
    <t>&gt; LV Sub Generation NHH</t>
  </si>
  <si>
    <t>LDNO HV: LV Sub Generation NHH</t>
  </si>
  <si>
    <t>&gt; LV Generation Intermittent</t>
  </si>
  <si>
    <t>LDNO LV: LV Generation Intermittent</t>
  </si>
  <si>
    <t>LDNO HV: LV Generation Intermittent</t>
  </si>
  <si>
    <t>&gt; LV Generation Non-Intermittent</t>
  </si>
  <si>
    <t>LDNO LV: LV Generation Non-Intermittent</t>
  </si>
  <si>
    <t>LDNO HV: LV Generation Non-Intermittent</t>
  </si>
  <si>
    <t>&gt; LV Sub Generation Intermittent</t>
  </si>
  <si>
    <t>LDNO HV: LV Sub Generation Intermittent</t>
  </si>
  <si>
    <t>&gt; LV Sub Generation Non-Intermittent</t>
  </si>
  <si>
    <t>LDNO HV: LV Sub Generation Non-Intermittent</t>
  </si>
  <si>
    <t>&gt; HV Generation Intermittent</t>
  </si>
  <si>
    <t>LDNO HV: HV Generation Intermittent</t>
  </si>
  <si>
    <t>&gt; HV Generation Non-Intermittent</t>
  </si>
  <si>
    <t>LDNO HV: HV Generation Non-Intermittent</t>
  </si>
  <si>
    <t>&gt; HV Sub Generation Intermittent</t>
  </si>
  <si>
    <t>&gt; HV Sub Generation Non-Intermittent</t>
  </si>
  <si>
    <t>1055. Transmission exit charges (£/year)</t>
  </si>
  <si>
    <t>Transmission
exit</t>
  </si>
  <si>
    <t>Transmission exit charges (£/year)</t>
  </si>
  <si>
    <t>1059. Other expenditure</t>
  </si>
  <si>
    <t>Direct cost (£/year)</t>
  </si>
  <si>
    <t>Indirect cost (£/year)</t>
  </si>
  <si>
    <t>Indirect cost proportion</t>
  </si>
  <si>
    <t>Network rates (£/year)</t>
  </si>
  <si>
    <t>Other expenditure</t>
  </si>
  <si>
    <t>1060. Customer contributions under current connection charging policy</t>
  </si>
  <si>
    <t>Source: analysis of expenditure data and/or survey of capital expenditure schemes.</t>
  </si>
  <si>
    <t>Customer contribution percentages by network level of supply and by asset network level.</t>
  </si>
  <si>
    <t>These proportions should reflect the current connection charging method, not necessarily the method that was in place when the connection was built.</t>
  </si>
  <si>
    <t>Assets
132kV</t>
  </si>
  <si>
    <t>Assets
132kV/EHV</t>
  </si>
  <si>
    <t>Assets
EHV</t>
  </si>
  <si>
    <t>Assets
EHV/HV</t>
  </si>
  <si>
    <t>Assets
132kV/HV</t>
  </si>
  <si>
    <t>Assets
HV</t>
  </si>
  <si>
    <t>Assets
HV/LV</t>
  </si>
  <si>
    <t>Assets
LV circuits</t>
  </si>
  <si>
    <t>LV network</t>
  </si>
  <si>
    <t>LV substation</t>
  </si>
  <si>
    <t>HV network</t>
  </si>
  <si>
    <t>HV substation</t>
  </si>
  <si>
    <t>1061. Average split of rate 1 units by distribution time band</t>
  </si>
  <si>
    <t>Red</t>
  </si>
  <si>
    <t>Amber</t>
  </si>
  <si>
    <t>Green</t>
  </si>
  <si>
    <t>1062. Average split of rate 2 units by distribution time band</t>
  </si>
  <si>
    <t>1064. Average split of rate 1 units by special distribution time band</t>
  </si>
  <si>
    <t>Black</t>
  </si>
  <si>
    <t>Yellow</t>
  </si>
  <si>
    <t>1066. Typical annual hours by special distribution time band</t>
  </si>
  <si>
    <t>Source: definition of distribution time bands.</t>
  </si>
  <si>
    <t>The figures in this table will be automatically adjusted to match the number of days in the charging period.</t>
  </si>
  <si>
    <t>Annual hours</t>
  </si>
  <si>
    <t>1068. Typical annual hours by distribution time band</t>
  </si>
  <si>
    <t>1069. Peaking probabilities by network level</t>
  </si>
  <si>
    <t>Source: analysis of network operation data.</t>
  </si>
  <si>
    <t>Red, amber and green peaking probabilities</t>
  </si>
  <si>
    <t>Black peaking probabilities</t>
  </si>
  <si>
    <t>1076. Target revenue</t>
  </si>
  <si>
    <t>Target revenue</t>
  </si>
  <si>
    <t>1092. Average kVAr by kVA, by network level</t>
  </si>
  <si>
    <t>Source: analysis of operational data.</t>
  </si>
  <si>
    <t>This is the average of MVAr/MVA or SQRT(1-PF^2) across relevant network elements.</t>
  </si>
  <si>
    <t>Average kVAr by kVA, by network level</t>
  </si>
  <si>
    <t>1201. Current tariff information</t>
  </si>
  <si>
    <t>Current revenues if known (£)</t>
  </si>
  <si>
    <t>Current Unit rate 1 p/kWh</t>
  </si>
  <si>
    <t>Current Unit rate 2 p/kWh</t>
  </si>
  <si>
    <t>Current Unit rate 3 p/kWh</t>
  </si>
  <si>
    <t>Current Fixed charge p/MPAN/day</t>
  </si>
  <si>
    <t>Current Capacity charge p/kVA/day</t>
  </si>
  <si>
    <t>Current Reactive power charge p/kVArh</t>
  </si>
  <si>
    <t>This sheet contains all the input data (except LLFCs, which are entered directly into the Tariff sheet).</t>
  </si>
  <si>
    <t>This sheet calculates matrices of loss adjustment factors and of network use factors.</t>
  </si>
  <si>
    <t>These matrices map out the extent to which each type of user uses each level of the network, and are used throughout the workbook.</t>
  </si>
  <si>
    <t>2001. Loss adjustment factors to transmission</t>
  </si>
  <si>
    <t>Data sources:</t>
  </si>
  <si>
    <t>x1 = Network level for each tariff (to get loss factors applicable to capacity) (in Loss adjustment factors to transmission)</t>
  </si>
  <si>
    <t>x2 = 1032. Loss adjustment factors to transmission</t>
  </si>
  <si>
    <t>Kind:</t>
  </si>
  <si>
    <t>Fixed data</t>
  </si>
  <si>
    <t>Sum-product calculation</t>
  </si>
  <si>
    <t>Formula:</t>
  </si>
  <si>
    <t/>
  </si>
  <si>
    <t>=SUMPRODUCT(x1, x2)</t>
  </si>
  <si>
    <t>Network level for each tariff (to get loss factors applicable to capacity)</t>
  </si>
  <si>
    <t>2002. Mapping of DRM network levels to core network levels</t>
  </si>
  <si>
    <t>2003. Loss adjustment factor to transmission for each DRM network level</t>
  </si>
  <si>
    <t>x1 = 2002. Mapping of DRM network levels to core network levels</t>
  </si>
  <si>
    <t>Sum-product calculation =SUMPRODUCT(x1, x2)</t>
  </si>
  <si>
    <t>Loss adjustment factor to transmission for each DRM network level</t>
  </si>
  <si>
    <t>2004. Loss adjustment factor to transmission for each network level</t>
  </si>
  <si>
    <t>x1 = 2003. Loss adjustment factor to transmission for each DRM network level</t>
  </si>
  <si>
    <t>x2 = 1 for GSP level</t>
  </si>
  <si>
    <t>Combine tables = x1 or x2</t>
  </si>
  <si>
    <t>Loss adjustment factor to transmission for each network level</t>
  </si>
  <si>
    <t>2005. Network use factors</t>
  </si>
  <si>
    <t>These network use factors indicate to what extent each network level is used by each tariff.</t>
  </si>
  <si>
    <t>This table reflects the policy that generators receive credits only in respect of network levels above the voltage of connection. Generators do not receive credits at the voltage of connection.</t>
  </si>
  <si>
    <t>The factors in this table are before any adjustment for a 132kV/HV network level or for generation-dominated areas.</t>
  </si>
  <si>
    <t>2006. Proportion going through 132kV/EHV</t>
  </si>
  <si>
    <t>x1 = 1018. Proportion of relevant load going through 132kV/HV direct transformation</t>
  </si>
  <si>
    <t>Calculation =1-x1</t>
  </si>
  <si>
    <t>2007. Proportion going through EHV</t>
  </si>
  <si>
    <t>2008. Proportion going through EHV/HV</t>
  </si>
  <si>
    <t>2009. Rerouteing matrix for all network levels</t>
  </si>
  <si>
    <t>x2 = 2006. Proportion going through 132kV/EHV</t>
  </si>
  <si>
    <t>x3 = 2007. Proportion going through EHV</t>
  </si>
  <si>
    <t>x4 = 2008. Proportion going through EHV/HV</t>
  </si>
  <si>
    <t>x5 = Rerouteing matrix: default elements</t>
  </si>
  <si>
    <t>x6 = Map GSP to GSP</t>
  </si>
  <si>
    <t>Combine tables = x1 or x2 or x3 or x4 or x5 or x6</t>
  </si>
  <si>
    <t>2010. Network use factors: interim step in calculations before adjustments</t>
  </si>
  <si>
    <t>x1 = 2005. Network use factors</t>
  </si>
  <si>
    <t>x2 = 2009. Rerouteing matrix for all network levels</t>
  </si>
  <si>
    <t>2011. Network use factors for all tariffs</t>
  </si>
  <si>
    <t>x1 = Network use factors including 132kV/HV for generation dominated tariffs</t>
  </si>
  <si>
    <t>x2 = Network use factors including 132kV/HV for HV Sub tariffs</t>
  </si>
  <si>
    <t>x3 = 2010. Network use factors: interim step in calculations before adjustments</t>
  </si>
  <si>
    <t>Combine tables = x1 or x2 or x3</t>
  </si>
  <si>
    <t>2012. Loss adjustment factors between end user meter reading and each network level, scaled by network use</t>
  </si>
  <si>
    <t>x1 = 2004. Loss adjustment factor to transmission for each network level</t>
  </si>
  <si>
    <t>x2 = 2011. Network use factors for all tariffs</t>
  </si>
  <si>
    <t>x3 = 2001. Loss adjustment factor to transmission (in Loss adjustment factors to transmission)</t>
  </si>
  <si>
    <t>Calculation =IF(x1="",x2,x2*x3/x1)</t>
  </si>
  <si>
    <t>This sheet collects data from a network model and calculates aggregated annuitised unit costs from these data.</t>
  </si>
  <si>
    <t>2101. Annuity rate</t>
  </si>
  <si>
    <t>x1 = 1010. Rate of return (in Financial and general assumptions)</t>
  </si>
  <si>
    <t>x2 = 1010. Annualisation period (years) (in Financial and general assumptions)</t>
  </si>
  <si>
    <t>x3 = 1010. Days in the charging year (in Financial and general assumptions)</t>
  </si>
  <si>
    <t>Calculation =PMT(x1,x2,-1)*IF(OR(x3&gt;366,x3&lt;365),x3/365.25,1)</t>
  </si>
  <si>
    <t>Annuity rate</t>
  </si>
  <si>
    <t>2102. Loss adjustment factor to transmission for each core level</t>
  </si>
  <si>
    <t>x1 = 1032. Loss adjustment factors to transmission</t>
  </si>
  <si>
    <t>Loss adjustment factor to transmission for each core level</t>
  </si>
  <si>
    <t>2103. Loss adjustment factors</t>
  </si>
  <si>
    <t>x1 = 2102. Loss adjustment factor to transmission for each core level</t>
  </si>
  <si>
    <t>x2 = Loss adjustment factor to transmission for network level exit (in Loss adjustment factors)</t>
  </si>
  <si>
    <t>Copy cells</t>
  </si>
  <si>
    <t>Special copy</t>
  </si>
  <si>
    <t>=x1</t>
  </si>
  <si>
    <t>= x2</t>
  </si>
  <si>
    <t>Loss adjustment factor to transmission for network level exit</t>
  </si>
  <si>
    <t>Loss adjustment factor to transmission for network level entry</t>
  </si>
  <si>
    <t>2104. Diversity calculations</t>
  </si>
  <si>
    <t>x1 = 1017. Diversity allowance between top and bottom of network level</t>
  </si>
  <si>
    <t>x2 = Coincidence to system peak at level exit (in Diversity calculations)</t>
  </si>
  <si>
    <t>Special calculation</t>
  </si>
  <si>
    <t>=previous/(1+x1)</t>
  </si>
  <si>
    <t>=1/x2-1</t>
  </si>
  <si>
    <t>Coincidence to GSP peak at level exit</t>
  </si>
  <si>
    <t>Coincidence to system peak at level exit</t>
  </si>
  <si>
    <t>Diversity allowance between level exit and GSP Group</t>
  </si>
  <si>
    <t>2105. Network model total maximum demand at substation (MW)</t>
  </si>
  <si>
    <t>x1 = 1019. Network model GSP peak demand (MW)</t>
  </si>
  <si>
    <t>x2 = 2104. Coincidence to GSP peak at level exit (in Diversity calculations)</t>
  </si>
  <si>
    <t>Calculation =x1/x2</t>
  </si>
  <si>
    <t>Network model total maximum demand at substation (MW)</t>
  </si>
  <si>
    <t>2106. Network model contribution to system maximum load measured at network level exit (MW)</t>
  </si>
  <si>
    <t>x1 = 2105. Network model total maximum demand at substation (MW)</t>
  </si>
  <si>
    <t>x2 = 2104. Coincidence to system peak at level exit (in Diversity calculations)</t>
  </si>
  <si>
    <t>x3 = 2103. Loss adjustment factor to transmission for network level exit (in Loss adjustment factors)</t>
  </si>
  <si>
    <t>Calculation =x1*x2/x3</t>
  </si>
  <si>
    <t>Network model contribution to system maximum load measured at network level exit (MW)</t>
  </si>
  <si>
    <t>2107. Rerouteing matrix for DRM network levels</t>
  </si>
  <si>
    <t>Combine tables = x1 or x2 or x3 or x4 or x5</t>
  </si>
  <si>
    <t>2108. GSP simultaneous maximum load assumed through each network level (MW)</t>
  </si>
  <si>
    <t>x1 = 2106. Network model contribution to system maximum load measured at network level exit (MW)</t>
  </si>
  <si>
    <t>x2 = 2107. Rerouteing matrix for DRM network levels</t>
  </si>
  <si>
    <t>GSP simultaneous maximum load assumed through each network level (MW)</t>
  </si>
  <si>
    <t>2109. Network model annuity by simultaneous maximum load for each network level (£/kW/year)</t>
  </si>
  <si>
    <t>x1 = 2108. GSP simultaneous maximum load assumed through each network level (MW)</t>
  </si>
  <si>
    <t>x2 = 1020. Gross asset cost by network level (£)</t>
  </si>
  <si>
    <t>x3 = 2101. Annuity rate</t>
  </si>
  <si>
    <t>Calculation =IF(x1,0.001*x2*x3/x1,0)</t>
  </si>
  <si>
    <t>Model £/kW SML</t>
  </si>
  <si>
    <t>Assets 132kV</t>
  </si>
  <si>
    <t>Assets 132kV/EHV</t>
  </si>
  <si>
    <t>Assets EHV</t>
  </si>
  <si>
    <t>Assets EHV/HV</t>
  </si>
  <si>
    <t>Assets 132kV/HV</t>
  </si>
  <si>
    <t>Assets HV</t>
  </si>
  <si>
    <t>Assets HV/LV</t>
  </si>
  <si>
    <t>Assets LV circuits</t>
  </si>
  <si>
    <t>This sheet collects and processes data from the service models.</t>
  </si>
  <si>
    <t>2201. Asset £/customer from LV service models</t>
  </si>
  <si>
    <t>x1 = 1025. Matrix of applicability of LV service models to tariffs with fixed charges</t>
  </si>
  <si>
    <t>x2 = 1022. LV service model asset cost (£)</t>
  </si>
  <si>
    <t>Assets
LV customer</t>
  </si>
  <si>
    <t>2202. Asset £/(MWh/year) from LV service models</t>
  </si>
  <si>
    <t>x1 = 1026. Matrix of applicability of LV service models to unmetered tariffs</t>
  </si>
  <si>
    <t>Asset £/(MWh/year) from LV service models</t>
  </si>
  <si>
    <t>2203. Service model asset p/kWh charge for unmetered tariffs</t>
  </si>
  <si>
    <t>x1 = 1010. Annuity proportion for customer-contributed assets (in Financial and general assumptions)</t>
  </si>
  <si>
    <t>x2 = 2202. Asset £/(MWh/year) from LV service models</t>
  </si>
  <si>
    <t>Calculation =0.1*x1*x2*x3</t>
  </si>
  <si>
    <t>Service model asset p/kWh charge for unmetered tariffs</t>
  </si>
  <si>
    <t>2204. Asset £/customer from HV service models</t>
  </si>
  <si>
    <t>x1 = 1028. Matrix of applicability of HV service models to tariffs with fixed charges</t>
  </si>
  <si>
    <t>x2 = 1023. HV service model asset cost (£)</t>
  </si>
  <si>
    <t>Assets
HV customer</t>
  </si>
  <si>
    <t>2205. Service model assets by tariff (£)</t>
  </si>
  <si>
    <t>x1 = 2201. Asset £/customer from LV service models</t>
  </si>
  <si>
    <t>x2 = 2204. Asset £/customer from HV service models</t>
  </si>
  <si>
    <t>2206. Replacement annuities for service models</t>
  </si>
  <si>
    <t>x1 = 1010. Days in the charging year (in Financial and general assumptions)</t>
  </si>
  <si>
    <t>x2 = 2205. Service model assets by tariff (£)</t>
  </si>
  <si>
    <t>x4 = 1010. Annuity proportion for customer-contributed assets (in Financial and general assumptions)</t>
  </si>
  <si>
    <t>x5 = Service model p/MPAN/day charge (in Replacement annuities for service models)</t>
  </si>
  <si>
    <t>Calculation</t>
  </si>
  <si>
    <t>Cell summation</t>
  </si>
  <si>
    <t>=100/x1*x2*x3*x4</t>
  </si>
  <si>
    <t>=SUM(x5)</t>
  </si>
  <si>
    <t>Service model p/MPAN/day charge</t>
  </si>
  <si>
    <t>Service model p/MPAN/day</t>
  </si>
  <si>
    <t>This sheet compiles information about the assumed characteristics of network users.</t>
  </si>
  <si>
    <t>A load factor represents the average load of a user or user group, relative to the maximum load level of that user or</t>
  </si>
  <si>
    <t>user group. Load factors are numbers between 0 and 1.</t>
  </si>
  <si>
    <t>A coincidence factor represents the expectation value of the load of a user or user group at the time of system maximum load,</t>
  </si>
  <si>
    <t>relative to the maximum load level of that user or user group.  Coincidence factors are numbers between 0 and 1.</t>
  </si>
  <si>
    <t>A load coefficient is the expectation value of the load of a user or user group at the time of system maximum load, relative to the average load level of that user or user group.</t>
  </si>
  <si>
    <t>For demand users, the load coefficient is a demand coefficient and can be calculated as the ratio of the coincidence factor to the load factor.</t>
  </si>
  <si>
    <t>2301. Demand coefficient (load at time of system maximum load divided by average load)</t>
  </si>
  <si>
    <t>x1 = 1041. Coincidence factor to system maximum load for each type of demand user (in Load profile data for demand users)</t>
  </si>
  <si>
    <t>x2 = 1041. Load factor for each type of demand user (in Load profile data for demand users)</t>
  </si>
  <si>
    <t>Demand coefficient</t>
  </si>
  <si>
    <t>2302. Load coefficient</t>
  </si>
  <si>
    <t>x1 = 2301. Demand coefficient (load at time of system maximum load divided by average load)</t>
  </si>
  <si>
    <t>x2 = Negative of generation coefficient; set to -1</t>
  </si>
  <si>
    <t>Load coefficient</t>
  </si>
  <si>
    <t>2303. Discount map</t>
  </si>
  <si>
    <t>2304. LDNO discounts and volumes adjusted for discount</t>
  </si>
  <si>
    <t>x1 = 2303. Discount map</t>
  </si>
  <si>
    <t>x2 = 1037. Embedded network (LDNO) discounts</t>
  </si>
  <si>
    <t>x3 = 100 per cent discount for generators on LDNO networks</t>
  </si>
  <si>
    <t>x4 = Discount for each tariff (except for fixed charges) (in LDNO discounts and volumes adjusted for discount)</t>
  </si>
  <si>
    <t>x5 = 1053. Rate 1 units (MWh) by tariff (in Volume forecasts for the charging year)</t>
  </si>
  <si>
    <t>x6 = 1053. Rate 2 units (MWh) by tariff (in Volume forecasts for the charging year)</t>
  </si>
  <si>
    <t>x7 = 1053. Rate 3 units (MWh) by tariff (in Volume forecasts for the charging year)</t>
  </si>
  <si>
    <t>x8 = 1053. MPANs by tariff (in Volume forecasts for the charging year)</t>
  </si>
  <si>
    <t>x9 = Discount for each tariff  for fixed charges only (in LDNO discounts and volumes adjusted for discount)</t>
  </si>
  <si>
    <t>x10 = 1053. Import capacity (kVA) by tariff (in Volume forecasts for the charging year)</t>
  </si>
  <si>
    <t>x11 = 1053. Reactive power units (MVArh) by tariff (in Volume forecasts for the charging year)</t>
  </si>
  <si>
    <t>Combine tables</t>
  </si>
  <si>
    <t>= x3 or x4</t>
  </si>
  <si>
    <t>=x5*(1-x4)</t>
  </si>
  <si>
    <t>=x6*(1-x4)</t>
  </si>
  <si>
    <t>=x7*(1-x4)</t>
  </si>
  <si>
    <t>=x8*(1-x9)</t>
  </si>
  <si>
    <t>=x10*(1-x4)</t>
  </si>
  <si>
    <t>=x11*(1-x4)</t>
  </si>
  <si>
    <t>Discount for each tariff (except for fixed charges)</t>
  </si>
  <si>
    <t>Discount for each tariff  for fixed charges only</t>
  </si>
  <si>
    <t>2305. Equivalent volume for each end user</t>
  </si>
  <si>
    <t>x1 = 2304. Rate 1 units (MWh) (in LDNO discounts and volumes adjusted for discount)</t>
  </si>
  <si>
    <t>x2 = 2304. Rate 2 units (MWh) (in LDNO discounts and volumes adjusted for discount)</t>
  </si>
  <si>
    <t>x3 = 2304. Rate 3 units (MWh) (in LDNO discounts and volumes adjusted for discount)</t>
  </si>
  <si>
    <t>x4 = 2304. MPANs (in LDNO discounts and volumes adjusted for discount)</t>
  </si>
  <si>
    <t>x5 = 2304. Import capacity (kVA) (in LDNO discounts and volumes adjusted for discount)</t>
  </si>
  <si>
    <t>x6 = 2304. Reactive power units (MVArh) (in LDNO discounts and volumes adjusted for discount)</t>
  </si>
  <si>
    <t>=SUM(x1)</t>
  </si>
  <si>
    <t>=SUM(x2)</t>
  </si>
  <si>
    <t>=SUM(x3)</t>
  </si>
  <si>
    <t>=SUM(x4)</t>
  </si>
  <si>
    <t>=SUM(x6)</t>
  </si>
  <si>
    <t>2401. Adjust annual hours by distribution time band to match days in year</t>
  </si>
  <si>
    <t>x1 = 1068. Typical annual hours by distribution time band</t>
  </si>
  <si>
    <t>x2 = 1010. Days in the charging year (in Financial and general assumptions)</t>
  </si>
  <si>
    <t>x3 = Total hours in the year according to time band hours input data (in Adjust annual hours by distribution time band to match days in year)</t>
  </si>
  <si>
    <t>=x1*24*x2/x3</t>
  </si>
  <si>
    <t>Hours aggregate</t>
  </si>
  <si>
    <t>Annual hours by distribution time band (reconciled to days in year)</t>
  </si>
  <si>
    <t>Adjust annual hours by distribution time band to match days in year</t>
  </si>
  <si>
    <t>2402. Normalisation of split of rate 1 units by time band</t>
  </si>
  <si>
    <t>x1 = 1061. Average split of rate 1 units by distribution time band</t>
  </si>
  <si>
    <t>x2 = Total split (in Normalisation of split of rate 1 units by time band)</t>
  </si>
  <si>
    <t>x3 = 2401. Annual hours by distribution time band (reconciled to days in year) (in Adjust annual hours by distribution time band to match days in year)</t>
  </si>
  <si>
    <t>x4 = 1010. Days in the charging year (in Financial and general assumptions)</t>
  </si>
  <si>
    <t>=IF(x2,x1/x2,x3/x4/24)</t>
  </si>
  <si>
    <t>Total split</t>
  </si>
  <si>
    <t>Normalised split of rate 1 units by distribution time band</t>
  </si>
  <si>
    <t>2403. Split of rate 1 units between distribution time bands</t>
  </si>
  <si>
    <t>x1 = 2402. Normalised split of rate 1 units by distribution time band (in Normalisation of split of rate 1 units by time band)</t>
  </si>
  <si>
    <t>x2 = Split of rate 1 units between distribution time bands (default)</t>
  </si>
  <si>
    <t>2404. Normalisation of split of rate 2 units by time band</t>
  </si>
  <si>
    <t>x1 = 1062. Average split of rate 2 units by distribution time band</t>
  </si>
  <si>
    <t>x2 = Total split (in Normalisation of split of rate 2 units by time band)</t>
  </si>
  <si>
    <t>Normalised split of rate 2 units by distribution time band</t>
  </si>
  <si>
    <t>2405. Split of rate 2 units between distribution time bands</t>
  </si>
  <si>
    <t>x1 = 2404. Normalised split of rate 2 units by distribution time band (in Normalisation of split of rate 2 units by time band)</t>
  </si>
  <si>
    <t>x2 = Split of rate 2 units between distribution time bands (default)</t>
  </si>
  <si>
    <t>2406. Split of rate 3 units between distribution time bands (default)</t>
  </si>
  <si>
    <t>2407. All units (MWh)</t>
  </si>
  <si>
    <t>x1 = 2305. Rate 1 units (MWh) (in Equivalent volume for each end user)</t>
  </si>
  <si>
    <t>x2 = 2305. Rate 2 units (MWh) (in Equivalent volume for each end user)</t>
  </si>
  <si>
    <t>x3 = 2305. Rate 3 units (MWh) (in Equivalent volume for each end user)</t>
  </si>
  <si>
    <t>Calculation =x1+x2+x3</t>
  </si>
  <si>
    <t>All units (MWh)</t>
  </si>
  <si>
    <t>2408. Calculation of implied load coefficients for two-rate users</t>
  </si>
  <si>
    <t>x1 = 2407. All units (MWh)</t>
  </si>
  <si>
    <t>x2 = 2305. Rate 1 units (MWh) (in Equivalent volume for each end user)</t>
  </si>
  <si>
    <t>x3 = 2403. Split of rate 1 units between distribution time bands</t>
  </si>
  <si>
    <t>x4 = 2305. Rate 2 units (MWh) (in Equivalent volume for each end user)</t>
  </si>
  <si>
    <t>x5 = 2405. Split of rate 2 units between distribution time bands</t>
  </si>
  <si>
    <t>x6 = 2401. Annual hours by distribution time band (reconciled to days in year) (in Adjust annual hours by distribution time band to match days in year)</t>
  </si>
  <si>
    <t>x7 = Use of distribution time bands by units in demand forecast for two-rate tariffs (in Calculation of implied load coefficients for two-rate users)</t>
  </si>
  <si>
    <t>x8 = 1010. Days in the charging year (in Financial and general assumptions)</t>
  </si>
  <si>
    <t>=IF(x1&gt;0,(x2*x3+x4*x5)/x1,0)</t>
  </si>
  <si>
    <t>=IF(x6&gt;0,x7*x8*24/x6,0)</t>
  </si>
  <si>
    <t>Use of distribution time bands by units in demand forecast for two-rate tariffs</t>
  </si>
  <si>
    <t>First-time-band load coefficient for two-rate tariffs</t>
  </si>
  <si>
    <t>2409. Calculation of implied load coefficients for three-rate users</t>
  </si>
  <si>
    <t>x6 = 2305. Rate 3 units (MWh) (in Equivalent volume for each end user)</t>
  </si>
  <si>
    <t>x7 = 2406. Split of rate 3 units between distribution time bands (default)</t>
  </si>
  <si>
    <t>x8 = 2401. Annual hours by distribution time band (reconciled to days in year) (in Adjust annual hours by distribution time band to match days in year)</t>
  </si>
  <si>
    <t>x9 = Use of distribution time bands by units in demand forecast for three-rate tariffs (in Calculation of implied load coefficients for three-rate users)</t>
  </si>
  <si>
    <t>x10 = 1010. Days in the charging year (in Financial and general assumptions)</t>
  </si>
  <si>
    <t>=IF(x1&gt;0,(x2*x3+x4*x5+x6*x7)/x1,0)</t>
  </si>
  <si>
    <t>=IF(x8&gt;0,x9*x10*24/x8,0)</t>
  </si>
  <si>
    <t>Use of distribution time bands by units in demand forecast for three-rate tariffs</t>
  </si>
  <si>
    <t>First-time-band load coefficient for three-rate tariffs</t>
  </si>
  <si>
    <t>2410. Calculation of adjusted time band load coefficients</t>
  </si>
  <si>
    <t>x1 = 2408. First-time-band load coefficient for two-rate tariffs (in Calculation of implied load coefficients for two-rate users)</t>
  </si>
  <si>
    <t>x2 = 2409. First-time-band load coefficient for three-rate tariffs (in Calculation of implied load coefficients for three-rate users)</t>
  </si>
  <si>
    <t>x3 = First-time-band load coefficient (in Calculation of adjusted time band load coefficients)</t>
  </si>
  <si>
    <t>x4 = 2302. Load coefficient</t>
  </si>
  <si>
    <t>= x1 or x2</t>
  </si>
  <si>
    <t>=IF(x3&lt;&gt;0,x4/x3,IF(x4&lt;0,-1,1))</t>
  </si>
  <si>
    <t>First-time-band load coefficient</t>
  </si>
  <si>
    <t>Load coefficient correction factor (kW at peak in band / band average kW)</t>
  </si>
  <si>
    <t>2411. Normalisation of peaking probabilities</t>
  </si>
  <si>
    <t>x1 = 1069. Red, amber and green peaking probabilities (in Peaking probabilities by network level)</t>
  </si>
  <si>
    <t>x2 = Total probability (should be 100%) (in Normalisation of peaking probabilities)</t>
  </si>
  <si>
    <t>x3 = 1068. Typical annual hours by distribution time band</t>
  </si>
  <si>
    <t>x4 = 2401. Total hours in the year according to time band hours input data (in Adjust annual hours by distribution time band to match days in year)</t>
  </si>
  <si>
    <t>=IF(x2,x1/x2,x3/x4)</t>
  </si>
  <si>
    <t>Total probability (should be 100%)</t>
  </si>
  <si>
    <t>Normalised peaking probabilities</t>
  </si>
  <si>
    <t>2412. Peaking probabilities by network level (reshaped)</t>
  </si>
  <si>
    <t>x1 = 2411. Normalised peaking probabilities (in Normalisation of peaking probabilities)</t>
  </si>
  <si>
    <t>Reshape table = x1</t>
  </si>
  <si>
    <t>Probability of peak within timeband</t>
  </si>
  <si>
    <t>2413. Pseudo load coefficient by time band and network level</t>
  </si>
  <si>
    <t>x1 = 2401. Annual hours by distribution time band (reconciled to days in year) (in Adjust annual hours by distribution time band to match days in year)</t>
  </si>
  <si>
    <t>x2 = 2410. Load coefficient correction factor (kW at peak in band / band average kW) (in Calculation of adjusted time band load coefficients)</t>
  </si>
  <si>
    <t>x3 = 2412. Peaking probabilities by network level (reshaped)</t>
  </si>
  <si>
    <t>Calculation =IF(x1&gt;0,x2*x3*24*x4/x1,0)</t>
  </si>
  <si>
    <t>2414. Unit rate 1 pseudo load coefficient by network level</t>
  </si>
  <si>
    <t>x1 = 2413. Pseudo load coefficient by time band and network level</t>
  </si>
  <si>
    <t>x2 = 2403. Split of rate 1 units between distribution time bands</t>
  </si>
  <si>
    <t>2415. Unit rate 2 pseudo load coefficient by network level</t>
  </si>
  <si>
    <t>x2 = 2405. Split of rate 2 units between distribution time bands</t>
  </si>
  <si>
    <t>2416. Unit rate 3 pseudo load coefficient by network level</t>
  </si>
  <si>
    <t>x2 = 2406. Split of rate 3 units between distribution time bands (default)</t>
  </si>
  <si>
    <t>2417. Adjust annual hours by special distribution time band to match days in year</t>
  </si>
  <si>
    <t>x1 = 1066. Typical annual hours by special distribution time band</t>
  </si>
  <si>
    <t>x3 = Total hours in the year according to special time band hours input data (in Adjust annual hours by special distribution time band to match days in year)</t>
  </si>
  <si>
    <t>Annual hours by special distribution time band (reconciled to days in year)</t>
  </si>
  <si>
    <t>Adjust annual hours by special distribution time band to match days in year</t>
  </si>
  <si>
    <t>2418. Normalisation of split of rate 1 units by special time band</t>
  </si>
  <si>
    <t>x1 = 1064. Average split of rate 1 units by special distribution time band</t>
  </si>
  <si>
    <t>x2 = Total split (in Normalisation of split of rate 1 units by special time band)</t>
  </si>
  <si>
    <t>x3 = 2417. Annual hours by special distribution time band (reconciled to days in year) (in Adjust annual hours by special distribution time band to match days in year)</t>
  </si>
  <si>
    <t>Normalised split of rate 1 units by special distribution time band</t>
  </si>
  <si>
    <t>2419. Split of rate 1 units between special distribution time bands</t>
  </si>
  <si>
    <t>x1 = 2418. Normalised split of rate 1 units by special distribution time band (in Normalisation of split of rate 1 units by special time band)</t>
  </si>
  <si>
    <t>x2 = Split of rate 1 units between special distribution time bands (default)</t>
  </si>
  <si>
    <t>2420. Split of rate 2 units between special distribution time bands (default)</t>
  </si>
  <si>
    <t>2421. Split of rate 3 units between special distribution time bands (default)</t>
  </si>
  <si>
    <t>2422. Calculation of implied special load coefficients for one-rate users</t>
  </si>
  <si>
    <t>x3 = 2419. Split of rate 1 units between special distribution time bands</t>
  </si>
  <si>
    <t>x4 = 2417. Annual hours by special distribution time band (reconciled to days in year) (in Adjust annual hours by special distribution time band to match days in year)</t>
  </si>
  <si>
    <t>x5 = Use of special distribution time bands by units in demand forecast for one-rate tariffs (in Calculation of implied special load coefficients for one-rate users)</t>
  </si>
  <si>
    <t>x6 = 1010. Days in the charging year (in Financial and general assumptions)</t>
  </si>
  <si>
    <t>=IF(x1&gt;0,(x2*x3)/x1,0)</t>
  </si>
  <si>
    <t>=IF(x4&gt;0,x5*x6*24/x4,0)</t>
  </si>
  <si>
    <t>Use of special distribution time bands by units in demand forecast for one-rate tariffs</t>
  </si>
  <si>
    <t>First-time-band special load coefficient for one-rate tariffs</t>
  </si>
  <si>
    <t>2423. Calculation of implied special load coefficients for three-rate users</t>
  </si>
  <si>
    <t>x5 = 2420. Split of rate 2 units between special distribution time bands (default)</t>
  </si>
  <si>
    <t>x7 = 2421. Split of rate 3 units between special distribution time bands (default)</t>
  </si>
  <si>
    <t>x8 = 2417. Annual hours by special distribution time band (reconciled to days in year) (in Adjust annual hours by special distribution time band to match days in year)</t>
  </si>
  <si>
    <t>x9 = Use of special distribution time bands by units in demand forecast for three-rate tariffs (in Calculation of implied special load coefficients for three-rate users)</t>
  </si>
  <si>
    <t>Use of special distribution time bands by units in demand forecast for three-rate tariffs</t>
  </si>
  <si>
    <t>First-time-band special load coefficient for three-rate tariffs</t>
  </si>
  <si>
    <t>2424. Estimated contributions to peak demand</t>
  </si>
  <si>
    <t>x1 = 2422. First-time-band special load coefficient for one-rate tariffs (in Calculation of implied special load coefficients for one-rate users)</t>
  </si>
  <si>
    <t>x2 = 2423. First-time-band special load coefficient for three-rate tariffs (in Calculation of implied special load coefficients for three-rate users)</t>
  </si>
  <si>
    <t>x3 = First-time-band special load coefficient (in Estimated contributions to peak demand)</t>
  </si>
  <si>
    <t>x4 = 2407. All units (MWh)</t>
  </si>
  <si>
    <t>x5 = 1010. Days in the charging year (in Financial and general assumptions)</t>
  </si>
  <si>
    <t>x6 = 2302. Load coefficient</t>
  </si>
  <si>
    <t>=x3*x4/24/x5*1000</t>
  </si>
  <si>
    <t>=x6*x4/24/x5*1000</t>
  </si>
  <si>
    <t>First-time-band special load coefficient</t>
  </si>
  <si>
    <t>Contribution to first-band peak kW</t>
  </si>
  <si>
    <t>Contribution to system-peak-time kW</t>
  </si>
  <si>
    <t>2425. Mapping of tariffs to tariff groups for coincidence adjustment factor</t>
  </si>
  <si>
    <t>Unmetered</t>
  </si>
  <si>
    <t>2426. Group contribution to first-band peak kW</t>
  </si>
  <si>
    <t>x1 = 2425. Mapping of tariffs to tariff groups for coincidence adjustment factor</t>
  </si>
  <si>
    <t>x2 = 2424. Contribution to first-band peak kW (in Estimated contributions to peak demand)</t>
  </si>
  <si>
    <t>2427. Group contribution to system-peak-time kW</t>
  </si>
  <si>
    <t>x2 = 2424. Contribution to system-peak-time kW (in Estimated contributions to peak demand)</t>
  </si>
  <si>
    <t>Group contribution to system-peak-time kW</t>
  </si>
  <si>
    <t>2428. Load coefficient correction factor for each group</t>
  </si>
  <si>
    <t>x1 = 2426. Group contribution to first-band peak kW</t>
  </si>
  <si>
    <t>x2 = 2427. Group contribution to system-peak-time kW</t>
  </si>
  <si>
    <t>Calculation =IF(x1,x2/x1,0)</t>
  </si>
  <si>
    <t>Load coefficient correction factor for each group</t>
  </si>
  <si>
    <t>2429. Load coefficient correction factor (based on group)</t>
  </si>
  <si>
    <t>x2 = 2428. Load coefficient correction factor for each group</t>
  </si>
  <si>
    <t>Load coefficient correction factor (based on group)</t>
  </si>
  <si>
    <t>2430. Calculation of special peaking probabilities</t>
  </si>
  <si>
    <t>x2 = Amber peaking probabilities (in Calculation of special peaking probabilities)</t>
  </si>
  <si>
    <t>x4 = 2401. Annual hours by distribution time band (reconciled to days in year) (in Adjust annual hours by distribution time band to match days in year)</t>
  </si>
  <si>
    <t>x5 = 1069. Black peaking probabilities (in Peaking probabilities by network level)</t>
  </si>
  <si>
    <t>x6 = Red peaking probabilities (in Calculation of special peaking probabilities)</t>
  </si>
  <si>
    <t>x7 = Amber peaking rates (in Calculation of special peaking probabilities)</t>
  </si>
  <si>
    <t>x9 = Yellow peaking probabilities (in Calculation of special peaking probabilities)</t>
  </si>
  <si>
    <t>x10 = Green peaking probabilities (in Calculation of special peaking probabilities)</t>
  </si>
  <si>
    <t>=x2*24*x3/x4</t>
  </si>
  <si>
    <t>=IF(x5,x2+x6-x5,x7*x8/x3/24)</t>
  </si>
  <si>
    <t>=1-x9-x10</t>
  </si>
  <si>
    <t>Red peaking probabilities</t>
  </si>
  <si>
    <t>Amber peaking probabilities</t>
  </si>
  <si>
    <t>Green peaking probabilities</t>
  </si>
  <si>
    <t>Amber peaking rates</t>
  </si>
  <si>
    <t>Yellow peaking probabilities</t>
  </si>
  <si>
    <t>2431. Special peaking probabilities by network level</t>
  </si>
  <si>
    <t>x1 = 2430. Green peaking probabilities (in Calculation of special peaking probabilities)</t>
  </si>
  <si>
    <t>x2 = 2430. Yellow peaking probabilities (in Calculation of special peaking probabilities)</t>
  </si>
  <si>
    <t>x3 = 2430. Black peaking probabilities (in Calculation of special peaking probabilities)</t>
  </si>
  <si>
    <t>2432. Special peaking probabilities by network level (reshaped)</t>
  </si>
  <si>
    <t>x1 = 2431. Special peaking probabilities by network level</t>
  </si>
  <si>
    <t>2433. Pseudo load coefficient by time band and network level</t>
  </si>
  <si>
    <t>x1 = 2417. Annual hours by special distribution time band (reconciled to days in year) (in Adjust annual hours by special distribution time band to match days in year)</t>
  </si>
  <si>
    <t>x2 = 2429. Load coefficient correction factor (based on group)</t>
  </si>
  <si>
    <t>x3 = 2432. Special peaking probabilities by network level (reshaped)</t>
  </si>
  <si>
    <t>2434. Unit rate 1 pseudo load coefficient by network level (special)</t>
  </si>
  <si>
    <t>x1 = 2433. Pseudo load coefficient by time band and network level</t>
  </si>
  <si>
    <t>x2 = 2419. Split of rate 1 units between special distribution time bands</t>
  </si>
  <si>
    <t>2435. Unit rate 2 pseudo load coefficient by network level (special)</t>
  </si>
  <si>
    <t>x2 = 2420. Split of rate 2 units between special distribution time bands (default)</t>
  </si>
  <si>
    <t>2436. Unit rate 3 pseudo load coefficient by network level (special)</t>
  </si>
  <si>
    <t>x2 = 2421. Split of rate 3 units between special distribution time bands (default)</t>
  </si>
  <si>
    <t>2437. Unit rate 1 pseudo load coefficient by network level (combined)</t>
  </si>
  <si>
    <t>x1 = 2414. Unit rate 1 pseudo load coefficient by network level</t>
  </si>
  <si>
    <t>x2 = 2434. Unit rate 1 pseudo load coefficient by network level (special)</t>
  </si>
  <si>
    <t>2438. Unit rate 2 pseudo load coefficient by network level (combined)</t>
  </si>
  <si>
    <t>x1 = 2415. Unit rate 2 pseudo load coefficient by network level</t>
  </si>
  <si>
    <t>x2 = 2435. Unit rate 2 pseudo load coefficient by network level (special)</t>
  </si>
  <si>
    <t>2439. Unit rate 3 pseudo load coefficient by network level (combined)</t>
  </si>
  <si>
    <t>x1 = 2416. Unit rate 3 pseudo load coefficient by network level</t>
  </si>
  <si>
    <t>x2 = 2436. Unit rate 3 pseudo load coefficient by network level (special)</t>
  </si>
  <si>
    <t>2501. Contributions of users on one-rate multi tariffs to system simultaneous maximum load by network level (kW)</t>
  </si>
  <si>
    <t>x2 = 2437. Unit rate 1 pseudo load coefficient by network level (combined)</t>
  </si>
  <si>
    <t>x3 = 2012. Loss adjustment factors between end user meter reading and each network level, scaled by network use</t>
  </si>
  <si>
    <t>Calculation =(x1*x2)*x3/(24*x4)*1000</t>
  </si>
  <si>
    <t>2502. Contributions of users on two-rate multi tariffs to system simultaneous maximum load by network level (kW)</t>
  </si>
  <si>
    <t>x3 = 2305. Rate 2 units (MWh) (in Equivalent volume for each end user)</t>
  </si>
  <si>
    <t>x4 = 2438. Unit rate 2 pseudo load coefficient by network level (combined)</t>
  </si>
  <si>
    <t>x5 = 2012. Loss adjustment factors between end user meter reading and each network level, scaled by network use</t>
  </si>
  <si>
    <t>Calculation =(x1*x2+x3*x4)*x5/(24*x6)*1000</t>
  </si>
  <si>
    <t>2503. Contributions of users on three-rate multi tariffs to system simultaneous maximum load by network level (kW)</t>
  </si>
  <si>
    <t>x5 = 2305. Rate 3 units (MWh) (in Equivalent volume for each end user)</t>
  </si>
  <si>
    <t>x6 = 2439. Unit rate 3 pseudo load coefficient by network level (combined)</t>
  </si>
  <si>
    <t>x7 = 2012. Loss adjustment factors between end user meter reading and each network level, scaled by network use</t>
  </si>
  <si>
    <t>Calculation =(x1*x2+x3*x4+x5*x6)*x7/(24*x8)*1000</t>
  </si>
  <si>
    <t>2504. Estimated contributions of users on each tariff to system simultaneous maximum load by network level (kW)</t>
  </si>
  <si>
    <t>x2 = 2302. Load coefficient</t>
  </si>
  <si>
    <t>Calculation =x1*x2*x3/(24*x4)*1000</t>
  </si>
  <si>
    <t>2505. Contributions of users on each tariff to system simultaneous maximum load by network level (kW)</t>
  </si>
  <si>
    <t>x1 = 2501. Contributions of users on one-rate multi tariffs to system simultaneous maximum load by network level (kW)</t>
  </si>
  <si>
    <t>x2 = 2502. Contributions of users on two-rate multi tariffs to system simultaneous maximum load by network level (kW)</t>
  </si>
  <si>
    <t>x3 = 2503. Contributions of users on three-rate multi tariffs to system simultaneous maximum load by network level (kW)</t>
  </si>
  <si>
    <t>x4 = 2504. Estimated contributions of users on each tariff to system simultaneous maximum load by network level (kW)</t>
  </si>
  <si>
    <t>Combine tables = x1 or x2 or x3 or x4</t>
  </si>
  <si>
    <t>2506. Forecast system simultaneous maximum load (kW) from forecast units</t>
  </si>
  <si>
    <t>x1 = 2505. Contributions of users on each tariff to system simultaneous maximum load by network level (kW)</t>
  </si>
  <si>
    <t>Cell summation =SUM(x1)</t>
  </si>
  <si>
    <t>Forecast system simultaneous maximum load (kW) from forecast units</t>
  </si>
  <si>
    <t>2601. Pre-processing of data for standing charge factors</t>
  </si>
  <si>
    <t>x1 = Standing charges factors (in Pre-processing of data for standing charge factors)</t>
  </si>
  <si>
    <t>x2 = 1018. Proportion of relevant load going through 132kV/HV direct transformation</t>
  </si>
  <si>
    <t>x3 = Standing charges factors for 132kV/HV (in Pre-processing of data for standing charge factors)</t>
  </si>
  <si>
    <t>=x1+0.2*x2*x3</t>
  </si>
  <si>
    <t>Standing charges factors</t>
  </si>
  <si>
    <t>Standing charges factors for 132kV/HV</t>
  </si>
  <si>
    <t>Adjusted standing charges factors for 132kV</t>
  </si>
  <si>
    <t>2602. Standing charges factors adapted to use 132kV/HV</t>
  </si>
  <si>
    <t>x1 = 2601. Standing charges factors for 132kV/HV (in Pre-processing of data for standing charge factors)</t>
  </si>
  <si>
    <t>x2 = 2601. Adjusted standing charges factors for 132kV (in Pre-processing of data for standing charge factors)</t>
  </si>
  <si>
    <t>x3 = 2601. Standing charges factors (in Pre-processing of data for standing charge factors)</t>
  </si>
  <si>
    <t>2603. Capacity-based contributions to chargeable aggregate maximum load by network level (kW)</t>
  </si>
  <si>
    <t>x1 = 2305. Import capacity (kVA) (in Equivalent volume for each end user)</t>
  </si>
  <si>
    <t>x2 = 1010. Power factor for all flows in the network model (in Financial and general assumptions)</t>
  </si>
  <si>
    <t>x3 = 2602. Standing charges factors adapted to use 132kV/HV</t>
  </si>
  <si>
    <t>x4 = 2012. Loss adjustment factors between end user meter reading and each network level, scaled by network use</t>
  </si>
  <si>
    <t>Calculation =x1*x2*x3*x4</t>
  </si>
  <si>
    <t>2604. Unit-based contributions to chargeable aggregate maximum load (kW)</t>
  </si>
  <si>
    <t>Calculation =x1/x2*x3*x4/(24*x5)*1000</t>
  </si>
  <si>
    <t>2605. Contributions to aggregate maximum load by network level (kW)</t>
  </si>
  <si>
    <t>x1 = 2603. Capacity-based contributions to chargeable aggregate maximum load by network level (kW)</t>
  </si>
  <si>
    <t>x2 = 2604. Unit-based contributions to chargeable aggregate maximum load (kW)</t>
  </si>
  <si>
    <t>2606. Forecast chargeable aggregate maximum load (kW)</t>
  </si>
  <si>
    <t>x1 = 2605. Contributions to aggregate maximum load by network level (kW)</t>
  </si>
  <si>
    <t>Forecast chargeable aggregate maximum load (kW)</t>
  </si>
  <si>
    <t>2607. Forecast simultaneous load subject to standing charge factors (kW)</t>
  </si>
  <si>
    <t>x2 = 2602. Standing charges factors adapted to use 132kV/HV</t>
  </si>
  <si>
    <t>Calculation =x1*x2</t>
  </si>
  <si>
    <t>2608. Forecast simultaneous load replaced by standing charge (kW)</t>
  </si>
  <si>
    <t>x1 = 2607. Forecast simultaneous load subject to standing charge factors (kW)</t>
  </si>
  <si>
    <t>Forecast simultaneous load replaced by standing charge (kW)</t>
  </si>
  <si>
    <t>2609. Calculated LV diversity allowance</t>
  </si>
  <si>
    <t>x1 = 2606. Forecast chargeable aggregate maximum load (kW)</t>
  </si>
  <si>
    <t>x2 = 2608. Forecast simultaneous load replaced by standing charge (kW)</t>
  </si>
  <si>
    <t>Calculation =x1/x2-1</t>
  </si>
  <si>
    <t>Calculated LV diversity allowance</t>
  </si>
  <si>
    <t>2610. Network level mapping for diversity allowances</t>
  </si>
  <si>
    <t>2611. Diversity allowances including 132kV/HV</t>
  </si>
  <si>
    <t>x1 = 2104. Diversity allowance between level exit and GSP Group (in Diversity calculations)</t>
  </si>
  <si>
    <t>x2 = 2610. Network level mapping for diversity allowances</t>
  </si>
  <si>
    <t>Diversity allowances including 132kV/HV</t>
  </si>
  <si>
    <t>2612. Diversity allowances (including calculated LV value)</t>
  </si>
  <si>
    <t>x1 = 2609. Calculated LV diversity allowance</t>
  </si>
  <si>
    <t>x2 = 2611. Diversity allowances including 132kV/HV</t>
  </si>
  <si>
    <t>Diversity allowances (including calculated LV value)</t>
  </si>
  <si>
    <t>2613. Forecast simultaneous maximum load (kW) adjusted for standing charges</t>
  </si>
  <si>
    <t>x1 = 2506. Forecast system simultaneous maximum load (kW) from forecast units</t>
  </si>
  <si>
    <t>x3 = 2606. Forecast chargeable aggregate maximum load (kW)</t>
  </si>
  <si>
    <t>x4 = 2612. Diversity allowances (including calculated LV value)</t>
  </si>
  <si>
    <t>Calculation =x1-x2+x3/(1+x4)</t>
  </si>
  <si>
    <t>Forecast simultaneous maximum load (kW) adjusted for standing charges</t>
  </si>
  <si>
    <t>2701. Operating expenditure coded by network level (£/year)</t>
  </si>
  <si>
    <t>x1 = 1055. Transmission exit charges (£/year)</t>
  </si>
  <si>
    <t>x2 = Zero for levels other than transmission exit</t>
  </si>
  <si>
    <t>Operating
132kV</t>
  </si>
  <si>
    <t>Operating
132kV/EHV</t>
  </si>
  <si>
    <t>Operating
EHV</t>
  </si>
  <si>
    <t>Operating
EHV/HV</t>
  </si>
  <si>
    <t>Operating
132kV/HV</t>
  </si>
  <si>
    <t>Operating
HV</t>
  </si>
  <si>
    <t>Operating
HV/LV</t>
  </si>
  <si>
    <t>Operating
LV circuits</t>
  </si>
  <si>
    <t>Operating
LV customer</t>
  </si>
  <si>
    <t>Operating
HV customer</t>
  </si>
  <si>
    <t>Operating expenditure coded by network level (£/year)</t>
  </si>
  <si>
    <t>2702. Network model assets (£) scaled by load forecast</t>
  </si>
  <si>
    <t>x2 = 2613. Forecast simultaneous maximum load (kW) adjusted for standing charges</t>
  </si>
  <si>
    <t>x3 = 1020. Gross asset cost by network level (£)</t>
  </si>
  <si>
    <t>Calculation =IF(x1,x2*x3/x1/1000,0)</t>
  </si>
  <si>
    <t>Network model assets (£) scaled by load forecast</t>
  </si>
  <si>
    <t>2703. Annual consumption by tariff for unmetered users (MWh)</t>
  </si>
  <si>
    <t>Copy cells = x1</t>
  </si>
  <si>
    <t>Annual consumption by tariff for unmetered users (MWh)</t>
  </si>
  <si>
    <t>2704. Total unmetered units</t>
  </si>
  <si>
    <t>x1 = 2703. Annual consumption by tariff for unmetered users (MWh)</t>
  </si>
  <si>
    <t>Total unmetered units</t>
  </si>
  <si>
    <t>2705. Service model asset data</t>
  </si>
  <si>
    <t>x1 = 2205. Service model assets by tariff (£)</t>
  </si>
  <si>
    <t>x2 = 2305. MPANs (in Equivalent volume for each end user)</t>
  </si>
  <si>
    <t>x3 = 2202. Asset £/(MWh/year) from LV service models</t>
  </si>
  <si>
    <t>x4 = 2704. Total unmetered units</t>
  </si>
  <si>
    <t>x5 = Service model assets (£) scaled by annual MWh (in Service model asset data)</t>
  </si>
  <si>
    <t>x6 = Service model assets (£) scaled by user count (in Service model asset data)</t>
  </si>
  <si>
    <t>x7 = Service model assets (£) scaled by annual MWh (in Service model asset data)</t>
  </si>
  <si>
    <t>=x3*x4</t>
  </si>
  <si>
    <t>= x5</t>
  </si>
  <si>
    <t>=x6+x7</t>
  </si>
  <si>
    <t>Service model assets (£) scaled by user count</t>
  </si>
  <si>
    <t>Service model assets (£) scaled by annual MWh</t>
  </si>
  <si>
    <t>Service model assets (£)</t>
  </si>
  <si>
    <t>Service model asset data</t>
  </si>
  <si>
    <t>2706. Data for allocation of operating expenditure</t>
  </si>
  <si>
    <t>x1 = 2702. Network model assets (£) scaled by load forecast</t>
  </si>
  <si>
    <t>x2 = 2705. Service model assets (£) (in Service model asset data)</t>
  </si>
  <si>
    <t>x3 = Model assets (£) scaled by demand forecast (in Data for allocation of operating expenditure)</t>
  </si>
  <si>
    <t>Model assets (£) scaled by demand forecast</t>
  </si>
  <si>
    <t>Denominator for allocation of operating expenditure</t>
  </si>
  <si>
    <t>Data for allocation of operating expenditure</t>
  </si>
  <si>
    <t>2707. Amount of expenditure to be allocated according to asset values (£/year)</t>
  </si>
  <si>
    <t>x1 = 1059. Direct cost (£/year) (in Other expenditure)</t>
  </si>
  <si>
    <t>x2 = 1059. Network rates (£/year) (in Other expenditure)</t>
  </si>
  <si>
    <t>x3 = 1059. Indirect cost (£/year) (in Other expenditure)</t>
  </si>
  <si>
    <t>x4 = 1059. Indirect cost proportion (in Other expenditure)</t>
  </si>
  <si>
    <t>Calculation =x1+x2+x3*x4</t>
  </si>
  <si>
    <t>Amount of expenditure to be allocated according to asset values (£/year)</t>
  </si>
  <si>
    <t>2708. Total operating expenditure by network level  (£/year)</t>
  </si>
  <si>
    <t>x1 = 2701. Operating expenditure coded by network level (£/year)</t>
  </si>
  <si>
    <t>x2 = 2707. Amount of expenditure to be allocated according to asset values (£/year)</t>
  </si>
  <si>
    <t>x3 = 2706. Denominator for allocation of operating expenditure (in Data for allocation of operating expenditure)</t>
  </si>
  <si>
    <t>x4 = 2706. Model assets (£) scaled by demand forecast (in Data for allocation of operating expenditure)</t>
  </si>
  <si>
    <t>Calculation =x1+x2/x3*x4</t>
  </si>
  <si>
    <t>Total operating expenditure by network level  (£/year)</t>
  </si>
  <si>
    <t>2709. Operating expenditure percentage by network level</t>
  </si>
  <si>
    <t>x1 = 2706. Model assets (£) scaled by demand forecast (in Data for allocation of operating expenditure)</t>
  </si>
  <si>
    <t>x2 = 2708. Total operating expenditure by network level  (£/year)</t>
  </si>
  <si>
    <t>Calculation =IF(x1="","",IF(x1&gt;0,x2/x1,0))</t>
  </si>
  <si>
    <t>Operating expenditure percentage by network level</t>
  </si>
  <si>
    <t>2710. Unit operating expenditure based on simultaneous maximum load (£/kW/year)</t>
  </si>
  <si>
    <t>x1 = 2613. Forecast simultaneous maximum load (kW) adjusted for standing charges</t>
  </si>
  <si>
    <t>Calculation =IF(x1&gt;0,x2/x1,0)</t>
  </si>
  <si>
    <t>Unit operating expenditure based on simultaneous maximum load (£/kW/year)</t>
  </si>
  <si>
    <t>2711. Operating expenditure for customer assets p/MPAN/day</t>
  </si>
  <si>
    <t>x2 = 2709. Operating expenditure percentage by network level</t>
  </si>
  <si>
    <t>x3 = 2205. Service model assets by tariff (£)</t>
  </si>
  <si>
    <t>x4 = Operating expenditure p/MPAN/day by level (in Operating expenditure for customer assets p/MPAN/day)</t>
  </si>
  <si>
    <t>=100/x1*x2*x3</t>
  </si>
  <si>
    <t>Operating expenditure p/MPAN/day by level</t>
  </si>
  <si>
    <t>Operating expenditure for customer assets p/MPAN/day total</t>
  </si>
  <si>
    <t>2712. Operating expenditure for unmetered customer assets (p/kWh)</t>
  </si>
  <si>
    <t>x1 = 2709. Operating expenditure percentage by network level</t>
  </si>
  <si>
    <t>Calculation =0.1*x1*x2</t>
  </si>
  <si>
    <t>This sheet calculates factors used to take account of the costs deemed to be covered by connection charges.</t>
  </si>
  <si>
    <t>2801. Network level of supply (for customer contributions) by tariff</t>
  </si>
  <si>
    <t>2802. Contribution proportion of asset annuities, by customer type and network level of assets</t>
  </si>
  <si>
    <t>x1 = 1060. Customer contributions under current connection charging policy</t>
  </si>
  <si>
    <t>x2 = 1010. Annuity proportion for customer-contributed assets (in Financial and general assumptions)</t>
  </si>
  <si>
    <t>Calculation =x1*(1-x2)</t>
  </si>
  <si>
    <t>2803. Proportion of assets annuities deemed to be covered by customer contributions</t>
  </si>
  <si>
    <t>x1 = 2801. Network level of supply (for customer contributions) by tariff</t>
  </si>
  <si>
    <t>x2 = 2802. Contribution proportion of asset annuities, by customer type and network level of assets</t>
  </si>
  <si>
    <t>2804. Proportion of annual charge covered by contributions (for all charging levels)</t>
  </si>
  <si>
    <t>x1 = Zero for operating expenditure</t>
  </si>
  <si>
    <t>x2 = Zero for GSPs level</t>
  </si>
  <si>
    <t>x3 = 2803. Proportion of assets annuities deemed to be covered by customer contributions</t>
  </si>
  <si>
    <t>This sheet calculates average p/kWh and p/kW/day charges that would apply if no costs were recovered through capacity or fixed charges.</t>
  </si>
  <si>
    <t>2901. Unit cost at each level, £/kW/year (relative to system simultaneous maximum load)</t>
  </si>
  <si>
    <t>x1 = 2109. Network model annuity by simultaneous maximum load for each network level (£/kW/year)</t>
  </si>
  <si>
    <t>x2 = 2710. Unit operating expenditure based on simultaneous maximum load (£/kW/year)</t>
  </si>
  <si>
    <t>Unit cost at each level, £/kW/year (relative to system simultaneous maximum load)</t>
  </si>
  <si>
    <t>2902. Pay-as-you-go yardstick unit costs by charging level (p/kWh)</t>
  </si>
  <si>
    <t>x1 = 2901. Unit cost at each level, £/kW/year (relative to system simultaneous maximum load)</t>
  </si>
  <si>
    <t>x4 = 2804. Proportion of annual charge covered by contributions (for all charging levels)</t>
  </si>
  <si>
    <t>Calculation =x1*x2*x3*(1-x4)/(24*x5)*100</t>
  </si>
  <si>
    <t>2903. Pay-as-you-go unit rate 1 p/kWh</t>
  </si>
  <si>
    <t>x1 = 2437. Unit rate 1 pseudo load coefficient by network level (combined)</t>
  </si>
  <si>
    <t>x2 = 2901. Unit cost at each level, £/kW/year (relative to system simultaneous maximum load)</t>
  </si>
  <si>
    <t>x6 = Contributions to pay-as-you-go unit rate 1 (p/kWh) (in Pay-as-you-go unit rate 1 p/kWh)</t>
  </si>
  <si>
    <t>=x1*x2*x3*(1-x4)*100/(24*x5)</t>
  </si>
  <si>
    <t>Contributions to pay-as-you-go unit rate 1 (p/kWh)</t>
  </si>
  <si>
    <t>Pay-as-you-go unit rate 1 (p/kWh)</t>
  </si>
  <si>
    <t>2904. Pay-as-you-go unit rate 2 p/kWh</t>
  </si>
  <si>
    <t>x1 = 2438. Unit rate 2 pseudo load coefficient by network level (combined)</t>
  </si>
  <si>
    <t>x6 = Contributions to pay-as-you-go unit rate 2 (p/kWh) (in Pay-as-you-go unit rate 2 p/kWh)</t>
  </si>
  <si>
    <t>Contributions to pay-as-you-go unit rate 2 (p/kWh)</t>
  </si>
  <si>
    <t>Pay-as-you-go unit rate 2 (p/kWh)</t>
  </si>
  <si>
    <t>2905. Pay-as-you-go unit rate 3 p/kWh</t>
  </si>
  <si>
    <t>x1 = 2439. Unit rate 3 pseudo load coefficient by network level (combined)</t>
  </si>
  <si>
    <t>x6 = Contributions to pay-as-you-go unit rate 3 (p/kWh) (in Pay-as-you-go unit rate 3 p/kWh)</t>
  </si>
  <si>
    <t>Contributions to pay-as-you-go unit rate 3 (p/kWh)</t>
  </si>
  <si>
    <t>Pay-as-you-go unit rate 3 (p/kWh)</t>
  </si>
  <si>
    <t>This sheet reallocates some costs from unit charges to fixed or capacity charges, for demand users only.</t>
  </si>
  <si>
    <t>3001. Costs based on aggregate maximum load (£/kW/year)</t>
  </si>
  <si>
    <t>x2 = 2612. Diversity allowances (including calculated LV value)</t>
  </si>
  <si>
    <t>Calculation =x1/(1+x2)</t>
  </si>
  <si>
    <t>Costs based on aggregate maximum load (£/kW/year)</t>
  </si>
  <si>
    <t>3002. Capacity elements p/kVA/day</t>
  </si>
  <si>
    <t>This calculation uses aggregate maximum load and no coincidence factor.</t>
  </si>
  <si>
    <t>x1 = 2602. Standing charges factors adapted to use 132kV/HV</t>
  </si>
  <si>
    <t>x2 = 2012. Loss adjustment factors between end user meter reading and each network level, scaled by network use</t>
  </si>
  <si>
    <t>x3 = 3001. Costs based on aggregate maximum load (£/kW/year)</t>
  </si>
  <si>
    <t>x4 = 1010. Power factor for all flows in the network model (in Financial and general assumptions)</t>
  </si>
  <si>
    <t>x6 = 2804. Proportion of annual charge covered by contributions (for all charging levels)</t>
  </si>
  <si>
    <t>Calculation =100*x1*x2*x3*x4/x5*(1-x6)</t>
  </si>
  <si>
    <t>3003. Yardstick unit rate p/kWh (taking account of standing charges)</t>
  </si>
  <si>
    <t>x2 = 2902. Pay-as-you-go yardstick unit costs by charging level (p/kWh)</t>
  </si>
  <si>
    <t>x3 = Yardstick components p/kWh (taking account of standing charges) (in Yardstick unit rate p/kWh (taking account of standing charges))</t>
  </si>
  <si>
    <t>=(1-x1)*x2</t>
  </si>
  <si>
    <t>Yardstick components p/kWh (taking account of standing charges)</t>
  </si>
  <si>
    <t>Yardstick total p/kWh (taking account of standing charges)</t>
  </si>
  <si>
    <t>3004. Unit rate 1 (taking account of standing charges)</t>
  </si>
  <si>
    <t>x2 = 2903. Contributions to pay-as-you-go unit rate 1 (p/kWh) (in Pay-as-you-go unit rate 1 p/kWh)</t>
  </si>
  <si>
    <t>x3 = Contributions to unit rate 1 p/kWh by network level (taking account of standing charges) (in Unit rate 1 (taking account of standing charges))</t>
  </si>
  <si>
    <t>Contributions to unit rate 1 p/kWh by network level (taking account of standing charges)</t>
  </si>
  <si>
    <t>Unit rate 1 total p/kWh (taking account of standing charges)</t>
  </si>
  <si>
    <t>3005. Unit rate 2 (taking account of standing charges)</t>
  </si>
  <si>
    <t>x2 = 2904. Contributions to pay-as-you-go unit rate 2 (p/kWh) (in Pay-as-you-go unit rate 2 p/kWh)</t>
  </si>
  <si>
    <t>x3 = Contributions to unit rate 2 p/kWh by network level (taking account of standing charges) (in Unit rate 2 (taking account of standing charges))</t>
  </si>
  <si>
    <t>Contributions to unit rate 2 p/kWh by network level (taking account of standing charges)</t>
  </si>
  <si>
    <t>Unit rate 2 total p/kWh (taking account of standing charges)</t>
  </si>
  <si>
    <t>3006. Unit rate 3 (taking account of standing charges)</t>
  </si>
  <si>
    <t>x2 = 2905. Contributions to pay-as-you-go unit rate 3 (p/kWh) (in Pay-as-you-go unit rate 3 p/kWh)</t>
  </si>
  <si>
    <t>x3 = Contributions to unit rate 3 p/kWh by network level (taking account of standing charges) (in Unit rate 3 (taking account of standing charges))</t>
  </si>
  <si>
    <t>Contributions to unit rate 3 p/kWh by network level (taking account of standing charges)</t>
  </si>
  <si>
    <t>Unit rate 3 total p/kWh (taking account of standing charges)</t>
  </si>
  <si>
    <t>This sheet allocates standing charges to fixed charges for non half hourly settled demand users.</t>
  </si>
  <si>
    <t>3101. Average maximum kVA/MPAN by end user class, for user classes without an agreed import capacity</t>
  </si>
  <si>
    <t>x1 = 2305. MPANs (in Equivalent volume for each end user)</t>
  </si>
  <si>
    <t>x2 = 2407. All units (MWh)</t>
  </si>
  <si>
    <t>x3 = 1010. Power factor for all flows in the network model (in Financial and general assumptions)</t>
  </si>
  <si>
    <t>x4 = 1041. Load factor for each type of demand user (in Load profile data for demand users)</t>
  </si>
  <si>
    <t>Calculation =IF(x1&gt;0,x2/x1/x3/x4/(24*x5)*1000,0)</t>
  </si>
  <si>
    <t>Average maximum kVA/MPAN</t>
  </si>
  <si>
    <t>3102. Capacity-driven fixed charge elements from standing charges factors p/MPAN/day</t>
  </si>
  <si>
    <t>x1 = 3002. Capacity elements p/kVA/day</t>
  </si>
  <si>
    <t>x2 = 3101. Average maximum kVA/MPAN by end user class, for user classes without an agreed import capacity</t>
  </si>
  <si>
    <t>3103. Statistics for tariffs charged for LV circuits on an exit point basis</t>
  </si>
  <si>
    <t>x1 = 2012. Loss adjustment factors between end user meter reading and each network level, scaled by network use</t>
  </si>
  <si>
    <t>x3 = 1041. Load factor for each type of demand user (in Load profile data for demand users)</t>
  </si>
  <si>
    <t>x5 = Zero for related MPANs</t>
  </si>
  <si>
    <t>x6 = 2305. MPANs (in Equivalent volume for each end user)</t>
  </si>
  <si>
    <t>= x1</t>
  </si>
  <si>
    <t>=x2/x3/(24*x4)*1000</t>
  </si>
  <si>
    <t>= x5 or x6</t>
  </si>
  <si>
    <t>Use of LV circuits by each tariff charged on an exit point basis</t>
  </si>
  <si>
    <t>Unit-based contributions to aggregate maximum load by network level (kW)</t>
  </si>
  <si>
    <t>Relevant MPAN count</t>
  </si>
  <si>
    <t>3104. Aggregate data for tariffs charged for LV circuits on an exit point basis</t>
  </si>
  <si>
    <t>x1 = 3103. Use of LV circuits by each tariff charged on an exit point basis (in Statistics for tariffs charged for LV circuits on an exit point basis)</t>
  </si>
  <si>
    <t>x2 = 3103. Unit-based contributions to aggregate maximum load by network level (kW) (in Statistics for tariffs charged for LV circuits on an exit point basis)</t>
  </si>
  <si>
    <t>x3 = 3103. Relevant MPAN count (in Statistics for tariffs charged for LV circuits on an exit point basis)</t>
  </si>
  <si>
    <t>x4 = Aggregate capacity of tariffs charged charged for LV circuits on an exit point basis (kW) (in Aggregate data for tariffs charged for LV circuits on an exit point basis)</t>
  </si>
  <si>
    <t>x5 = Aggregate number of users charged for LV circuits on an exit point basis (in Aggregate data for tariffs charged for LV circuits on an exit point basis)</t>
  </si>
  <si>
    <t>x6 = 1010. Power factor for all flows in the network model (in Financial and general assumptions)</t>
  </si>
  <si>
    <t>=SUMPRODUCT(x1, x3)</t>
  </si>
  <si>
    <t>=x4/x5/x6</t>
  </si>
  <si>
    <t>Aggregate capacity of tariffs charged charged for LV circuits on an exit point basis (kW)</t>
  </si>
  <si>
    <t>Aggregate number of users charged for LV circuits on an exit point basis</t>
  </si>
  <si>
    <t>Average maximum kVA of tariffs charged on an exit point basis for LV circuits</t>
  </si>
  <si>
    <t>Aggregate data for tariffs charged for LV circuits on an exit point basis</t>
  </si>
  <si>
    <t>3105. LV fixed charge elements from standing charges factors p/MPAN/day</t>
  </si>
  <si>
    <t>x2 = 3104. Average maximum kVA of tariffs charged on an exit point basis for LV circuits (in Aggregate data for tariffs charged for LV circuits on an exit point basis)</t>
  </si>
  <si>
    <t>3106. Fixed charge elements from standing charges factors p/MPAN/day</t>
  </si>
  <si>
    <t>x1 = Zero for related MPANs</t>
  </si>
  <si>
    <t>x2 = 3105. LV fixed charge elements from standing charges factors p/MPAN/day</t>
  </si>
  <si>
    <t>x3 = 3102. Capacity-driven fixed charge elements from standing charges factors p/MPAN/day</t>
  </si>
  <si>
    <t>3201. Standard components p/kWh for reactive power (absolute value)</t>
  </si>
  <si>
    <t>x1 = 3003. Yardstick components p/kWh (taking account of standing charges) (in Yardstick unit rate p/kWh (taking account of standing charges))</t>
  </si>
  <si>
    <t>Calculation =ABS(x1)</t>
  </si>
  <si>
    <t>3202. Standard reactive p/kVArh</t>
  </si>
  <si>
    <t>x1 = 3201. Standard components p/kWh for reactive power (absolute value)</t>
  </si>
  <si>
    <t>x2 = 1092. Average kVAr by kVA, by network level</t>
  </si>
  <si>
    <t>Calculation =x1*x2*x3</t>
  </si>
  <si>
    <t>3203. Network use factors for generator reactive unit charges</t>
  </si>
  <si>
    <t>These factors differ from the network use factors for active power charges/credits in the case of generators,</t>
  </si>
  <si>
    <t>who do not qualify for active power credits at the voltage of connection but are charged reactive unit charges for costs caused at that voltage.</t>
  </si>
  <si>
    <t>3204. Absolute value of load coefficient (kW peak / average kW)</t>
  </si>
  <si>
    <t>x1 = 2302. Load coefficient</t>
  </si>
  <si>
    <t>Absolute load coefficient</t>
  </si>
  <si>
    <t>3205. Pay-as-you-go components p/kWh for reactive power (absolute value)</t>
  </si>
  <si>
    <t>x2 = 3204. Absolute value of load coefficient (kW peak / average kW)</t>
  </si>
  <si>
    <t>x4 = 2004. Loss adjustment factor to transmission for each network level</t>
  </si>
  <si>
    <t>x5 = 2804. Proportion of annual charge covered by contributions (for all charging levels)</t>
  </si>
  <si>
    <t>x6 = 3203. Network use factors for generator reactive unit charges</t>
  </si>
  <si>
    <t>x7 = 1010. Days in the charging year (in Financial and general assumptions)</t>
  </si>
  <si>
    <t>Calculation =x1*x2*x3/x4*(1-x5)*x6/(24*x7)*100</t>
  </si>
  <si>
    <t>3206. Pay-as-you-go reactive p/kVArh</t>
  </si>
  <si>
    <t>x1 = 3205. Pay-as-you-go components p/kWh for reactive power (absolute value)</t>
  </si>
  <si>
    <t>This sheet aggregates elements of tariffs excluding revenue matching and final adjustments and rounding.</t>
  </si>
  <si>
    <t>3301. Unit rate 1 p/kWh (elements)</t>
  </si>
  <si>
    <t>x1 = 3004. Unit rate 1 total p/kWh (taking account of standing charges) (in Unit rate 1 (taking account of standing charges)) — for Tariffs with Unit rate 1 p/kWh from Standard 1 kWh</t>
  </si>
  <si>
    <t>x2 = 3003. Yardstick total p/kWh (taking account of standing charges) (in Yardstick unit rate p/kWh (taking account of standing charges)) — for Tariffs with Unit rate 1 p/kWh from Standard yardstick kWh</t>
  </si>
  <si>
    <t>x3 = 2903. Pay-as-you-go unit rate 1 (p/kWh) (in Pay-as-you-go unit rate 1 p/kWh) — for Tariffs with Unit rate 1 p/kWh from PAYG 1 kWh</t>
  </si>
  <si>
    <t>x4 = 2903. Pay-as-you-go unit rate 1 (p/kWh) (in Pay-as-you-go unit rate 1 p/kWh) — for Tariffs with Unit rate 1 p/kWh from PAYG 1 kWh &amp; customer</t>
  </si>
  <si>
    <t>x5 = 2902. Pay-as-you-go yardstick unit rate (p/kWh) — for Tariffs with Unit rate 1 p/kWh from PAYG yardstick kWh</t>
  </si>
  <si>
    <t>x6 = 2203. Service model asset p/kWh charge for unmetered tariffs — for Tariffs with Unit rate 1 p/kWh from PAYG 1 kWh &amp; customer</t>
  </si>
  <si>
    <t>x7 = 2712. Operating expenditure for unmetered customer assets (p/kWh) — for Tariffs with Unit rate 1 p/kWh from PAYG 1 kWh &amp; customer</t>
  </si>
  <si>
    <t>Combine tables = x1 or x2 or x3 or x4 or x5 or x6 or x7</t>
  </si>
  <si>
    <t>3302. Unit rate 2 p/kWh (elements)</t>
  </si>
  <si>
    <t>x1 = 3005. Unit rate 2 total p/kWh (taking account of standing charges) (in Unit rate 2 (taking account of standing charges)) — for Tariffs with Unit rate 2 p/kWh from Standard 2 kWh</t>
  </si>
  <si>
    <t>x2 = 2904. Pay-as-you-go unit rate 2 (p/kWh) (in Pay-as-you-go unit rate 2 p/kWh) — for Tariffs with Unit rate 2 p/kWh from PAYG 2 kWh</t>
  </si>
  <si>
    <t>x3 = 2904. Pay-as-you-go unit rate 2 (p/kWh) (in Pay-as-you-go unit rate 2 p/kWh) — for Tariffs with Unit rate 2 p/kWh from PAYG 2 kWh &amp; customer</t>
  </si>
  <si>
    <t>x4 = 2203. Service model asset p/kWh charge for unmetered tariffs — for Tariffs with Unit rate 2 p/kWh from PAYG 2 kWh &amp; customer</t>
  </si>
  <si>
    <t>x5 = 2712. Operating expenditure for unmetered customer assets (p/kWh) — for Tariffs with Unit rate 2 p/kWh from PAYG 2 kWh &amp; customer</t>
  </si>
  <si>
    <t>3303. Unit rate 3 p/kWh (elements)</t>
  </si>
  <si>
    <t>x1 = 3006. Unit rate 3 total p/kWh (taking account of standing charges) (in Unit rate 3 (taking account of standing charges)) — for Tariffs with Unit rate 3 p/kWh from Standard 3 kWh</t>
  </si>
  <si>
    <t>x2 = 2905. Pay-as-you-go unit rate 3 (p/kWh) (in Pay-as-you-go unit rate 3 p/kWh) — for Tariffs with Unit rate 3 p/kWh from PAYG 3 kWh</t>
  </si>
  <si>
    <t>x3 = 2905. Pay-as-you-go unit rate 3 (p/kWh) (in Pay-as-you-go unit rate 3 p/kWh) — for Tariffs with Unit rate 3 p/kWh from PAYG 3 kWh &amp; customer</t>
  </si>
  <si>
    <t>x4 = 2203. Service model asset p/kWh charge for unmetered tariffs — for Tariffs with Unit rate 3 p/kWh from PAYG 3 kWh &amp; customer</t>
  </si>
  <si>
    <t>x5 = 2712. Operating expenditure for unmetered customer assets (p/kWh) — for Tariffs with Unit rate 3 p/kWh from PAYG 3 kWh &amp; customer</t>
  </si>
  <si>
    <t>3304. Fixed charge p/MPAN/day (elements)</t>
  </si>
  <si>
    <t>x1 = 3106. Fixed charge from standing charges factors p/MPAN/day — for Tariffs with Fixed charge p/MPAN/day from Fixed from network &amp; customer</t>
  </si>
  <si>
    <t>x2 = 2206. Service model p/MPAN/day (in Replacement annuities for service models) — for Tariffs with Fixed charge p/MPAN/day from Customer</t>
  </si>
  <si>
    <t>x3 = 2206. Service model p/MPAN/day (in Replacement annuities for service models) — for Tariffs with Fixed charge p/MPAN/day from Fixed from network &amp; customer</t>
  </si>
  <si>
    <t>x4 = 2711. Operating expenditure for customer assets p/MPAN/day total (in Operating expenditure for customer assets p/MPAN/day) — for Tariffs with Fixed charge p/MPAN/day from Customer</t>
  </si>
  <si>
    <t>x5 = 2711. Operating expenditure for customer assets p/MPAN/day total (in Operating expenditure for customer assets p/MPAN/day) — for Tariffs with Fixed charge p/MPAN/day from Fixed from network &amp; customer</t>
  </si>
  <si>
    <t>3305. Capacity charge p/kVA/day (elements)</t>
  </si>
  <si>
    <t>x1 = 3002. Capacity charge p/kVA/day — for Tariffs with Capacity charge p/kVA/day from Capacity</t>
  </si>
  <si>
    <t>3306. Reactive power charge p/kVArh (elements)</t>
  </si>
  <si>
    <t>x1 = 3206. Pay-as-you-go reactive p/kVArh</t>
  </si>
  <si>
    <t>x2 = 3202. Standard reactive p/kVArh</t>
  </si>
  <si>
    <t>3307. Summary of charges before revenue matching</t>
  </si>
  <si>
    <t>x1 = 3301. Unit rate 1 p/kWh (elements)</t>
  </si>
  <si>
    <t>x2 = 3302. Unit rate 2 p/kWh (elements)</t>
  </si>
  <si>
    <t>x3 = 3303. Unit rate 3 p/kWh (elements)</t>
  </si>
  <si>
    <t>x4 = 3304. Fixed charge p/MPAN/day (elements)</t>
  </si>
  <si>
    <t>x5 = 3305. Capacity charge p/kVA/day (elements)</t>
  </si>
  <si>
    <t>x6 = 3306. Reactive power charge p/kVArh (elements)</t>
  </si>
  <si>
    <t>Unit rate 1 p/kWh (total)</t>
  </si>
  <si>
    <t>Unit rate 2 p/kWh (total)</t>
  </si>
  <si>
    <t>Unit rate 3 p/kWh (total)</t>
  </si>
  <si>
    <t>Fixed charge p/MPAN/day (total)</t>
  </si>
  <si>
    <t>Capacity charge p/kVA/day (total)</t>
  </si>
  <si>
    <t>Reactive power charge p/kVArh</t>
  </si>
  <si>
    <t>3401. Net revenues by tariff before matching (£)</t>
  </si>
  <si>
    <t>x2 = 3307. Fixed charge p/MPAN/day (total) (in Summary of charges before revenue matching)</t>
  </si>
  <si>
    <t>x3 = 2305. MPANs (in Equivalent volume for each end user)</t>
  </si>
  <si>
    <t>x4 = 3307. Capacity charge p/kVA/day (total) (in Summary of charges before revenue matching)</t>
  </si>
  <si>
    <t>x5 = 2305. Import capacity (kVA) (in Equivalent volume for each end user)</t>
  </si>
  <si>
    <t>x6 = 3307. Unit rate 1 p/kWh (total) (in Summary of charges before revenue matching)</t>
  </si>
  <si>
    <t>x7 = 2305. Rate 1 units (MWh) (in Equivalent volume for each end user)</t>
  </si>
  <si>
    <t>x8 = 3307. Unit rate 2 p/kWh (total) (in Summary of charges before revenue matching)</t>
  </si>
  <si>
    <t>x9 = 2305. Rate 2 units (MWh) (in Equivalent volume for each end user)</t>
  </si>
  <si>
    <t>x10 = 3307. Unit rate 3 p/kWh (total) (in Summary of charges before revenue matching)</t>
  </si>
  <si>
    <t>x11 = 2305. Rate 3 units (MWh) (in Equivalent volume for each end user)</t>
  </si>
  <si>
    <t>x12 = 3307. Reactive power charge p/kVArh (in Summary of charges before revenue matching)</t>
  </si>
  <si>
    <t>x13 = 2305. Reactive power units (MVArh) (in Equivalent volume for each end user)</t>
  </si>
  <si>
    <t>Calculation =0.01*x1*(x2*x3+x4*x5)+10*(x6*x7+x8*x9+x10*x11+x12*x13)</t>
  </si>
  <si>
    <t>Net revenues</t>
  </si>
  <si>
    <t>3403. Revenue surplus or shortfall</t>
  </si>
  <si>
    <t>Total net revenues before matching (£)</t>
  </si>
  <si>
    <t>Revenue shortfall (surplus) £</t>
  </si>
  <si>
    <t>Revenue surplus or shortfall</t>
  </si>
  <si>
    <t>This sheet modifies tariffs so that the total expected net revenues matches the target.</t>
  </si>
  <si>
    <t>3501. Factor to scale to £1/kW at transmission exit level</t>
  </si>
  <si>
    <t>Calculation =IF(x1,1/x1,0)</t>
  </si>
  <si>
    <t>Factor to scale to £1/kW at transmission exit level</t>
  </si>
  <si>
    <t>3502. Applicability factor for £1/kW scaler</t>
  </si>
  <si>
    <t>x1 = 3501. Factor to scale to £1/kW at transmission exit level</t>
  </si>
  <si>
    <t>x2 = Zero for other levels</t>
  </si>
  <si>
    <t>Applicability factor for £1/kW scaler</t>
  </si>
  <si>
    <t>3503. Scalable elements of tariff components</t>
  </si>
  <si>
    <t>x2 = 3502. Applicability factor for £1/kW scaler</t>
  </si>
  <si>
    <t>x3 = 3302. Unit rate 2 p/kWh (elements)</t>
  </si>
  <si>
    <t>x4 = 3303. Unit rate 3 p/kWh (elements)</t>
  </si>
  <si>
    <t>x5 = 3304. Fixed charge p/MPAN/day (elements)</t>
  </si>
  <si>
    <t>x6 = 3305. Capacity charge p/kVA/day (elements)</t>
  </si>
  <si>
    <t>x7 = 3306. Reactive power charge p/kVArh (elements)</t>
  </si>
  <si>
    <t>=SUMPRODUCT(x3, x2)</t>
  </si>
  <si>
    <t>=SUMPRODUCT(x4, x2)</t>
  </si>
  <si>
    <t>=SUMPRODUCT(x5, x2)</t>
  </si>
  <si>
    <t>=SUMPRODUCT(x6, x2)</t>
  </si>
  <si>
    <t>=SUMPRODUCT(x7, x2)</t>
  </si>
  <si>
    <t>Unit rate 1 p/kWh scalable part</t>
  </si>
  <si>
    <t>Unit rate 2 p/kWh scalable part</t>
  </si>
  <si>
    <t>Unit rate 3 p/kWh scalable part</t>
  </si>
  <si>
    <t>Fixed charge p/MPAN/day scalable part</t>
  </si>
  <si>
    <t>Capacity charge p/kVA/day scalable part</t>
  </si>
  <si>
    <t>Reactive power charge p/kVArh scalable part</t>
  </si>
  <si>
    <t>3504. Marginal revenue effect of scaler</t>
  </si>
  <si>
    <t>x2 = 3503. Unit rate 1 p/kWh scalable part (in Scalable elements of tariff components)</t>
  </si>
  <si>
    <t>x3 = 2305. Rate 1 units (MWh) (in Equivalent volume for each end user)</t>
  </si>
  <si>
    <t>x4 = 3503. Unit rate 2 p/kWh scalable part (in Scalable elements of tariff components)</t>
  </si>
  <si>
    <t>x5 = 2305. Rate 2 units (MWh) (in Equivalent volume for each end user)</t>
  </si>
  <si>
    <t>x6 = 3503. Unit rate 3 p/kWh scalable part (in Scalable elements of tariff components)</t>
  </si>
  <si>
    <t>x7 = 2305. Rate 3 units (MWh) (in Equivalent volume for each end user)</t>
  </si>
  <si>
    <t>x8 = 3503. Fixed charge p/MPAN/day scalable part (in Scalable elements of tariff components)</t>
  </si>
  <si>
    <t>x9 = 1010. Days in the charging year (in Financial and general assumptions)</t>
  </si>
  <si>
    <t>x10 = 2305. MPANs (in Equivalent volume for each end user)</t>
  </si>
  <si>
    <t>x11 = 3503. Capacity charge p/kVA/day scalable part (in Scalable elements of tariff components)</t>
  </si>
  <si>
    <t>x12 = 2305. Import capacity (kVA) (in Equivalent volume for each end user)</t>
  </si>
  <si>
    <t>x13 = 3503. Reactive power charge p/kVArh scalable part (in Scalable elements of tariff components)</t>
  </si>
  <si>
    <t>x14 = 2305. Reactive power units (MVArh) (in Equivalent volume for each end user)</t>
  </si>
  <si>
    <t>=IF(x1&lt;0,0,x2*x3*10)</t>
  </si>
  <si>
    <t>=IF(x1&lt;0,0,x4*x5*10)</t>
  </si>
  <si>
    <t>=IF(x1&lt;0,0,x6*x7*10)</t>
  </si>
  <si>
    <t>=x8*x9*x10/100</t>
  </si>
  <si>
    <t>=x11*x9*x12/100</t>
  </si>
  <si>
    <t>=IF(x1&lt;0,0,x13*x14*10)</t>
  </si>
  <si>
    <t>Effect through Unit rate 1 p/kWh</t>
  </si>
  <si>
    <t>Effect through Unit rate 2 p/kWh</t>
  </si>
  <si>
    <t>Effect through Unit rate 3 p/kWh</t>
  </si>
  <si>
    <t>Effect through Fixed charge p/MPAN/day</t>
  </si>
  <si>
    <t>Effect through Capacity charge p/kVA/day</t>
  </si>
  <si>
    <t>Effect through Reactive power charge p/kVArh</t>
  </si>
  <si>
    <t>3505. Scaler value at which the minimum is breached</t>
  </si>
  <si>
    <t>x1 = 3503. Unit rate 1 p/kWh scalable part (in Scalable elements of tariff components)</t>
  </si>
  <si>
    <t>x2 = 3307. Unit rate 1 p/kWh (total) (in Summary of charges before revenue matching)</t>
  </si>
  <si>
    <t>x3 = 3503. Unit rate 2 p/kWh scalable part (in Scalable elements of tariff components)</t>
  </si>
  <si>
    <t>x4 = 3307. Unit rate 2 p/kWh (total) (in Summary of charges before revenue matching)</t>
  </si>
  <si>
    <t>x5 = 3503. Unit rate 3 p/kWh scalable part (in Scalable elements of tariff components)</t>
  </si>
  <si>
    <t>x6 = 3307. Unit rate 3 p/kWh (total) (in Summary of charges before revenue matching)</t>
  </si>
  <si>
    <t>x7 = 3503. Fixed charge p/MPAN/day scalable part (in Scalable elements of tariff components)</t>
  </si>
  <si>
    <t>x8 = 3307. Fixed charge p/MPAN/day (total) (in Summary of charges before revenue matching)</t>
  </si>
  <si>
    <t>x9 = 3503. Capacity charge p/kVA/day scalable part (in Scalable elements of tariff components)</t>
  </si>
  <si>
    <t>x10 = 3307. Capacity charge p/kVA/day (total) (in Summary of charges before revenue matching)</t>
  </si>
  <si>
    <t>x11 = 3503. Reactive power charge p/kVArh scalable part (in Scalable elements of tariff components)</t>
  </si>
  <si>
    <t>=IF(x1,0-x2/x1,0)</t>
  </si>
  <si>
    <t>=IF(x3,0-x4/x3,0)</t>
  </si>
  <si>
    <t>=IF(x5,0-x6/x5,0)</t>
  </si>
  <si>
    <t>=IF(x7,0-x8/x7,0)</t>
  </si>
  <si>
    <t>=IF(x9,0-x10/x9,0)</t>
  </si>
  <si>
    <t>=IF(x11,0-x12/x11,0)</t>
  </si>
  <si>
    <t>Scaler threshold for Unit rate 1 p/kWh</t>
  </si>
  <si>
    <t>Scaler threshold for Unit rate 2 p/kWh</t>
  </si>
  <si>
    <t>Scaler threshold for Unit rate 3 p/kWh</t>
  </si>
  <si>
    <t>Scaler threshold for Fixed charge p/MPAN/day</t>
  </si>
  <si>
    <t>Scaler threshold for Capacity charge p/kVA/day</t>
  </si>
  <si>
    <t>Scaler threshold for Reactive power charge p/kVArh</t>
  </si>
  <si>
    <t>3506. Constraint-free solution</t>
  </si>
  <si>
    <t>Special calculation Special calculation</t>
  </si>
  <si>
    <t>Constraint-free solution</t>
  </si>
  <si>
    <t>3507. Starting point</t>
  </si>
  <si>
    <t>Starting point</t>
  </si>
  <si>
    <t>3508. Solve for General scaler rate</t>
  </si>
  <si>
    <t>x1 = 3507. Starting point</t>
  </si>
  <si>
    <t>x2 = 3505. Scaler threshold for Unit rate 1 p/kWh (in Scaler value at which the minimum is breached)</t>
  </si>
  <si>
    <t>x3 = 3504. Effect through Unit rate 1 p/kWh (in Marginal revenue effect of scaler)</t>
  </si>
  <si>
    <t>x4 = Location (in Solve for General scaler rate)</t>
  </si>
  <si>
    <t>x5 = Kink (in Solve for General scaler rate)</t>
  </si>
  <si>
    <t>x6 = Ranking before tie break (in Solve for General scaler rate)</t>
  </si>
  <si>
    <t>x7 = Counter (in Solve for General scaler rate)</t>
  </si>
  <si>
    <t>x8 = Tie breaker (in Solve for General scaler rate)</t>
  </si>
  <si>
    <t>x9 = Ranking (in Solve for General scaler rate)</t>
  </si>
  <si>
    <t>x10 = Kink reordering (in Solve for General scaler rate)</t>
  </si>
  <si>
    <t>x11 = Starting slopes (in Solve for General scaler rate)</t>
  </si>
  <si>
    <t>x12 = New slope (in Solve for General scaler rate)</t>
  </si>
  <si>
    <t>x13 = Location (ordered) (in Solve for General scaler rate)</t>
  </si>
  <si>
    <t>x14 = Starting values (in Solve for General scaler rate)</t>
  </si>
  <si>
    <t>x15 = 3403. Revenue shortfall (surplus) £ (in Revenue surplus or shortfall)</t>
  </si>
  <si>
    <t>x16 = 3506. Constraint-free solution</t>
  </si>
  <si>
    <t>x17 = Value (in Solve for General scaler rate)</t>
  </si>
  <si>
    <t>=x6*168+x7</t>
  </si>
  <si>
    <t>Location</t>
  </si>
  <si>
    <t>Kink</t>
  </si>
  <si>
    <t>Starting slopes</t>
  </si>
  <si>
    <t>Starting values</t>
  </si>
  <si>
    <t>Ranking before tie break</t>
  </si>
  <si>
    <t>Counter</t>
  </si>
  <si>
    <t>Tie breaker</t>
  </si>
  <si>
    <t>Ranking</t>
  </si>
  <si>
    <t>Kink reordering</t>
  </si>
  <si>
    <t>Location (ordered)</t>
  </si>
  <si>
    <t>New slope</t>
  </si>
  <si>
    <t>Value</t>
  </si>
  <si>
    <t>Root</t>
  </si>
  <si>
    <t>Kink 1</t>
  </si>
  <si>
    <t>Kink 2</t>
  </si>
  <si>
    <t>Kink 3</t>
  </si>
  <si>
    <t>Kink 4</t>
  </si>
  <si>
    <t>Kink 5</t>
  </si>
  <si>
    <t>Kink 6</t>
  </si>
  <si>
    <t>Kink 7</t>
  </si>
  <si>
    <t>Kink 8</t>
  </si>
  <si>
    <t>Kink 9</t>
  </si>
  <si>
    <t>Kink 10</t>
  </si>
  <si>
    <t>Kink 11</t>
  </si>
  <si>
    <t>Kink 12</t>
  </si>
  <si>
    <t>Kink 13</t>
  </si>
  <si>
    <t>Kink 14</t>
  </si>
  <si>
    <t>Kink 15</t>
  </si>
  <si>
    <t>Kink 16</t>
  </si>
  <si>
    <t>Kink 17</t>
  </si>
  <si>
    <t>Kink 18</t>
  </si>
  <si>
    <t>Kink 19</t>
  </si>
  <si>
    <t>Kink 20</t>
  </si>
  <si>
    <t>Kink 21</t>
  </si>
  <si>
    <t>Kink 22</t>
  </si>
  <si>
    <t>Kink 23</t>
  </si>
  <si>
    <t>Kink 24</t>
  </si>
  <si>
    <t>Kink 25</t>
  </si>
  <si>
    <t>Kink 26</t>
  </si>
  <si>
    <t>Kink 27</t>
  </si>
  <si>
    <t>Kink 28</t>
  </si>
  <si>
    <t>Kink 29</t>
  </si>
  <si>
    <t>Kink 30</t>
  </si>
  <si>
    <t>Kink 31</t>
  </si>
  <si>
    <t>Kink 32</t>
  </si>
  <si>
    <t>Kink 33</t>
  </si>
  <si>
    <t>Kink 34</t>
  </si>
  <si>
    <t>Kink 35</t>
  </si>
  <si>
    <t>Kink 36</t>
  </si>
  <si>
    <t>Kink 37</t>
  </si>
  <si>
    <t>Kink 38</t>
  </si>
  <si>
    <t>Kink 39</t>
  </si>
  <si>
    <t>Kink 40</t>
  </si>
  <si>
    <t>Kink 41</t>
  </si>
  <si>
    <t>Kink 42</t>
  </si>
  <si>
    <t>Kink 43</t>
  </si>
  <si>
    <t>Kink 44</t>
  </si>
  <si>
    <t>Kink 45</t>
  </si>
  <si>
    <t>Kink 46</t>
  </si>
  <si>
    <t>Kink 47</t>
  </si>
  <si>
    <t>Kink 48</t>
  </si>
  <si>
    <t>Kink 49</t>
  </si>
  <si>
    <t>Kink 50</t>
  </si>
  <si>
    <t>Kink 51</t>
  </si>
  <si>
    <t>Kink 52</t>
  </si>
  <si>
    <t>Kink 53</t>
  </si>
  <si>
    <t>Kink 54</t>
  </si>
  <si>
    <t>Kink 55</t>
  </si>
  <si>
    <t>Kink 56</t>
  </si>
  <si>
    <t>Kink 57</t>
  </si>
  <si>
    <t>Kink 58</t>
  </si>
  <si>
    <t>Kink 59</t>
  </si>
  <si>
    <t>Kink 60</t>
  </si>
  <si>
    <t>Kink 61</t>
  </si>
  <si>
    <t>Kink 62</t>
  </si>
  <si>
    <t>Kink 63</t>
  </si>
  <si>
    <t>Kink 64</t>
  </si>
  <si>
    <t>Kink 65</t>
  </si>
  <si>
    <t>Kink 66</t>
  </si>
  <si>
    <t>Kink 67</t>
  </si>
  <si>
    <t>Kink 68</t>
  </si>
  <si>
    <t>Kink 69</t>
  </si>
  <si>
    <t>Kink 70</t>
  </si>
  <si>
    <t>Kink 71</t>
  </si>
  <si>
    <t>Kink 72</t>
  </si>
  <si>
    <t>Kink 73</t>
  </si>
  <si>
    <t>Kink 74</t>
  </si>
  <si>
    <t>Kink 75</t>
  </si>
  <si>
    <t>Kink 76</t>
  </si>
  <si>
    <t>Kink 77</t>
  </si>
  <si>
    <t>Kink 78</t>
  </si>
  <si>
    <t>Kink 79</t>
  </si>
  <si>
    <t>Kink 80</t>
  </si>
  <si>
    <t>Kink 81</t>
  </si>
  <si>
    <t>Kink 82</t>
  </si>
  <si>
    <t>Kink 83</t>
  </si>
  <si>
    <t>Kink 84</t>
  </si>
  <si>
    <t>Kink 85</t>
  </si>
  <si>
    <t>Kink 86</t>
  </si>
  <si>
    <t>Kink 87</t>
  </si>
  <si>
    <t>Kink 88</t>
  </si>
  <si>
    <t>Kink 89</t>
  </si>
  <si>
    <t>Kink 90</t>
  </si>
  <si>
    <t>Kink 91</t>
  </si>
  <si>
    <t>Kink 92</t>
  </si>
  <si>
    <t>Kink 93</t>
  </si>
  <si>
    <t>Kink 94</t>
  </si>
  <si>
    <t>Kink 95</t>
  </si>
  <si>
    <t>Kink 96</t>
  </si>
  <si>
    <t>Kink 97</t>
  </si>
  <si>
    <t>Kink 98</t>
  </si>
  <si>
    <t>Kink 99</t>
  </si>
  <si>
    <t>Kink 100</t>
  </si>
  <si>
    <t>Kink 101</t>
  </si>
  <si>
    <t>Kink 102</t>
  </si>
  <si>
    <t>Kink 103</t>
  </si>
  <si>
    <t>Kink 104</t>
  </si>
  <si>
    <t>Kink 105</t>
  </si>
  <si>
    <t>Kink 106</t>
  </si>
  <si>
    <t>Kink 107</t>
  </si>
  <si>
    <t>Kink 108</t>
  </si>
  <si>
    <t>Kink 109</t>
  </si>
  <si>
    <t>Kink 110</t>
  </si>
  <si>
    <t>Kink 111</t>
  </si>
  <si>
    <t>Kink 112</t>
  </si>
  <si>
    <t>Kink 113</t>
  </si>
  <si>
    <t>Kink 114</t>
  </si>
  <si>
    <t>Kink 115</t>
  </si>
  <si>
    <t>Kink 116</t>
  </si>
  <si>
    <t>Kink 117</t>
  </si>
  <si>
    <t>Kink 118</t>
  </si>
  <si>
    <t>Kink 119</t>
  </si>
  <si>
    <t>Kink 120</t>
  </si>
  <si>
    <t>Kink 121</t>
  </si>
  <si>
    <t>Kink 122</t>
  </si>
  <si>
    <t>Kink 123</t>
  </si>
  <si>
    <t>Kink 124</t>
  </si>
  <si>
    <t>Kink 125</t>
  </si>
  <si>
    <t>Kink 126</t>
  </si>
  <si>
    <t>Kink 127</t>
  </si>
  <si>
    <t>Kink 128</t>
  </si>
  <si>
    <t>Kink 129</t>
  </si>
  <si>
    <t>Kink 130</t>
  </si>
  <si>
    <t>Kink 131</t>
  </si>
  <si>
    <t>Kink 132</t>
  </si>
  <si>
    <t>Kink 133</t>
  </si>
  <si>
    <t>Kink 134</t>
  </si>
  <si>
    <t>Kink 135</t>
  </si>
  <si>
    <t>Kink 136</t>
  </si>
  <si>
    <t>Kink 137</t>
  </si>
  <si>
    <t>Kink 138</t>
  </si>
  <si>
    <t>Kink 139</t>
  </si>
  <si>
    <t>Kink 140</t>
  </si>
  <si>
    <t>Kink 141</t>
  </si>
  <si>
    <t>Kink 142</t>
  </si>
  <si>
    <t>Kink 143</t>
  </si>
  <si>
    <t>Kink 144</t>
  </si>
  <si>
    <t>Kink 145</t>
  </si>
  <si>
    <t>Kink 146</t>
  </si>
  <si>
    <t>Kink 147</t>
  </si>
  <si>
    <t>Kink 148</t>
  </si>
  <si>
    <t>Kink 149</t>
  </si>
  <si>
    <t>Kink 150</t>
  </si>
  <si>
    <t>Kink 151</t>
  </si>
  <si>
    <t>Kink 152</t>
  </si>
  <si>
    <t>Kink 153</t>
  </si>
  <si>
    <t>Kink 154</t>
  </si>
  <si>
    <t>Kink 155</t>
  </si>
  <si>
    <t>Kink 156</t>
  </si>
  <si>
    <t>Kink 157</t>
  </si>
  <si>
    <t>Kink 158</t>
  </si>
  <si>
    <t>Kink 159</t>
  </si>
  <si>
    <t>Kink 160</t>
  </si>
  <si>
    <t>Kink 161</t>
  </si>
  <si>
    <t>Kink 162</t>
  </si>
  <si>
    <t>Kink 163</t>
  </si>
  <si>
    <t>Kink 164</t>
  </si>
  <si>
    <t>Kink 165</t>
  </si>
  <si>
    <t>Kink 166</t>
  </si>
  <si>
    <t>Kink 167</t>
  </si>
  <si>
    <t>Kink 168</t>
  </si>
  <si>
    <t>3509. General scaler rate</t>
  </si>
  <si>
    <t>x1 = 3508. Root (in Solve for General scaler rate)</t>
  </si>
  <si>
    <t>Optimisation result =MIN(x1)</t>
  </si>
  <si>
    <t>General scaler rate</t>
  </si>
  <si>
    <t>3510. Scaler</t>
  </si>
  <si>
    <t>x3 = 3509. General scaler rate</t>
  </si>
  <si>
    <t>x4 = 3307. Unit rate 1 p/kWh (total) (in Summary of charges before revenue matching)</t>
  </si>
  <si>
    <t>x5 = 3503. Unit rate 2 p/kWh scalable part (in Scalable elements of tariff components)</t>
  </si>
  <si>
    <t>x6 = 3307. Unit rate 2 p/kWh (total) (in Summary of charges before revenue matching)</t>
  </si>
  <si>
    <t>x7 = 3503. Unit rate 3 p/kWh scalable part (in Scalable elements of tariff components)</t>
  </si>
  <si>
    <t>x8 = 3307. Unit rate 3 p/kWh (total) (in Summary of charges before revenue matching)</t>
  </si>
  <si>
    <t>x9 = 3503. Fixed charge p/MPAN/day scalable part (in Scalable elements of tariff components)</t>
  </si>
  <si>
    <t>x10 = 3307. Fixed charge p/MPAN/day (total) (in Summary of charges before revenue matching)</t>
  </si>
  <si>
    <t>x12 = 3307. Capacity charge p/kVA/day (total) (in Summary of charges before revenue matching)</t>
  </si>
  <si>
    <t>x14 = 3307. Reactive power charge p/kVArh (in Summary of charges before revenue matching)</t>
  </si>
  <si>
    <t>x15 = 1010. Days in the charging year (in Financial and general assumptions)</t>
  </si>
  <si>
    <t>x16 = Fixed charge p/MPAN/day scaler (in Scaler)</t>
  </si>
  <si>
    <t>x17 = 2305. MPANs (in Equivalent volume for each end user)</t>
  </si>
  <si>
    <t>x18 = Capacity charge p/kVA/day scaler (in Scaler)</t>
  </si>
  <si>
    <t>x19 = 2305. Import capacity (kVA) (in Equivalent volume for each end user)</t>
  </si>
  <si>
    <t>x20 = Unit rate 1 p/kWh scaler (in Scaler)</t>
  </si>
  <si>
    <t>x21 = 2305. Rate 1 units (MWh) (in Equivalent volume for each end user)</t>
  </si>
  <si>
    <t>x22 = Unit rate 2 p/kWh scaler (in Scaler)</t>
  </si>
  <si>
    <t>x23 = 2305. Rate 2 units (MWh) (in Equivalent volume for each end user)</t>
  </si>
  <si>
    <t>x24 = Unit rate 3 p/kWh scaler (in Scaler)</t>
  </si>
  <si>
    <t>x25 = 2305. Rate 3 units (MWh) (in Equivalent volume for each end user)</t>
  </si>
  <si>
    <t>x26 = Reactive power charge p/kVArh scaler (in Scaler)</t>
  </si>
  <si>
    <t>x27 = 2305. Reactive power units (MVArh) (in Equivalent volume for each end user)</t>
  </si>
  <si>
    <t>=IF(x1&lt;0,0,IF(x2*x3+x4&gt;0,x2*x3,0-x4))</t>
  </si>
  <si>
    <t>=IF(x1&lt;0,0,IF(x5*x3+x6&gt;0,x5*x3,0-x6))</t>
  </si>
  <si>
    <t>=IF(x1&lt;0,0,IF(x7*x3+x8&gt;0,x7*x3,0-x8))</t>
  </si>
  <si>
    <t>=IF(x1&lt;0,0,IF(x9*x3+x10&gt;0,x9*x3,0-x10))</t>
  </si>
  <si>
    <t>=IF(x1&lt;0,0,IF(x11*x3+x12&gt;0,x11*x3,0-x12))</t>
  </si>
  <si>
    <t>=IF(x1&lt;0,0,IF(x13*x3+x14&gt;0,x13*x3,0-x14))</t>
  </si>
  <si>
    <t>=0.01*x15*(x16*x17+x18*x19)+10*(x20*x21+x22*x23+x24*x25+x26*x27)</t>
  </si>
  <si>
    <t>Unit rate 1 p/kWh scaler</t>
  </si>
  <si>
    <t>Unit rate 2 p/kWh scaler</t>
  </si>
  <si>
    <t>Unit rate 3 p/kWh scaler</t>
  </si>
  <si>
    <t>Fixed charge p/MPAN/day scaler</t>
  </si>
  <si>
    <t>Capacity charge p/kVA/day scaler</t>
  </si>
  <si>
    <t>Reactive power charge p/kVArh scaler</t>
  </si>
  <si>
    <t>Net revenues by tariff from scaler</t>
  </si>
  <si>
    <t>3601. Tariffs before rounding</t>
  </si>
  <si>
    <t>x1 = 3307. Unit rate 1 p/kWh (total) (in Summary of charges before revenue matching)</t>
  </si>
  <si>
    <t>x2 = 3510. Unit rate 1 p/kWh scaler (in Scaler)</t>
  </si>
  <si>
    <t>x3 = 3307. Unit rate 2 p/kWh (total) (in Summary of charges before revenue matching)</t>
  </si>
  <si>
    <t>x4 = 3510. Unit rate 2 p/kWh scaler (in Scaler)</t>
  </si>
  <si>
    <t>x5 = 3307. Unit rate 3 p/kWh (total) (in Summary of charges before revenue matching)</t>
  </si>
  <si>
    <t>x6 = 3510. Unit rate 3 p/kWh scaler (in Scaler)</t>
  </si>
  <si>
    <t>x7 = 3307. Fixed charge p/MPAN/day (total) (in Summary of charges before revenue matching)</t>
  </si>
  <si>
    <t>x8 = 3510. Fixed charge p/MPAN/day scaler (in Scaler)</t>
  </si>
  <si>
    <t>x9 = 3307. Capacity charge p/kVA/day (total) (in Summary of charges before revenue matching)</t>
  </si>
  <si>
    <t>x10 = 3510. Capacity charge p/kVA/day scaler (in Scaler)</t>
  </si>
  <si>
    <t>x11 = 3307. Reactive power charge p/kVArh (in Summary of charges before revenue matching)</t>
  </si>
  <si>
    <t>x12 = 3510. Reactive power charge p/kVArh scaler (in Scaler)</t>
  </si>
  <si>
    <t>=x1+x2</t>
  </si>
  <si>
    <t>=x3+x4</t>
  </si>
  <si>
    <t>=x5+x6</t>
  </si>
  <si>
    <t>=x7+x8</t>
  </si>
  <si>
    <t>=x9+x10</t>
  </si>
  <si>
    <t>=x11+x12</t>
  </si>
  <si>
    <t>Unit rate 1 p/kWh</t>
  </si>
  <si>
    <t>Unit rate 2 p/kWh</t>
  </si>
  <si>
    <t>Unit rate 3 p/kWh</t>
  </si>
  <si>
    <t>Fixed charge p/MPAN/day</t>
  </si>
  <si>
    <t>Capacity charge p/kVA/day</t>
  </si>
  <si>
    <t>3602. Decimal places</t>
  </si>
  <si>
    <t>Decimal places</t>
  </si>
  <si>
    <t>3603. Tariff rounding</t>
  </si>
  <si>
    <t>x1 = 3601. Unit rate 1 p/kWh before rounding (in Tariffs before rounding)</t>
  </si>
  <si>
    <t>x2 = 3602. Unit rate 1 p/kWh decimal places (in Decimal places)</t>
  </si>
  <si>
    <t>x3 = 3601. Unit rate 2 p/kWh before rounding (in Tariffs before rounding)</t>
  </si>
  <si>
    <t>x4 = 3602. Unit rate 2 p/kWh decimal places (in Decimal places)</t>
  </si>
  <si>
    <t>x5 = 3601. Unit rate 3 p/kWh before rounding (in Tariffs before rounding)</t>
  </si>
  <si>
    <t>x6 = 3602. Unit rate 3 p/kWh decimal places (in Decimal places)</t>
  </si>
  <si>
    <t>x7 = 3601. Fixed charge p/MPAN/day before rounding (in Tariffs before rounding)</t>
  </si>
  <si>
    <t>x8 = 3602. Fixed charge p/MPAN/day decimal places (in Decimal places)</t>
  </si>
  <si>
    <t>x9 = 3601. Capacity charge p/kVA/day before rounding (in Tariffs before rounding)</t>
  </si>
  <si>
    <t>x10 = 3602. Capacity charge p/kVA/day decimal places (in Decimal places)</t>
  </si>
  <si>
    <t>x11 = 3601. Reactive power charge p/kVArh before rounding (in Tariffs before rounding)</t>
  </si>
  <si>
    <t>x12 = 3602. Reactive power charge p/kVArh decimal places (in Decimal places)</t>
  </si>
  <si>
    <t>=ROUND(x1,x2)-x1</t>
  </si>
  <si>
    <t>=ROUND(x3,x4)-x3</t>
  </si>
  <si>
    <t>=ROUND(x5,x6)-x5</t>
  </si>
  <si>
    <t>=ROUND(x7,x8)-x7</t>
  </si>
  <si>
    <t>=ROUND(x9,x10)-x9</t>
  </si>
  <si>
    <t>=ROUND(x11,x12)-x11</t>
  </si>
  <si>
    <t>3604. All the way tariffs</t>
  </si>
  <si>
    <t>x2 = 3603. Unit rate 1 p/kWh rounding (in Tariff rounding)</t>
  </si>
  <si>
    <t>x4 = 3603. Unit rate 2 p/kWh rounding (in Tariff rounding)</t>
  </si>
  <si>
    <t>x6 = 3603. Unit rate 3 p/kWh rounding (in Tariff rounding)</t>
  </si>
  <si>
    <t>x8 = 3603. Fixed charge p/MPAN/day rounding (in Tariff rounding)</t>
  </si>
  <si>
    <t>x10 = 3603. Capacity charge p/kVA/day rounding (in Tariff rounding)</t>
  </si>
  <si>
    <t>x12 = 3603. Reactive power charge p/kVArh rounding (in Tariff rounding)</t>
  </si>
  <si>
    <t>3605. Net revenues by tariff from rounding</t>
  </si>
  <si>
    <t>x2 = 3603. Fixed charge p/MPAN/day rounding (in Tariff rounding)</t>
  </si>
  <si>
    <t>x4 = 3603. Capacity charge p/kVA/day rounding (in Tariff rounding)</t>
  </si>
  <si>
    <t>x6 = 3603. Unit rate 1 p/kWh rounding (in Tariff rounding)</t>
  </si>
  <si>
    <t>x8 = 3603. Unit rate 2 p/kWh rounding (in Tariff rounding)</t>
  </si>
  <si>
    <t>x10 = 3603. Unit rate 3 p/kWh rounding (in Tariff rounding)</t>
  </si>
  <si>
    <t>Net revenues by tariff from rounding</t>
  </si>
  <si>
    <t>3606. Revenue forecast summary</t>
  </si>
  <si>
    <t>x1 = 3403. Total net revenues before matching (£) (in Revenue surplus or shortfall)</t>
  </si>
  <si>
    <t>Total net revenues from scaler (£)</t>
  </si>
  <si>
    <t>Total net revenues from rounding (£)</t>
  </si>
  <si>
    <t>Total net revenues (£)</t>
  </si>
  <si>
    <t>Deviation from target revenue (£)</t>
  </si>
  <si>
    <t>Revenue forecast summary</t>
  </si>
  <si>
    <t>3607. Tariffs</t>
  </si>
  <si>
    <t>x1 = 3604. Unit rate 1 p/kWh (in All the way tariffs)</t>
  </si>
  <si>
    <t>x2 = 2304. Discount for each tariff (except for fixed charges) (in LDNO discounts and volumes adjusted for discount)</t>
  </si>
  <si>
    <t>x3 = 3604. Unit rate 2 p/kWh (in All the way tariffs)</t>
  </si>
  <si>
    <t>x4 = 3604. Unit rate 3 p/kWh (in All the way tariffs)</t>
  </si>
  <si>
    <t>x5 = 3604. Fixed charge p/MPAN/day (in All the way tariffs)</t>
  </si>
  <si>
    <t>x6 = 2304. Discount for each tariff  for fixed charges only (in LDNO discounts and volumes adjusted for discount)</t>
  </si>
  <si>
    <t>x7 = 3604. Capacity charge p/kVA/day (in All the way tariffs)</t>
  </si>
  <si>
    <t>x8 = 3604. Reactive power charge p/kVArh (in All the way tariffs)</t>
  </si>
  <si>
    <t>=ROUND(x1*(1-x2),3)</t>
  </si>
  <si>
    <t>=ROUND(x3*(1-x2),3)</t>
  </si>
  <si>
    <t>=ROUND(x4*(1-x2),3)</t>
  </si>
  <si>
    <t>=ROUND(x5*(1-x6),2)</t>
  </si>
  <si>
    <t>=ROUND(x7*(1-x2),2)</t>
  </si>
  <si>
    <t>=ROUND(x8*(1-x2),3)</t>
  </si>
  <si>
    <t>3701. Tariffs</t>
  </si>
  <si>
    <t>x1 = 3607. Unit rate 1 p/kWh (in Tariffs)</t>
  </si>
  <si>
    <t>x2 = 3607. Unit rate 2 p/kWh (in Tariffs)</t>
  </si>
  <si>
    <t>x3 = 3607. Unit rate 3 p/kWh (in Tariffs)</t>
  </si>
  <si>
    <t>x4 = 3607. Fixed charge p/MPAN/day (in Tariffs)</t>
  </si>
  <si>
    <t>x5 = 3607. Capacity charge p/kVA/day (in Tariffs)</t>
  </si>
  <si>
    <t>x6 = 3607. Reactive power charge p/kVArh (in Tariffs)</t>
  </si>
  <si>
    <t>Input data</t>
  </si>
  <si>
    <t>= x3</t>
  </si>
  <si>
    <t>= x4</t>
  </si>
  <si>
    <t>= x6</t>
  </si>
  <si>
    <t>Open LLFCs</t>
  </si>
  <si>
    <t>PCs</t>
  </si>
  <si>
    <t>Closed LLFCs</t>
  </si>
  <si>
    <t>5-8</t>
  </si>
  <si>
    <t>This sheet is for information only.  It can be deleted without affecting any calculations elsewhere in the model.</t>
  </si>
  <si>
    <t>3801. Workbook build options and main parameters</t>
  </si>
  <si>
    <t>Include a 132kV/HV network level</t>
  </si>
  <si>
    <t>Network model: 500 MW at time of GSP peak</t>
  </si>
  <si>
    <t>Coincidence correction factors grouped for UMS</t>
  </si>
  <si>
    <t>Standing charges factors: 100/0/0 LV NHH, 100/100/20 network, 100/100/0 substation</t>
  </si>
  <si>
    <t>Put some 132kV costs into HV capacity charges</t>
  </si>
  <si>
    <t>Operating expenditure allocated by asset values</t>
  </si>
  <si>
    <t>LV circuit costs by exit point for all small NHH demand</t>
  </si>
  <si>
    <t>Revenue matching by £/kW/year at transmission exit level</t>
  </si>
  <si>
    <t>Scaler subject to capping of each tariff component to zero</t>
  </si>
  <si>
    <t xml:space="preserve"> </t>
  </si>
  <si>
    <t>x2 = 3606. Total net revenues from scaler (£) (in Revenue forecast summary)</t>
  </si>
  <si>
    <t>x3 = 3606. Deviation from target revenue (£) (in Revenue forecast summary)</t>
  </si>
  <si>
    <t>x4 = Deviation from target revenue (£) (copy) (in Workbook build options and main parameters)</t>
  </si>
  <si>
    <t>x5 = 3402. Target net income from all use of system charges (£/year)</t>
  </si>
  <si>
    <t>=x4/x5</t>
  </si>
  <si>
    <t>Over/under recovery</t>
  </si>
  <si>
    <t>Workbook build options and main parameters</t>
  </si>
  <si>
    <t>3802. Revenue summary</t>
  </si>
  <si>
    <t>x1 = 1053. Rate 1 units (MWh) by tariff (in Volume forecasts for the charging year)</t>
  </si>
  <si>
    <t>x2 = 1053. Rate 2 units (MWh) by tariff (in Volume forecasts for the charging year)</t>
  </si>
  <si>
    <t>x3 = 1053. Rate 3 units (MWh) by tariff (in Volume forecasts for the charging year)</t>
  </si>
  <si>
    <t>x4 = 1053. MPANs by tariff (in Volume forecasts for the charging year)</t>
  </si>
  <si>
    <t>x6 = 3607. Fixed charge p/MPAN/day (in Tariffs)</t>
  </si>
  <si>
    <t>x7 = 3607. Capacity charge p/kVA/day (in Tariffs)</t>
  </si>
  <si>
    <t>x8 = 1053. Import capacity (kVA) by tariff (in Volume forecasts for the charging year)</t>
  </si>
  <si>
    <t>x9 = 3607. Unit rate 1 p/kWh (in Tariffs)</t>
  </si>
  <si>
    <t>x10 = 3607. Unit rate 2 p/kWh (in Tariffs)</t>
  </si>
  <si>
    <t>x11 = 3607. Unit rate 3 p/kWh (in Tariffs)</t>
  </si>
  <si>
    <t>x12 = 3607. Reactive power charge p/kVArh (in Tariffs)</t>
  </si>
  <si>
    <t>x13 = 1053. Reactive power units (MVArh) by tariff (in Volume forecasts for the charging year)</t>
  </si>
  <si>
    <t>x14 = All units (MWh) (in Revenue summary)</t>
  </si>
  <si>
    <t>x15 = Net revenues (£) (in Revenue summary)</t>
  </si>
  <si>
    <t>x16 = MPANs by tariff (in Volume forecasts for the charging year) (copy) (in Revenue summary)</t>
  </si>
  <si>
    <t>x17 = Revenues from unit rates (£) (in Revenue summary)</t>
  </si>
  <si>
    <t>x18 = Net revenues from unit rate 1 (£) (in Revenue summary)</t>
  </si>
  <si>
    <t>x19 = Net revenues from unit rate 2 (£) (in Revenue summary)</t>
  </si>
  <si>
    <t>x20 = Net revenues from unit rate 3 (£) (in Revenue summary)</t>
  </si>
  <si>
    <t>x21 = Revenues from fixed charges (£) (in Revenue summary)</t>
  </si>
  <si>
    <t>x22 = Revenues from capacity charges (£) (in Revenue summary)</t>
  </si>
  <si>
    <t>x23 = Revenues from reactive power charges (£) (in Revenue summary)</t>
  </si>
  <si>
    <t>=x1+x2+x3</t>
  </si>
  <si>
    <t>=0.01*x5*(x6*x4+x7*x8)+10*(x9*x1+x10*x2+x11*x3+x12*x13)</t>
  </si>
  <si>
    <t>=10*(x9*x1+x10*x2+x11*x3)</t>
  </si>
  <si>
    <t>=x6*x5*x4/100</t>
  </si>
  <si>
    <t>=x7*x5*x8/100</t>
  </si>
  <si>
    <t>=x12*x13*10</t>
  </si>
  <si>
    <t>=IF(x14&lt;&gt;0,0.1*x15/x14,"")</t>
  </si>
  <si>
    <t>=IF(x16&lt;&gt;0,x15/x16,"")</t>
  </si>
  <si>
    <t>=IF(x14&lt;&gt;0,0.1*x17/x14,0)</t>
  </si>
  <si>
    <t>=x9*x1*10</t>
  </si>
  <si>
    <t>=x10*x2*10</t>
  </si>
  <si>
    <t>=x11*x3*10</t>
  </si>
  <si>
    <t>=IF(x17&lt;&gt;0,x18/x17,"")</t>
  </si>
  <si>
    <t>=IF(x17&lt;&gt;0,x19/x17,"")</t>
  </si>
  <si>
    <t>=IF(x17&lt;&gt;0,x20/x17,"")</t>
  </si>
  <si>
    <t>=IF(x15&lt;&gt;0,x21/x15,"")</t>
  </si>
  <si>
    <t>=IF(x15&lt;&gt;0,x22/x15,"")</t>
  </si>
  <si>
    <t>=IF(x15&lt;&gt;0,x23/x15,"")</t>
  </si>
  <si>
    <t>Net revenues (£)</t>
  </si>
  <si>
    <t>Revenues from unit rates (£)</t>
  </si>
  <si>
    <t>Revenues from fixed charges (£)</t>
  </si>
  <si>
    <t>Revenues from capacity charges (£)</t>
  </si>
  <si>
    <t>Revenues from reactive power charges (£)</t>
  </si>
  <si>
    <t>Average p/kWh</t>
  </si>
  <si>
    <t>Average £/MPAN</t>
  </si>
  <si>
    <t>Average unit rate p/kWh</t>
  </si>
  <si>
    <t>Net revenues from unit rate 1 (£)</t>
  </si>
  <si>
    <t>Net revenues from unit rate 2 (£)</t>
  </si>
  <si>
    <t>Net revenues from unit rate 3 (£)</t>
  </si>
  <si>
    <t>Rate 1 revenue proportion</t>
  </si>
  <si>
    <t>Rate 2 revenue proportion</t>
  </si>
  <si>
    <t>Rate 3 revenue proportion</t>
  </si>
  <si>
    <t>Fixed charge proportion</t>
  </si>
  <si>
    <t>Capacity charge proportion</t>
  </si>
  <si>
    <t>Reactive power charge proportion</t>
  </si>
  <si>
    <t>3803. Revenue summary by tariff component</t>
  </si>
  <si>
    <t>x1 = 3802. All units (MWh) (in Revenue summary)</t>
  </si>
  <si>
    <t>x2 = 3802. MPANs by tariff (in Volume forecasts for the charging year) (copy) (in Revenue summary)</t>
  </si>
  <si>
    <t>x3 = 3802. Net revenues (£) (in Revenue summary)</t>
  </si>
  <si>
    <t>x4 = 3802. Revenues from unit rates (£) (in Revenue summary)</t>
  </si>
  <si>
    <t>x5 = 3802. Revenues from fixed charges (£) (in Revenue summary)</t>
  </si>
  <si>
    <t>x6 = 3802. Revenues from capacity charges (£) (in Revenue summary)</t>
  </si>
  <si>
    <t>x7 = 3802. Revenues from reactive power charges (£) (in Revenue summary)</t>
  </si>
  <si>
    <t>=SUM(x7)</t>
  </si>
  <si>
    <t>Total units (MWh)</t>
  </si>
  <si>
    <t>Total MPANs</t>
  </si>
  <si>
    <t>Total net revenues from unit rates (£)</t>
  </si>
  <si>
    <t>Total revenues from fixed charges (£)</t>
  </si>
  <si>
    <t>Total revenues from capacity charges (£)</t>
  </si>
  <si>
    <t>Total revenues from reactive power charges (£)</t>
  </si>
  <si>
    <t>Revenue summary by tariff component</t>
  </si>
  <si>
    <t>MWh/year</t>
  </si>
  <si>
    <t>MWh/MPAN/year</t>
  </si>
  <si>
    <t>Revenue (£/year)</t>
  </si>
  <si>
    <t>Average £/MPAN/year</t>
  </si>
  <si>
    <t>Assets LV customer</t>
  </si>
  <si>
    <t>Assets HV customer</t>
  </si>
  <si>
    <t>Transmission exit</t>
  </si>
  <si>
    <t>Operating 132kV</t>
  </si>
  <si>
    <t>Operating 132kV/EHV</t>
  </si>
  <si>
    <t>Operating EHV</t>
  </si>
  <si>
    <t>Operating EHV/HV</t>
  </si>
  <si>
    <t>Operating 132kV/HV</t>
  </si>
  <si>
    <t>Operating HV</t>
  </si>
  <si>
    <t>Operating HV/LV</t>
  </si>
  <si>
    <t>Operating LV circuits</t>
  </si>
  <si>
    <t>Operating LV customer</t>
  </si>
  <si>
    <t>Operating HV customer</t>
  </si>
  <si>
    <t>Scaler</t>
  </si>
  <si>
    <t>Rounding</t>
  </si>
  <si>
    <t>Total</t>
  </si>
  <si>
    <t>Average unit rate (p/kWh)</t>
  </si>
  <si>
    <t>Average p/kVA/day</t>
  </si>
  <si>
    <t>This sheet provides matrices breaking down each tariff component into its elements.</t>
  </si>
  <si>
    <t>3901. Revenue matrix by tariff</t>
  </si>
  <si>
    <t>Revenue matrix by tariff, charging element and network level</t>
  </si>
  <si>
    <t>Total net revenue by tariff (£/year)</t>
  </si>
  <si>
    <t>3902. Revenues by charging element and network level</t>
  </si>
  <si>
    <t>Total net revenue by charging element and network level (£/year)</t>
  </si>
  <si>
    <t>Total net revenue (£/year)</t>
  </si>
  <si>
    <t>Revenues by charging element and network level</t>
  </si>
  <si>
    <t>4001. Revenues under current tariffs (£)</t>
  </si>
  <si>
    <t>x1 = 1201. Current revenues if known (£) (in Current tariff information)</t>
  </si>
  <si>
    <t>x3 = 1201. Current Fixed charge p/MPAN/day (in Current tariff information)</t>
  </si>
  <si>
    <t>x5 = 1201. Current Capacity charge p/kVA/day (in Current tariff information)</t>
  </si>
  <si>
    <t>x6 = 1053. Import capacity (kVA) by tariff (in Volume forecasts for the charging year)</t>
  </si>
  <si>
    <t>x7 = 1201. Current Unit rate 1 p/kWh (in Current tariff information)</t>
  </si>
  <si>
    <t>x8 = 1053. Rate 1 units (MWh) by tariff (in Volume forecasts for the charging year)</t>
  </si>
  <si>
    <t>x9 = 1201. Current Unit rate 2 p/kWh (in Current tariff information)</t>
  </si>
  <si>
    <t>x10 = 1053. Rate 2 units (MWh) by tariff (in Volume forecasts for the charging year)</t>
  </si>
  <si>
    <t>x11 = 1201. Current Unit rate 3 p/kWh (in Current tariff information)</t>
  </si>
  <si>
    <t>x12 = 1053. Rate 3 units (MWh) by tariff (in Volume forecasts for the charging year)</t>
  </si>
  <si>
    <t>x13 = 1201. Current Reactive power charge p/kVArh (in Current tariff information)</t>
  </si>
  <si>
    <t>x14 = 1053. Reactive power units (MVArh) by tariff (in Volume forecasts for the charging year)</t>
  </si>
  <si>
    <t>Calculation =IF(x1,x1,0.01*x2*(x3*x4+x5*x6)+10*(x7*x8+x9*x10+x11*x12+x13*x14))</t>
  </si>
  <si>
    <t>Revenues under current tariffs (£)</t>
  </si>
  <si>
    <t>4002. All-the-way volumes</t>
  </si>
  <si>
    <t>x5 = 1053. Import capacity (kVA) by tariff (in Volume forecasts for the charging year)</t>
  </si>
  <si>
    <t>x6 = 1053. Reactive power units (MVArh) by tariff (in Volume forecasts for the charging year)</t>
  </si>
  <si>
    <t>x7 = 3802. All units (MWh) (in Revenue summary)</t>
  </si>
  <si>
    <t>= x7</t>
  </si>
  <si>
    <t>4003. Normalised to</t>
  </si>
  <si>
    <t>Normalised to</t>
  </si>
  <si>
    <t>MPAN</t>
  </si>
  <si>
    <t>kVA</t>
  </si>
  <si>
    <t>MWh</t>
  </si>
  <si>
    <t>4004. Normalised volumes for comparisons</t>
  </si>
  <si>
    <t>x1 = 4002. Rate 1 units (MWh) by tariff (in Volume forecasts for the charging year) (in All-the-way volumes)</t>
  </si>
  <si>
    <t>x2 = 4003. Normalised to</t>
  </si>
  <si>
    <t>x3 = 4002. Import capacity (kVA) by tariff (in Volume forecasts for the charging year) (in All-the-way volumes)</t>
  </si>
  <si>
    <t>x4 = 4002. MPANs by tariff (in Volume forecasts for the charging year) (in All-the-way volumes)</t>
  </si>
  <si>
    <t>x5 = 4002. All units (MWh) (in Revenue summary) (in All-the-way volumes)</t>
  </si>
  <si>
    <t>x6 = 4002. Rate 2 units (MWh) by tariff (in Volume forecasts for the charging year) (in All-the-way volumes)</t>
  </si>
  <si>
    <t>x7 = 4002. Rate 3 units (MWh) by tariff (in Volume forecasts for the charging year) (in All-the-way volumes)</t>
  </si>
  <si>
    <t>x8 = 4002. Reactive power units (MVArh) by tariff (in Volume forecasts for the charging year) (in All-the-way volumes)</t>
  </si>
  <si>
    <t>x10 = 3607. Fixed charge p/MPAN/day (in Tariffs)</t>
  </si>
  <si>
    <t>x11 = Normalised MPANs (in Normalised volumes for comparisons)</t>
  </si>
  <si>
    <t>x12 = 3607. Capacity charge p/kVA/day (in Tariffs)</t>
  </si>
  <si>
    <t>x13 = Normalised Import capacity (kVA) (in Normalised volumes for comparisons)</t>
  </si>
  <si>
    <t>x14 = 3607. Unit rate 1 p/kWh (in Tariffs)</t>
  </si>
  <si>
    <t>x15 = Normalised Rate 1 units (MWh) (in Normalised volumes for comparisons)</t>
  </si>
  <si>
    <t>x16 = 3607. Unit rate 2 p/kWh (in Tariffs)</t>
  </si>
  <si>
    <t>x17 = Normalised Rate 2 units (MWh) (in Normalised volumes for comparisons)</t>
  </si>
  <si>
    <t>x18 = 3607. Unit rate 3 p/kWh (in Tariffs)</t>
  </si>
  <si>
    <t>x19 = Normalised Rate 3 units (MWh) (in Normalised volumes for comparisons)</t>
  </si>
  <si>
    <t>x20 = 3607. Reactive power charge p/kVArh (in Tariffs)</t>
  </si>
  <si>
    <t>x21 = Normalised Reactive power units (MVArh) (in Normalised volumes for comparisons)</t>
  </si>
  <si>
    <t>=x1/IF(x2="kVA",IF(x3,x3,1),IF(x2="MPAN",IF(x4,x4,1),IF(x5,x5,1)))</t>
  </si>
  <si>
    <t>=x6/IF(x2="kVA",IF(x3,x3,1),IF(x2="MPAN",IF(x4,x4,1),IF(x5,x5,1)))</t>
  </si>
  <si>
    <t>=x7/IF(x2="kVA",IF(x3,x3,1),IF(x2="MPAN",IF(x4,x4,1),IF(x5,x5,1)))</t>
  </si>
  <si>
    <t>=x4/IF(x2="kVA",IF(x3,x3,1),IF(x2="MPAN",IF(x4,x4,1),IF(x5,x5,1)))</t>
  </si>
  <si>
    <t>=x3/IF(x2="kVA",IF(x3,x3,1),IF(x2="MPAN",IF(x4,x4,1),IF(x5,x5,1)))</t>
  </si>
  <si>
    <t>=x8/IF(x2="kVA",IF(x3,x3,1),IF(x2="MPAN",IF(x4,x4,1),IF(x5,x5,1)))</t>
  </si>
  <si>
    <t>=0.01*x9*(x10*x11+x12*x13)+10*(x14*x15+x16*x17+x18*x19+x20*x21)</t>
  </si>
  <si>
    <t>Normalised Rate 1 units (MWh)</t>
  </si>
  <si>
    <t>Normalised Rate 2 units (MWh)</t>
  </si>
  <si>
    <t>Normalised Rate 3 units (MWh)</t>
  </si>
  <si>
    <t>Normalised MPANs</t>
  </si>
  <si>
    <t>Normalised Import capacity (kVA)</t>
  </si>
  <si>
    <t>Normalised Reactive power units (MVArh)</t>
  </si>
  <si>
    <t>Normalised revenues (£)</t>
  </si>
  <si>
    <t>4005. LDNO LV charges (normalised £)</t>
  </si>
  <si>
    <t>x1 = 4004. Normalised revenues (£) (in Normalised volumes for comparisons)</t>
  </si>
  <si>
    <t>LDNO LV charges (normalised £)</t>
  </si>
  <si>
    <t>N/A</t>
  </si>
  <si>
    <t>4006. LDNO HV charges (normalised £)</t>
  </si>
  <si>
    <t>LDNO HV charges (normalised £)</t>
  </si>
  <si>
    <t>4101. Comparison with current all-the-way demand tariffs</t>
  </si>
  <si>
    <t>x1 = 4001. Revenues under current tariffs (£)</t>
  </si>
  <si>
    <t>x2 = 3802. Net revenues (£) (in Revenue summary)</t>
  </si>
  <si>
    <t>x3 = 3802. All units (MWh) (in Revenue summary)</t>
  </si>
  <si>
    <t>=IF(x1,x2/x1-1,"")</t>
  </si>
  <si>
    <t>=(x2-x1)/IF(x3,x3,1)/10</t>
  </si>
  <si>
    <t>Change</t>
  </si>
  <si>
    <t>Absolute change (average p/kWh)</t>
  </si>
  <si>
    <t>4102. LDNO margins in use of system charges</t>
  </si>
  <si>
    <t>x1 = 4003. Normalised to</t>
  </si>
  <si>
    <t>x2 = 4004. Normalised revenues (£) (in Normalised volumes for comparisons)</t>
  </si>
  <si>
    <t>x3 = 4005. LDNO LV charges (normalised £)</t>
  </si>
  <si>
    <t>x4 = All-the-way charges (normalised £) (in LDNO margins in use of system charges)</t>
  </si>
  <si>
    <t>x5 = 4006. LDNO HV charges (normalised £)</t>
  </si>
  <si>
    <t>=IF(x3,x4-x3,"")</t>
  </si>
  <si>
    <t>=IF(x5,x4-x5,"")</t>
  </si>
  <si>
    <t>All-the-way charges (normalised £)</t>
  </si>
  <si>
    <t>LDNO LV margin (normalised £)</t>
  </si>
  <si>
    <t>LDNO HV margin (normalised £)</t>
  </si>
  <si>
    <t>This version of the model is a draft for testing only.</t>
  </si>
  <si>
    <t>Copyright 2009-2012 DCUSA Limited and contributors. All rights reserved.</t>
  </si>
  <si>
    <t>Redistribution and use in source and binary forms, with or without modification, are permitted provided that the</t>
  </si>
  <si>
    <t>following conditions are met:</t>
  </si>
  <si>
    <t>1. Redistributions of source code must retain the above copyright notice, this list of conditions and the</t>
  </si>
  <si>
    <t>following disclaimer.</t>
  </si>
  <si>
    <t>2. Redistributions in binary form must reproduce the above copyright notice, this list of conditions and the</t>
  </si>
  <si>
    <t>following disclaimer in the documentation and/or other materials provided with the distribution.</t>
  </si>
  <si>
    <t>THIS SOFTWARE IS PROVIDED BY DCUSA LIMITED AND CONTRIBUTORS "AS IS" AND ANY EXPRESS OR IMPLIED WARRANTIES,</t>
  </si>
  <si>
    <t>INCLUDING, BUT NOT LIMITED TO, THE IMPLIED WARRANTIES OF MERCHANTABILITY AND FITNESS FOR A PARTICULAR PURPOSE</t>
  </si>
  <si>
    <t>ARE DISCLAIMED. IN NO EVENT SHALL DCUSA LIMITED OR CONTRIBUTORS BE LIABLE FOR ANY DIRECT, INDIRECT, INCIDENTAL,</t>
  </si>
  <si>
    <t>SPECIAL, EXEMPLARY, OR CONSEQUENTIAL DAMAGES (INCLUDING, BUT NOT LIMITED TO, PROCUREMENT OF SUBSTITUTE GOODS OR</t>
  </si>
  <si>
    <t>SERVICES; LOSS OF USE, DATA, OR PROFITS; OR BUSINESS INTERRUPTION) HOWEVER CAUSED AND ON ANY THEORY OF</t>
  </si>
  <si>
    <t>LIABILITY, WHETHER IN CONTRACT, STRICT LIABILITY, OR TORT (INCLUDING NEGLIGENCE OR OTHERWISE) ARISING IN ANY WAY</t>
  </si>
  <si>
    <t>OUT OF THE USE OF THIS SOFTWARE, EVEN IF ADVISED OF THE POSSIBILITY OF SUCH DAMAGE.</t>
  </si>
  <si>
    <t>This workbook is structured as a series of named and numbered tables. Above each calculation table, the</t>
  </si>
  <si>
    <t>algorithm used in the calculations is stated together with hyperlinks to all source data tables.</t>
  </si>
  <si>
    <t>Some versions of Microsoft Excel have a "Back" button which can be useful when using hyperlinks to navigate</t>
  </si>
  <si>
    <t>around the workbook.  The "Back" button might be in the "Web" toolbar (Microsoft Excel versions up to 2004), or</t>
  </si>
  <si>
    <t>an additional command which can be added to the "Quick Access Toolbar" (Microsoft Excel versions 2007 and 2010).</t>
  </si>
  <si>
    <t>Unless stated otherwise, all the data in this model are for illustration only.</t>
  </si>
  <si>
    <t>Colour coding</t>
  </si>
  <si>
    <t>Data input</t>
  </si>
  <si>
    <t>Unused cell in input data table</t>
  </si>
  <si>
    <t>Copy data</t>
  </si>
  <si>
    <t>Unused cell in calculation table</t>
  </si>
  <si>
    <t>Constant value</t>
  </si>
  <si>
    <t>Unlocked cell for notes</t>
  </si>
  <si>
    <t>List of data tables</t>
  </si>
  <si>
    <t>This table lists the data tables (inputs and calculations) in the model.  Each line contains a link is to the first data cell of the table.</t>
  </si>
  <si>
    <t>Worksheet</t>
  </si>
  <si>
    <t>Data table</t>
  </si>
  <si>
    <t>Type of table</t>
  </si>
  <si>
    <t>Input</t>
  </si>
  <si>
    <t>Composite</t>
  </si>
  <si>
    <t>LAFs</t>
  </si>
  <si>
    <t>DRM</t>
  </si>
  <si>
    <t>SM</t>
  </si>
  <si>
    <t>Loads</t>
  </si>
  <si>
    <t>Multi</t>
  </si>
  <si>
    <t>Reshape table</t>
  </si>
  <si>
    <t>SMD</t>
  </si>
  <si>
    <t>AMD</t>
  </si>
  <si>
    <t>Otex</t>
  </si>
  <si>
    <t>Contrib</t>
  </si>
  <si>
    <t>Yard</t>
  </si>
  <si>
    <t>Standing</t>
  </si>
  <si>
    <t>NHH</t>
  </si>
  <si>
    <t>Reactive</t>
  </si>
  <si>
    <t>Aggreg</t>
  </si>
  <si>
    <t>Revenue</t>
  </si>
  <si>
    <t>Optimisation result</t>
  </si>
  <si>
    <t>Adjust</t>
  </si>
  <si>
    <t>Tariffs</t>
  </si>
  <si>
    <t>Summary</t>
  </si>
  <si>
    <t>M-Rev</t>
  </si>
  <si>
    <t>CData</t>
  </si>
  <si>
    <t>CTables</t>
  </si>
  <si>
    <t>Tariff matrices</t>
  </si>
  <si>
    <t>Notes</t>
  </si>
  <si>
    <t>M-ATW</t>
  </si>
  <si>
    <t>Model identification and configuration</t>
  </si>
  <si>
    <t>---</t>
  </si>
  <si>
    <t>PerlModule: CDCM</t>
  </si>
  <si>
    <t>coincidenceAdj: groupums</t>
  </si>
  <si>
    <t>dcp130preprocess: 1</t>
  </si>
  <si>
    <t>drm: top500gsp</t>
  </si>
  <si>
    <t>extraLevels: 1</t>
  </si>
  <si>
    <t>inputData: dataSheet</t>
  </si>
  <si>
    <t>matrices: big</t>
  </si>
  <si>
    <t>noReplacement: blanket</t>
  </si>
  <si>
    <t>pcd: 1</t>
  </si>
  <si>
    <t>portfolio: 1</t>
  </si>
  <si>
    <t>protect: 1</t>
  </si>
  <si>
    <t>revisionText: r6140</t>
  </si>
  <si>
    <t>scaler: levelledpickexitnogenminzero</t>
  </si>
  <si>
    <t>standing: sub132</t>
  </si>
  <si>
    <t>summary: consultation</t>
  </si>
  <si>
    <t>tariffs: commongensubdcp130</t>
  </si>
  <si>
    <t>template: '%-DCP130'</t>
  </si>
  <si>
    <t>timeOfDay: timeOfDaySpecial</t>
  </si>
  <si>
    <t>validation: lenientnomsg</t>
  </si>
  <si>
    <t>version: DCP130 prototype</t>
  </si>
  <si>
    <t>'~codeValidation':</t>
  </si>
  <si>
    <t xml:space="preserve">  Ancillary/Validation.pm: 1c7f7d0ce6a9595096d771fea93fc6d2d4b2bb1c</t>
  </si>
  <si>
    <t xml:space="preserve">  CDCM/AML.pm: 86bfc80549fd25d6d660c954a706a4b14d86e4f4</t>
  </si>
  <si>
    <t xml:space="preserve">  CDCM/Aggregation.pm: 59f4a7b6372cadb079a9059e0fdb08ac4c331721</t>
  </si>
  <si>
    <t xml:space="preserve">  CDCM/Contributions.pm: de3c65f7299f7b75a063144b4500535b13799f58</t>
  </si>
  <si>
    <t xml:space="preserve">  CDCM/Loads.pm: 4fb2f235dc3076b5706dae1c1280e36f538dffc0</t>
  </si>
  <si>
    <t xml:space="preserve">  CDCM/Master.pm: 3b8b2e68a76800a5013ab0565d5a0ab05c34f603</t>
  </si>
  <si>
    <t xml:space="preserve">  CDCM/Matching.pm: 8b5f8524d7f8ddc59c79a615e8fd08e7abc57c30</t>
  </si>
  <si>
    <t xml:space="preserve">  CDCM/ModelNotes.pm: cd7389891fb8176697c3890a15df7950bdbc8d3c</t>
  </si>
  <si>
    <t xml:space="preserve">  CDCM/NetworkSizer.pm: 3e5c655a66f0de56624932f4b525c97b385ec219</t>
  </si>
  <si>
    <t xml:space="preserve">  CDCM/Operating.pm: f6e9ccaee16099f7001750f861b13bb28920113e</t>
  </si>
  <si>
    <t xml:space="preserve">  CDCM/Reactive.pm: 4acdd24e4e61fd85eed1aa8e6aa72935fcae761b</t>
  </si>
  <si>
    <t xml:space="preserve">  CDCM/Revenue.pm: 0549caec1cf80ce1cbd00742db01bf3c7657d54d</t>
  </si>
  <si>
    <t xml:space="preserve">  CDCM/Routeing.pm: dcc2bc55acf53aff0f20a53ca66043625ff18fa8</t>
  </si>
  <si>
    <t xml:space="preserve">  CDCM/SML.pm: 842e1b01e8e827eeffdd99684f986825f01b102b</t>
  </si>
  <si>
    <t xml:space="preserve">  CDCM/ServiceModels.pm: 000f9742dd0cde60b3e6c3cbb3211945a883cae7</t>
  </si>
  <si>
    <t xml:space="preserve">  CDCM/Setup.pm: eb53bcdfab8524960e816f4b39c2c93f0d3b4102</t>
  </si>
  <si>
    <t xml:space="preserve">  CDCM/Sheets.pm: 9bbbb0112c7aaac746c0d59a18dee1f2132b0cc9</t>
  </si>
  <si>
    <t xml:space="preserve">  CDCM/Standing.pm: 1073dfd00e9c6bf52a7fa44d8634a92899248fc0</t>
  </si>
  <si>
    <t xml:space="preserve">  CDCM/Summary.pm: 44f086c18de4386cbc61179d3053f5957a99ce06</t>
  </si>
  <si>
    <t xml:space="preserve">  CDCM/TariffList.pm: bae7f09aba9bc5d4e48f1945c4aab348dada0490</t>
  </si>
  <si>
    <t xml:space="preserve">  CDCM/Tariffs.pm: 9686a7afe6a47b17fffcdaca676c8dc0883447f5</t>
  </si>
  <si>
    <t xml:space="preserve">  CDCM/TimeOfDay.pm: 64b3a3b0f2e1dfe805b17f1ac5290b8e16d911d6</t>
  </si>
  <si>
    <t xml:space="preserve">  CDCM/TimeOfDaySpecial.pm: 78ac90bbb67df98dc41f47f02261eb590d876dc0</t>
  </si>
  <si>
    <t xml:space="preserve">  CDCM/Yardsticks.pm: ff1bd267cfc609bb90bf8d97799d130eba426a6c</t>
  </si>
  <si>
    <t xml:space="preserve">  SpreadsheetModel/Arithmetic.pm: 3ca29b0251e3686673108a0dee78f326df35bcf9</t>
  </si>
  <si>
    <t xml:space="preserve">  SpreadsheetModel/Columnset.pm: f78dc1f6f1abb0b00404d0a36c98f3dba5e0e38d</t>
  </si>
  <si>
    <t xml:space="preserve">  SpreadsheetModel/Dataset.pm: 87e98b72f876e67352b7272380b21a85ba20f429</t>
  </si>
  <si>
    <t xml:space="preserve">  SpreadsheetModel/GroupBy.pm: ddfe480a83a27265c3de69207784420731785eb5</t>
  </si>
  <si>
    <t xml:space="preserve">  SpreadsheetModel/Label.pm: 2f5a6e32a1ba16954ac70bfc1df5a4308e965a07</t>
  </si>
  <si>
    <t xml:space="preserve">  SpreadsheetModel/Labelset.pm: 7eedb3feb01b42f9ad0dc08a8f5d64c0d543f113</t>
  </si>
  <si>
    <t xml:space="preserve">  SpreadsheetModel/Logger.pm: 55417892d15887401c27f7bb19413a01b4486ec6</t>
  </si>
  <si>
    <t xml:space="preserve">  SpreadsheetModel/Miscellaneous.pm: 0f222dfe31972b48fbf265c64e81a67969de1b2e</t>
  </si>
  <si>
    <t xml:space="preserve">  SpreadsheetModel/Notes.pm: fa435e070f362661800e57fb1eeb14de94c046ce</t>
  </si>
  <si>
    <t xml:space="preserve">  SpreadsheetModel/Object.pm: 9ee6cf3f64b20a8df2503a9062a92aded8e68278</t>
  </si>
  <si>
    <t xml:space="preserve">  SpreadsheetModel/SegmentRoot.pm: 3d2447c254b65db0cde416851de32c632915bd1f</t>
  </si>
  <si>
    <t xml:space="preserve">  SpreadsheetModel/Shortcuts.pm: a1ba747fab34ac7d04ad9d4f44de6576b981f5c8</t>
  </si>
  <si>
    <t xml:space="preserve">  SpreadsheetModel/Stack.pm: 8318e6890d54bddf12af02b5a3e46eb2d36d37dc</t>
  </si>
  <si>
    <t xml:space="preserve">  SpreadsheetModel/SumProduct.pm: 3d0e5182022c1194aa20899fad1cf4aa60bc428b</t>
  </si>
  <si>
    <t xml:space="preserve">  SpreadsheetModel/Workbook.pm: d3a6726670285d5e9b6bb023900f79a32db56cd7</t>
  </si>
  <si>
    <t xml:space="preserve">  SpreadsheetModel/WorkbookCreate.pm: fbc2d317f984621d095b67e7bec93b2193bf6e90</t>
  </si>
  <si>
    <t xml:space="preserve">  SpreadsheetModel/WorkbookFormats.pm: b484fad80103eaeab8a4b9c9a9e95cc9f54ba86e</t>
  </si>
  <si>
    <t>'~datasetName': Blank</t>
  </si>
  <si>
    <t>'~datasetSource': Empty dataset</t>
  </si>
  <si>
    <t>'~scmData':</t>
  </si>
  <si>
    <t xml:space="preserve">  gitCommit: 12f37e33505f4505e314ac2b99b66e40c225fd4f</t>
  </si>
  <si>
    <t>Generated on Wed 10 Oct 2012 08:35:02</t>
  </si>
  <si>
    <t>Description</t>
  </si>
  <si>
    <t>Licence Term</t>
  </si>
  <si>
    <t>CRC</t>
  </si>
  <si>
    <t>Base Demand Before Inflation (A1)</t>
  </si>
  <si>
    <r>
      <t>PU</t>
    </r>
    <r>
      <rPr>
        <vertAlign val="subscript"/>
        <sz val="10"/>
        <rFont val="Verdana"/>
        <family val="2"/>
      </rPr>
      <t>t</t>
    </r>
  </si>
  <si>
    <t>CRC3</t>
  </si>
  <si>
    <t>RPI Effective % (A2)</t>
  </si>
  <si>
    <r>
      <t>PIAD</t>
    </r>
    <r>
      <rPr>
        <vertAlign val="subscript"/>
        <sz val="10"/>
        <rFont val="Verdana"/>
        <family val="2"/>
      </rPr>
      <t>t</t>
    </r>
  </si>
  <si>
    <t>Merger adjustment (A3)</t>
  </si>
  <si>
    <r>
      <t>MG</t>
    </r>
    <r>
      <rPr>
        <vertAlign val="subscript"/>
        <sz val="10"/>
        <rFont val="Verdana"/>
        <family val="2"/>
      </rPr>
      <t>t</t>
    </r>
  </si>
  <si>
    <t>Base Demand Revenue (A): [A = A1 * A2 - A3]</t>
  </si>
  <si>
    <t>BRt</t>
  </si>
  <si>
    <t>Pass-Through Business Rates (B1)</t>
  </si>
  <si>
    <r>
      <t>RB</t>
    </r>
    <r>
      <rPr>
        <vertAlign val="subscript"/>
        <sz val="10"/>
        <rFont val="Verdana"/>
        <family val="2"/>
      </rPr>
      <t>t</t>
    </r>
  </si>
  <si>
    <t>CRC4</t>
  </si>
  <si>
    <t>Pass-Through Licence Fees (B2)</t>
  </si>
  <si>
    <r>
      <t>LF</t>
    </r>
    <r>
      <rPr>
        <vertAlign val="subscript"/>
        <sz val="10"/>
        <rFont val="Verdana"/>
        <family val="2"/>
      </rPr>
      <t>t</t>
    </r>
  </si>
  <si>
    <t>Pass-Through Transmission Exit (B3)</t>
  </si>
  <si>
    <r>
      <t>TB</t>
    </r>
    <r>
      <rPr>
        <vertAlign val="subscript"/>
        <sz val="10"/>
        <rFont val="Verdana"/>
        <family val="2"/>
      </rPr>
      <t>t</t>
    </r>
  </si>
  <si>
    <t>Price Control Reopener (B4)</t>
  </si>
  <si>
    <r>
      <t>UNC</t>
    </r>
    <r>
      <rPr>
        <vertAlign val="subscript"/>
        <sz val="10"/>
        <rFont val="Verdana"/>
        <family val="2"/>
      </rPr>
      <t>t</t>
    </r>
  </si>
  <si>
    <t>Pass-Through Others (B5)</t>
  </si>
  <si>
    <r>
      <t>MPT</t>
    </r>
    <r>
      <rPr>
        <vertAlign val="subscript"/>
        <sz val="10"/>
        <rFont val="Verdana"/>
        <family val="2"/>
      </rPr>
      <t xml:space="preserve">t, </t>
    </r>
    <r>
      <rPr>
        <sz val="10"/>
        <rFont val="Verdana"/>
        <family val="2"/>
      </rPr>
      <t>HB</t>
    </r>
    <r>
      <rPr>
        <vertAlign val="subscript"/>
        <sz val="10"/>
        <rFont val="Verdana"/>
        <family val="2"/>
      </rPr>
      <t xml:space="preserve">t, </t>
    </r>
    <r>
      <rPr>
        <sz val="10"/>
        <rFont val="Verdana"/>
        <family val="2"/>
      </rPr>
      <t>IED</t>
    </r>
    <r>
      <rPr>
        <vertAlign val="subscript"/>
        <sz val="10"/>
        <rFont val="Verdana"/>
        <family val="2"/>
      </rPr>
      <t>t</t>
    </r>
  </si>
  <si>
    <t>Allowed Pass-Through Items (B): [B = B1 + B2 + B3 +B4 + B5]</t>
  </si>
  <si>
    <t>PTt</t>
  </si>
  <si>
    <t>Losses Incentive (C1)</t>
  </si>
  <si>
    <r>
      <t>UIL</t>
    </r>
    <r>
      <rPr>
        <vertAlign val="subscript"/>
        <sz val="10"/>
        <rFont val="Verdana"/>
        <family val="2"/>
      </rPr>
      <t>t</t>
    </r>
  </si>
  <si>
    <t>CRC7</t>
  </si>
  <si>
    <r>
      <t>PCOL</t>
    </r>
    <r>
      <rPr>
        <vertAlign val="subscript"/>
        <sz val="10"/>
        <rFont val="Verdana"/>
        <family val="2"/>
      </rPr>
      <t>t</t>
    </r>
  </si>
  <si>
    <r>
      <t>-COL</t>
    </r>
    <r>
      <rPr>
        <vertAlign val="subscript"/>
        <sz val="10"/>
        <rFont val="Verdana"/>
        <family val="2"/>
      </rPr>
      <t>t</t>
    </r>
  </si>
  <si>
    <r>
      <t>PPL</t>
    </r>
    <r>
      <rPr>
        <vertAlign val="subscript"/>
        <sz val="10"/>
        <rFont val="Verdana"/>
        <family val="2"/>
      </rPr>
      <t>t</t>
    </r>
  </si>
  <si>
    <t>Quality of service incentive adjustment (C2)</t>
  </si>
  <si>
    <r>
      <t>IQ</t>
    </r>
    <r>
      <rPr>
        <vertAlign val="subscript"/>
        <sz val="10"/>
        <rFont val="Verdana"/>
        <family val="2"/>
      </rPr>
      <t>t</t>
    </r>
  </si>
  <si>
    <t>CRC8</t>
  </si>
  <si>
    <t>Transmission connection point charges incentive adjustment (C3)</t>
  </si>
  <si>
    <r>
      <t>IT</t>
    </r>
    <r>
      <rPr>
        <vertAlign val="subscript"/>
        <sz val="10"/>
        <rFont val="Verdana"/>
        <family val="2"/>
      </rPr>
      <t>t</t>
    </r>
  </si>
  <si>
    <t>CRC9</t>
  </si>
  <si>
    <t>Innovation funding incentive adjustment (C4)</t>
  </si>
  <si>
    <r>
      <t>IFI</t>
    </r>
    <r>
      <rPr>
        <vertAlign val="subscript"/>
        <sz val="10"/>
        <rFont val="Verdana"/>
        <family val="2"/>
      </rPr>
      <t>t</t>
    </r>
  </si>
  <si>
    <t>CRC10</t>
  </si>
  <si>
    <t>Incentive revenue for Distributed Generation (C5)</t>
  </si>
  <si>
    <r>
      <t>IG</t>
    </r>
    <r>
      <rPr>
        <vertAlign val="subscript"/>
        <sz val="10"/>
        <rFont val="Verdana"/>
        <family val="2"/>
      </rPr>
      <t>t</t>
    </r>
  </si>
  <si>
    <t>CRC11</t>
  </si>
  <si>
    <t>Connection Guaranteed Standards Systems &amp; Processes penalty (C6)</t>
  </si>
  <si>
    <r>
      <t>CGSRA</t>
    </r>
    <r>
      <rPr>
        <vertAlign val="subscript"/>
        <sz val="10"/>
        <rFont val="Verdana"/>
        <family val="2"/>
      </rPr>
      <t>t</t>
    </r>
    <r>
      <rPr>
        <sz val="10"/>
        <rFont val="Verdana"/>
        <family val="2"/>
      </rPr>
      <t>,CGSSP</t>
    </r>
    <r>
      <rPr>
        <vertAlign val="subscript"/>
        <sz val="10"/>
        <rFont val="Verdana"/>
        <family val="2"/>
      </rPr>
      <t>t</t>
    </r>
    <r>
      <rPr>
        <sz val="10"/>
        <rFont val="Verdana"/>
        <family val="2"/>
      </rPr>
      <t xml:space="preserve"> &amp; AUM</t>
    </r>
    <r>
      <rPr>
        <vertAlign val="subscript"/>
        <sz val="10"/>
        <rFont val="Verdana"/>
        <family val="2"/>
      </rPr>
      <t>t</t>
    </r>
  </si>
  <si>
    <t>CRC12</t>
  </si>
  <si>
    <t>Low Carbon Networks Fund (C7)</t>
  </si>
  <si>
    <r>
      <t>LCN1</t>
    </r>
    <r>
      <rPr>
        <vertAlign val="subscript"/>
        <sz val="10"/>
        <rFont val="Verdana"/>
        <family val="2"/>
      </rPr>
      <t>t</t>
    </r>
  </si>
  <si>
    <t>CRC13</t>
  </si>
  <si>
    <r>
      <t>LCN2</t>
    </r>
    <r>
      <rPr>
        <vertAlign val="subscript"/>
        <sz val="10"/>
        <rFont val="Verdana"/>
        <family val="2"/>
      </rPr>
      <t>t</t>
    </r>
  </si>
  <si>
    <r>
      <t>LCN3</t>
    </r>
    <r>
      <rPr>
        <vertAlign val="subscript"/>
        <sz val="10"/>
        <rFont val="Verdana"/>
        <family val="2"/>
      </rPr>
      <t>t</t>
    </r>
  </si>
  <si>
    <t>Incentive Revenue and Other Adjustments (C): [C = C1 + C2 + C3 + C4 + C5 + C6 + C7]</t>
  </si>
  <si>
    <t>Correction Factor (D)</t>
  </si>
  <si>
    <r>
      <t>-K</t>
    </r>
    <r>
      <rPr>
        <b/>
        <vertAlign val="subscript"/>
        <sz val="10"/>
        <rFont val="Verdana"/>
        <family val="2"/>
      </rPr>
      <t>t</t>
    </r>
  </si>
  <si>
    <t>Tax Trigger Mechanism Adjustment (E)</t>
  </si>
  <si>
    <r>
      <t>CTRA</t>
    </r>
    <r>
      <rPr>
        <b/>
        <vertAlign val="subscript"/>
        <sz val="10"/>
        <rFont val="Verdana"/>
        <family val="2"/>
      </rPr>
      <t>t</t>
    </r>
  </si>
  <si>
    <t>Total allowed Revenue (F): [F= A + B + C + D + E]</t>
  </si>
  <si>
    <r>
      <t>AR</t>
    </r>
    <r>
      <rPr>
        <b/>
        <vertAlign val="subscript"/>
        <sz val="10"/>
        <rFont val="Arial"/>
        <family val="2"/>
      </rPr>
      <t>t</t>
    </r>
  </si>
  <si>
    <t>Other 1. Excluded services - Top-up, standby, and enhanced system security (G1) (see note 1)</t>
  </si>
  <si>
    <t>ES4</t>
  </si>
  <si>
    <t>CRC15</t>
  </si>
  <si>
    <t>Other 2. Excluded services - Revenue protection services (G2) (see note 1)</t>
  </si>
  <si>
    <t>ES5</t>
  </si>
  <si>
    <t>Other 3. Excluded services - Miscellaneous (G3) (see note 1)</t>
  </si>
  <si>
    <t>ES7</t>
  </si>
  <si>
    <t>Other 4. - blank or if required please provide description (G4)</t>
  </si>
  <si>
    <t>Other 5. - blank or if required please provide description (G5)</t>
  </si>
  <si>
    <t>Total Other Revenue to be recovered by Use of System Charges (G): [G = G1 + G2 + G3 + G4 +G5]</t>
  </si>
  <si>
    <t>Total Revenue for Use of System Charges (H): [H =F + G]</t>
  </si>
  <si>
    <t>1. Revenue raised outside CDCM - EDCM and Certain Interconnector Revenue (I1)</t>
  </si>
  <si>
    <t>2. Revenue raised outside CDCM - Voluntary under-recovery (I2)</t>
  </si>
  <si>
    <t>3. Revenue raised outside CDCM - blank or if required please provide description (I3)</t>
  </si>
  <si>
    <t>4. Revenue raised outside CDCM - blank or if required please provide description (I4)</t>
  </si>
  <si>
    <t>Total Revenue to be raised outside the CDCM (I): [I = I1 + I2 + I3 + I4]</t>
  </si>
  <si>
    <t>CDCM Target Revenue (J): [J =  H - I]</t>
  </si>
  <si>
    <t>Note 1: Cost categories associated with excluded services should only be populated if the Company recovers the costs of providing these services from Use of System charges.</t>
  </si>
  <si>
    <t>CDCM Target Revenue (£/year)</t>
  </si>
  <si>
    <t>Source: CDCM Revenues</t>
  </si>
  <si>
    <t>3402. Target Revenue (£/annum)</t>
  </si>
  <si>
    <t>3402. Target revenue (£/year)</t>
  </si>
  <si>
    <t>Cell-by-cell calculation =x1</t>
  </si>
  <si>
    <t>x1 = 1076. Target revenue (£/year)</t>
  </si>
  <si>
    <t>CDCM target revenue (£/year)</t>
  </si>
  <si>
    <t>Target revenue (£/year)</t>
  </si>
  <si>
    <t>x2 = 3402. Target revenue (£/year)</t>
  </si>
  <si>
    <t>=x2-x3</t>
  </si>
  <si>
    <t>x1 = 3401. Net revenues by tariff before matching (£/year)</t>
  </si>
  <si>
    <t>x3 = Total net revenues before matching (£/year) (in Revenue surplus or shortfall)</t>
  </si>
  <si>
    <t>Cell-by-cell calculation</t>
  </si>
  <si>
    <t>x2 = 3510. Net revenues by tariff from scaler (in Scaler)</t>
  </si>
  <si>
    <t>x3 = 3605. Net revenues by tariff from rounding</t>
  </si>
  <si>
    <t>x4 = Total net revenues before matching (£) (in Revenue forecast summary)</t>
  </si>
  <si>
    <t>x5 = Total net revenues from scaler (£) (in Revenue forecast summary)</t>
  </si>
  <si>
    <t>x6 = Total net revenues from rounding (£) (in Revenue forecast summary)</t>
  </si>
  <si>
    <t>x7 = Total net revenues (£) (in Revenue forecast summary)</t>
  </si>
  <si>
    <t>x8 = 3402. Target revenue (£/year)</t>
  </si>
  <si>
    <t>=x4+x5+x6</t>
  </si>
  <si>
    <t>=x7-x8</t>
  </si>
  <si>
    <t>1001. CDCM Target Revenue Calculations (£m)</t>
  </si>
  <si>
    <t xml:space="preserve">Electricity North West </t>
  </si>
  <si>
    <t>2013/14</t>
  </si>
  <si>
    <t>April 2013 Indicative</t>
  </si>
  <si>
    <t>continuous</t>
  </si>
  <si>
    <t>dusk to dawn</t>
  </si>
  <si>
    <t>dawn to dusk</t>
  </si>
  <si>
    <t>part night</t>
  </si>
  <si>
    <t>011, 041, 441, 511</t>
  </si>
  <si>
    <t xml:space="preserve">031, 051, 061, 451, 531 </t>
  </si>
  <si>
    <t>081, 581</t>
  </si>
  <si>
    <t>131, 191, 631</t>
  </si>
  <si>
    <t>161, 171, 661</t>
  </si>
  <si>
    <t>091, 591</t>
  </si>
  <si>
    <t>241, 431, 481, 751</t>
  </si>
  <si>
    <t>242, 432, 482, 752</t>
  </si>
  <si>
    <t>483, 753</t>
  </si>
  <si>
    <t>984</t>
  </si>
  <si>
    <t>974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</si>
</sst>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0">
    <numFmt numFmtId="164" formatCode="0.000;\-0.000;;@"/>
    <numFmt numFmtId="165" formatCode="\ _(??0.0%_);[Red]\ \(??0.0%\);;@"/>
    <numFmt numFmtId="166" formatCode="\ _(???,???,??0_);[Red]\ \(???,???,??0\);;@"/>
    <numFmt numFmtId="167" formatCode="\ _(???,???,??0.000_);[Red]\ \(???,???,??0.000\);;@"/>
    <numFmt numFmtId="168" formatCode="\ _(???,???,??0.0_);[Red]\ \(???,???,??0.0\);;@"/>
    <numFmt numFmtId="169" formatCode="\ _(???,???,??0.00000_);[Red]\ \(???,???,??0.00000\);;@"/>
    <numFmt numFmtId="170" formatCode="\ _(???,???,??0.00_);[Red]\ \(???,???,??0.00\);;@"/>
    <numFmt numFmtId="171" formatCode="[Blue]\+??0.0%;[Red]\-??0.0%;[Green]\="/>
    <numFmt numFmtId="172" formatCode="[Blue]\+?0.000;[Red]\-?0.000;;@"/>
    <numFmt numFmtId="173" formatCode="#,##0.0;[Red]\(#,##0.0\)"/>
    <numFmt numFmtId="174" formatCode="#,##0.000_ ;[Red]\-#,##0.000\ "/>
    <numFmt numFmtId="175" formatCode="_(?,???,??0_);[Red]\(?,???,??0\);_(?,???,???_)"/>
    <numFmt numFmtId="176" formatCode="_(??0.0%_);[Red]\(??0.0%\);_(???.?_%_)"/>
    <numFmt numFmtId="177" formatCode="_(?,???,???,??0_);[Red]\(?,???,???,??0\);_(?,???,???,???_)"/>
    <numFmt numFmtId="178" formatCode="_(?,???,??0.000_);[Red]\(?,???,??0.000\);_(?,???,???.???_)"/>
    <numFmt numFmtId="179" formatCode="0.000;\-0.000;"/>
    <numFmt numFmtId="180" formatCode="_(??0.0%_);[Red]\(??0.0%\);"/>
    <numFmt numFmtId="181" formatCode="_(?,???,???,??0_);[Red]\(?,???,???,??0\);"/>
    <numFmt numFmtId="182" formatCode="_(?,???,??0.000_);[Red]\(?,???,??0.000\);"/>
    <numFmt numFmtId="183" formatCode="_(?,???,???,??0.0_);[Red]\(?,???,???,??0.0\);"/>
  </numFmts>
  <fonts count="26" x14ac:knownFonts="1">
    <font>
      <sz val="10"/>
      <name val="Arial"/>
    </font>
    <font>
      <sz val="11"/>
      <color theme="1"/>
      <name val="Calibri"/>
      <family val="2"/>
      <scheme val="minor"/>
    </font>
    <font>
      <u/>
      <sz val="10"/>
      <color indexed="12"/>
      <name val="Arial"/>
      <family val="2"/>
    </font>
    <font>
      <b/>
      <sz val="13"/>
      <name val="Arial"/>
      <family val="2"/>
    </font>
    <font>
      <b/>
      <sz val="10"/>
      <name val="Arial"/>
      <family val="2"/>
    </font>
    <font>
      <sz val="10"/>
      <color indexed="20"/>
      <name val="Arial"/>
      <family val="2"/>
    </font>
    <font>
      <i/>
      <sz val="10"/>
      <name val="Arial"/>
      <family val="2"/>
    </font>
    <font>
      <b/>
      <sz val="15"/>
      <name val="Arial"/>
      <family val="2"/>
    </font>
    <font>
      <b/>
      <sz val="11"/>
      <color theme="0"/>
      <name val="Calibri"/>
      <family val="2"/>
      <scheme val="minor"/>
    </font>
    <font>
      <b/>
      <sz val="12"/>
      <color indexed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Verdana"/>
      <family val="2"/>
    </font>
    <font>
      <vertAlign val="subscript"/>
      <sz val="10"/>
      <name val="Verdana"/>
      <family val="2"/>
    </font>
    <font>
      <b/>
      <sz val="10"/>
      <name val="Verdana"/>
      <family val="2"/>
    </font>
    <font>
      <b/>
      <vertAlign val="subscript"/>
      <sz val="10"/>
      <name val="Verdana"/>
      <family val="2"/>
    </font>
    <font>
      <b/>
      <vertAlign val="subscript"/>
      <sz val="10"/>
      <name val="Arial"/>
      <family val="2"/>
    </font>
    <font>
      <i/>
      <sz val="10"/>
      <name val="Arial"/>
      <family val="2"/>
    </font>
    <font>
      <u/>
      <sz val="11"/>
      <color indexed="12"/>
      <name val="Arial"/>
      <family val="2"/>
    </font>
    <font>
      <u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theme="1"/>
      <name val="Calibri"/>
      <family val="2"/>
      <scheme val="minor"/>
    </font>
    <font>
      <sz val="11"/>
      <name val="Arial"/>
      <family val="2"/>
    </font>
    <font>
      <sz val="11"/>
      <color indexed="20"/>
      <name val="Arial"/>
      <family val="2"/>
    </font>
    <font>
      <sz val="10"/>
      <color theme="1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lightGrid">
        <fgColor indexed="22"/>
        <bgColor indexed="9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lightUp">
        <fgColor indexed="22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7"/>
        <bgColor indexed="64"/>
      </patternFill>
    </fill>
    <fill>
      <patternFill patternType="lightGrid">
        <fgColor indexed="22"/>
      </patternFill>
    </fill>
    <fill>
      <patternFill patternType="solid">
        <fgColor rgb="FFCCFFFF"/>
        <bgColor indexed="64"/>
      </patternFill>
    </fill>
    <fill>
      <patternFill patternType="lightGrid">
        <fgColor rgb="FFE9E9E9"/>
        <bgColor rgb="FFFFFFFF"/>
      </patternFill>
    </fill>
  </fills>
  <borders count="9">
    <border>
      <left/>
      <right/>
      <top/>
      <bottom/>
      <diagonal/>
    </border>
    <border>
      <left/>
      <right/>
      <top style="dashed">
        <color indexed="20"/>
      </top>
      <bottom style="dashed">
        <color indexed="2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ashed">
        <color indexed="20"/>
      </left>
      <right/>
      <top style="dashed">
        <color indexed="20"/>
      </top>
      <bottom style="dashed">
        <color indexed="20"/>
      </bottom>
      <diagonal/>
    </border>
  </borders>
  <cellStyleXfs count="3">
    <xf numFmtId="0" fontId="0" fillId="0" borderId="0"/>
    <xf numFmtId="0" fontId="12" fillId="0" borderId="0"/>
    <xf numFmtId="0" fontId="1" fillId="0" borderId="0"/>
  </cellStyleXfs>
  <cellXfs count="116">
    <xf numFmtId="0" fontId="0" fillId="0" borderId="0" xfId="0"/>
    <xf numFmtId="49" fontId="0" fillId="2" borderId="0" xfId="0" applyNumberFormat="1" applyFill="1" applyAlignment="1" applyProtection="1">
      <alignment horizontal="left" vertical="center" wrapText="1"/>
      <protection locked="0"/>
    </xf>
    <xf numFmtId="164" fontId="0" fillId="3" borderId="0" xfId="0" applyNumberFormat="1" applyFill="1" applyAlignment="1" applyProtection="1">
      <alignment horizontal="center" vertical="center"/>
      <protection locked="0"/>
    </xf>
    <xf numFmtId="49" fontId="3" fillId="0" borderId="0" xfId="0" applyNumberFormat="1" applyFont="1" applyAlignment="1">
      <alignment horizontal="left"/>
    </xf>
    <xf numFmtId="49" fontId="4" fillId="4" borderId="0" xfId="0" applyNumberFormat="1" applyFont="1" applyFill="1" applyAlignment="1">
      <alignment horizontal="center" vertical="center" wrapText="1"/>
    </xf>
    <xf numFmtId="49" fontId="4" fillId="4" borderId="0" xfId="0" applyNumberFormat="1" applyFont="1" applyFill="1" applyAlignment="1">
      <alignment horizontal="left" vertical="center" wrapText="1"/>
    </xf>
    <xf numFmtId="0" fontId="5" fillId="0" borderId="1" xfId="0" applyFont="1" applyBorder="1" applyAlignment="1" applyProtection="1">
      <alignment vertical="center"/>
      <protection locked="0"/>
    </xf>
    <xf numFmtId="166" fontId="0" fillId="2" borderId="0" xfId="0" applyNumberFormat="1" applyFill="1" applyAlignment="1" applyProtection="1">
      <alignment horizontal="center" vertical="center"/>
      <protection locked="0"/>
    </xf>
    <xf numFmtId="167" fontId="0" fillId="5" borderId="0" xfId="0" applyNumberFormat="1" applyFill="1" applyAlignment="1">
      <alignment horizontal="center" vertical="center"/>
    </xf>
    <xf numFmtId="167" fontId="0" fillId="2" borderId="0" xfId="0" applyNumberFormat="1" applyFill="1" applyAlignment="1" applyProtection="1">
      <alignment horizontal="center" vertical="center"/>
      <protection locked="0"/>
    </xf>
    <xf numFmtId="49" fontId="0" fillId="0" borderId="0" xfId="0" applyNumberFormat="1" applyAlignment="1">
      <alignment horizontal="left" vertical="center"/>
    </xf>
    <xf numFmtId="49" fontId="2" fillId="0" borderId="0" xfId="0" applyNumberFormat="1" applyFont="1" applyAlignment="1">
      <alignment horizontal="left" vertical="center"/>
    </xf>
    <xf numFmtId="49" fontId="6" fillId="4" borderId="0" xfId="0" applyNumberFormat="1" applyFont="1" applyFill="1" applyAlignment="1">
      <alignment horizontal="left" vertical="center" wrapText="1"/>
    </xf>
    <xf numFmtId="0" fontId="0" fillId="0" borderId="0" xfId="0" applyAlignment="1" applyProtection="1">
      <alignment vertical="center"/>
      <protection locked="0"/>
    </xf>
    <xf numFmtId="49" fontId="6" fillId="4" borderId="2" xfId="0" applyNumberFormat="1" applyFont="1" applyFill="1" applyBorder="1" applyAlignment="1">
      <alignment horizontal="centerContinuous" vertical="center" wrapText="1"/>
    </xf>
    <xf numFmtId="49" fontId="7" fillId="0" borderId="0" xfId="0" applyNumberFormat="1" applyFont="1" applyAlignment="1">
      <alignment horizontal="left"/>
    </xf>
    <xf numFmtId="166" fontId="0" fillId="5" borderId="0" xfId="0" applyNumberFormat="1" applyFill="1" applyAlignment="1">
      <alignment horizontal="center" vertical="center"/>
    </xf>
    <xf numFmtId="167" fontId="0" fillId="6" borderId="0" xfId="0" applyNumberFormat="1" applyFill="1" applyAlignment="1">
      <alignment horizontal="center" vertical="center"/>
    </xf>
    <xf numFmtId="49" fontId="0" fillId="0" borderId="2" xfId="0" applyNumberFormat="1" applyBorder="1" applyAlignment="1">
      <alignment horizontal="centerContinuous" vertical="center" wrapText="1"/>
    </xf>
    <xf numFmtId="49" fontId="6" fillId="4" borderId="0" xfId="0" applyNumberFormat="1" applyFont="1" applyFill="1" applyAlignment="1">
      <alignment horizontal="left" vertical="center"/>
    </xf>
    <xf numFmtId="167" fontId="0" fillId="7" borderId="0" xfId="0" applyNumberFormat="1" applyFill="1" applyAlignment="1">
      <alignment horizontal="center" vertical="center"/>
    </xf>
    <xf numFmtId="164" fontId="0" fillId="8" borderId="0" xfId="0" applyNumberFormat="1" applyFill="1" applyAlignment="1">
      <alignment horizontal="center" vertical="center"/>
    </xf>
    <xf numFmtId="165" fontId="0" fillId="6" borderId="0" xfId="0" applyNumberFormat="1" applyFill="1" applyAlignment="1">
      <alignment horizontal="center" vertical="center"/>
    </xf>
    <xf numFmtId="165" fontId="0" fillId="5" borderId="0" xfId="0" applyNumberFormat="1" applyFill="1" applyAlignment="1">
      <alignment horizontal="center" vertical="center"/>
    </xf>
    <xf numFmtId="165" fontId="0" fillId="7" borderId="0" xfId="0" applyNumberFormat="1" applyFill="1" applyAlignment="1">
      <alignment horizontal="center" vertical="center"/>
    </xf>
    <xf numFmtId="166" fontId="0" fillId="6" borderId="0" xfId="0" applyNumberFormat="1" applyFill="1" applyAlignment="1">
      <alignment horizontal="center" vertical="center"/>
    </xf>
    <xf numFmtId="168" fontId="0" fillId="6" borderId="0" xfId="0" applyNumberFormat="1" applyFill="1" applyAlignment="1">
      <alignment horizontal="center" vertical="center"/>
    </xf>
    <xf numFmtId="166" fontId="0" fillId="7" borderId="0" xfId="0" applyNumberFormat="1" applyFill="1" applyAlignment="1">
      <alignment horizontal="center" vertical="center"/>
    </xf>
    <xf numFmtId="169" fontId="0" fillId="6" borderId="0" xfId="0" applyNumberFormat="1" applyFill="1" applyAlignment="1">
      <alignment horizontal="center" vertical="center"/>
    </xf>
    <xf numFmtId="170" fontId="0" fillId="6" borderId="0" xfId="0" applyNumberFormat="1" applyFill="1" applyAlignment="1">
      <alignment horizontal="center" vertical="center"/>
    </xf>
    <xf numFmtId="170" fontId="0" fillId="7" borderId="0" xfId="0" applyNumberFormat="1" applyFill="1" applyAlignment="1">
      <alignment horizontal="center" vertical="center"/>
    </xf>
    <xf numFmtId="171" fontId="0" fillId="6" borderId="0" xfId="0" applyNumberFormat="1" applyFill="1" applyAlignment="1">
      <alignment horizontal="center" vertical="center"/>
    </xf>
    <xf numFmtId="172" fontId="0" fillId="6" borderId="0" xfId="0" applyNumberFormat="1" applyFill="1" applyAlignment="1">
      <alignment horizontal="center" vertical="center"/>
    </xf>
    <xf numFmtId="0" fontId="9" fillId="0" borderId="0" xfId="0" applyFont="1" applyAlignment="1">
      <alignment vertical="center"/>
    </xf>
    <xf numFmtId="0" fontId="0" fillId="9" borderId="0" xfId="0" applyFill="1" applyAlignment="1">
      <alignment horizontal="center" vertical="center"/>
    </xf>
    <xf numFmtId="0" fontId="0" fillId="9" borderId="0" xfId="0" applyFill="1" applyAlignment="1">
      <alignment vertical="center"/>
    </xf>
    <xf numFmtId="0" fontId="0" fillId="9" borderId="0" xfId="0" applyFill="1"/>
    <xf numFmtId="0" fontId="10" fillId="9" borderId="0" xfId="0" applyFont="1" applyFill="1" applyAlignment="1">
      <alignment horizontal="center" vertical="center"/>
    </xf>
    <xf numFmtId="0" fontId="8" fillId="10" borderId="3" xfId="0" applyFont="1" applyFill="1" applyBorder="1" applyAlignment="1">
      <alignment horizontal="center" vertical="center"/>
    </xf>
    <xf numFmtId="0" fontId="8" fillId="10" borderId="4" xfId="0" applyFont="1" applyFill="1" applyBorder="1" applyAlignment="1">
      <alignment horizontal="center" vertical="center"/>
    </xf>
    <xf numFmtId="0" fontId="8" fillId="10" borderId="5" xfId="0" applyFont="1" applyFill="1" applyBorder="1" applyAlignment="1">
      <alignment horizontal="center" vertical="center"/>
    </xf>
    <xf numFmtId="173" fontId="8" fillId="10" borderId="5" xfId="0" quotePrefix="1" applyNumberFormat="1" applyFont="1" applyFill="1" applyBorder="1" applyAlignment="1">
      <alignment horizontal="center" vertical="center"/>
    </xf>
    <xf numFmtId="0" fontId="11" fillId="0" borderId="5" xfId="0" applyFont="1" applyBorder="1" applyAlignment="1">
      <alignment vertical="center" wrapText="1"/>
    </xf>
    <xf numFmtId="0" fontId="12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1" fillId="0" borderId="5" xfId="0" applyFont="1" applyFill="1" applyBorder="1" applyAlignment="1">
      <alignment vertical="center" wrapText="1"/>
    </xf>
    <xf numFmtId="0" fontId="11" fillId="0" borderId="5" xfId="0" applyFont="1" applyBorder="1" applyAlignment="1">
      <alignment horizontal="center" vertical="center"/>
    </xf>
    <xf numFmtId="0" fontId="10" fillId="11" borderId="5" xfId="0" applyFont="1" applyFill="1" applyBorder="1" applyAlignment="1">
      <alignment vertical="center" wrapText="1"/>
    </xf>
    <xf numFmtId="0" fontId="14" fillId="11" borderId="5" xfId="0" applyFont="1" applyFill="1" applyBorder="1" applyAlignment="1">
      <alignment horizontal="center" vertical="center"/>
    </xf>
    <xf numFmtId="0" fontId="10" fillId="11" borderId="5" xfId="0" applyFont="1" applyFill="1" applyBorder="1" applyAlignment="1">
      <alignment horizontal="center" vertical="center"/>
    </xf>
    <xf numFmtId="0" fontId="10" fillId="11" borderId="6" xfId="0" applyFont="1" applyFill="1" applyBorder="1" applyAlignment="1">
      <alignment vertical="center" wrapText="1"/>
    </xf>
    <xf numFmtId="0" fontId="12" fillId="0" borderId="5" xfId="0" applyFont="1" applyFill="1" applyBorder="1" applyAlignment="1">
      <alignment horizontal="center" vertical="center"/>
    </xf>
    <xf numFmtId="0" fontId="12" fillId="0" borderId="5" xfId="0" quotePrefix="1" applyFont="1" applyBorder="1" applyAlignment="1">
      <alignment horizontal="center" vertical="center"/>
    </xf>
    <xf numFmtId="0" fontId="12" fillId="0" borderId="5" xfId="1" applyFont="1" applyBorder="1" applyAlignment="1">
      <alignment horizontal="center" vertical="center"/>
    </xf>
    <xf numFmtId="0" fontId="10" fillId="11" borderId="7" xfId="0" applyFont="1" applyFill="1" applyBorder="1" applyAlignment="1">
      <alignment vertical="center" wrapText="1"/>
    </xf>
    <xf numFmtId="0" fontId="14" fillId="11" borderId="5" xfId="0" quotePrefix="1" applyFont="1" applyFill="1" applyBorder="1" applyAlignment="1">
      <alignment horizontal="center" vertical="center"/>
    </xf>
    <xf numFmtId="0" fontId="10" fillId="11" borderId="4" xfId="0" applyFont="1" applyFill="1" applyBorder="1" applyAlignment="1">
      <alignment vertical="center"/>
    </xf>
    <xf numFmtId="0" fontId="11" fillId="9" borderId="5" xfId="0" applyFont="1" applyFill="1" applyBorder="1" applyAlignment="1">
      <alignment vertical="center" wrapText="1"/>
    </xf>
    <xf numFmtId="0" fontId="17" fillId="9" borderId="5" xfId="0" applyFont="1" applyFill="1" applyBorder="1" applyAlignment="1">
      <alignment vertical="center" wrapText="1"/>
    </xf>
    <xf numFmtId="0" fontId="0" fillId="11" borderId="5" xfId="0" applyFill="1" applyBorder="1" applyAlignment="1">
      <alignment vertical="center"/>
    </xf>
    <xf numFmtId="0" fontId="10" fillId="11" borderId="5" xfId="0" applyFont="1" applyFill="1" applyBorder="1" applyAlignment="1">
      <alignment vertical="center"/>
    </xf>
    <xf numFmtId="0" fontId="11" fillId="9" borderId="0" xfId="0" applyFont="1" applyFill="1" applyBorder="1" applyAlignment="1">
      <alignment vertical="center"/>
    </xf>
    <xf numFmtId="0" fontId="10" fillId="12" borderId="0" xfId="0" applyFont="1" applyFill="1" applyAlignment="1">
      <alignment horizontal="center" vertical="center" wrapText="1"/>
    </xf>
    <xf numFmtId="175" fontId="0" fillId="6" borderId="0" xfId="0" applyNumberFormat="1" applyFill="1" applyAlignment="1">
      <alignment horizontal="center" vertical="center"/>
    </xf>
    <xf numFmtId="0" fontId="18" fillId="0" borderId="0" xfId="0" applyFont="1" applyAlignment="1">
      <alignment vertical="center"/>
    </xf>
    <xf numFmtId="0" fontId="10" fillId="12" borderId="0" xfId="0" applyFont="1" applyFill="1" applyAlignment="1">
      <alignment vertical="center" wrapText="1"/>
    </xf>
    <xf numFmtId="0" fontId="11" fillId="0" borderId="0" xfId="0" applyFont="1"/>
    <xf numFmtId="49" fontId="10" fillId="0" borderId="0" xfId="0" applyNumberFormat="1" applyFont="1" applyAlignment="1">
      <alignment horizontal="left"/>
    </xf>
    <xf numFmtId="49" fontId="11" fillId="0" borderId="0" xfId="0" applyNumberFormat="1" applyFont="1" applyAlignment="1">
      <alignment horizontal="left" vertical="center"/>
    </xf>
    <xf numFmtId="49" fontId="19" fillId="0" borderId="0" xfId="0" applyNumberFormat="1" applyFont="1" applyAlignment="1">
      <alignment horizontal="left" vertical="center"/>
    </xf>
    <xf numFmtId="49" fontId="10" fillId="4" borderId="0" xfId="0" applyNumberFormat="1" applyFont="1" applyFill="1" applyAlignment="1">
      <alignment horizontal="center" vertical="center" wrapText="1"/>
    </xf>
    <xf numFmtId="49" fontId="10" fillId="4" borderId="0" xfId="0" applyNumberFormat="1" applyFont="1" applyFill="1" applyAlignment="1">
      <alignment horizontal="left" vertical="center" wrapText="1"/>
    </xf>
    <xf numFmtId="166" fontId="11" fillId="6" borderId="0" xfId="0" applyNumberFormat="1" applyFont="1" applyFill="1" applyAlignment="1">
      <alignment horizontal="center" vertical="center"/>
    </xf>
    <xf numFmtId="0" fontId="20" fillId="0" borderId="1" xfId="0" applyFont="1" applyBorder="1" applyAlignment="1" applyProtection="1">
      <alignment vertical="center"/>
      <protection locked="0"/>
    </xf>
    <xf numFmtId="0" fontId="21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49" fontId="11" fillId="0" borderId="2" xfId="0" applyNumberFormat="1" applyFont="1" applyBorder="1" applyAlignment="1">
      <alignment horizontal="centerContinuous" vertical="center" wrapText="1"/>
    </xf>
    <xf numFmtId="0" fontId="20" fillId="0" borderId="8" xfId="0" applyFont="1" applyBorder="1" applyAlignment="1" applyProtection="1">
      <alignment vertical="center"/>
      <protection locked="0"/>
    </xf>
    <xf numFmtId="0" fontId="11" fillId="0" borderId="2" xfId="0" applyFont="1" applyBorder="1" applyAlignment="1">
      <alignment horizontal="centerContinuous" vertical="center" wrapText="1"/>
    </xf>
    <xf numFmtId="174" fontId="22" fillId="2" borderId="5" xfId="2" applyNumberFormat="1" applyFont="1" applyFill="1" applyBorder="1" applyAlignment="1" applyProtection="1">
      <alignment horizontal="right" vertical="center"/>
      <protection locked="0"/>
    </xf>
    <xf numFmtId="174" fontId="4" fillId="6" borderId="5" xfId="2" applyNumberFormat="1" applyFont="1" applyFill="1" applyBorder="1" applyAlignment="1">
      <alignment horizontal="right" vertical="center"/>
    </xf>
    <xf numFmtId="174" fontId="4" fillId="2" borderId="5" xfId="2" applyNumberFormat="1" applyFont="1" applyFill="1" applyBorder="1" applyAlignment="1" applyProtection="1">
      <alignment horizontal="right" vertical="center"/>
      <protection locked="0"/>
    </xf>
    <xf numFmtId="0" fontId="11" fillId="9" borderId="0" xfId="0" applyFont="1" applyFill="1"/>
    <xf numFmtId="0" fontId="23" fillId="2" borderId="0" xfId="0" applyFont="1" applyFill="1" applyAlignment="1" applyProtection="1">
      <alignment horizontal="center" vertical="center" wrapText="1"/>
      <protection locked="0"/>
    </xf>
    <xf numFmtId="176" fontId="0" fillId="2" borderId="0" xfId="0" applyNumberFormat="1" applyFill="1" applyAlignment="1" applyProtection="1">
      <alignment horizontal="center" vertical="center"/>
      <protection locked="0"/>
    </xf>
    <xf numFmtId="177" fontId="0" fillId="2" borderId="0" xfId="0" applyNumberFormat="1" applyFill="1" applyAlignment="1" applyProtection="1">
      <alignment horizontal="center" vertical="center"/>
      <protection locked="0"/>
    </xf>
    <xf numFmtId="178" fontId="0" fillId="5" borderId="0" xfId="0" applyNumberFormat="1" applyFill="1" applyAlignment="1">
      <alignment horizontal="center" vertical="center"/>
    </xf>
    <xf numFmtId="178" fontId="0" fillId="2" borderId="0" xfId="0" applyNumberFormat="1" applyFill="1" applyAlignment="1" applyProtection="1">
      <alignment horizontal="center" vertical="center"/>
      <protection locked="0"/>
    </xf>
    <xf numFmtId="179" fontId="0" fillId="13" borderId="0" xfId="0" applyNumberFormat="1" applyFill="1" applyAlignment="1" applyProtection="1">
      <alignment horizontal="center" vertical="center"/>
      <protection locked="0"/>
    </xf>
    <xf numFmtId="180" fontId="0" fillId="2" borderId="0" xfId="0" applyNumberFormat="1" applyFill="1" applyAlignment="1" applyProtection="1">
      <alignment horizontal="center" vertical="center"/>
      <protection locked="0"/>
    </xf>
    <xf numFmtId="181" fontId="0" fillId="2" borderId="0" xfId="0" applyNumberFormat="1" applyFill="1" applyAlignment="1" applyProtection="1">
      <alignment horizontal="center" vertical="center"/>
      <protection locked="0"/>
    </xf>
    <xf numFmtId="177" fontId="11" fillId="2" borderId="0" xfId="0" applyNumberFormat="1" applyFont="1" applyFill="1" applyAlignment="1" applyProtection="1">
      <alignment horizontal="center" vertical="center"/>
      <protection locked="0"/>
    </xf>
    <xf numFmtId="178" fontId="11" fillId="2" borderId="0" xfId="0" applyNumberFormat="1" applyFont="1" applyFill="1" applyAlignment="1" applyProtection="1">
      <alignment horizontal="center" vertical="center"/>
      <protection locked="0"/>
    </xf>
    <xf numFmtId="0" fontId="24" fillId="0" borderId="8" xfId="0" applyFont="1" applyFill="1" applyBorder="1" applyAlignment="1" applyProtection="1">
      <alignment vertical="center" wrapText="1"/>
      <protection locked="0"/>
    </xf>
    <xf numFmtId="0" fontId="24" fillId="0" borderId="8" xfId="0" applyFont="1" applyBorder="1" applyAlignment="1" applyProtection="1">
      <alignment vertical="center" wrapText="1"/>
      <protection locked="0"/>
    </xf>
    <xf numFmtId="0" fontId="4" fillId="12" borderId="0" xfId="0" applyFont="1" applyFill="1" applyAlignment="1">
      <alignment horizontal="center" vertical="center" wrapText="1"/>
    </xf>
    <xf numFmtId="182" fontId="0" fillId="2" borderId="0" xfId="0" applyNumberFormat="1" applyFill="1" applyAlignment="1" applyProtection="1">
      <alignment horizontal="center" vertical="center"/>
      <protection locked="0"/>
    </xf>
    <xf numFmtId="167" fontId="22" fillId="14" borderId="0" xfId="0" applyNumberFormat="1" applyFont="1" applyFill="1" applyAlignment="1" applyProtection="1">
      <alignment horizontal="center" vertical="center"/>
      <protection locked="0"/>
    </xf>
    <xf numFmtId="164" fontId="22" fillId="15" borderId="0" xfId="0" applyNumberFormat="1" applyFont="1" applyFill="1" applyAlignment="1" applyProtection="1">
      <alignment horizontal="center" vertical="center"/>
      <protection locked="0"/>
    </xf>
    <xf numFmtId="166" fontId="22" fillId="14" borderId="0" xfId="0" applyNumberFormat="1" applyFont="1" applyFill="1" applyAlignment="1" applyProtection="1">
      <alignment horizontal="center" vertical="center"/>
      <protection locked="0"/>
    </xf>
    <xf numFmtId="165" fontId="22" fillId="14" borderId="0" xfId="0" applyNumberFormat="1" applyFont="1" applyFill="1" applyAlignment="1" applyProtection="1">
      <alignment horizontal="center" vertical="center"/>
      <protection locked="0"/>
    </xf>
    <xf numFmtId="168" fontId="22" fillId="14" borderId="0" xfId="0" applyNumberFormat="1" applyFont="1" applyFill="1" applyAlignment="1" applyProtection="1">
      <alignment horizontal="center" vertical="center"/>
      <protection locked="0"/>
    </xf>
    <xf numFmtId="49" fontId="0" fillId="0" borderId="2" xfId="0" applyNumberFormat="1" applyBorder="1" applyAlignment="1">
      <alignment horizontal="center" vertical="center" wrapText="1"/>
    </xf>
    <xf numFmtId="49" fontId="0" fillId="5" borderId="0" xfId="0" applyNumberForma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5" fillId="0" borderId="1" xfId="0" applyFont="1" applyBorder="1" applyAlignment="1" applyProtection="1">
      <alignment horizontal="center" vertical="center"/>
      <protection locked="0"/>
    </xf>
    <xf numFmtId="167" fontId="25" fillId="14" borderId="0" xfId="0" applyNumberFormat="1" applyFont="1" applyFill="1" applyAlignment="1" applyProtection="1">
      <alignment horizontal="left" vertical="center"/>
      <protection locked="0"/>
    </xf>
    <xf numFmtId="174" fontId="0" fillId="9" borderId="0" xfId="0" applyNumberFormat="1" applyFill="1"/>
    <xf numFmtId="183" fontId="0" fillId="2" borderId="0" xfId="0" applyNumberFormat="1" applyFill="1" applyAlignment="1" applyProtection="1">
      <alignment horizontal="center" vertical="center"/>
      <protection locked="0"/>
    </xf>
    <xf numFmtId="49" fontId="0" fillId="2" borderId="0" xfId="0" applyNumberFormat="1" applyFill="1" applyAlignment="1" applyProtection="1">
      <alignment horizontal="center" vertical="center" wrapText="1"/>
      <protection locked="0"/>
    </xf>
    <xf numFmtId="0" fontId="0" fillId="2" borderId="0" xfId="0" applyNumberFormat="1" applyFill="1" applyAlignment="1" applyProtection="1">
      <alignment horizontal="center" vertical="center" wrapText="1"/>
      <protection locked="0"/>
    </xf>
    <xf numFmtId="0" fontId="24" fillId="9" borderId="8" xfId="0" applyFont="1" applyFill="1" applyBorder="1" applyAlignment="1" applyProtection="1">
      <alignment vertical="center" wrapText="1"/>
      <protection locked="0"/>
    </xf>
    <xf numFmtId="0" fontId="0" fillId="5" borderId="0" xfId="0" applyNumberFormat="1" applyFill="1" applyAlignment="1">
      <alignment horizontal="center" vertical="center" wrapText="1"/>
    </xf>
    <xf numFmtId="0" fontId="11" fillId="0" borderId="6" xfId="0" applyFont="1" applyBorder="1" applyAlignment="1">
      <alignment vertical="center" wrapText="1"/>
    </xf>
    <xf numFmtId="0" fontId="11" fillId="0" borderId="2" xfId="0" applyFont="1" applyBorder="1" applyAlignment="1">
      <alignment vertical="center" wrapText="1"/>
    </xf>
    <xf numFmtId="0" fontId="11" fillId="0" borderId="7" xfId="0" applyFont="1" applyBorder="1" applyAlignment="1">
      <alignment vertical="center" wrapText="1"/>
    </xf>
  </cellXfs>
  <cellStyles count="3">
    <cellStyle name="Normal" xfId="0" builtinId="0"/>
    <cellStyle name="Normal 5" xfId="2"/>
    <cellStyle name="Normal_Generation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66CC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9E9E9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CC"/>
      <rgbColor rgb="0099CCFF"/>
      <rgbColor rgb="00FFCCFF"/>
      <rgbColor rgb="00CC99FF"/>
      <rgbColor rgb="00FFCC99"/>
      <rgbColor rgb="003366FF"/>
      <rgbColor rgb="0033CCCC"/>
      <rgbColor rgb="0099CC00"/>
      <rgbColor rgb="00FFCC00"/>
      <rgbColor rgb="00FFCC99"/>
      <rgbColor rgb="00FF6633"/>
      <rgbColor rgb="00666699"/>
      <rgbColor rgb="00999999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FF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1.xml"/><Relationship Id="rId30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N394350\Local%20Settings\Temporary%20Internet%20Files\Content.Outlook\NY8U0EUC\Sep-12%20%20Price%20control%20mode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ing Page"/>
      <sheetName val="CRC Explanations"/>
      <sheetName val="QBR Table 1"/>
      <sheetName val="QBR Tables 2"/>
      <sheetName val="QBR Table 3"/>
      <sheetName val="QBR Table 4"/>
      <sheetName val="Losses Tables"/>
      <sheetName val="QBR Table 6"/>
      <sheetName val="Recovery"/>
      <sheetName val="Bridges"/>
      <sheetName val="Pass Through"/>
      <sheetName val="Business Alignment"/>
      <sheetName val="LBE Input"/>
      <sheetName val="LBE"/>
      <sheetName val="Main Inputs"/>
      <sheetName val="Main"/>
      <sheetName val="CRC3"/>
      <sheetName val="CRC4 (Pass through)"/>
      <sheetName val="CRC 5"/>
      <sheetName val="CRC6 (Metering)"/>
      <sheetName val="CRC7 (Losses)"/>
      <sheetName val="CRC8 (QoS)"/>
      <sheetName val="CRC9 (Trans)"/>
      <sheetName val="CRC10 (IFI)"/>
      <sheetName val="CRC11 (DG)"/>
      <sheetName val="CRC12 (Conns)"/>
      <sheetName val="CRC13 (LCN)"/>
      <sheetName val="CRC14 (k)"/>
      <sheetName val="CRC 15 (exc svs)"/>
      <sheetName val="CRC 16"/>
      <sheetName val="CRC17"/>
      <sheetName val="CRC18"/>
      <sheetName val="RPI"/>
      <sheetName val="Interest"/>
      <sheetName val="Sch 15 table one"/>
      <sheetName val="Sch 15 table two"/>
      <sheetName val="Pricin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10">
          <cell r="K10">
            <v>408.3</v>
          </cell>
        </row>
        <row r="14">
          <cell r="K14">
            <v>461.99985771033357</v>
          </cell>
        </row>
      </sheetData>
      <sheetData sheetId="14" refreshError="1"/>
      <sheetData sheetId="15">
        <row r="27">
          <cell r="N27">
            <v>-0.13278881555596356</v>
          </cell>
        </row>
        <row r="28">
          <cell r="N28">
            <v>-1.5344496004528523</v>
          </cell>
        </row>
        <row r="29">
          <cell r="N29">
            <v>0</v>
          </cell>
        </row>
        <row r="30">
          <cell r="N30">
            <v>0</v>
          </cell>
        </row>
        <row r="31">
          <cell r="N31">
            <v>0</v>
          </cell>
        </row>
        <row r="32">
          <cell r="N32">
            <v>0.83211480557533157</v>
          </cell>
        </row>
        <row r="33">
          <cell r="N33">
            <v>0</v>
          </cell>
        </row>
        <row r="51">
          <cell r="N51">
            <v>-15.187897040288473</v>
          </cell>
        </row>
        <row r="55">
          <cell r="N55">
            <v>-3.8074536399938808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05"/>
  <sheetViews>
    <sheetView showGridLines="0" workbookViewId="0">
      <pane ySplit="1" topLeftCell="A2" activePane="bottomLeft" state="frozen"/>
      <selection pane="bottomLeft" activeCell="A2" sqref="A2"/>
    </sheetView>
  </sheetViews>
  <sheetFormatPr defaultRowHeight="12.75" x14ac:dyDescent="0.2"/>
  <cols>
    <col min="1" max="1" width="30.7109375" customWidth="1"/>
    <col min="2" max="2" width="120.7109375" customWidth="1"/>
    <col min="3" max="251" width="30.7109375" customWidth="1"/>
  </cols>
  <sheetData>
    <row r="1" spans="1:3" ht="19.5" x14ac:dyDescent="0.3">
      <c r="A1" s="15" t="str">
        <f>"r6140: Overview"&amp;" for "&amp;Input!B7&amp;" in "&amp;Input!C7&amp;" ("&amp;Input!D7&amp;")"</f>
        <v>r6140: Overview for Electricity North West  in 2013/14 (April 2013 Indicative)</v>
      </c>
    </row>
    <row r="2" spans="1:3" x14ac:dyDescent="0.2">
      <c r="A2" s="10"/>
    </row>
    <row r="3" spans="1:3" x14ac:dyDescent="0.2">
      <c r="A3" s="10" t="s">
        <v>1604</v>
      </c>
      <c r="C3" s="4" t="s">
        <v>1625</v>
      </c>
    </row>
    <row r="4" spans="1:3" x14ac:dyDescent="0.2">
      <c r="A4" s="10"/>
      <c r="C4" s="9" t="s">
        <v>1626</v>
      </c>
    </row>
    <row r="5" spans="1:3" x14ac:dyDescent="0.2">
      <c r="A5" s="10" t="s">
        <v>1605</v>
      </c>
      <c r="C5" s="2" t="s">
        <v>1627</v>
      </c>
    </row>
    <row r="6" spans="1:3" x14ac:dyDescent="0.2">
      <c r="A6" s="10"/>
      <c r="C6" s="17" t="s">
        <v>371</v>
      </c>
    </row>
    <row r="7" spans="1:3" x14ac:dyDescent="0.2">
      <c r="A7" s="10" t="s">
        <v>1606</v>
      </c>
      <c r="C7" s="20" t="s">
        <v>1628</v>
      </c>
    </row>
    <row r="8" spans="1:3" x14ac:dyDescent="0.2">
      <c r="A8" s="10" t="s">
        <v>1607</v>
      </c>
      <c r="C8" s="21" t="s">
        <v>1629</v>
      </c>
    </row>
    <row r="9" spans="1:3" x14ac:dyDescent="0.2">
      <c r="A9" s="10"/>
      <c r="C9" s="8" t="s">
        <v>1630</v>
      </c>
    </row>
    <row r="10" spans="1:3" x14ac:dyDescent="0.2">
      <c r="A10" s="10" t="s">
        <v>1608</v>
      </c>
      <c r="C10" s="6" t="s">
        <v>1631</v>
      </c>
    </row>
    <row r="11" spans="1:3" x14ac:dyDescent="0.2">
      <c r="A11" s="10" t="s">
        <v>1609</v>
      </c>
    </row>
    <row r="12" spans="1:3" x14ac:dyDescent="0.2">
      <c r="A12" s="10"/>
    </row>
    <row r="13" spans="1:3" x14ac:dyDescent="0.2">
      <c r="A13" s="10" t="s">
        <v>1610</v>
      </c>
    </row>
    <row r="14" spans="1:3" x14ac:dyDescent="0.2">
      <c r="A14" s="10" t="s">
        <v>1611</v>
      </c>
    </row>
    <row r="15" spans="1:3" x14ac:dyDescent="0.2">
      <c r="A15" s="10"/>
    </row>
    <row r="16" spans="1:3" x14ac:dyDescent="0.2">
      <c r="A16" s="10" t="s">
        <v>1612</v>
      </c>
    </row>
    <row r="17" spans="1:1" x14ac:dyDescent="0.2">
      <c r="A17" s="10" t="s">
        <v>1613</v>
      </c>
    </row>
    <row r="18" spans="1:1" x14ac:dyDescent="0.2">
      <c r="A18" s="10" t="s">
        <v>1614</v>
      </c>
    </row>
    <row r="19" spans="1:1" x14ac:dyDescent="0.2">
      <c r="A19" s="10" t="s">
        <v>1615</v>
      </c>
    </row>
    <row r="20" spans="1:1" x14ac:dyDescent="0.2">
      <c r="A20" s="10" t="s">
        <v>1616</v>
      </c>
    </row>
    <row r="21" spans="1:1" x14ac:dyDescent="0.2">
      <c r="A21" s="10" t="s">
        <v>1617</v>
      </c>
    </row>
    <row r="22" spans="1:1" x14ac:dyDescent="0.2">
      <c r="A22" s="10" t="s">
        <v>1618</v>
      </c>
    </row>
    <row r="23" spans="1:1" x14ac:dyDescent="0.2">
      <c r="A23" s="10"/>
    </row>
    <row r="24" spans="1:1" x14ac:dyDescent="0.2">
      <c r="A24" s="10" t="s">
        <v>1619</v>
      </c>
    </row>
    <row r="25" spans="1:1" x14ac:dyDescent="0.2">
      <c r="A25" s="10" t="s">
        <v>1620</v>
      </c>
    </row>
    <row r="26" spans="1:1" x14ac:dyDescent="0.2">
      <c r="A26" s="10"/>
    </row>
    <row r="27" spans="1:1" x14ac:dyDescent="0.2">
      <c r="A27" s="10" t="s">
        <v>1621</v>
      </c>
    </row>
    <row r="28" spans="1:1" x14ac:dyDescent="0.2">
      <c r="A28" s="10" t="s">
        <v>1622</v>
      </c>
    </row>
    <row r="29" spans="1:1" x14ac:dyDescent="0.2">
      <c r="A29" s="10" t="s">
        <v>1623</v>
      </c>
    </row>
    <row r="30" spans="1:1" x14ac:dyDescent="0.2">
      <c r="A30" s="10"/>
    </row>
    <row r="31" spans="1:1" x14ac:dyDescent="0.2">
      <c r="A31" s="10" t="s">
        <v>1624</v>
      </c>
    </row>
    <row r="33" spans="1:3" ht="16.5" x14ac:dyDescent="0.25">
      <c r="A33" s="3" t="s">
        <v>1632</v>
      </c>
    </row>
    <row r="34" spans="1:3" x14ac:dyDescent="0.2">
      <c r="A34" s="10" t="s">
        <v>1633</v>
      </c>
    </row>
    <row r="35" spans="1:3" x14ac:dyDescent="0.2">
      <c r="A35" s="10"/>
    </row>
    <row r="36" spans="1:3" x14ac:dyDescent="0.2">
      <c r="A36" s="5" t="s">
        <v>1634</v>
      </c>
      <c r="B36" s="5" t="s">
        <v>1635</v>
      </c>
      <c r="C36" s="5" t="s">
        <v>1636</v>
      </c>
    </row>
    <row r="37" spans="1:3" x14ac:dyDescent="0.2">
      <c r="A37" s="10" t="s">
        <v>1637</v>
      </c>
      <c r="B37" s="11" t="s">
        <v>0</v>
      </c>
      <c r="C37" s="10" t="s">
        <v>1388</v>
      </c>
    </row>
    <row r="38" spans="1:3" x14ac:dyDescent="0.2">
      <c r="A38" s="10" t="s">
        <v>1637</v>
      </c>
      <c r="B38" s="11" t="s">
        <v>5</v>
      </c>
      <c r="C38" s="10" t="s">
        <v>1638</v>
      </c>
    </row>
    <row r="39" spans="1:3" x14ac:dyDescent="0.2">
      <c r="A39" s="10" t="s">
        <v>1637</v>
      </c>
      <c r="B39" s="11" t="s">
        <v>14</v>
      </c>
      <c r="C39" s="10" t="s">
        <v>1388</v>
      </c>
    </row>
    <row r="40" spans="1:3" x14ac:dyDescent="0.2">
      <c r="A40" s="10" t="s">
        <v>1637</v>
      </c>
      <c r="B40" s="11" t="s">
        <v>29</v>
      </c>
      <c r="C40" s="10" t="s">
        <v>1388</v>
      </c>
    </row>
    <row r="41" spans="1:3" x14ac:dyDescent="0.2">
      <c r="A41" s="10" t="s">
        <v>1637</v>
      </c>
      <c r="B41" s="11" t="s">
        <v>31</v>
      </c>
      <c r="C41" s="10" t="s">
        <v>1388</v>
      </c>
    </row>
    <row r="42" spans="1:3" x14ac:dyDescent="0.2">
      <c r="A42" s="10" t="s">
        <v>1637</v>
      </c>
      <c r="B42" s="11" t="s">
        <v>33</v>
      </c>
      <c r="C42" s="10" t="s">
        <v>1388</v>
      </c>
    </row>
    <row r="43" spans="1:3" x14ac:dyDescent="0.2">
      <c r="A43" s="10" t="s">
        <v>1637</v>
      </c>
      <c r="B43" s="11" t="s">
        <v>35</v>
      </c>
      <c r="C43" s="10" t="s">
        <v>1388</v>
      </c>
    </row>
    <row r="44" spans="1:3" x14ac:dyDescent="0.2">
      <c r="A44" s="10" t="s">
        <v>1637</v>
      </c>
      <c r="B44" s="11" t="s">
        <v>45</v>
      </c>
      <c r="C44" s="10" t="s">
        <v>1388</v>
      </c>
    </row>
    <row r="45" spans="1:3" x14ac:dyDescent="0.2">
      <c r="A45" s="10" t="s">
        <v>1637</v>
      </c>
      <c r="B45" s="11" t="s">
        <v>52</v>
      </c>
      <c r="C45" s="10" t="s">
        <v>1388</v>
      </c>
    </row>
    <row r="46" spans="1:3" x14ac:dyDescent="0.2">
      <c r="A46" s="10" t="s">
        <v>1637</v>
      </c>
      <c r="B46" s="11" t="s">
        <v>67</v>
      </c>
      <c r="C46" s="10" t="s">
        <v>1388</v>
      </c>
    </row>
    <row r="47" spans="1:3" x14ac:dyDescent="0.2">
      <c r="A47" s="10" t="s">
        <v>1637</v>
      </c>
      <c r="B47" s="11" t="s">
        <v>71</v>
      </c>
      <c r="C47" s="10" t="s">
        <v>1388</v>
      </c>
    </row>
    <row r="48" spans="1:3" x14ac:dyDescent="0.2">
      <c r="A48" s="10" t="s">
        <v>1637</v>
      </c>
      <c r="B48" s="11" t="s">
        <v>79</v>
      </c>
      <c r="C48" s="10" t="s">
        <v>1388</v>
      </c>
    </row>
    <row r="49" spans="1:3" x14ac:dyDescent="0.2">
      <c r="A49" s="10" t="s">
        <v>1637</v>
      </c>
      <c r="B49" s="11" t="s">
        <v>82</v>
      </c>
      <c r="C49" s="10" t="s">
        <v>1388</v>
      </c>
    </row>
    <row r="50" spans="1:3" x14ac:dyDescent="0.2">
      <c r="A50" s="10" t="s">
        <v>1637</v>
      </c>
      <c r="B50" s="11" t="s">
        <v>90</v>
      </c>
      <c r="C50" s="10" t="s">
        <v>1388</v>
      </c>
    </row>
    <row r="51" spans="1:3" x14ac:dyDescent="0.2">
      <c r="A51" s="10" t="s">
        <v>1637</v>
      </c>
      <c r="B51" s="11" t="s">
        <v>101</v>
      </c>
      <c r="C51" s="10" t="s">
        <v>1388</v>
      </c>
    </row>
    <row r="52" spans="1:3" x14ac:dyDescent="0.2">
      <c r="A52" s="10" t="s">
        <v>1637</v>
      </c>
      <c r="B52" s="11" t="s">
        <v>178</v>
      </c>
      <c r="C52" s="10" t="s">
        <v>1388</v>
      </c>
    </row>
    <row r="53" spans="1:3" x14ac:dyDescent="0.2">
      <c r="A53" s="10" t="s">
        <v>1637</v>
      </c>
      <c r="B53" s="11" t="s">
        <v>181</v>
      </c>
      <c r="C53" s="10" t="s">
        <v>1388</v>
      </c>
    </row>
    <row r="54" spans="1:3" x14ac:dyDescent="0.2">
      <c r="A54" s="10" t="s">
        <v>1637</v>
      </c>
      <c r="B54" s="11" t="s">
        <v>187</v>
      </c>
      <c r="C54" s="10" t="s">
        <v>1388</v>
      </c>
    </row>
    <row r="55" spans="1:3" x14ac:dyDescent="0.2">
      <c r="A55" s="10" t="s">
        <v>1637</v>
      </c>
      <c r="B55" s="11" t="s">
        <v>203</v>
      </c>
      <c r="C55" s="10" t="s">
        <v>1388</v>
      </c>
    </row>
    <row r="56" spans="1:3" x14ac:dyDescent="0.2">
      <c r="A56" s="10" t="s">
        <v>1637</v>
      </c>
      <c r="B56" s="11" t="s">
        <v>207</v>
      </c>
      <c r="C56" s="10" t="s">
        <v>1388</v>
      </c>
    </row>
    <row r="57" spans="1:3" x14ac:dyDescent="0.2">
      <c r="A57" s="10" t="s">
        <v>1637</v>
      </c>
      <c r="B57" s="11" t="s">
        <v>208</v>
      </c>
      <c r="C57" s="10" t="s">
        <v>1388</v>
      </c>
    </row>
    <row r="58" spans="1:3" x14ac:dyDescent="0.2">
      <c r="A58" s="10" t="s">
        <v>1637</v>
      </c>
      <c r="B58" s="11" t="s">
        <v>211</v>
      </c>
      <c r="C58" s="10" t="s">
        <v>1388</v>
      </c>
    </row>
    <row r="59" spans="1:3" x14ac:dyDescent="0.2">
      <c r="A59" s="10" t="s">
        <v>1637</v>
      </c>
      <c r="B59" s="11" t="s">
        <v>215</v>
      </c>
      <c r="C59" s="10" t="s">
        <v>1388</v>
      </c>
    </row>
    <row r="60" spans="1:3" x14ac:dyDescent="0.2">
      <c r="A60" s="10" t="s">
        <v>1637</v>
      </c>
      <c r="B60" s="11" t="s">
        <v>216</v>
      </c>
      <c r="C60" s="10" t="s">
        <v>1388</v>
      </c>
    </row>
    <row r="61" spans="1:3" x14ac:dyDescent="0.2">
      <c r="A61" s="10" t="s">
        <v>1637</v>
      </c>
      <c r="B61" s="11" t="s">
        <v>220</v>
      </c>
      <c r="C61" s="10" t="s">
        <v>1388</v>
      </c>
    </row>
    <row r="62" spans="1:3" x14ac:dyDescent="0.2">
      <c r="A62" s="10" t="s">
        <v>1637</v>
      </c>
      <c r="B62" s="11" t="s">
        <v>222</v>
      </c>
      <c r="C62" s="10" t="s">
        <v>1388</v>
      </c>
    </row>
    <row r="63" spans="1:3" x14ac:dyDescent="0.2">
      <c r="A63" s="10" t="s">
        <v>1637</v>
      </c>
      <c r="B63" s="11" t="s">
        <v>226</v>
      </c>
      <c r="C63" s="10" t="s">
        <v>1388</v>
      </c>
    </row>
    <row r="64" spans="1:3" x14ac:dyDescent="0.2">
      <c r="A64" s="10" t="s">
        <v>1639</v>
      </c>
      <c r="B64" s="11" t="s">
        <v>237</v>
      </c>
      <c r="C64" s="10" t="s">
        <v>1638</v>
      </c>
    </row>
    <row r="65" spans="1:3" x14ac:dyDescent="0.2">
      <c r="A65" s="10" t="s">
        <v>1639</v>
      </c>
      <c r="B65" s="11" t="s">
        <v>248</v>
      </c>
      <c r="C65" s="10" t="s">
        <v>242</v>
      </c>
    </row>
    <row r="66" spans="1:3" x14ac:dyDescent="0.2">
      <c r="A66" s="10" t="s">
        <v>1639</v>
      </c>
      <c r="B66" s="11" t="s">
        <v>249</v>
      </c>
      <c r="C66" s="10" t="s">
        <v>243</v>
      </c>
    </row>
    <row r="67" spans="1:3" x14ac:dyDescent="0.2">
      <c r="A67" s="10" t="s">
        <v>1639</v>
      </c>
      <c r="B67" s="11" t="s">
        <v>253</v>
      </c>
      <c r="C67" s="10" t="s">
        <v>405</v>
      </c>
    </row>
    <row r="68" spans="1:3" x14ac:dyDescent="0.2">
      <c r="A68" s="10" t="s">
        <v>1639</v>
      </c>
      <c r="B68" s="11" t="s">
        <v>258</v>
      </c>
      <c r="C68" s="10" t="s">
        <v>242</v>
      </c>
    </row>
    <row r="69" spans="1:3" x14ac:dyDescent="0.2">
      <c r="A69" s="10" t="s">
        <v>1639</v>
      </c>
      <c r="B69" s="11" t="s">
        <v>262</v>
      </c>
      <c r="C69" s="10" t="s">
        <v>371</v>
      </c>
    </row>
    <row r="70" spans="1:3" x14ac:dyDescent="0.2">
      <c r="A70" s="10" t="s">
        <v>1639</v>
      </c>
      <c r="B70" s="11" t="s">
        <v>265</v>
      </c>
      <c r="C70" s="10" t="s">
        <v>371</v>
      </c>
    </row>
    <row r="71" spans="1:3" x14ac:dyDescent="0.2">
      <c r="A71" s="10" t="s">
        <v>1639</v>
      </c>
      <c r="B71" s="11" t="s">
        <v>266</v>
      </c>
      <c r="C71" s="10" t="s">
        <v>371</v>
      </c>
    </row>
    <row r="72" spans="1:3" x14ac:dyDescent="0.2">
      <c r="A72" s="10" t="s">
        <v>1639</v>
      </c>
      <c r="B72" s="11" t="s">
        <v>267</v>
      </c>
      <c r="C72" s="10" t="s">
        <v>405</v>
      </c>
    </row>
    <row r="73" spans="1:3" x14ac:dyDescent="0.2">
      <c r="A73" s="10" t="s">
        <v>1639</v>
      </c>
      <c r="B73" s="11" t="s">
        <v>274</v>
      </c>
      <c r="C73" s="10" t="s">
        <v>243</v>
      </c>
    </row>
    <row r="74" spans="1:3" x14ac:dyDescent="0.2">
      <c r="A74" s="10" t="s">
        <v>1639</v>
      </c>
      <c r="B74" s="11" t="s">
        <v>277</v>
      </c>
      <c r="C74" s="10" t="s">
        <v>405</v>
      </c>
    </row>
    <row r="75" spans="1:3" x14ac:dyDescent="0.2">
      <c r="A75" s="10" t="s">
        <v>1639</v>
      </c>
      <c r="B75" s="11" t="s">
        <v>282</v>
      </c>
      <c r="C75" s="10" t="s">
        <v>371</v>
      </c>
    </row>
    <row r="76" spans="1:3" x14ac:dyDescent="0.2">
      <c r="A76" s="10" t="s">
        <v>1640</v>
      </c>
      <c r="B76" s="11" t="s">
        <v>288</v>
      </c>
      <c r="C76" s="10" t="s">
        <v>371</v>
      </c>
    </row>
    <row r="77" spans="1:3" x14ac:dyDescent="0.2">
      <c r="A77" s="10" t="s">
        <v>1640</v>
      </c>
      <c r="B77" s="11" t="s">
        <v>294</v>
      </c>
      <c r="C77" s="10" t="s">
        <v>405</v>
      </c>
    </row>
    <row r="78" spans="1:3" x14ac:dyDescent="0.2">
      <c r="A78" s="10" t="s">
        <v>1640</v>
      </c>
      <c r="B78" s="11" t="s">
        <v>297</v>
      </c>
      <c r="C78" s="10" t="s">
        <v>1638</v>
      </c>
    </row>
    <row r="79" spans="1:3" x14ac:dyDescent="0.2">
      <c r="A79" s="10" t="s">
        <v>1640</v>
      </c>
      <c r="B79" s="11" t="s">
        <v>306</v>
      </c>
      <c r="C79" s="10" t="s">
        <v>309</v>
      </c>
    </row>
    <row r="80" spans="1:3" x14ac:dyDescent="0.2">
      <c r="A80" s="10" t="s">
        <v>1640</v>
      </c>
      <c r="B80" s="11" t="s">
        <v>315</v>
      </c>
      <c r="C80" s="10" t="s">
        <v>371</v>
      </c>
    </row>
    <row r="81" spans="1:3" x14ac:dyDescent="0.2">
      <c r="A81" s="10" t="s">
        <v>1640</v>
      </c>
      <c r="B81" s="11" t="s">
        <v>320</v>
      </c>
      <c r="C81" s="10" t="s">
        <v>371</v>
      </c>
    </row>
    <row r="82" spans="1:3" x14ac:dyDescent="0.2">
      <c r="A82" s="10" t="s">
        <v>1640</v>
      </c>
      <c r="B82" s="11" t="s">
        <v>326</v>
      </c>
      <c r="C82" s="10" t="s">
        <v>405</v>
      </c>
    </row>
    <row r="83" spans="1:3" x14ac:dyDescent="0.2">
      <c r="A83" s="10" t="s">
        <v>1640</v>
      </c>
      <c r="B83" s="11" t="s">
        <v>328</v>
      </c>
      <c r="C83" s="10" t="s">
        <v>243</v>
      </c>
    </row>
    <row r="84" spans="1:3" x14ac:dyDescent="0.2">
      <c r="A84" s="10" t="s">
        <v>1640</v>
      </c>
      <c r="B84" s="11" t="s">
        <v>332</v>
      </c>
      <c r="C84" s="10" t="s">
        <v>371</v>
      </c>
    </row>
    <row r="85" spans="1:3" x14ac:dyDescent="0.2">
      <c r="A85" s="10" t="s">
        <v>1641</v>
      </c>
      <c r="B85" s="11" t="s">
        <v>347</v>
      </c>
      <c r="C85" s="10" t="s">
        <v>243</v>
      </c>
    </row>
    <row r="86" spans="1:3" x14ac:dyDescent="0.2">
      <c r="A86" s="10" t="s">
        <v>1641</v>
      </c>
      <c r="B86" s="11" t="s">
        <v>351</v>
      </c>
      <c r="C86" s="10" t="s">
        <v>243</v>
      </c>
    </row>
    <row r="87" spans="1:3" x14ac:dyDescent="0.2">
      <c r="A87" s="10" t="s">
        <v>1641</v>
      </c>
      <c r="B87" s="11" t="s">
        <v>354</v>
      </c>
      <c r="C87" s="10" t="s">
        <v>371</v>
      </c>
    </row>
    <row r="88" spans="1:3" x14ac:dyDescent="0.2">
      <c r="A88" s="10" t="s">
        <v>1641</v>
      </c>
      <c r="B88" s="11" t="s">
        <v>359</v>
      </c>
      <c r="C88" s="10" t="s">
        <v>243</v>
      </c>
    </row>
    <row r="89" spans="1:3" x14ac:dyDescent="0.2">
      <c r="A89" s="10" t="s">
        <v>1641</v>
      </c>
      <c r="B89" s="11" t="s">
        <v>363</v>
      </c>
      <c r="C89" s="10" t="s">
        <v>405</v>
      </c>
    </row>
    <row r="90" spans="1:3" x14ac:dyDescent="0.2">
      <c r="A90" s="10" t="s">
        <v>1641</v>
      </c>
      <c r="B90" s="11" t="s">
        <v>366</v>
      </c>
      <c r="C90" s="10" t="s">
        <v>1638</v>
      </c>
    </row>
    <row r="91" spans="1:3" x14ac:dyDescent="0.2">
      <c r="A91" s="10" t="s">
        <v>1642</v>
      </c>
      <c r="B91" s="11" t="s">
        <v>384</v>
      </c>
      <c r="C91" s="10" t="s">
        <v>371</v>
      </c>
    </row>
    <row r="92" spans="1:3" x14ac:dyDescent="0.2">
      <c r="A92" s="10" t="s">
        <v>1642</v>
      </c>
      <c r="B92" s="11" t="s">
        <v>388</v>
      </c>
      <c r="C92" s="10" t="s">
        <v>405</v>
      </c>
    </row>
    <row r="93" spans="1:3" x14ac:dyDescent="0.2">
      <c r="A93" s="10" t="s">
        <v>1642</v>
      </c>
      <c r="B93" s="11" t="s">
        <v>392</v>
      </c>
      <c r="C93" s="10" t="s">
        <v>242</v>
      </c>
    </row>
    <row r="94" spans="1:3" x14ac:dyDescent="0.2">
      <c r="A94" s="10" t="s">
        <v>1642</v>
      </c>
      <c r="B94" s="11" t="s">
        <v>393</v>
      </c>
      <c r="C94" s="10" t="s">
        <v>1638</v>
      </c>
    </row>
    <row r="95" spans="1:3" x14ac:dyDescent="0.2">
      <c r="A95" s="10" t="s">
        <v>1642</v>
      </c>
      <c r="B95" s="11" t="s">
        <v>415</v>
      </c>
      <c r="C95" s="10" t="s">
        <v>372</v>
      </c>
    </row>
    <row r="96" spans="1:3" x14ac:dyDescent="0.2">
      <c r="A96" s="10" t="s">
        <v>1643</v>
      </c>
      <c r="B96" s="11" t="s">
        <v>427</v>
      </c>
      <c r="C96" s="10" t="s">
        <v>1638</v>
      </c>
    </row>
    <row r="97" spans="1:3" x14ac:dyDescent="0.2">
      <c r="A97" s="10" t="s">
        <v>1643</v>
      </c>
      <c r="B97" s="11" t="s">
        <v>435</v>
      </c>
      <c r="C97" s="10" t="s">
        <v>1638</v>
      </c>
    </row>
    <row r="98" spans="1:3" x14ac:dyDescent="0.2">
      <c r="A98" s="10" t="s">
        <v>1643</v>
      </c>
      <c r="B98" s="11" t="s">
        <v>443</v>
      </c>
      <c r="C98" s="10" t="s">
        <v>405</v>
      </c>
    </row>
    <row r="99" spans="1:3" x14ac:dyDescent="0.2">
      <c r="A99" s="10" t="s">
        <v>1643</v>
      </c>
      <c r="B99" s="11" t="s">
        <v>446</v>
      </c>
      <c r="C99" s="10" t="s">
        <v>1638</v>
      </c>
    </row>
    <row r="100" spans="1:3" x14ac:dyDescent="0.2">
      <c r="A100" s="10" t="s">
        <v>1643</v>
      </c>
      <c r="B100" s="11" t="s">
        <v>450</v>
      </c>
      <c r="C100" s="10" t="s">
        <v>405</v>
      </c>
    </row>
    <row r="101" spans="1:3" x14ac:dyDescent="0.2">
      <c r="A101" s="10" t="s">
        <v>1643</v>
      </c>
      <c r="B101" s="11" t="s">
        <v>453</v>
      </c>
      <c r="C101" s="10" t="s">
        <v>242</v>
      </c>
    </row>
    <row r="102" spans="1:3" x14ac:dyDescent="0.2">
      <c r="A102" s="10" t="s">
        <v>1643</v>
      </c>
      <c r="B102" s="11" t="s">
        <v>454</v>
      </c>
      <c r="C102" s="10" t="s">
        <v>371</v>
      </c>
    </row>
    <row r="103" spans="1:3" x14ac:dyDescent="0.2">
      <c r="A103" s="10" t="s">
        <v>1643</v>
      </c>
      <c r="B103" s="11" t="s">
        <v>460</v>
      </c>
      <c r="C103" s="10" t="s">
        <v>371</v>
      </c>
    </row>
    <row r="104" spans="1:3" x14ac:dyDescent="0.2">
      <c r="A104" s="10" t="s">
        <v>1643</v>
      </c>
      <c r="B104" s="11" t="s">
        <v>473</v>
      </c>
      <c r="C104" s="10" t="s">
        <v>371</v>
      </c>
    </row>
    <row r="105" spans="1:3" x14ac:dyDescent="0.2">
      <c r="A105" s="10" t="s">
        <v>1643</v>
      </c>
      <c r="B105" s="11" t="s">
        <v>483</v>
      </c>
      <c r="C105" s="10" t="s">
        <v>1638</v>
      </c>
    </row>
    <row r="106" spans="1:3" x14ac:dyDescent="0.2">
      <c r="A106" s="10" t="s">
        <v>1643</v>
      </c>
      <c r="B106" s="11" t="s">
        <v>492</v>
      </c>
      <c r="C106" s="10" t="s">
        <v>1638</v>
      </c>
    </row>
    <row r="107" spans="1:3" x14ac:dyDescent="0.2">
      <c r="A107" s="10" t="s">
        <v>1643</v>
      </c>
      <c r="B107" s="11" t="s">
        <v>500</v>
      </c>
      <c r="C107" s="10" t="s">
        <v>1644</v>
      </c>
    </row>
    <row r="108" spans="1:3" x14ac:dyDescent="0.2">
      <c r="A108" s="10" t="s">
        <v>1643</v>
      </c>
      <c r="B108" s="11" t="s">
        <v>504</v>
      </c>
      <c r="C108" s="10" t="s">
        <v>371</v>
      </c>
    </row>
    <row r="109" spans="1:3" x14ac:dyDescent="0.2">
      <c r="A109" s="10" t="s">
        <v>1643</v>
      </c>
      <c r="B109" s="11" t="s">
        <v>509</v>
      </c>
      <c r="C109" s="10" t="s">
        <v>243</v>
      </c>
    </row>
    <row r="110" spans="1:3" x14ac:dyDescent="0.2">
      <c r="A110" s="10" t="s">
        <v>1643</v>
      </c>
      <c r="B110" s="11" t="s">
        <v>512</v>
      </c>
      <c r="C110" s="10" t="s">
        <v>243</v>
      </c>
    </row>
    <row r="111" spans="1:3" x14ac:dyDescent="0.2">
      <c r="A111" s="10" t="s">
        <v>1643</v>
      </c>
      <c r="B111" s="11" t="s">
        <v>514</v>
      </c>
      <c r="C111" s="10" t="s">
        <v>243</v>
      </c>
    </row>
    <row r="112" spans="1:3" x14ac:dyDescent="0.2">
      <c r="A112" s="10" t="s">
        <v>1643</v>
      </c>
      <c r="B112" s="11" t="s">
        <v>516</v>
      </c>
      <c r="C112" s="10" t="s">
        <v>1638</v>
      </c>
    </row>
    <row r="113" spans="1:3" x14ac:dyDescent="0.2">
      <c r="A113" s="10" t="s">
        <v>1643</v>
      </c>
      <c r="B113" s="11" t="s">
        <v>521</v>
      </c>
      <c r="C113" s="10" t="s">
        <v>1638</v>
      </c>
    </row>
    <row r="114" spans="1:3" x14ac:dyDescent="0.2">
      <c r="A114" s="10" t="s">
        <v>1643</v>
      </c>
      <c r="B114" s="11" t="s">
        <v>526</v>
      </c>
      <c r="C114" s="10" t="s">
        <v>405</v>
      </c>
    </row>
    <row r="115" spans="1:3" x14ac:dyDescent="0.2">
      <c r="A115" s="10" t="s">
        <v>1643</v>
      </c>
      <c r="B115" s="11" t="s">
        <v>529</v>
      </c>
      <c r="C115" s="10" t="s">
        <v>242</v>
      </c>
    </row>
    <row r="116" spans="1:3" x14ac:dyDescent="0.2">
      <c r="A116" s="10" t="s">
        <v>1643</v>
      </c>
      <c r="B116" s="11" t="s">
        <v>530</v>
      </c>
      <c r="C116" s="10" t="s">
        <v>242</v>
      </c>
    </row>
    <row r="117" spans="1:3" x14ac:dyDescent="0.2">
      <c r="A117" s="10" t="s">
        <v>1643</v>
      </c>
      <c r="B117" s="11" t="s">
        <v>531</v>
      </c>
      <c r="C117" s="10" t="s">
        <v>371</v>
      </c>
    </row>
    <row r="118" spans="1:3" x14ac:dyDescent="0.2">
      <c r="A118" s="10" t="s">
        <v>1643</v>
      </c>
      <c r="B118" s="11" t="s">
        <v>540</v>
      </c>
      <c r="C118" s="10" t="s">
        <v>371</v>
      </c>
    </row>
    <row r="119" spans="1:3" x14ac:dyDescent="0.2">
      <c r="A119" s="10" t="s">
        <v>1643</v>
      </c>
      <c r="B119" s="11" t="s">
        <v>547</v>
      </c>
      <c r="C119" s="10" t="s">
        <v>1638</v>
      </c>
    </row>
    <row r="120" spans="1:3" x14ac:dyDescent="0.2">
      <c r="A120" s="10" t="s">
        <v>1643</v>
      </c>
      <c r="B120" s="11" t="s">
        <v>559</v>
      </c>
      <c r="C120" s="10" t="s">
        <v>242</v>
      </c>
    </row>
    <row r="121" spans="1:3" x14ac:dyDescent="0.2">
      <c r="A121" s="10" t="s">
        <v>1643</v>
      </c>
      <c r="B121" s="11" t="s">
        <v>561</v>
      </c>
      <c r="C121" s="10" t="s">
        <v>243</v>
      </c>
    </row>
    <row r="122" spans="1:3" x14ac:dyDescent="0.2">
      <c r="A122" s="10" t="s">
        <v>1643</v>
      </c>
      <c r="B122" s="11" t="s">
        <v>564</v>
      </c>
      <c r="C122" s="10" t="s">
        <v>243</v>
      </c>
    </row>
    <row r="123" spans="1:3" x14ac:dyDescent="0.2">
      <c r="A123" s="10" t="s">
        <v>1643</v>
      </c>
      <c r="B123" s="11" t="s">
        <v>567</v>
      </c>
      <c r="C123" s="10" t="s">
        <v>371</v>
      </c>
    </row>
    <row r="124" spans="1:3" x14ac:dyDescent="0.2">
      <c r="A124" s="10" t="s">
        <v>1643</v>
      </c>
      <c r="B124" s="11" t="s">
        <v>572</v>
      </c>
      <c r="C124" s="10" t="s">
        <v>243</v>
      </c>
    </row>
    <row r="125" spans="1:3" x14ac:dyDescent="0.2">
      <c r="A125" s="10" t="s">
        <v>1643</v>
      </c>
      <c r="B125" s="11" t="s">
        <v>575</v>
      </c>
      <c r="C125" s="10" t="s">
        <v>1638</v>
      </c>
    </row>
    <row r="126" spans="1:3" x14ac:dyDescent="0.2">
      <c r="A126" s="10" t="s">
        <v>1643</v>
      </c>
      <c r="B126" s="11" t="s">
        <v>591</v>
      </c>
      <c r="C126" s="10" t="s">
        <v>405</v>
      </c>
    </row>
    <row r="127" spans="1:3" x14ac:dyDescent="0.2">
      <c r="A127" s="10" t="s">
        <v>1643</v>
      </c>
      <c r="B127" s="11" t="s">
        <v>595</v>
      </c>
      <c r="C127" s="10" t="s">
        <v>1644</v>
      </c>
    </row>
    <row r="128" spans="1:3" x14ac:dyDescent="0.2">
      <c r="A128" s="10" t="s">
        <v>1643</v>
      </c>
      <c r="B128" s="11" t="s">
        <v>597</v>
      </c>
      <c r="C128" s="10" t="s">
        <v>371</v>
      </c>
    </row>
    <row r="129" spans="1:3" x14ac:dyDescent="0.2">
      <c r="A129" s="10" t="s">
        <v>1643</v>
      </c>
      <c r="B129" s="11" t="s">
        <v>601</v>
      </c>
      <c r="C129" s="10" t="s">
        <v>243</v>
      </c>
    </row>
    <row r="130" spans="1:3" x14ac:dyDescent="0.2">
      <c r="A130" s="10" t="s">
        <v>1643</v>
      </c>
      <c r="B130" s="11" t="s">
        <v>604</v>
      </c>
      <c r="C130" s="10" t="s">
        <v>243</v>
      </c>
    </row>
    <row r="131" spans="1:3" x14ac:dyDescent="0.2">
      <c r="A131" s="10" t="s">
        <v>1643</v>
      </c>
      <c r="B131" s="11" t="s">
        <v>606</v>
      </c>
      <c r="C131" s="10" t="s">
        <v>243</v>
      </c>
    </row>
    <row r="132" spans="1:3" x14ac:dyDescent="0.2">
      <c r="A132" s="10" t="s">
        <v>1643</v>
      </c>
      <c r="B132" s="11" t="s">
        <v>608</v>
      </c>
      <c r="C132" s="10" t="s">
        <v>405</v>
      </c>
    </row>
    <row r="133" spans="1:3" x14ac:dyDescent="0.2">
      <c r="A133" s="10" t="s">
        <v>1643</v>
      </c>
      <c r="B133" s="11" t="s">
        <v>611</v>
      </c>
      <c r="C133" s="10" t="s">
        <v>405</v>
      </c>
    </row>
    <row r="134" spans="1:3" x14ac:dyDescent="0.2">
      <c r="A134" s="10" t="s">
        <v>1643</v>
      </c>
      <c r="B134" s="11" t="s">
        <v>614</v>
      </c>
      <c r="C134" s="10" t="s">
        <v>405</v>
      </c>
    </row>
    <row r="135" spans="1:3" x14ac:dyDescent="0.2">
      <c r="A135" s="10" t="s">
        <v>1645</v>
      </c>
      <c r="B135" s="11" t="s">
        <v>617</v>
      </c>
      <c r="C135" s="10" t="s">
        <v>371</v>
      </c>
    </row>
    <row r="136" spans="1:3" x14ac:dyDescent="0.2">
      <c r="A136" s="10" t="s">
        <v>1645</v>
      </c>
      <c r="B136" s="11" t="s">
        <v>621</v>
      </c>
      <c r="C136" s="10" t="s">
        <v>371</v>
      </c>
    </row>
    <row r="137" spans="1:3" x14ac:dyDescent="0.2">
      <c r="A137" s="10" t="s">
        <v>1645</v>
      </c>
      <c r="B137" s="11" t="s">
        <v>626</v>
      </c>
      <c r="C137" s="10" t="s">
        <v>371</v>
      </c>
    </row>
    <row r="138" spans="1:3" x14ac:dyDescent="0.2">
      <c r="A138" s="10" t="s">
        <v>1645</v>
      </c>
      <c r="B138" s="11" t="s">
        <v>631</v>
      </c>
      <c r="C138" s="10" t="s">
        <v>371</v>
      </c>
    </row>
    <row r="139" spans="1:3" x14ac:dyDescent="0.2">
      <c r="A139" s="10" t="s">
        <v>1645</v>
      </c>
      <c r="B139" s="11" t="s">
        <v>634</v>
      </c>
      <c r="C139" s="10" t="s">
        <v>405</v>
      </c>
    </row>
    <row r="140" spans="1:3" x14ac:dyDescent="0.2">
      <c r="A140" s="10" t="s">
        <v>1645</v>
      </c>
      <c r="B140" s="11" t="s">
        <v>640</v>
      </c>
      <c r="C140" s="10" t="s">
        <v>372</v>
      </c>
    </row>
    <row r="141" spans="1:3" x14ac:dyDescent="0.2">
      <c r="A141" s="10" t="s">
        <v>1646</v>
      </c>
      <c r="B141" s="11" t="s">
        <v>644</v>
      </c>
      <c r="C141" s="10" t="s">
        <v>1638</v>
      </c>
    </row>
    <row r="142" spans="1:3" x14ac:dyDescent="0.2">
      <c r="A142" s="10" t="s">
        <v>1646</v>
      </c>
      <c r="B142" s="11" t="s">
        <v>652</v>
      </c>
      <c r="C142" s="10" t="s">
        <v>405</v>
      </c>
    </row>
    <row r="143" spans="1:3" x14ac:dyDescent="0.2">
      <c r="A143" s="10" t="s">
        <v>1646</v>
      </c>
      <c r="B143" s="11" t="s">
        <v>656</v>
      </c>
      <c r="C143" s="10" t="s">
        <v>371</v>
      </c>
    </row>
    <row r="144" spans="1:3" x14ac:dyDescent="0.2">
      <c r="A144" s="10" t="s">
        <v>1646</v>
      </c>
      <c r="B144" s="11" t="s">
        <v>662</v>
      </c>
      <c r="C144" s="10" t="s">
        <v>371</v>
      </c>
    </row>
    <row r="145" spans="1:3" x14ac:dyDescent="0.2">
      <c r="A145" s="10" t="s">
        <v>1646</v>
      </c>
      <c r="B145" s="11" t="s">
        <v>664</v>
      </c>
      <c r="C145" s="10" t="s">
        <v>405</v>
      </c>
    </row>
    <row r="146" spans="1:3" x14ac:dyDescent="0.2">
      <c r="A146" s="10" t="s">
        <v>1646</v>
      </c>
      <c r="B146" s="11" t="s">
        <v>667</v>
      </c>
      <c r="C146" s="10" t="s">
        <v>372</v>
      </c>
    </row>
    <row r="147" spans="1:3" x14ac:dyDescent="0.2">
      <c r="A147" s="10" t="s">
        <v>1646</v>
      </c>
      <c r="B147" s="11" t="s">
        <v>670</v>
      </c>
      <c r="C147" s="10" t="s">
        <v>371</v>
      </c>
    </row>
    <row r="148" spans="1:3" x14ac:dyDescent="0.2">
      <c r="A148" s="10" t="s">
        <v>1646</v>
      </c>
      <c r="B148" s="11" t="s">
        <v>673</v>
      </c>
      <c r="C148" s="10" t="s">
        <v>372</v>
      </c>
    </row>
    <row r="149" spans="1:3" x14ac:dyDescent="0.2">
      <c r="A149" s="10" t="s">
        <v>1646</v>
      </c>
      <c r="B149" s="11" t="s">
        <v>676</v>
      </c>
      <c r="C149" s="10" t="s">
        <v>371</v>
      </c>
    </row>
    <row r="150" spans="1:3" x14ac:dyDescent="0.2">
      <c r="A150" s="10" t="s">
        <v>1646</v>
      </c>
      <c r="B150" s="11" t="s">
        <v>681</v>
      </c>
      <c r="C150" s="10" t="s">
        <v>242</v>
      </c>
    </row>
    <row r="151" spans="1:3" x14ac:dyDescent="0.2">
      <c r="A151" s="10" t="s">
        <v>1646</v>
      </c>
      <c r="B151" s="11" t="s">
        <v>682</v>
      </c>
      <c r="C151" s="10" t="s">
        <v>243</v>
      </c>
    </row>
    <row r="152" spans="1:3" x14ac:dyDescent="0.2">
      <c r="A152" s="10" t="s">
        <v>1646</v>
      </c>
      <c r="B152" s="11" t="s">
        <v>686</v>
      </c>
      <c r="C152" s="10" t="s">
        <v>405</v>
      </c>
    </row>
    <row r="153" spans="1:3" x14ac:dyDescent="0.2">
      <c r="A153" s="10" t="s">
        <v>1646</v>
      </c>
      <c r="B153" s="11" t="s">
        <v>690</v>
      </c>
      <c r="C153" s="10" t="s">
        <v>371</v>
      </c>
    </row>
    <row r="154" spans="1:3" x14ac:dyDescent="0.2">
      <c r="A154" s="10" t="s">
        <v>1647</v>
      </c>
      <c r="B154" s="11" t="s">
        <v>696</v>
      </c>
      <c r="C154" s="10" t="s">
        <v>405</v>
      </c>
    </row>
    <row r="155" spans="1:3" x14ac:dyDescent="0.2">
      <c r="A155" s="10" t="s">
        <v>1647</v>
      </c>
      <c r="B155" s="11" t="s">
        <v>710</v>
      </c>
      <c r="C155" s="10" t="s">
        <v>371</v>
      </c>
    </row>
    <row r="156" spans="1:3" x14ac:dyDescent="0.2">
      <c r="A156" s="10" t="s">
        <v>1647</v>
      </c>
      <c r="B156" s="11" t="s">
        <v>715</v>
      </c>
      <c r="C156" s="10" t="s">
        <v>300</v>
      </c>
    </row>
    <row r="157" spans="1:3" x14ac:dyDescent="0.2">
      <c r="A157" s="10" t="s">
        <v>1647</v>
      </c>
      <c r="B157" s="11" t="s">
        <v>718</v>
      </c>
      <c r="C157" s="10" t="s">
        <v>372</v>
      </c>
    </row>
    <row r="158" spans="1:3" x14ac:dyDescent="0.2">
      <c r="A158" s="10" t="s">
        <v>1647</v>
      </c>
      <c r="B158" s="11" t="s">
        <v>721</v>
      </c>
      <c r="C158" s="10" t="s">
        <v>1638</v>
      </c>
    </row>
    <row r="159" spans="1:3" x14ac:dyDescent="0.2">
      <c r="A159" s="10" t="s">
        <v>1647</v>
      </c>
      <c r="B159" s="11" t="s">
        <v>736</v>
      </c>
      <c r="C159" s="10" t="s">
        <v>1638</v>
      </c>
    </row>
    <row r="160" spans="1:3" x14ac:dyDescent="0.2">
      <c r="A160" s="10" t="s">
        <v>1647</v>
      </c>
      <c r="B160" s="11" t="s">
        <v>743</v>
      </c>
      <c r="C160" s="10" t="s">
        <v>371</v>
      </c>
    </row>
    <row r="161" spans="1:3" x14ac:dyDescent="0.2">
      <c r="A161" s="10" t="s">
        <v>1647</v>
      </c>
      <c r="B161" s="11" t="s">
        <v>750</v>
      </c>
      <c r="C161" s="10" t="s">
        <v>371</v>
      </c>
    </row>
    <row r="162" spans="1:3" x14ac:dyDescent="0.2">
      <c r="A162" s="10" t="s">
        <v>1647</v>
      </c>
      <c r="B162" s="11" t="s">
        <v>757</v>
      </c>
      <c r="C162" s="10" t="s">
        <v>371</v>
      </c>
    </row>
    <row r="163" spans="1:3" x14ac:dyDescent="0.2">
      <c r="A163" s="10" t="s">
        <v>1647</v>
      </c>
      <c r="B163" s="11" t="s">
        <v>762</v>
      </c>
      <c r="C163" s="10" t="s">
        <v>371</v>
      </c>
    </row>
    <row r="164" spans="1:3" x14ac:dyDescent="0.2">
      <c r="A164" s="10" t="s">
        <v>1647</v>
      </c>
      <c r="B164" s="11" t="s">
        <v>766</v>
      </c>
      <c r="C164" s="10" t="s">
        <v>1638</v>
      </c>
    </row>
    <row r="165" spans="1:3" x14ac:dyDescent="0.2">
      <c r="A165" s="10" t="s">
        <v>1647</v>
      </c>
      <c r="B165" s="11" t="s">
        <v>773</v>
      </c>
      <c r="C165" s="10" t="s">
        <v>371</v>
      </c>
    </row>
    <row r="166" spans="1:3" x14ac:dyDescent="0.2">
      <c r="A166" s="10" t="s">
        <v>1648</v>
      </c>
      <c r="B166" s="11" t="s">
        <v>777</v>
      </c>
      <c r="C166" s="10" t="s">
        <v>242</v>
      </c>
    </row>
    <row r="167" spans="1:3" x14ac:dyDescent="0.2">
      <c r="A167" s="10" t="s">
        <v>1648</v>
      </c>
      <c r="B167" s="11" t="s">
        <v>778</v>
      </c>
      <c r="C167" s="10" t="s">
        <v>371</v>
      </c>
    </row>
    <row r="168" spans="1:3" x14ac:dyDescent="0.2">
      <c r="A168" s="10" t="s">
        <v>1648</v>
      </c>
      <c r="B168" s="11" t="s">
        <v>782</v>
      </c>
      <c r="C168" s="10" t="s">
        <v>243</v>
      </c>
    </row>
    <row r="169" spans="1:3" x14ac:dyDescent="0.2">
      <c r="A169" s="10" t="s">
        <v>1648</v>
      </c>
      <c r="B169" s="11" t="s">
        <v>785</v>
      </c>
      <c r="C169" s="10" t="s">
        <v>405</v>
      </c>
    </row>
    <row r="170" spans="1:3" x14ac:dyDescent="0.2">
      <c r="A170" s="10" t="s">
        <v>1649</v>
      </c>
      <c r="B170" s="11" t="s">
        <v>790</v>
      </c>
      <c r="C170" s="10" t="s">
        <v>405</v>
      </c>
    </row>
    <row r="171" spans="1:3" x14ac:dyDescent="0.2">
      <c r="A171" s="10" t="s">
        <v>1649</v>
      </c>
      <c r="B171" s="11" t="s">
        <v>794</v>
      </c>
      <c r="C171" s="10" t="s">
        <v>371</v>
      </c>
    </row>
    <row r="172" spans="1:3" x14ac:dyDescent="0.2">
      <c r="A172" s="10" t="s">
        <v>1649</v>
      </c>
      <c r="B172" s="11" t="s">
        <v>798</v>
      </c>
      <c r="C172" s="10" t="s">
        <v>1638</v>
      </c>
    </row>
    <row r="173" spans="1:3" x14ac:dyDescent="0.2">
      <c r="A173" s="10" t="s">
        <v>1649</v>
      </c>
      <c r="B173" s="11" t="s">
        <v>805</v>
      </c>
      <c r="C173" s="10" t="s">
        <v>1638</v>
      </c>
    </row>
    <row r="174" spans="1:3" x14ac:dyDescent="0.2">
      <c r="A174" s="10" t="s">
        <v>1649</v>
      </c>
      <c r="B174" s="11" t="s">
        <v>810</v>
      </c>
      <c r="C174" s="10" t="s">
        <v>1638</v>
      </c>
    </row>
    <row r="175" spans="1:3" x14ac:dyDescent="0.2">
      <c r="A175" s="10" t="s">
        <v>1650</v>
      </c>
      <c r="B175" s="11" t="s">
        <v>816</v>
      </c>
      <c r="C175" s="10" t="s">
        <v>371</v>
      </c>
    </row>
    <row r="176" spans="1:3" x14ac:dyDescent="0.2">
      <c r="A176" s="10" t="s">
        <v>1650</v>
      </c>
      <c r="B176" s="11" t="s">
        <v>820</v>
      </c>
      <c r="C176" s="10" t="s">
        <v>371</v>
      </c>
    </row>
    <row r="177" spans="1:3" x14ac:dyDescent="0.2">
      <c r="A177" s="10" t="s">
        <v>1650</v>
      </c>
      <c r="B177" s="11" t="s">
        <v>828</v>
      </c>
      <c r="C177" s="10" t="s">
        <v>1638</v>
      </c>
    </row>
    <row r="178" spans="1:3" x14ac:dyDescent="0.2">
      <c r="A178" s="10" t="s">
        <v>1650</v>
      </c>
      <c r="B178" s="11" t="s">
        <v>834</v>
      </c>
      <c r="C178" s="10" t="s">
        <v>1638</v>
      </c>
    </row>
    <row r="179" spans="1:3" x14ac:dyDescent="0.2">
      <c r="A179" s="10" t="s">
        <v>1650</v>
      </c>
      <c r="B179" s="11" t="s">
        <v>839</v>
      </c>
      <c r="C179" s="10" t="s">
        <v>1638</v>
      </c>
    </row>
    <row r="180" spans="1:3" x14ac:dyDescent="0.2">
      <c r="A180" s="10" t="s">
        <v>1650</v>
      </c>
      <c r="B180" s="11" t="s">
        <v>844</v>
      </c>
      <c r="C180" s="10" t="s">
        <v>1638</v>
      </c>
    </row>
    <row r="181" spans="1:3" x14ac:dyDescent="0.2">
      <c r="A181" s="10" t="s">
        <v>1651</v>
      </c>
      <c r="B181" s="11" t="s">
        <v>850</v>
      </c>
      <c r="C181" s="10" t="s">
        <v>371</v>
      </c>
    </row>
    <row r="182" spans="1:3" x14ac:dyDescent="0.2">
      <c r="A182" s="10" t="s">
        <v>1651</v>
      </c>
      <c r="B182" s="11" t="s">
        <v>857</v>
      </c>
      <c r="C182" s="10" t="s">
        <v>371</v>
      </c>
    </row>
    <row r="183" spans="1:3" x14ac:dyDescent="0.2">
      <c r="A183" s="10" t="s">
        <v>1651</v>
      </c>
      <c r="B183" s="11" t="s">
        <v>860</v>
      </c>
      <c r="C183" s="10" t="s">
        <v>1638</v>
      </c>
    </row>
    <row r="184" spans="1:3" x14ac:dyDescent="0.2">
      <c r="A184" s="10" t="s">
        <v>1651</v>
      </c>
      <c r="B184" s="11" t="s">
        <v>871</v>
      </c>
      <c r="C184" s="10" t="s">
        <v>1638</v>
      </c>
    </row>
    <row r="185" spans="1:3" x14ac:dyDescent="0.2">
      <c r="A185" s="10" t="s">
        <v>1651</v>
      </c>
      <c r="B185" s="11" t="s">
        <v>884</v>
      </c>
      <c r="C185" s="10" t="s">
        <v>371</v>
      </c>
    </row>
    <row r="186" spans="1:3" x14ac:dyDescent="0.2">
      <c r="A186" s="10" t="s">
        <v>1651</v>
      </c>
      <c r="B186" s="11" t="s">
        <v>886</v>
      </c>
      <c r="C186" s="10" t="s">
        <v>405</v>
      </c>
    </row>
    <row r="187" spans="1:3" x14ac:dyDescent="0.2">
      <c r="A187" s="10" t="s">
        <v>1652</v>
      </c>
      <c r="B187" s="11" t="s">
        <v>890</v>
      </c>
      <c r="C187" s="10" t="s">
        <v>371</v>
      </c>
    </row>
    <row r="188" spans="1:3" x14ac:dyDescent="0.2">
      <c r="A188" s="10" t="s">
        <v>1652</v>
      </c>
      <c r="B188" s="11" t="s">
        <v>893</v>
      </c>
      <c r="C188" s="10" t="s">
        <v>371</v>
      </c>
    </row>
    <row r="189" spans="1:3" x14ac:dyDescent="0.2">
      <c r="A189" s="10" t="s">
        <v>1652</v>
      </c>
      <c r="B189" s="11" t="s">
        <v>897</v>
      </c>
      <c r="C189" s="10" t="s">
        <v>242</v>
      </c>
    </row>
    <row r="190" spans="1:3" x14ac:dyDescent="0.2">
      <c r="A190" s="10" t="s">
        <v>1652</v>
      </c>
      <c r="B190" s="11" t="s">
        <v>900</v>
      </c>
      <c r="C190" s="10" t="s">
        <v>371</v>
      </c>
    </row>
    <row r="191" spans="1:3" x14ac:dyDescent="0.2">
      <c r="A191" s="10" t="s">
        <v>1652</v>
      </c>
      <c r="B191" s="11" t="s">
        <v>903</v>
      </c>
      <c r="C191" s="10" t="s">
        <v>371</v>
      </c>
    </row>
    <row r="192" spans="1:3" x14ac:dyDescent="0.2">
      <c r="A192" s="10" t="s">
        <v>1652</v>
      </c>
      <c r="B192" s="11" t="s">
        <v>910</v>
      </c>
      <c r="C192" s="10" t="s">
        <v>371</v>
      </c>
    </row>
    <row r="193" spans="1:3" x14ac:dyDescent="0.2">
      <c r="A193" s="10" t="s">
        <v>1653</v>
      </c>
      <c r="B193" s="11" t="s">
        <v>913</v>
      </c>
      <c r="C193" s="10" t="s">
        <v>405</v>
      </c>
    </row>
    <row r="194" spans="1:3" x14ac:dyDescent="0.2">
      <c r="A194" s="10" t="s">
        <v>1653</v>
      </c>
      <c r="B194" s="11" t="s">
        <v>922</v>
      </c>
      <c r="C194" s="10" t="s">
        <v>405</v>
      </c>
    </row>
    <row r="195" spans="1:3" x14ac:dyDescent="0.2">
      <c r="A195" s="10" t="s">
        <v>1653</v>
      </c>
      <c r="B195" s="11" t="s">
        <v>928</v>
      </c>
      <c r="C195" s="10" t="s">
        <v>405</v>
      </c>
    </row>
    <row r="196" spans="1:3" x14ac:dyDescent="0.2">
      <c r="A196" s="10" t="s">
        <v>1653</v>
      </c>
      <c r="B196" s="11" t="s">
        <v>934</v>
      </c>
      <c r="C196" s="10" t="s">
        <v>405</v>
      </c>
    </row>
    <row r="197" spans="1:3" x14ac:dyDescent="0.2">
      <c r="A197" s="10" t="s">
        <v>1653</v>
      </c>
      <c r="B197" s="11" t="s">
        <v>940</v>
      </c>
      <c r="C197" s="10" t="s">
        <v>300</v>
      </c>
    </row>
    <row r="198" spans="1:3" x14ac:dyDescent="0.2">
      <c r="A198" s="10" t="s">
        <v>1653</v>
      </c>
      <c r="B198" s="11" t="s">
        <v>942</v>
      </c>
      <c r="C198" s="10" t="s">
        <v>405</v>
      </c>
    </row>
    <row r="199" spans="1:3" x14ac:dyDescent="0.2">
      <c r="A199" s="10" t="s">
        <v>1653</v>
      </c>
      <c r="B199" s="11" t="s">
        <v>945</v>
      </c>
      <c r="C199" s="10" t="s">
        <v>372</v>
      </c>
    </row>
    <row r="200" spans="1:3" x14ac:dyDescent="0.2">
      <c r="A200" s="10" t="s">
        <v>1654</v>
      </c>
      <c r="B200" s="11" t="s">
        <v>958</v>
      </c>
      <c r="C200" s="10" t="s">
        <v>371</v>
      </c>
    </row>
    <row r="201" spans="1:3" x14ac:dyDescent="0.2">
      <c r="A201" s="10" t="s">
        <v>1654</v>
      </c>
      <c r="B201" s="11" t="s">
        <v>1812</v>
      </c>
      <c r="C201" s="10" t="s">
        <v>371</v>
      </c>
    </row>
    <row r="202" spans="1:3" x14ac:dyDescent="0.2">
      <c r="A202" s="10" t="s">
        <v>1654</v>
      </c>
      <c r="B202" s="11" t="s">
        <v>973</v>
      </c>
      <c r="C202" s="10" t="s">
        <v>1638</v>
      </c>
    </row>
    <row r="203" spans="1:3" x14ac:dyDescent="0.2">
      <c r="A203" s="10" t="s">
        <v>1506</v>
      </c>
      <c r="B203" s="11" t="s">
        <v>978</v>
      </c>
      <c r="C203" s="10" t="s">
        <v>371</v>
      </c>
    </row>
    <row r="204" spans="1:3" x14ac:dyDescent="0.2">
      <c r="A204" s="10" t="s">
        <v>1506</v>
      </c>
      <c r="B204" s="11" t="s">
        <v>981</v>
      </c>
      <c r="C204" s="10" t="s">
        <v>405</v>
      </c>
    </row>
    <row r="205" spans="1:3" x14ac:dyDescent="0.2">
      <c r="A205" s="10" t="s">
        <v>1506</v>
      </c>
      <c r="B205" s="11" t="s">
        <v>985</v>
      </c>
      <c r="C205" s="10" t="s">
        <v>243</v>
      </c>
    </row>
    <row r="206" spans="1:3" x14ac:dyDescent="0.2">
      <c r="A206" s="10" t="s">
        <v>1506</v>
      </c>
      <c r="B206" s="11" t="s">
        <v>1003</v>
      </c>
      <c r="C206" s="10" t="s">
        <v>371</v>
      </c>
    </row>
    <row r="207" spans="1:3" x14ac:dyDescent="0.2">
      <c r="A207" s="10" t="s">
        <v>1506</v>
      </c>
      <c r="B207" s="11" t="s">
        <v>1029</v>
      </c>
      <c r="C207" s="10" t="s">
        <v>371</v>
      </c>
    </row>
    <row r="208" spans="1:3" x14ac:dyDescent="0.2">
      <c r="A208" s="10" t="s">
        <v>1506</v>
      </c>
      <c r="B208" s="11" t="s">
        <v>1053</v>
      </c>
      <c r="C208" s="10" t="s">
        <v>309</v>
      </c>
    </row>
    <row r="209" spans="1:3" x14ac:dyDescent="0.2">
      <c r="A209" s="10" t="s">
        <v>1506</v>
      </c>
      <c r="B209" s="11" t="s">
        <v>1056</v>
      </c>
      <c r="C209" s="10" t="s">
        <v>309</v>
      </c>
    </row>
    <row r="210" spans="1:3" x14ac:dyDescent="0.2">
      <c r="A210" s="10" t="s">
        <v>1506</v>
      </c>
      <c r="B210" s="11" t="s">
        <v>1058</v>
      </c>
      <c r="C210" s="10" t="s">
        <v>1638</v>
      </c>
    </row>
    <row r="211" spans="1:3" x14ac:dyDescent="0.2">
      <c r="A211" s="10" t="s">
        <v>1506</v>
      </c>
      <c r="B211" s="11" t="s">
        <v>1258</v>
      </c>
      <c r="C211" s="10" t="s">
        <v>1655</v>
      </c>
    </row>
    <row r="212" spans="1:3" x14ac:dyDescent="0.2">
      <c r="A212" s="10" t="s">
        <v>1506</v>
      </c>
      <c r="B212" s="11" t="s">
        <v>1262</v>
      </c>
      <c r="C212" s="10" t="s">
        <v>371</v>
      </c>
    </row>
    <row r="213" spans="1:3" x14ac:dyDescent="0.2">
      <c r="A213" s="10" t="s">
        <v>1656</v>
      </c>
      <c r="B213" s="11" t="s">
        <v>1300</v>
      </c>
      <c r="C213" s="10" t="s">
        <v>371</v>
      </c>
    </row>
    <row r="214" spans="1:3" x14ac:dyDescent="0.2">
      <c r="A214" s="10" t="s">
        <v>1656</v>
      </c>
      <c r="B214" s="11" t="s">
        <v>1324</v>
      </c>
      <c r="C214" s="10" t="s">
        <v>242</v>
      </c>
    </row>
    <row r="215" spans="1:3" x14ac:dyDescent="0.2">
      <c r="A215" s="10" t="s">
        <v>1656</v>
      </c>
      <c r="B215" s="11" t="s">
        <v>1326</v>
      </c>
      <c r="C215" s="10" t="s">
        <v>371</v>
      </c>
    </row>
    <row r="216" spans="1:3" x14ac:dyDescent="0.2">
      <c r="A216" s="10" t="s">
        <v>1656</v>
      </c>
      <c r="B216" s="11" t="s">
        <v>1345</v>
      </c>
      <c r="C216" s="10" t="s">
        <v>371</v>
      </c>
    </row>
    <row r="217" spans="1:3" x14ac:dyDescent="0.2">
      <c r="A217" s="10" t="s">
        <v>1656</v>
      </c>
      <c r="B217" s="11" t="s">
        <v>1352</v>
      </c>
      <c r="C217" s="10" t="s">
        <v>371</v>
      </c>
    </row>
    <row r="218" spans="1:3" x14ac:dyDescent="0.2">
      <c r="A218" s="10" t="s">
        <v>1656</v>
      </c>
      <c r="B218" s="11" t="s">
        <v>1359</v>
      </c>
      <c r="C218" s="10" t="s">
        <v>1638</v>
      </c>
    </row>
    <row r="219" spans="1:3" x14ac:dyDescent="0.2">
      <c r="A219" s="10" t="s">
        <v>1656</v>
      </c>
      <c r="B219" s="11" t="s">
        <v>1366</v>
      </c>
      <c r="C219" s="10" t="s">
        <v>371</v>
      </c>
    </row>
    <row r="220" spans="1:3" x14ac:dyDescent="0.2">
      <c r="A220" s="10" t="s">
        <v>1657</v>
      </c>
      <c r="B220" s="11" t="s">
        <v>1381</v>
      </c>
      <c r="C220" s="10" t="s">
        <v>1638</v>
      </c>
    </row>
    <row r="221" spans="1:3" x14ac:dyDescent="0.2">
      <c r="A221" s="10" t="s">
        <v>1658</v>
      </c>
      <c r="B221" s="11" t="s">
        <v>1397</v>
      </c>
      <c r="C221" s="10" t="s">
        <v>1638</v>
      </c>
    </row>
    <row r="222" spans="1:3" x14ac:dyDescent="0.2">
      <c r="A222" s="10" t="s">
        <v>1658</v>
      </c>
      <c r="B222" s="11" t="s">
        <v>1415</v>
      </c>
      <c r="C222" s="10" t="s">
        <v>1638</v>
      </c>
    </row>
    <row r="223" spans="1:3" x14ac:dyDescent="0.2">
      <c r="A223" s="10" t="s">
        <v>1658</v>
      </c>
      <c r="B223" s="11" t="s">
        <v>1473</v>
      </c>
      <c r="C223" s="10" t="s">
        <v>372</v>
      </c>
    </row>
    <row r="224" spans="1:3" x14ac:dyDescent="0.2">
      <c r="A224" s="10" t="s">
        <v>1659</v>
      </c>
      <c r="B224" s="11" t="s">
        <v>1512</v>
      </c>
      <c r="C224" s="10" t="s">
        <v>1638</v>
      </c>
    </row>
    <row r="225" spans="1:3" x14ac:dyDescent="0.2">
      <c r="A225" s="10" t="s">
        <v>1659</v>
      </c>
      <c r="B225" s="11" t="s">
        <v>1515</v>
      </c>
      <c r="C225" s="10" t="s">
        <v>372</v>
      </c>
    </row>
    <row r="226" spans="1:3" x14ac:dyDescent="0.2">
      <c r="A226" s="10" t="s">
        <v>1660</v>
      </c>
      <c r="B226" s="11" t="s">
        <v>1519</v>
      </c>
      <c r="C226" s="10" t="s">
        <v>371</v>
      </c>
    </row>
    <row r="227" spans="1:3" x14ac:dyDescent="0.2">
      <c r="A227" s="10" t="s">
        <v>1660</v>
      </c>
      <c r="B227" s="11" t="s">
        <v>1534</v>
      </c>
      <c r="C227" s="10" t="s">
        <v>300</v>
      </c>
    </row>
    <row r="228" spans="1:3" x14ac:dyDescent="0.2">
      <c r="A228" s="10" t="s">
        <v>1660</v>
      </c>
      <c r="B228" s="11" t="s">
        <v>1539</v>
      </c>
      <c r="C228" s="10" t="s">
        <v>242</v>
      </c>
    </row>
    <row r="229" spans="1:3" x14ac:dyDescent="0.2">
      <c r="A229" s="10" t="s">
        <v>1660</v>
      </c>
      <c r="B229" s="11" t="s">
        <v>1544</v>
      </c>
      <c r="C229" s="10" t="s">
        <v>371</v>
      </c>
    </row>
    <row r="230" spans="1:3" x14ac:dyDescent="0.2">
      <c r="A230" s="10" t="s">
        <v>1660</v>
      </c>
      <c r="B230" s="11" t="s">
        <v>1579</v>
      </c>
      <c r="C230" s="10" t="s">
        <v>300</v>
      </c>
    </row>
    <row r="231" spans="1:3" x14ac:dyDescent="0.2">
      <c r="A231" s="10" t="s">
        <v>1660</v>
      </c>
      <c r="B231" s="11" t="s">
        <v>1583</v>
      </c>
      <c r="C231" s="10" t="s">
        <v>300</v>
      </c>
    </row>
    <row r="232" spans="1:3" x14ac:dyDescent="0.2">
      <c r="A232" s="10" t="s">
        <v>1661</v>
      </c>
      <c r="B232" s="11" t="s">
        <v>1585</v>
      </c>
      <c r="C232" s="10" t="s">
        <v>1638</v>
      </c>
    </row>
    <row r="233" spans="1:3" x14ac:dyDescent="0.2">
      <c r="A233" s="10" t="s">
        <v>1661</v>
      </c>
      <c r="B233" s="11" t="s">
        <v>1593</v>
      </c>
      <c r="C233" s="10" t="s">
        <v>1638</v>
      </c>
    </row>
    <row r="234" spans="1:3" x14ac:dyDescent="0.2">
      <c r="A234" s="10" t="s">
        <v>1664</v>
      </c>
      <c r="B234" s="11" t="s">
        <v>1662</v>
      </c>
      <c r="C234" s="10" t="s">
        <v>1663</v>
      </c>
    </row>
    <row r="236" spans="1:3" ht="16.5" x14ac:dyDescent="0.25">
      <c r="A236" s="3" t="s">
        <v>1665</v>
      </c>
    </row>
    <row r="237" spans="1:3" x14ac:dyDescent="0.2">
      <c r="A237" s="10" t="s">
        <v>1666</v>
      </c>
    </row>
    <row r="238" spans="1:3" x14ac:dyDescent="0.2">
      <c r="A238" s="10" t="s">
        <v>1667</v>
      </c>
    </row>
    <row r="239" spans="1:3" x14ac:dyDescent="0.2">
      <c r="A239" s="10" t="s">
        <v>1668</v>
      </c>
    </row>
    <row r="240" spans="1:3" x14ac:dyDescent="0.2">
      <c r="A240" s="10" t="s">
        <v>1669</v>
      </c>
    </row>
    <row r="241" spans="1:1" x14ac:dyDescent="0.2">
      <c r="A241" s="10" t="s">
        <v>1670</v>
      </c>
    </row>
    <row r="242" spans="1:1" x14ac:dyDescent="0.2">
      <c r="A242" s="10" t="s">
        <v>1671</v>
      </c>
    </row>
    <row r="243" spans="1:1" x14ac:dyDescent="0.2">
      <c r="A243" s="10" t="s">
        <v>1672</v>
      </c>
    </row>
    <row r="244" spans="1:1" x14ac:dyDescent="0.2">
      <c r="A244" s="10" t="s">
        <v>1673</v>
      </c>
    </row>
    <row r="245" spans="1:1" x14ac:dyDescent="0.2">
      <c r="A245" s="10" t="s">
        <v>1674</v>
      </c>
    </row>
    <row r="246" spans="1:1" x14ac:dyDescent="0.2">
      <c r="A246" s="10" t="s">
        <v>1675</v>
      </c>
    </row>
    <row r="247" spans="1:1" x14ac:dyDescent="0.2">
      <c r="A247" s="10" t="s">
        <v>1676</v>
      </c>
    </row>
    <row r="248" spans="1:1" x14ac:dyDescent="0.2">
      <c r="A248" s="10" t="s">
        <v>1677</v>
      </c>
    </row>
    <row r="249" spans="1:1" x14ac:dyDescent="0.2">
      <c r="A249" s="10" t="s">
        <v>1678</v>
      </c>
    </row>
    <row r="250" spans="1:1" x14ac:dyDescent="0.2">
      <c r="A250" s="10" t="s">
        <v>1679</v>
      </c>
    </row>
    <row r="251" spans="1:1" x14ac:dyDescent="0.2">
      <c r="A251" s="10" t="s">
        <v>1680</v>
      </c>
    </row>
    <row r="252" spans="1:1" x14ac:dyDescent="0.2">
      <c r="A252" s="10" t="s">
        <v>1681</v>
      </c>
    </row>
    <row r="253" spans="1:1" x14ac:dyDescent="0.2">
      <c r="A253" s="10" t="s">
        <v>1682</v>
      </c>
    </row>
    <row r="254" spans="1:1" x14ac:dyDescent="0.2">
      <c r="A254" s="10" t="s">
        <v>1683</v>
      </c>
    </row>
    <row r="255" spans="1:1" x14ac:dyDescent="0.2">
      <c r="A255" s="10" t="s">
        <v>1684</v>
      </c>
    </row>
    <row r="256" spans="1:1" x14ac:dyDescent="0.2">
      <c r="A256" s="10" t="s">
        <v>1685</v>
      </c>
    </row>
    <row r="257" spans="1:1" x14ac:dyDescent="0.2">
      <c r="A257" s="10" t="s">
        <v>1686</v>
      </c>
    </row>
    <row r="258" spans="1:1" x14ac:dyDescent="0.2">
      <c r="A258" s="10" t="s">
        <v>1687</v>
      </c>
    </row>
    <row r="259" spans="1:1" x14ac:dyDescent="0.2">
      <c r="A259" s="10" t="s">
        <v>1688</v>
      </c>
    </row>
    <row r="260" spans="1:1" x14ac:dyDescent="0.2">
      <c r="A260" s="10" t="s">
        <v>1689</v>
      </c>
    </row>
    <row r="261" spans="1:1" x14ac:dyDescent="0.2">
      <c r="A261" s="10" t="s">
        <v>1690</v>
      </c>
    </row>
    <row r="262" spans="1:1" x14ac:dyDescent="0.2">
      <c r="A262" s="10" t="s">
        <v>1691</v>
      </c>
    </row>
    <row r="263" spans="1:1" x14ac:dyDescent="0.2">
      <c r="A263" s="10" t="s">
        <v>1692</v>
      </c>
    </row>
    <row r="264" spans="1:1" x14ac:dyDescent="0.2">
      <c r="A264" s="10" t="s">
        <v>1693</v>
      </c>
    </row>
    <row r="265" spans="1:1" x14ac:dyDescent="0.2">
      <c r="A265" s="10" t="s">
        <v>1694</v>
      </c>
    </row>
    <row r="266" spans="1:1" x14ac:dyDescent="0.2">
      <c r="A266" s="10" t="s">
        <v>1695</v>
      </c>
    </row>
    <row r="267" spans="1:1" x14ac:dyDescent="0.2">
      <c r="A267" s="10" t="s">
        <v>1696</v>
      </c>
    </row>
    <row r="268" spans="1:1" x14ac:dyDescent="0.2">
      <c r="A268" s="10" t="s">
        <v>1697</v>
      </c>
    </row>
    <row r="269" spans="1:1" x14ac:dyDescent="0.2">
      <c r="A269" s="10" t="s">
        <v>1698</v>
      </c>
    </row>
    <row r="270" spans="1:1" x14ac:dyDescent="0.2">
      <c r="A270" s="10" t="s">
        <v>1699</v>
      </c>
    </row>
    <row r="271" spans="1:1" x14ac:dyDescent="0.2">
      <c r="A271" s="10" t="s">
        <v>1700</v>
      </c>
    </row>
    <row r="272" spans="1:1" x14ac:dyDescent="0.2">
      <c r="A272" s="10" t="s">
        <v>1701</v>
      </c>
    </row>
    <row r="273" spans="1:1" x14ac:dyDescent="0.2">
      <c r="A273" s="10" t="s">
        <v>1702</v>
      </c>
    </row>
    <row r="274" spans="1:1" x14ac:dyDescent="0.2">
      <c r="A274" s="10" t="s">
        <v>1703</v>
      </c>
    </row>
    <row r="275" spans="1:1" x14ac:dyDescent="0.2">
      <c r="A275" s="10" t="s">
        <v>1704</v>
      </c>
    </row>
    <row r="276" spans="1:1" x14ac:dyDescent="0.2">
      <c r="A276" s="10" t="s">
        <v>1705</v>
      </c>
    </row>
    <row r="277" spans="1:1" x14ac:dyDescent="0.2">
      <c r="A277" s="10" t="s">
        <v>1706</v>
      </c>
    </row>
    <row r="278" spans="1:1" x14ac:dyDescent="0.2">
      <c r="A278" s="10" t="s">
        <v>1707</v>
      </c>
    </row>
    <row r="279" spans="1:1" x14ac:dyDescent="0.2">
      <c r="A279" s="10" t="s">
        <v>1708</v>
      </c>
    </row>
    <row r="280" spans="1:1" x14ac:dyDescent="0.2">
      <c r="A280" s="10" t="s">
        <v>1709</v>
      </c>
    </row>
    <row r="281" spans="1:1" x14ac:dyDescent="0.2">
      <c r="A281" s="10" t="s">
        <v>1710</v>
      </c>
    </row>
    <row r="282" spans="1:1" x14ac:dyDescent="0.2">
      <c r="A282" s="10" t="s">
        <v>1711</v>
      </c>
    </row>
    <row r="283" spans="1:1" x14ac:dyDescent="0.2">
      <c r="A283" s="10" t="s">
        <v>1712</v>
      </c>
    </row>
    <row r="284" spans="1:1" x14ac:dyDescent="0.2">
      <c r="A284" s="10" t="s">
        <v>1713</v>
      </c>
    </row>
    <row r="285" spans="1:1" x14ac:dyDescent="0.2">
      <c r="A285" s="10" t="s">
        <v>1714</v>
      </c>
    </row>
    <row r="286" spans="1:1" x14ac:dyDescent="0.2">
      <c r="A286" s="10" t="s">
        <v>1715</v>
      </c>
    </row>
    <row r="287" spans="1:1" x14ac:dyDescent="0.2">
      <c r="A287" s="10" t="s">
        <v>1716</v>
      </c>
    </row>
    <row r="288" spans="1:1" x14ac:dyDescent="0.2">
      <c r="A288" s="10" t="s">
        <v>1717</v>
      </c>
    </row>
    <row r="289" spans="1:1" x14ac:dyDescent="0.2">
      <c r="A289" s="10" t="s">
        <v>1718</v>
      </c>
    </row>
    <row r="290" spans="1:1" x14ac:dyDescent="0.2">
      <c r="A290" s="10" t="s">
        <v>1719</v>
      </c>
    </row>
    <row r="291" spans="1:1" x14ac:dyDescent="0.2">
      <c r="A291" s="10" t="s">
        <v>1720</v>
      </c>
    </row>
    <row r="292" spans="1:1" x14ac:dyDescent="0.2">
      <c r="A292" s="10" t="s">
        <v>1721</v>
      </c>
    </row>
    <row r="293" spans="1:1" x14ac:dyDescent="0.2">
      <c r="A293" s="10" t="s">
        <v>1722</v>
      </c>
    </row>
    <row r="294" spans="1:1" x14ac:dyDescent="0.2">
      <c r="A294" s="10" t="s">
        <v>1723</v>
      </c>
    </row>
    <row r="295" spans="1:1" x14ac:dyDescent="0.2">
      <c r="A295" s="10" t="s">
        <v>1724</v>
      </c>
    </row>
    <row r="296" spans="1:1" x14ac:dyDescent="0.2">
      <c r="A296" s="10" t="s">
        <v>1725</v>
      </c>
    </row>
    <row r="297" spans="1:1" x14ac:dyDescent="0.2">
      <c r="A297" s="10" t="s">
        <v>1726</v>
      </c>
    </row>
    <row r="298" spans="1:1" x14ac:dyDescent="0.2">
      <c r="A298" s="10" t="s">
        <v>1727</v>
      </c>
    </row>
    <row r="299" spans="1:1" x14ac:dyDescent="0.2">
      <c r="A299" s="10" t="s">
        <v>1728</v>
      </c>
    </row>
    <row r="300" spans="1:1" x14ac:dyDescent="0.2">
      <c r="A300" s="10" t="s">
        <v>1729</v>
      </c>
    </row>
    <row r="301" spans="1:1" x14ac:dyDescent="0.2">
      <c r="A301" s="10" t="s">
        <v>1730</v>
      </c>
    </row>
    <row r="302" spans="1:1" x14ac:dyDescent="0.2">
      <c r="A302" s="10" t="s">
        <v>1731</v>
      </c>
    </row>
    <row r="303" spans="1:1" x14ac:dyDescent="0.2">
      <c r="A303" s="10" t="s">
        <v>1732</v>
      </c>
    </row>
    <row r="304" spans="1:1" x14ac:dyDescent="0.2">
      <c r="A304" s="10"/>
    </row>
    <row r="305" spans="1:1" x14ac:dyDescent="0.2">
      <c r="A305" s="10" t="s">
        <v>1733</v>
      </c>
    </row>
  </sheetData>
  <autoFilter ref="A36:C234"/>
  <hyperlinks>
    <hyperlink ref="B37" location="'Input'!B7" display="'Input'!B7"/>
    <hyperlink ref="B38" location="'Input'!B14" display="'Input'!B14"/>
    <hyperlink ref="B39" location="'Input'!B24" display="'Input'!B24"/>
    <hyperlink ref="B40" location="'Input'!B36" display="'Input'!B36"/>
    <hyperlink ref="B41" location="'Input'!B41" display="'Input'!B41"/>
    <hyperlink ref="B42" location="'Input'!B46" display="'Input'!B46"/>
    <hyperlink ref="B43" location="'Input'!B58" display="'Input'!B58"/>
    <hyperlink ref="B44" location="'Input'!B63" display="'Input'!B63"/>
    <hyperlink ref="B45" location="'Input'!B68" display="'Input'!B68"/>
    <hyperlink ref="B46" location="'Input'!B88" display="'Input'!B88"/>
    <hyperlink ref="B47" location="'Input'!B93" display="'Input'!B93"/>
    <hyperlink ref="B48" location="'Input'!B105" display="'Input'!B105"/>
    <hyperlink ref="B49" location="'Input'!B111" display="'Input'!B111"/>
    <hyperlink ref="B50" location="'Input'!B117" display="'Input'!B117"/>
    <hyperlink ref="B51" location="'Input'!B142" display="'Input'!B142"/>
    <hyperlink ref="B52" location="'Input'!B242" display="'Input'!B242"/>
    <hyperlink ref="B53" location="'Input'!B247" display="'Input'!B247"/>
    <hyperlink ref="B54" location="'Input'!B255" display="'Input'!B255"/>
    <hyperlink ref="B55" location="'Input'!B263" display="'Input'!B263"/>
    <hyperlink ref="B56" location="'Input'!B274" display="'Input'!B274"/>
    <hyperlink ref="B57" location="'Input'!B283" display="'Input'!B283"/>
    <hyperlink ref="B58" location="'Input'!B293" display="'Input'!B293"/>
    <hyperlink ref="B59" location="'Input'!B300" display="'Input'!B300"/>
    <hyperlink ref="B60" location="'Input'!B307" display="'Input'!B307"/>
    <hyperlink ref="B61" location="'Input'!B321" display="'Input'!B321"/>
    <hyperlink ref="B62" location="'Input'!B328" display="'Input'!B328"/>
    <hyperlink ref="B63" location="'Input'!B333" display="'Input'!B333"/>
    <hyperlink ref="B64" location="'LAFs'!B14" display="'LAFs'!B14"/>
    <hyperlink ref="B65" location="'LAFs'!B46" display="'LAFs'!B46"/>
    <hyperlink ref="B66" location="'LAFs'!B62" display="'LAFs'!B62"/>
    <hyperlink ref="B67" location="'LAFs'!B78" display="'LAFs'!B78"/>
    <hyperlink ref="B68" location="'LAFs'!B86" display="'LAFs'!B86"/>
    <hyperlink ref="B69" location="'LAFs'!B121" display="'LAFs'!B121"/>
    <hyperlink ref="B70" location="'LAFs'!B129" display="'LAFs'!B129"/>
    <hyperlink ref="B71" location="'LAFs'!B137" display="'LAFs'!B137"/>
    <hyperlink ref="B72" location="'LAFs'!B150" display="'LAFs'!B150"/>
    <hyperlink ref="B73" location="'LAFs'!B167" display="'LAFs'!B167"/>
    <hyperlink ref="B74" location="'LAFs'!B204" display="'LAFs'!B204"/>
    <hyperlink ref="B75" location="'LAFs'!B241" display="'LAFs'!B241"/>
    <hyperlink ref="B76" location="'DRM'!B12" display="'DRM'!B12"/>
    <hyperlink ref="B77" location="'DRM'!B21" display="'DRM'!B21"/>
    <hyperlink ref="B78" location="'DRM'!B31" display="'DRM'!B31"/>
    <hyperlink ref="B79" location="'DRM'!B48" display="'DRM'!B48"/>
    <hyperlink ref="B80" location="'DRM'!B64" display="'DRM'!B64"/>
    <hyperlink ref="B81" location="'DRM'!B80" display="'DRM'!B80"/>
    <hyperlink ref="B82" location="'DRM'!B98" display="'DRM'!B98"/>
    <hyperlink ref="B83" location="'DRM'!B113" display="'DRM'!B113"/>
    <hyperlink ref="B84" location="'DRM'!B130" display="'DRM'!B130"/>
    <hyperlink ref="B85" location="'SM'!B11" display="'SM'!B11"/>
    <hyperlink ref="B86" location="'SM'!B33" display="'SM'!B33"/>
    <hyperlink ref="B87" location="'SM'!B43" display="'SM'!B43"/>
    <hyperlink ref="B88" location="'SM'!B52" display="'SM'!B52"/>
    <hyperlink ref="B89" location="'SM'!B67" display="'SM'!B67"/>
    <hyperlink ref="B90" location="'SM'!B108" display="'SM'!B108"/>
    <hyperlink ref="B91" location="'Loads'!B19" display="'Loads'!B19"/>
    <hyperlink ref="B92" location="'Loads'!B45" display="'Loads'!B45"/>
    <hyperlink ref="B93" location="'Loads'!B77" display="'Loads'!B77"/>
    <hyperlink ref="B94" location="'Loads'!B190" display="'Loads'!B190"/>
    <hyperlink ref="B95" location="'Loads'!B298" display="'Loads'!B298"/>
    <hyperlink ref="B96" location="'Multi'!B13" display="'Multi'!B13"/>
    <hyperlink ref="B97" location="'Multi'!B26" display="'Multi'!B26"/>
    <hyperlink ref="B98" location="'Multi'!B41" display="'Multi'!B41"/>
    <hyperlink ref="B99" location="'Multi'!B68" display="'Multi'!B68"/>
    <hyperlink ref="B100" location="'Multi'!B81" display="'Multi'!B81"/>
    <hyperlink ref="B101" location="'Multi'!B98" display="'Multi'!B98"/>
    <hyperlink ref="B102" location="'Multi'!B115" display="'Multi'!B115"/>
    <hyperlink ref="B103" location="'Multi'!B159" display="'Multi'!B159"/>
    <hyperlink ref="B104" location="'Multi'!B182" display="'Multi'!B182"/>
    <hyperlink ref="B105" location="'Multi'!B197" display="'Multi'!B197"/>
    <hyperlink ref="B106" location="'Multi'!B224" display="'Multi'!B224"/>
    <hyperlink ref="B107" location="'Multi'!B240" display="'Multi'!B240"/>
    <hyperlink ref="B108" location="'Multi'!B251" display="'Multi'!B251"/>
    <hyperlink ref="B109" location="'Multi'!B274" display="'Multi'!B274"/>
    <hyperlink ref="B110" location="'Multi'!B297" display="'Multi'!B297"/>
    <hyperlink ref="B111" location="'Multi'!B318" display="'Multi'!B318"/>
    <hyperlink ref="B112" location="'Multi'!B337" display="'Multi'!B337"/>
    <hyperlink ref="B113" location="'Multi'!B350" display="'Multi'!B350"/>
    <hyperlink ref="B114" location="'Multi'!B362" display="'Multi'!B362"/>
    <hyperlink ref="B115" location="'Multi'!B371" display="'Multi'!B371"/>
    <hyperlink ref="B116" location="'Multi'!B376" display="'Multi'!B376"/>
    <hyperlink ref="B117" location="'Multi'!B391" display="'Multi'!B391"/>
    <hyperlink ref="B118" location="'Multi'!B413" display="'Multi'!B413"/>
    <hyperlink ref="B119" location="'Multi'!B427" display="'Multi'!B427"/>
    <hyperlink ref="B120" location="'Multi'!B436" display="'Multi'!B436"/>
    <hyperlink ref="B121" location="'Multi'!B449" display="'Multi'!B449"/>
    <hyperlink ref="B122" location="'Multi'!B458" display="'Multi'!B458"/>
    <hyperlink ref="B123" location="'Multi'!B467" display="'Multi'!B467"/>
    <hyperlink ref="B124" location="'Multi'!B476" display="'Multi'!B476"/>
    <hyperlink ref="B125" location="'Multi'!B498" display="'Multi'!B498"/>
    <hyperlink ref="B126" location="'Multi'!B516" display="'Multi'!B516"/>
    <hyperlink ref="B127" location="'Multi'!B532" display="'Multi'!B532"/>
    <hyperlink ref="B128" location="'Multi'!B543" display="'Multi'!B543"/>
    <hyperlink ref="B129" location="'Multi'!B556" display="'Multi'!B556"/>
    <hyperlink ref="B130" location="'Multi'!B569" display="'Multi'!B569"/>
    <hyperlink ref="B131" location="'Multi'!B578" display="'Multi'!B578"/>
    <hyperlink ref="B132" location="'Multi'!B587" display="'Multi'!B587"/>
    <hyperlink ref="B133" location="'Multi'!B615" display="'Multi'!B615"/>
    <hyperlink ref="B134" location="'Multi'!B637" display="'Multi'!B637"/>
    <hyperlink ref="B135" location="'SMD'!B12" display="'SMD'!B12"/>
    <hyperlink ref="B136" location="'SMD'!B30" display="'SMD'!B30"/>
    <hyperlink ref="B137" location="'SMD'!B49" display="'SMD'!B49"/>
    <hyperlink ref="B138" location="'SMD'!B68" display="'SMD'!B68"/>
    <hyperlink ref="B139" location="'SMD'!B106" display="'SMD'!B106"/>
    <hyperlink ref="B140" location="'SMD'!B141" display="'SMD'!B141"/>
    <hyperlink ref="B141" location="'AMD'!B13" display="'AMD'!B13"/>
    <hyperlink ref="B142" location="'AMD'!B40" display="'AMD'!B40"/>
    <hyperlink ref="B143" location="'AMD'!B68" display="'AMD'!B68"/>
    <hyperlink ref="B144" location="'AMD'!B83" display="'AMD'!B83"/>
    <hyperlink ref="B145" location="'AMD'!B109" display="'AMD'!B109"/>
    <hyperlink ref="B146" location="'AMD'!B132" display="'AMD'!B132"/>
    <hyperlink ref="B147" location="'AMD'!B141" display="'AMD'!B141"/>
    <hyperlink ref="B148" location="'AMD'!B166" display="'AMD'!B166"/>
    <hyperlink ref="B149" location="'AMD'!B175" display="'AMD'!B175"/>
    <hyperlink ref="B150" location="'AMD'!B180" display="'AMD'!B180"/>
    <hyperlink ref="B151" location="'AMD'!B196" display="'AMD'!B196"/>
    <hyperlink ref="B152" location="'AMD'!B213" display="'AMD'!B213"/>
    <hyperlink ref="B153" location="'AMD'!B224" display="'AMD'!B224"/>
    <hyperlink ref="B154" location="'Otex'!B10" display="'Otex'!B10"/>
    <hyperlink ref="B155" location="'Otex'!B20" display="'Otex'!B20"/>
    <hyperlink ref="B156" location="'Otex'!B28" display="'Otex'!B28"/>
    <hyperlink ref="B157" location="'Otex'!B40" display="'Otex'!B40"/>
    <hyperlink ref="B158" location="'Otex'!B56" display="'Otex'!B56"/>
    <hyperlink ref="B159" location="'Otex'!B68" display="'Otex'!B68"/>
    <hyperlink ref="B160" location="'Otex'!B79" display="'Otex'!B79"/>
    <hyperlink ref="B161" location="'Otex'!B90" display="'Otex'!B90"/>
    <hyperlink ref="B162" location="'Otex'!B99" display="'Otex'!B99"/>
    <hyperlink ref="B163" location="'Otex'!B108" display="'Otex'!B108"/>
    <hyperlink ref="B164" location="'Otex'!B121" display="'Otex'!B121"/>
    <hyperlink ref="B165" location="'Otex'!B157" display="'Otex'!B157"/>
    <hyperlink ref="B166" location="'Contrib'!B7" display="'Contrib'!B7"/>
    <hyperlink ref="B167" location="'Contrib'!B43" display="'Contrib'!B43"/>
    <hyperlink ref="B168" location="'Contrib'!B59" display="'Contrib'!B59"/>
    <hyperlink ref="B169" location="'Contrib'!B96" display="'Contrib'!B96"/>
    <hyperlink ref="B170" location="'Yard'!B11" display="'Yard'!B11"/>
    <hyperlink ref="B171" location="'Yard'!B23" display="'Yard'!B23"/>
    <hyperlink ref="B172" location="'Yard'!B65" display="'Yard'!B65"/>
    <hyperlink ref="B173" location="'Yard'!B99" display="'Yard'!B99"/>
    <hyperlink ref="B174" location="'Yard'!B127" display="'Yard'!B127"/>
    <hyperlink ref="B175" location="'Standing'!B11" display="'Standing'!B11"/>
    <hyperlink ref="B176" location="'Standing'!B25" display="'Standing'!B25"/>
    <hyperlink ref="B177" location="'Standing'!B54" display="'Standing'!B54"/>
    <hyperlink ref="B178" location="'Standing'!B83" display="'Standing'!B83"/>
    <hyperlink ref="B179" location="'Standing'!B110" display="'Standing'!B110"/>
    <hyperlink ref="B180" location="'Standing'!B131" display="'Standing'!B131"/>
    <hyperlink ref="B181" location="'NHH'!B14" display="'NHH'!B14"/>
    <hyperlink ref="B182" location="'NHH'!B29" display="'NHH'!B29"/>
    <hyperlink ref="B183" location="'NHH'!B49" display="'NHH'!B49"/>
    <hyperlink ref="B184" location="'NHH'!B66" display="'NHH'!B66"/>
    <hyperlink ref="B185" location="'NHH'!B75" display="'NHH'!B75"/>
    <hyperlink ref="B186" location="'NHH'!B88" display="'NHH'!B88"/>
    <hyperlink ref="B187" location="'Reactive'!B9" display="'Reactive'!B9"/>
    <hyperlink ref="B188" location="'Reactive'!B22" display="'Reactive'!B22"/>
    <hyperlink ref="B189" location="'Reactive'!B32" display="'Reactive'!B32"/>
    <hyperlink ref="B190" location="'Reactive'!B47" display="'Reactive'!B47"/>
    <hyperlink ref="B191" location="'Reactive'!B68" display="'Reactive'!B68"/>
    <hyperlink ref="B192" location="'Reactive'!B85" display="'Reactive'!B85"/>
    <hyperlink ref="B193" location="'Aggreg'!B16" display="'Aggreg'!B16"/>
    <hyperlink ref="B194" location="'Aggreg'!B55" display="'Aggreg'!B55"/>
    <hyperlink ref="B195" location="'Aggreg'!B94" display="'Aggreg'!B94"/>
    <hyperlink ref="B196" location="'Aggreg'!B133" display="'Aggreg'!B133"/>
    <hyperlink ref="B197" location="'Aggreg'!B168" display="'Aggreg'!B168"/>
    <hyperlink ref="B198" location="'Aggreg'!B204" display="'Aggreg'!B204"/>
    <hyperlink ref="B199" location="'Aggreg'!B245" display="'Aggreg'!B245"/>
    <hyperlink ref="B200" location="'Revenue'!B21" display="'Revenue'!B21"/>
    <hyperlink ref="B201" location="'Revenue'!B58" display="'Revenue'!B58"/>
    <hyperlink ref="B202" location="'Revenue'!B70" display="'Revenue'!B70"/>
    <hyperlink ref="B203" location="'Scaler'!B10" display="'Scaler'!B10"/>
    <hyperlink ref="B204" location="'Scaler'!B19" display="'Scaler'!B19"/>
    <hyperlink ref="B205" location="'Scaler'!B34" display="'Scaler'!B34"/>
    <hyperlink ref="B206" location="'Scaler'!B83" display="'Scaler'!B83"/>
    <hyperlink ref="B207" location="'Scaler'!B130" display="'Scaler'!B130"/>
    <hyperlink ref="B208" location="'Scaler'!B164" display="'Scaler'!B164"/>
    <hyperlink ref="B209" location="'Scaler'!B171" display="'Scaler'!B171"/>
    <hyperlink ref="B210" location="'Scaler'!B196" display="'Scaler'!B196"/>
    <hyperlink ref="B211" location="'Scaler'!B372" display="'Scaler'!B372"/>
    <hyperlink ref="B212" location="'Scaler'!B407" display="'Scaler'!B407"/>
    <hyperlink ref="B213" location="'Adjust'!B21" display="'Adjust'!B21"/>
    <hyperlink ref="B214" location="'Adjust'!B53" display="'Adjust'!B53"/>
    <hyperlink ref="B215" location="'Adjust'!B73" display="'Adjust'!B73"/>
    <hyperlink ref="B216" location="'Adjust'!B120" display="'Adjust'!B120"/>
    <hyperlink ref="B217" location="'Adjust'!B167" display="'Adjust'!B167"/>
    <hyperlink ref="B218" location="'Adjust'!B212" display="'Adjust'!B212"/>
    <hyperlink ref="B219" location="'Adjust'!B228" display="'Adjust'!B228"/>
    <hyperlink ref="B220" location="'Tariffs'!B15" display="'Tariffs'!B15"/>
    <hyperlink ref="B221" location="'Summary'!B25" display="'Summary'!B25"/>
    <hyperlink ref="B222" location="'Summary'!B56" display="'Summary'!B56"/>
    <hyperlink ref="B223" location="'Summary'!B165" display="'Summary'!B165"/>
    <hyperlink ref="B224" location="'M-Rev'!B8" display="'M-Rev'!B8"/>
    <hyperlink ref="B225" location="'M-Rev'!B41" display="'M-Rev'!B41"/>
    <hyperlink ref="B226" location="'CData'!B23" display="'CData'!B23"/>
    <hyperlink ref="B227" location="'CData'!B55" display="'CData'!B55"/>
    <hyperlink ref="B228" location="'CData'!B87" display="'CData'!B87"/>
    <hyperlink ref="B229" location="'CData'!B143" display="'CData'!B143"/>
    <hyperlink ref="B230" location="'CData'!B245" display="'CData'!B245"/>
    <hyperlink ref="B231" location="'CData'!B275" display="'CData'!B275"/>
    <hyperlink ref="B232" location="'CTables'!B14" display="'CTables'!B14"/>
    <hyperlink ref="B233" location="'CTables'!B44" display="'CTables'!B44"/>
    <hyperlink ref="B234" location="'M-ATW'!A1" display="'M-ATW'!A1"/>
  </hyperlinks>
  <pageMargins left="0.75" right="0.75" top="1" bottom="1" header="0.5" footer="0.5"/>
  <pageSetup paperSize="9" scale="36" fitToHeight="2" orientation="portrait" r:id="rId1"/>
  <headerFooter alignWithMargins="0">
    <oddHeader>&amp;L&amp;A&amp;Cr6140&amp;R&amp;P of &amp;N</oddHeader>
    <oddFooter>&amp;F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35"/>
  <sheetViews>
    <sheetView showGridLines="0" workbookViewId="0">
      <pane ySplit="1" topLeftCell="A80" activePane="bottomLeft" state="frozen"/>
      <selection pane="bottomLeft" activeCell="B108" sqref="B108"/>
    </sheetView>
  </sheetViews>
  <sheetFormatPr defaultRowHeight="12.75" x14ac:dyDescent="0.2"/>
  <cols>
    <col min="1" max="1" width="50.7109375" customWidth="1"/>
    <col min="2" max="251" width="24.7109375" customWidth="1"/>
  </cols>
  <sheetData>
    <row r="1" spans="1:3" ht="19.5" x14ac:dyDescent="0.3">
      <c r="A1" s="15" t="str">
        <f>"r6140: Service models"&amp;" for "&amp;Input!B7&amp;" in "&amp;Input!C7&amp;" ("&amp;Input!D7&amp;")"</f>
        <v>r6140: Service models for Electricity North West  in 2013/14 (April 2013 Indicative)</v>
      </c>
    </row>
    <row r="2" spans="1:3" x14ac:dyDescent="0.2">
      <c r="A2" s="10" t="s">
        <v>346</v>
      </c>
    </row>
    <row r="4" spans="1:3" ht="16.5" x14ac:dyDescent="0.25">
      <c r="A4" s="3" t="s">
        <v>347</v>
      </c>
    </row>
    <row r="5" spans="1:3" x14ac:dyDescent="0.2">
      <c r="A5" s="10" t="s">
        <v>238</v>
      </c>
    </row>
    <row r="6" spans="1:3" x14ac:dyDescent="0.2">
      <c r="A6" s="11" t="s">
        <v>348</v>
      </c>
    </row>
    <row r="7" spans="1:3" x14ac:dyDescent="0.2">
      <c r="A7" s="11" t="s">
        <v>349</v>
      </c>
    </row>
    <row r="8" spans="1:3" x14ac:dyDescent="0.2">
      <c r="A8" s="10" t="s">
        <v>251</v>
      </c>
    </row>
    <row r="10" spans="1:3" ht="25.5" x14ac:dyDescent="0.2">
      <c r="B10" s="4" t="s">
        <v>350</v>
      </c>
    </row>
    <row r="11" spans="1:3" x14ac:dyDescent="0.2">
      <c r="A11" s="5" t="s">
        <v>53</v>
      </c>
      <c r="B11" s="25">
        <f>SUMPRODUCT(Input!$B68:$I68,Input!$B$58:$I$58)</f>
        <v>455.40000000000003</v>
      </c>
      <c r="C11" s="6"/>
    </row>
    <row r="12" spans="1:3" x14ac:dyDescent="0.2">
      <c r="A12" s="5" t="s">
        <v>54</v>
      </c>
      <c r="B12" s="25">
        <f>SUMPRODUCT(Input!$B69:$I69,Input!$B$58:$I$58)</f>
        <v>455.40000000000003</v>
      </c>
      <c r="C12" s="6"/>
    </row>
    <row r="13" spans="1:3" x14ac:dyDescent="0.2">
      <c r="A13" s="5" t="s">
        <v>55</v>
      </c>
      <c r="B13" s="25">
        <f>SUMPRODUCT(Input!$B70:$I70,Input!$B$58:$I$58)</f>
        <v>455</v>
      </c>
      <c r="C13" s="6"/>
    </row>
    <row r="14" spans="1:3" x14ac:dyDescent="0.2">
      <c r="A14" s="5" t="s">
        <v>56</v>
      </c>
      <c r="B14" s="25">
        <f>SUMPRODUCT(Input!$B71:$I71,Input!$B$58:$I$58)</f>
        <v>455</v>
      </c>
      <c r="C14" s="6"/>
    </row>
    <row r="15" spans="1:3" x14ac:dyDescent="0.2">
      <c r="A15" s="5" t="s">
        <v>57</v>
      </c>
      <c r="B15" s="25">
        <f>SUMPRODUCT(Input!$B72:$I72,Input!$B$58:$I$58)</f>
        <v>1858.0584909762993</v>
      </c>
      <c r="C15" s="6"/>
    </row>
    <row r="16" spans="1:3" x14ac:dyDescent="0.2">
      <c r="A16" s="5" t="s">
        <v>58</v>
      </c>
      <c r="B16" s="25">
        <f>SUMPRODUCT(Input!$B73:$I73,Input!$B$58:$I$58)</f>
        <v>6118</v>
      </c>
      <c r="C16" s="6"/>
    </row>
    <row r="17" spans="1:3" x14ac:dyDescent="0.2">
      <c r="A17" s="5" t="s">
        <v>59</v>
      </c>
      <c r="B17" s="25">
        <f>SUMPRODUCT(Input!$B74:$I74,Input!$B$58:$I$58)</f>
        <v>2089</v>
      </c>
      <c r="C17" s="6"/>
    </row>
    <row r="18" spans="1:3" x14ac:dyDescent="0.2">
      <c r="A18" s="5" t="s">
        <v>60</v>
      </c>
      <c r="B18" s="25">
        <f>SUMPRODUCT(Input!$B75:$I75,Input!$B$58:$I$58)</f>
        <v>6118</v>
      </c>
      <c r="C18" s="6"/>
    </row>
    <row r="19" spans="1:3" x14ac:dyDescent="0.2">
      <c r="A19" s="5" t="s">
        <v>61</v>
      </c>
      <c r="B19" s="25">
        <f>SUMPRODUCT(Input!$B76:$I76,Input!$B$58:$I$58)</f>
        <v>0</v>
      </c>
      <c r="C19" s="6"/>
    </row>
    <row r="20" spans="1:3" x14ac:dyDescent="0.2">
      <c r="A20" s="5" t="s">
        <v>62</v>
      </c>
      <c r="B20" s="25">
        <f>SUMPRODUCT(Input!$B77:$I77,Input!$B$58:$I$58)</f>
        <v>0</v>
      </c>
      <c r="C20" s="6"/>
    </row>
    <row r="21" spans="1:3" x14ac:dyDescent="0.2">
      <c r="A21" s="5" t="s">
        <v>63</v>
      </c>
      <c r="B21" s="25">
        <f>SUMPRODUCT(Input!$B78:$I78,Input!$B$58:$I$58)</f>
        <v>0</v>
      </c>
      <c r="C21" s="6"/>
    </row>
    <row r="22" spans="1:3" x14ac:dyDescent="0.2">
      <c r="A22" s="5" t="s">
        <v>64</v>
      </c>
      <c r="B22" s="25">
        <f>SUMPRODUCT(Input!$B79:$I79,Input!$B$58:$I$58)</f>
        <v>0</v>
      </c>
      <c r="C22" s="6"/>
    </row>
    <row r="23" spans="1:3" x14ac:dyDescent="0.2">
      <c r="A23" s="5" t="s">
        <v>65</v>
      </c>
      <c r="B23" s="25">
        <f>SUMPRODUCT(Input!$B80:$I80,Input!$B$58:$I$58)</f>
        <v>0</v>
      </c>
      <c r="C23" s="6"/>
    </row>
    <row r="24" spans="1:3" x14ac:dyDescent="0.2">
      <c r="A24" s="5" t="s">
        <v>66</v>
      </c>
      <c r="B24" s="25">
        <f>SUMPRODUCT(Input!$B81:$I81,Input!$B$58:$I$58)</f>
        <v>0</v>
      </c>
      <c r="C24" s="6"/>
    </row>
    <row r="26" spans="1:3" ht="16.5" x14ac:dyDescent="0.25">
      <c r="A26" s="3" t="s">
        <v>351</v>
      </c>
    </row>
    <row r="27" spans="1:3" x14ac:dyDescent="0.2">
      <c r="A27" s="10" t="s">
        <v>238</v>
      </c>
    </row>
    <row r="28" spans="1:3" x14ac:dyDescent="0.2">
      <c r="A28" s="11" t="s">
        <v>352</v>
      </c>
    </row>
    <row r="29" spans="1:3" x14ac:dyDescent="0.2">
      <c r="A29" s="11" t="s">
        <v>349</v>
      </c>
    </row>
    <row r="30" spans="1:3" x14ac:dyDescent="0.2">
      <c r="A30" s="10" t="s">
        <v>251</v>
      </c>
    </row>
    <row r="32" spans="1:3" ht="25.5" x14ac:dyDescent="0.2">
      <c r="B32" s="4" t="s">
        <v>350</v>
      </c>
    </row>
    <row r="33" spans="1:3" x14ac:dyDescent="0.2">
      <c r="A33" s="5" t="s">
        <v>353</v>
      </c>
      <c r="B33" s="25">
        <f>SUMPRODUCT(Input!$B88:$I88,Input!$B$58:$I$58)</f>
        <v>695.50800000000004</v>
      </c>
      <c r="C33" s="6"/>
    </row>
    <row r="35" spans="1:3" ht="16.5" x14ac:dyDescent="0.25">
      <c r="A35" s="3" t="s">
        <v>354</v>
      </c>
    </row>
    <row r="36" spans="1:3" x14ac:dyDescent="0.2">
      <c r="A36" s="10" t="s">
        <v>238</v>
      </c>
    </row>
    <row r="37" spans="1:3" x14ac:dyDescent="0.2">
      <c r="A37" s="11" t="s">
        <v>355</v>
      </c>
    </row>
    <row r="38" spans="1:3" x14ac:dyDescent="0.2">
      <c r="A38" s="11" t="s">
        <v>356</v>
      </c>
    </row>
    <row r="39" spans="1:3" x14ac:dyDescent="0.2">
      <c r="A39" s="11" t="s">
        <v>335</v>
      </c>
    </row>
    <row r="40" spans="1:3" x14ac:dyDescent="0.2">
      <c r="A40" s="10" t="s">
        <v>357</v>
      </c>
    </row>
    <row r="42" spans="1:3" ht="25.5" x14ac:dyDescent="0.2">
      <c r="B42" s="4" t="s">
        <v>350</v>
      </c>
    </row>
    <row r="43" spans="1:3" ht="25.5" x14ac:dyDescent="0.2">
      <c r="A43" s="5" t="s">
        <v>358</v>
      </c>
      <c r="B43" s="17">
        <f>0.1*Input!$D14*B33*DRM!$B12</f>
        <v>0</v>
      </c>
      <c r="C43" s="6"/>
    </row>
    <row r="45" spans="1:3" ht="16.5" x14ac:dyDescent="0.25">
      <c r="A45" s="3" t="s">
        <v>359</v>
      </c>
    </row>
    <row r="46" spans="1:3" x14ac:dyDescent="0.2">
      <c r="A46" s="10" t="s">
        <v>238</v>
      </c>
    </row>
    <row r="47" spans="1:3" x14ac:dyDescent="0.2">
      <c r="A47" s="11" t="s">
        <v>360</v>
      </c>
    </row>
    <row r="48" spans="1:3" x14ac:dyDescent="0.2">
      <c r="A48" s="11" t="s">
        <v>361</v>
      </c>
    </row>
    <row r="49" spans="1:3" x14ac:dyDescent="0.2">
      <c r="A49" s="10" t="s">
        <v>251</v>
      </c>
    </row>
    <row r="51" spans="1:3" ht="25.5" x14ac:dyDescent="0.2">
      <c r="B51" s="4" t="s">
        <v>362</v>
      </c>
    </row>
    <row r="52" spans="1:3" x14ac:dyDescent="0.2">
      <c r="A52" s="5" t="s">
        <v>72</v>
      </c>
      <c r="B52" s="25">
        <f>SUMPRODUCT(Input!$B93:$F93,Input!$B$63:$F$63)</f>
        <v>17965</v>
      </c>
      <c r="C52" s="6"/>
    </row>
    <row r="53" spans="1:3" x14ac:dyDescent="0.2">
      <c r="A53" s="5" t="s">
        <v>73</v>
      </c>
      <c r="B53" s="25">
        <f>SUMPRODUCT(Input!$B94:$F94,Input!$B$63:$F$63)</f>
        <v>17965</v>
      </c>
      <c r="C53" s="6"/>
    </row>
    <row r="54" spans="1:3" x14ac:dyDescent="0.2">
      <c r="A54" s="5" t="s">
        <v>74</v>
      </c>
      <c r="B54" s="25">
        <f>SUMPRODUCT(Input!$B95:$F95,Input!$B$63:$F$63)</f>
        <v>23578</v>
      </c>
      <c r="C54" s="6"/>
    </row>
    <row r="55" spans="1:3" x14ac:dyDescent="0.2">
      <c r="A55" s="5" t="s">
        <v>75</v>
      </c>
      <c r="B55" s="25">
        <f>SUMPRODUCT(Input!$B96:$F96,Input!$B$63:$F$63)</f>
        <v>1114</v>
      </c>
      <c r="C55" s="6"/>
    </row>
    <row r="56" spans="1:3" x14ac:dyDescent="0.2">
      <c r="A56" s="5" t="s">
        <v>76</v>
      </c>
      <c r="B56" s="25">
        <f>SUMPRODUCT(Input!$B97:$F97,Input!$B$63:$F$63)</f>
        <v>1114</v>
      </c>
      <c r="C56" s="6"/>
    </row>
    <row r="57" spans="1:3" x14ac:dyDescent="0.2">
      <c r="A57" s="5" t="s">
        <v>77</v>
      </c>
      <c r="B57" s="25">
        <f>SUMPRODUCT(Input!$B98:$F98,Input!$B$63:$F$63)</f>
        <v>1114</v>
      </c>
      <c r="C57" s="6"/>
    </row>
    <row r="58" spans="1:3" x14ac:dyDescent="0.2">
      <c r="A58" s="5" t="s">
        <v>78</v>
      </c>
      <c r="B58" s="25">
        <f>SUMPRODUCT(Input!$B99:$F99,Input!$B$63:$F$63)</f>
        <v>1114</v>
      </c>
      <c r="C58" s="6"/>
    </row>
    <row r="60" spans="1:3" ht="16.5" x14ac:dyDescent="0.25">
      <c r="A60" s="3" t="s">
        <v>363</v>
      </c>
    </row>
    <row r="61" spans="1:3" x14ac:dyDescent="0.2">
      <c r="A61" s="10" t="s">
        <v>238</v>
      </c>
    </row>
    <row r="62" spans="1:3" x14ac:dyDescent="0.2">
      <c r="A62" s="11" t="s">
        <v>364</v>
      </c>
    </row>
    <row r="63" spans="1:3" x14ac:dyDescent="0.2">
      <c r="A63" s="11" t="s">
        <v>365</v>
      </c>
    </row>
    <row r="64" spans="1:3" x14ac:dyDescent="0.2">
      <c r="A64" s="10" t="s">
        <v>256</v>
      </c>
    </row>
    <row r="66" spans="1:4" ht="25.5" x14ac:dyDescent="0.2">
      <c r="B66" s="4" t="s">
        <v>350</v>
      </c>
      <c r="C66" s="4" t="s">
        <v>362</v>
      </c>
    </row>
    <row r="67" spans="1:4" x14ac:dyDescent="0.2">
      <c r="A67" s="5" t="s">
        <v>53</v>
      </c>
      <c r="B67" s="20">
        <f>$B$11</f>
        <v>455.40000000000003</v>
      </c>
      <c r="C67" s="21"/>
      <c r="D67" s="6"/>
    </row>
    <row r="68" spans="1:4" x14ac:dyDescent="0.2">
      <c r="A68" s="5" t="s">
        <v>54</v>
      </c>
      <c r="B68" s="20">
        <f>$B$12</f>
        <v>455.40000000000003</v>
      </c>
      <c r="C68" s="21"/>
      <c r="D68" s="6"/>
    </row>
    <row r="69" spans="1:4" x14ac:dyDescent="0.2">
      <c r="A69" s="5" t="s">
        <v>94</v>
      </c>
      <c r="B69" s="21"/>
      <c r="C69" s="21"/>
      <c r="D69" s="6"/>
    </row>
    <row r="70" spans="1:4" x14ac:dyDescent="0.2">
      <c r="A70" s="5" t="s">
        <v>55</v>
      </c>
      <c r="B70" s="20">
        <f>$B$13</f>
        <v>455</v>
      </c>
      <c r="C70" s="21"/>
      <c r="D70" s="6"/>
    </row>
    <row r="71" spans="1:4" x14ac:dyDescent="0.2">
      <c r="A71" s="5" t="s">
        <v>56</v>
      </c>
      <c r="B71" s="20">
        <f>$B$14</f>
        <v>455</v>
      </c>
      <c r="C71" s="21"/>
      <c r="D71" s="6"/>
    </row>
    <row r="72" spans="1:4" x14ac:dyDescent="0.2">
      <c r="A72" s="5" t="s">
        <v>95</v>
      </c>
      <c r="B72" s="21"/>
      <c r="C72" s="21"/>
      <c r="D72" s="6"/>
    </row>
    <row r="73" spans="1:4" x14ac:dyDescent="0.2">
      <c r="A73" s="5" t="s">
        <v>57</v>
      </c>
      <c r="B73" s="20">
        <f>$B$15</f>
        <v>1858.0584909762993</v>
      </c>
      <c r="C73" s="21"/>
      <c r="D73" s="6"/>
    </row>
    <row r="74" spans="1:4" x14ac:dyDescent="0.2">
      <c r="A74" s="5" t="s">
        <v>58</v>
      </c>
      <c r="B74" s="20">
        <f>$B$16</f>
        <v>6118</v>
      </c>
      <c r="C74" s="21"/>
      <c r="D74" s="6"/>
    </row>
    <row r="75" spans="1:4" x14ac:dyDescent="0.2">
      <c r="A75" s="5" t="s">
        <v>72</v>
      </c>
      <c r="B75" s="21"/>
      <c r="C75" s="20">
        <f>$B$52</f>
        <v>17965</v>
      </c>
      <c r="D75" s="6"/>
    </row>
    <row r="76" spans="1:4" x14ac:dyDescent="0.2">
      <c r="A76" s="5" t="s">
        <v>59</v>
      </c>
      <c r="B76" s="20">
        <f>$B$17</f>
        <v>2089</v>
      </c>
      <c r="C76" s="21"/>
      <c r="D76" s="6"/>
    </row>
    <row r="77" spans="1:4" x14ac:dyDescent="0.2">
      <c r="A77" s="5" t="s">
        <v>60</v>
      </c>
      <c r="B77" s="20">
        <f>$B$18</f>
        <v>6118</v>
      </c>
      <c r="C77" s="21"/>
      <c r="D77" s="6"/>
    </row>
    <row r="78" spans="1:4" x14ac:dyDescent="0.2">
      <c r="A78" s="5" t="s">
        <v>73</v>
      </c>
      <c r="B78" s="21"/>
      <c r="C78" s="20">
        <f>$B$53</f>
        <v>17965</v>
      </c>
      <c r="D78" s="6"/>
    </row>
    <row r="79" spans="1:4" x14ac:dyDescent="0.2">
      <c r="A79" s="5" t="s">
        <v>74</v>
      </c>
      <c r="B79" s="21"/>
      <c r="C79" s="20">
        <f>$B$54</f>
        <v>23578</v>
      </c>
      <c r="D79" s="6"/>
    </row>
    <row r="80" spans="1:4" x14ac:dyDescent="0.2">
      <c r="A80" s="5" t="s">
        <v>96</v>
      </c>
      <c r="B80" s="21"/>
      <c r="C80" s="21"/>
      <c r="D80" s="6"/>
    </row>
    <row r="81" spans="1:4" x14ac:dyDescent="0.2">
      <c r="A81" s="5" t="s">
        <v>97</v>
      </c>
      <c r="B81" s="21"/>
      <c r="C81" s="21"/>
      <c r="D81" s="6"/>
    </row>
    <row r="82" spans="1:4" x14ac:dyDescent="0.2">
      <c r="A82" s="5" t="s">
        <v>98</v>
      </c>
      <c r="B82" s="21"/>
      <c r="C82" s="21"/>
      <c r="D82" s="6"/>
    </row>
    <row r="83" spans="1:4" x14ac:dyDescent="0.2">
      <c r="A83" s="5" t="s">
        <v>99</v>
      </c>
      <c r="B83" s="21"/>
      <c r="C83" s="21"/>
      <c r="D83" s="6"/>
    </row>
    <row r="84" spans="1:4" x14ac:dyDescent="0.2">
      <c r="A84" s="5" t="s">
        <v>100</v>
      </c>
      <c r="B84" s="21"/>
      <c r="C84" s="21"/>
      <c r="D84" s="6"/>
    </row>
    <row r="85" spans="1:4" x14ac:dyDescent="0.2">
      <c r="A85" s="5" t="s">
        <v>61</v>
      </c>
      <c r="B85" s="20">
        <f>$B$19</f>
        <v>0</v>
      </c>
      <c r="C85" s="21"/>
      <c r="D85" s="6"/>
    </row>
    <row r="86" spans="1:4" x14ac:dyDescent="0.2">
      <c r="A86" s="5" t="s">
        <v>62</v>
      </c>
      <c r="B86" s="20">
        <f>$B$20</f>
        <v>0</v>
      </c>
      <c r="C86" s="21"/>
      <c r="D86" s="6"/>
    </row>
    <row r="87" spans="1:4" x14ac:dyDescent="0.2">
      <c r="A87" s="5" t="s">
        <v>63</v>
      </c>
      <c r="B87" s="20">
        <f>$B$21</f>
        <v>0</v>
      </c>
      <c r="C87" s="21"/>
      <c r="D87" s="6"/>
    </row>
    <row r="88" spans="1:4" x14ac:dyDescent="0.2">
      <c r="A88" s="5" t="s">
        <v>64</v>
      </c>
      <c r="B88" s="20">
        <f>$B$22</f>
        <v>0</v>
      </c>
      <c r="C88" s="21"/>
      <c r="D88" s="6"/>
    </row>
    <row r="89" spans="1:4" x14ac:dyDescent="0.2">
      <c r="A89" s="5" t="s">
        <v>65</v>
      </c>
      <c r="B89" s="20">
        <f>$B$23</f>
        <v>0</v>
      </c>
      <c r="C89" s="21"/>
      <c r="D89" s="6"/>
    </row>
    <row r="90" spans="1:4" x14ac:dyDescent="0.2">
      <c r="A90" s="5" t="s">
        <v>66</v>
      </c>
      <c r="B90" s="20">
        <f>$B$24</f>
        <v>0</v>
      </c>
      <c r="C90" s="21"/>
      <c r="D90" s="6"/>
    </row>
    <row r="91" spans="1:4" x14ac:dyDescent="0.2">
      <c r="A91" s="5" t="s">
        <v>75</v>
      </c>
      <c r="B91" s="21"/>
      <c r="C91" s="20">
        <f>$B$55</f>
        <v>1114</v>
      </c>
      <c r="D91" s="6"/>
    </row>
    <row r="92" spans="1:4" x14ac:dyDescent="0.2">
      <c r="A92" s="5" t="s">
        <v>76</v>
      </c>
      <c r="B92" s="21"/>
      <c r="C92" s="20">
        <f>$B$56</f>
        <v>1114</v>
      </c>
      <c r="D92" s="6"/>
    </row>
    <row r="93" spans="1:4" x14ac:dyDescent="0.2">
      <c r="A93" s="5" t="s">
        <v>77</v>
      </c>
      <c r="B93" s="21"/>
      <c r="C93" s="20">
        <f>$B$57</f>
        <v>1114</v>
      </c>
      <c r="D93" s="6"/>
    </row>
    <row r="94" spans="1:4" x14ac:dyDescent="0.2">
      <c r="A94" s="5" t="s">
        <v>78</v>
      </c>
      <c r="B94" s="21"/>
      <c r="C94" s="20">
        <f>$B$58</f>
        <v>1114</v>
      </c>
      <c r="D94" s="6"/>
    </row>
    <row r="96" spans="1:4" ht="16.5" x14ac:dyDescent="0.25">
      <c r="A96" s="3" t="s">
        <v>366</v>
      </c>
    </row>
    <row r="97" spans="1:5" x14ac:dyDescent="0.2">
      <c r="A97" s="10" t="s">
        <v>238</v>
      </c>
    </row>
    <row r="98" spans="1:5" x14ac:dyDescent="0.2">
      <c r="A98" s="11" t="s">
        <v>367</v>
      </c>
    </row>
    <row r="99" spans="1:5" x14ac:dyDescent="0.2">
      <c r="A99" s="11" t="s">
        <v>368</v>
      </c>
    </row>
    <row r="100" spans="1:5" x14ac:dyDescent="0.2">
      <c r="A100" s="11" t="s">
        <v>335</v>
      </c>
    </row>
    <row r="101" spans="1:5" x14ac:dyDescent="0.2">
      <c r="A101" s="11" t="s">
        <v>369</v>
      </c>
    </row>
    <row r="102" spans="1:5" x14ac:dyDescent="0.2">
      <c r="A102" s="11" t="s">
        <v>370</v>
      </c>
    </row>
    <row r="103" spans="1:5" x14ac:dyDescent="0.2">
      <c r="A103" s="18" t="s">
        <v>241</v>
      </c>
      <c r="B103" s="18" t="s">
        <v>371</v>
      </c>
      <c r="C103" s="18"/>
      <c r="D103" s="18" t="s">
        <v>372</v>
      </c>
    </row>
    <row r="104" spans="1:5" x14ac:dyDescent="0.2">
      <c r="A104" s="18" t="s">
        <v>244</v>
      </c>
      <c r="B104" s="18" t="s">
        <v>373</v>
      </c>
      <c r="C104" s="18"/>
      <c r="D104" s="18" t="s">
        <v>374</v>
      </c>
    </row>
    <row r="106" spans="1:5" x14ac:dyDescent="0.2">
      <c r="B106" s="14" t="s">
        <v>375</v>
      </c>
      <c r="C106" s="14"/>
    </row>
    <row r="107" spans="1:5" ht="25.5" x14ac:dyDescent="0.2">
      <c r="B107" s="4" t="s">
        <v>350</v>
      </c>
      <c r="C107" s="4" t="s">
        <v>362</v>
      </c>
      <c r="D107" s="4" t="s">
        <v>376</v>
      </c>
    </row>
    <row r="108" spans="1:5" x14ac:dyDescent="0.2">
      <c r="A108" s="5" t="s">
        <v>53</v>
      </c>
      <c r="B108" s="17">
        <f>100/Input!$F$14*B67*DRM!$B$12*Input!$D$14</f>
        <v>0</v>
      </c>
      <c r="C108" s="17">
        <f>100/Input!$F$14*C67*DRM!$B$12*Input!$D$14</f>
        <v>0</v>
      </c>
      <c r="D108" s="17">
        <f t="shared" ref="D108:D135" si="0">SUM($B108:$C108)</f>
        <v>0</v>
      </c>
      <c r="E108" s="6"/>
    </row>
    <row r="109" spans="1:5" x14ac:dyDescent="0.2">
      <c r="A109" s="5" t="s">
        <v>54</v>
      </c>
      <c r="B109" s="17">
        <f>100/Input!$F$14*B68*DRM!$B$12*Input!$D$14</f>
        <v>0</v>
      </c>
      <c r="C109" s="17">
        <f>100/Input!$F$14*C68*DRM!$B$12*Input!$D$14</f>
        <v>0</v>
      </c>
      <c r="D109" s="17">
        <f t="shared" si="0"/>
        <v>0</v>
      </c>
      <c r="E109" s="6"/>
    </row>
    <row r="110" spans="1:5" x14ac:dyDescent="0.2">
      <c r="A110" s="5" t="s">
        <v>94</v>
      </c>
      <c r="B110" s="17">
        <f>100/Input!$F$14*B69*DRM!$B$12*Input!$D$14</f>
        <v>0</v>
      </c>
      <c r="C110" s="17">
        <f>100/Input!$F$14*C69*DRM!$B$12*Input!$D$14</f>
        <v>0</v>
      </c>
      <c r="D110" s="17">
        <f t="shared" si="0"/>
        <v>0</v>
      </c>
      <c r="E110" s="6"/>
    </row>
    <row r="111" spans="1:5" x14ac:dyDescent="0.2">
      <c r="A111" s="5" t="s">
        <v>55</v>
      </c>
      <c r="B111" s="17">
        <f>100/Input!$F$14*B70*DRM!$B$12*Input!$D$14</f>
        <v>0</v>
      </c>
      <c r="C111" s="17">
        <f>100/Input!$F$14*C70*DRM!$B$12*Input!$D$14</f>
        <v>0</v>
      </c>
      <c r="D111" s="17">
        <f t="shared" si="0"/>
        <v>0</v>
      </c>
      <c r="E111" s="6"/>
    </row>
    <row r="112" spans="1:5" x14ac:dyDescent="0.2">
      <c r="A112" s="5" t="s">
        <v>56</v>
      </c>
      <c r="B112" s="17">
        <f>100/Input!$F$14*B71*DRM!$B$12*Input!$D$14</f>
        <v>0</v>
      </c>
      <c r="C112" s="17">
        <f>100/Input!$F$14*C71*DRM!$B$12*Input!$D$14</f>
        <v>0</v>
      </c>
      <c r="D112" s="17">
        <f t="shared" si="0"/>
        <v>0</v>
      </c>
      <c r="E112" s="6"/>
    </row>
    <row r="113" spans="1:5" x14ac:dyDescent="0.2">
      <c r="A113" s="5" t="s">
        <v>95</v>
      </c>
      <c r="B113" s="17">
        <f>100/Input!$F$14*B72*DRM!$B$12*Input!$D$14</f>
        <v>0</v>
      </c>
      <c r="C113" s="17">
        <f>100/Input!$F$14*C72*DRM!$B$12*Input!$D$14</f>
        <v>0</v>
      </c>
      <c r="D113" s="17">
        <f t="shared" si="0"/>
        <v>0</v>
      </c>
      <c r="E113" s="6"/>
    </row>
    <row r="114" spans="1:5" x14ac:dyDescent="0.2">
      <c r="A114" s="5" t="s">
        <v>57</v>
      </c>
      <c r="B114" s="17">
        <f>100/Input!$F$14*B73*DRM!$B$12*Input!$D$14</f>
        <v>0</v>
      </c>
      <c r="C114" s="17">
        <f>100/Input!$F$14*C73*DRM!$B$12*Input!$D$14</f>
        <v>0</v>
      </c>
      <c r="D114" s="17">
        <f t="shared" si="0"/>
        <v>0</v>
      </c>
      <c r="E114" s="6"/>
    </row>
    <row r="115" spans="1:5" x14ac:dyDescent="0.2">
      <c r="A115" s="5" t="s">
        <v>58</v>
      </c>
      <c r="B115" s="17">
        <f>100/Input!$F$14*B74*DRM!$B$12*Input!$D$14</f>
        <v>0</v>
      </c>
      <c r="C115" s="17">
        <f>100/Input!$F$14*C74*DRM!$B$12*Input!$D$14</f>
        <v>0</v>
      </c>
      <c r="D115" s="17">
        <f t="shared" si="0"/>
        <v>0</v>
      </c>
      <c r="E115" s="6"/>
    </row>
    <row r="116" spans="1:5" x14ac:dyDescent="0.2">
      <c r="A116" s="5" t="s">
        <v>72</v>
      </c>
      <c r="B116" s="17">
        <f>100/Input!$F$14*B75*DRM!$B$12*Input!$D$14</f>
        <v>0</v>
      </c>
      <c r="C116" s="17">
        <f>100/Input!$F$14*C75*DRM!$B$12*Input!$D$14</f>
        <v>0</v>
      </c>
      <c r="D116" s="17">
        <f t="shared" si="0"/>
        <v>0</v>
      </c>
      <c r="E116" s="6"/>
    </row>
    <row r="117" spans="1:5" x14ac:dyDescent="0.2">
      <c r="A117" s="5" t="s">
        <v>59</v>
      </c>
      <c r="B117" s="17">
        <f>100/Input!$F$14*B76*DRM!$B$12*Input!$D$14</f>
        <v>0</v>
      </c>
      <c r="C117" s="17">
        <f>100/Input!$F$14*C76*DRM!$B$12*Input!$D$14</f>
        <v>0</v>
      </c>
      <c r="D117" s="17">
        <f t="shared" si="0"/>
        <v>0</v>
      </c>
      <c r="E117" s="6"/>
    </row>
    <row r="118" spans="1:5" x14ac:dyDescent="0.2">
      <c r="A118" s="5" t="s">
        <v>60</v>
      </c>
      <c r="B118" s="17">
        <f>100/Input!$F$14*B77*DRM!$B$12*Input!$D$14</f>
        <v>0</v>
      </c>
      <c r="C118" s="17">
        <f>100/Input!$F$14*C77*DRM!$B$12*Input!$D$14</f>
        <v>0</v>
      </c>
      <c r="D118" s="17">
        <f t="shared" si="0"/>
        <v>0</v>
      </c>
      <c r="E118" s="6"/>
    </row>
    <row r="119" spans="1:5" x14ac:dyDescent="0.2">
      <c r="A119" s="5" t="s">
        <v>73</v>
      </c>
      <c r="B119" s="17">
        <f>100/Input!$F$14*B78*DRM!$B$12*Input!$D$14</f>
        <v>0</v>
      </c>
      <c r="C119" s="17">
        <f>100/Input!$F$14*C78*DRM!$B$12*Input!$D$14</f>
        <v>0</v>
      </c>
      <c r="D119" s="17">
        <f t="shared" si="0"/>
        <v>0</v>
      </c>
      <c r="E119" s="6"/>
    </row>
    <row r="120" spans="1:5" x14ac:dyDescent="0.2">
      <c r="A120" s="5" t="s">
        <v>74</v>
      </c>
      <c r="B120" s="17">
        <f>100/Input!$F$14*B79*DRM!$B$12*Input!$D$14</f>
        <v>0</v>
      </c>
      <c r="C120" s="17">
        <f>100/Input!$F$14*C79*DRM!$B$12*Input!$D$14</f>
        <v>0</v>
      </c>
      <c r="D120" s="17">
        <f t="shared" si="0"/>
        <v>0</v>
      </c>
      <c r="E120" s="6"/>
    </row>
    <row r="121" spans="1:5" x14ac:dyDescent="0.2">
      <c r="A121" s="5" t="s">
        <v>96</v>
      </c>
      <c r="B121" s="17">
        <f>100/Input!$F$14*B80*DRM!$B$12*Input!$D$14</f>
        <v>0</v>
      </c>
      <c r="C121" s="17">
        <f>100/Input!$F$14*C80*DRM!$B$12*Input!$D$14</f>
        <v>0</v>
      </c>
      <c r="D121" s="17">
        <f t="shared" si="0"/>
        <v>0</v>
      </c>
      <c r="E121" s="6"/>
    </row>
    <row r="122" spans="1:5" x14ac:dyDescent="0.2">
      <c r="A122" s="5" t="s">
        <v>97</v>
      </c>
      <c r="B122" s="17">
        <f>100/Input!$F$14*B81*DRM!$B$12*Input!$D$14</f>
        <v>0</v>
      </c>
      <c r="C122" s="17">
        <f>100/Input!$F$14*C81*DRM!$B$12*Input!$D$14</f>
        <v>0</v>
      </c>
      <c r="D122" s="17">
        <f t="shared" si="0"/>
        <v>0</v>
      </c>
      <c r="E122" s="6"/>
    </row>
    <row r="123" spans="1:5" x14ac:dyDescent="0.2">
      <c r="A123" s="5" t="s">
        <v>98</v>
      </c>
      <c r="B123" s="17">
        <f>100/Input!$F$14*B82*DRM!$B$12*Input!$D$14</f>
        <v>0</v>
      </c>
      <c r="C123" s="17">
        <f>100/Input!$F$14*C82*DRM!$B$12*Input!$D$14</f>
        <v>0</v>
      </c>
      <c r="D123" s="17">
        <f t="shared" si="0"/>
        <v>0</v>
      </c>
      <c r="E123" s="6"/>
    </row>
    <row r="124" spans="1:5" x14ac:dyDescent="0.2">
      <c r="A124" s="5" t="s">
        <v>99</v>
      </c>
      <c r="B124" s="17">
        <f>100/Input!$F$14*B83*DRM!$B$12*Input!$D$14</f>
        <v>0</v>
      </c>
      <c r="C124" s="17">
        <f>100/Input!$F$14*C83*DRM!$B$12*Input!$D$14</f>
        <v>0</v>
      </c>
      <c r="D124" s="17">
        <f t="shared" si="0"/>
        <v>0</v>
      </c>
      <c r="E124" s="6"/>
    </row>
    <row r="125" spans="1:5" x14ac:dyDescent="0.2">
      <c r="A125" s="5" t="s">
        <v>100</v>
      </c>
      <c r="B125" s="17">
        <f>100/Input!$F$14*B84*DRM!$B$12*Input!$D$14</f>
        <v>0</v>
      </c>
      <c r="C125" s="17">
        <f>100/Input!$F$14*C84*DRM!$B$12*Input!$D$14</f>
        <v>0</v>
      </c>
      <c r="D125" s="17">
        <f t="shared" si="0"/>
        <v>0</v>
      </c>
      <c r="E125" s="6"/>
    </row>
    <row r="126" spans="1:5" x14ac:dyDescent="0.2">
      <c r="A126" s="5" t="s">
        <v>61</v>
      </c>
      <c r="B126" s="17">
        <f>100/Input!$F$14*B85*DRM!$B$12*Input!$D$14</f>
        <v>0</v>
      </c>
      <c r="C126" s="17">
        <f>100/Input!$F$14*C85*DRM!$B$12*Input!$D$14</f>
        <v>0</v>
      </c>
      <c r="D126" s="17">
        <f t="shared" si="0"/>
        <v>0</v>
      </c>
      <c r="E126" s="6"/>
    </row>
    <row r="127" spans="1:5" x14ac:dyDescent="0.2">
      <c r="A127" s="5" t="s">
        <v>62</v>
      </c>
      <c r="B127" s="17">
        <f>100/Input!$F$14*B86*DRM!$B$12*Input!$D$14</f>
        <v>0</v>
      </c>
      <c r="C127" s="17">
        <f>100/Input!$F$14*C86*DRM!$B$12*Input!$D$14</f>
        <v>0</v>
      </c>
      <c r="D127" s="17">
        <f t="shared" si="0"/>
        <v>0</v>
      </c>
      <c r="E127" s="6"/>
    </row>
    <row r="128" spans="1:5" x14ac:dyDescent="0.2">
      <c r="A128" s="5" t="s">
        <v>63</v>
      </c>
      <c r="B128" s="17">
        <f>100/Input!$F$14*B87*DRM!$B$12*Input!$D$14</f>
        <v>0</v>
      </c>
      <c r="C128" s="17">
        <f>100/Input!$F$14*C87*DRM!$B$12*Input!$D$14</f>
        <v>0</v>
      </c>
      <c r="D128" s="17">
        <f t="shared" si="0"/>
        <v>0</v>
      </c>
      <c r="E128" s="6"/>
    </row>
    <row r="129" spans="1:5" x14ac:dyDescent="0.2">
      <c r="A129" s="5" t="s">
        <v>64</v>
      </c>
      <c r="B129" s="17">
        <f>100/Input!$F$14*B88*DRM!$B$12*Input!$D$14</f>
        <v>0</v>
      </c>
      <c r="C129" s="17">
        <f>100/Input!$F$14*C88*DRM!$B$12*Input!$D$14</f>
        <v>0</v>
      </c>
      <c r="D129" s="17">
        <f t="shared" si="0"/>
        <v>0</v>
      </c>
      <c r="E129" s="6"/>
    </row>
    <row r="130" spans="1:5" x14ac:dyDescent="0.2">
      <c r="A130" s="5" t="s">
        <v>65</v>
      </c>
      <c r="B130" s="17">
        <f>100/Input!$F$14*B89*DRM!$B$12*Input!$D$14</f>
        <v>0</v>
      </c>
      <c r="C130" s="17">
        <f>100/Input!$F$14*C89*DRM!$B$12*Input!$D$14</f>
        <v>0</v>
      </c>
      <c r="D130" s="17">
        <f t="shared" si="0"/>
        <v>0</v>
      </c>
      <c r="E130" s="6"/>
    </row>
    <row r="131" spans="1:5" x14ac:dyDescent="0.2">
      <c r="A131" s="5" t="s">
        <v>66</v>
      </c>
      <c r="B131" s="17">
        <f>100/Input!$F$14*B90*DRM!$B$12*Input!$D$14</f>
        <v>0</v>
      </c>
      <c r="C131" s="17">
        <f>100/Input!$F$14*C90*DRM!$B$12*Input!$D$14</f>
        <v>0</v>
      </c>
      <c r="D131" s="17">
        <f t="shared" si="0"/>
        <v>0</v>
      </c>
      <c r="E131" s="6"/>
    </row>
    <row r="132" spans="1:5" x14ac:dyDescent="0.2">
      <c r="A132" s="5" t="s">
        <v>75</v>
      </c>
      <c r="B132" s="17">
        <f>100/Input!$F$14*B91*DRM!$B$12*Input!$D$14</f>
        <v>0</v>
      </c>
      <c r="C132" s="17">
        <f>100/Input!$F$14*C91*DRM!$B$12*Input!$D$14</f>
        <v>0</v>
      </c>
      <c r="D132" s="17">
        <f t="shared" si="0"/>
        <v>0</v>
      </c>
      <c r="E132" s="6"/>
    </row>
    <row r="133" spans="1:5" x14ac:dyDescent="0.2">
      <c r="A133" s="5" t="s">
        <v>76</v>
      </c>
      <c r="B133" s="17">
        <f>100/Input!$F$14*B92*DRM!$B$12*Input!$D$14</f>
        <v>0</v>
      </c>
      <c r="C133" s="17">
        <f>100/Input!$F$14*C92*DRM!$B$12*Input!$D$14</f>
        <v>0</v>
      </c>
      <c r="D133" s="17">
        <f t="shared" si="0"/>
        <v>0</v>
      </c>
      <c r="E133" s="6"/>
    </row>
    <row r="134" spans="1:5" x14ac:dyDescent="0.2">
      <c r="A134" s="5" t="s">
        <v>77</v>
      </c>
      <c r="B134" s="17">
        <f>100/Input!$F$14*B93*DRM!$B$12*Input!$D$14</f>
        <v>0</v>
      </c>
      <c r="C134" s="17">
        <f>100/Input!$F$14*C93*DRM!$B$12*Input!$D$14</f>
        <v>0</v>
      </c>
      <c r="D134" s="17">
        <f t="shared" si="0"/>
        <v>0</v>
      </c>
      <c r="E134" s="6"/>
    </row>
    <row r="135" spans="1:5" x14ac:dyDescent="0.2">
      <c r="A135" s="5" t="s">
        <v>78</v>
      </c>
      <c r="B135" s="17">
        <f>100/Input!$F$14*B94*DRM!$B$12*Input!$D$14</f>
        <v>0</v>
      </c>
      <c r="C135" s="17">
        <f>100/Input!$F$14*C94*DRM!$B$12*Input!$D$14</f>
        <v>0</v>
      </c>
      <c r="D135" s="17">
        <f t="shared" si="0"/>
        <v>0</v>
      </c>
      <c r="E135" s="6"/>
    </row>
  </sheetData>
  <sheetProtection sheet="1" objects="1"/>
  <hyperlinks>
    <hyperlink ref="A6" location="'Input'!B68" display="'Input'!B68"/>
    <hyperlink ref="A7" location="'Input'!B58" display="'Input'!B58"/>
    <hyperlink ref="A28" location="'Input'!B88" display="'Input'!B88"/>
    <hyperlink ref="A29" location="'Input'!B58" display="'Input'!B58"/>
    <hyperlink ref="A37" location="'Input'!D14" display="'Input'!D14"/>
    <hyperlink ref="A38" location="'SM'!B33" display="'SM'!B33"/>
    <hyperlink ref="A39" location="'DRM'!B12" display="'DRM'!B12"/>
    <hyperlink ref="A47" location="'Input'!B93" display="'Input'!B93"/>
    <hyperlink ref="A48" location="'Input'!B63" display="'Input'!B63"/>
    <hyperlink ref="A62" location="'SM'!B11" display="'SM'!B11"/>
    <hyperlink ref="A63" location="'SM'!B52" display="'SM'!B52"/>
    <hyperlink ref="A98" location="'Input'!F14" display="'Input'!F14"/>
    <hyperlink ref="A99" location="'SM'!B67" display="'SM'!B67"/>
    <hyperlink ref="A100" location="'DRM'!B12" display="'DRM'!B12"/>
    <hyperlink ref="A101" location="'Input'!D14" display="'Input'!D14"/>
    <hyperlink ref="A102" location="'SM'!B108" display="'SM'!B108"/>
  </hyperlinks>
  <pageMargins left="0.75" right="0.75" top="1" bottom="1" header="0.5" footer="0.5"/>
  <pageSetup paperSize="9" scale="58" fitToHeight="0" orientation="portrait" blackAndWhite="1" r:id="rId1"/>
  <headerFooter alignWithMargins="0">
    <oddHeader>&amp;L&amp;A&amp;Cr6140&amp;R&amp;P of &amp;N</oddHeader>
    <oddFooter>&amp;F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25"/>
  <sheetViews>
    <sheetView showGridLines="0" workbookViewId="0">
      <pane xSplit="1" ySplit="1" topLeftCell="B2" activePane="bottomRight" state="frozen"/>
      <selection pane="topRight"/>
      <selection pane="bottomLeft"/>
      <selection pane="bottomRight"/>
    </sheetView>
  </sheetViews>
  <sheetFormatPr defaultRowHeight="12.75" x14ac:dyDescent="0.2"/>
  <cols>
    <col min="1" max="1" width="50.7109375" customWidth="1"/>
    <col min="2" max="251" width="20.7109375" customWidth="1"/>
  </cols>
  <sheetData>
    <row r="1" spans="1:1" ht="19.5" x14ac:dyDescent="0.3">
      <c r="A1" s="15" t="str">
        <f>"r6140: Load characteristics"&amp;" for "&amp;Input!B7&amp;" in "&amp;Input!C7&amp;" ("&amp;Input!D7&amp;")"</f>
        <v>r6140: Load characteristics for Electricity North West  in 2013/14 (April 2013 Indicative)</v>
      </c>
    </row>
    <row r="2" spans="1:1" x14ac:dyDescent="0.2">
      <c r="A2" s="10" t="s">
        <v>377</v>
      </c>
    </row>
    <row r="3" spans="1:1" x14ac:dyDescent="0.2">
      <c r="A3" s="10"/>
    </row>
    <row r="4" spans="1:1" x14ac:dyDescent="0.2">
      <c r="A4" s="10" t="s">
        <v>378</v>
      </c>
    </row>
    <row r="5" spans="1:1" x14ac:dyDescent="0.2">
      <c r="A5" s="10" t="s">
        <v>379</v>
      </c>
    </row>
    <row r="6" spans="1:1" x14ac:dyDescent="0.2">
      <c r="A6" s="10"/>
    </row>
    <row r="7" spans="1:1" x14ac:dyDescent="0.2">
      <c r="A7" s="10" t="s">
        <v>380</v>
      </c>
    </row>
    <row r="8" spans="1:1" x14ac:dyDescent="0.2">
      <c r="A8" s="10" t="s">
        <v>381</v>
      </c>
    </row>
    <row r="9" spans="1:1" x14ac:dyDescent="0.2">
      <c r="A9" s="10" t="s">
        <v>382</v>
      </c>
    </row>
    <row r="10" spans="1:1" x14ac:dyDescent="0.2">
      <c r="A10" s="10" t="s">
        <v>383</v>
      </c>
    </row>
    <row r="12" spans="1:1" ht="16.5" x14ac:dyDescent="0.25">
      <c r="A12" s="3" t="s">
        <v>384</v>
      </c>
    </row>
    <row r="13" spans="1:1" x14ac:dyDescent="0.2">
      <c r="A13" s="10" t="s">
        <v>238</v>
      </c>
    </row>
    <row r="14" spans="1:1" x14ac:dyDescent="0.2">
      <c r="A14" s="11" t="s">
        <v>385</v>
      </c>
    </row>
    <row r="15" spans="1:1" x14ac:dyDescent="0.2">
      <c r="A15" s="11" t="s">
        <v>386</v>
      </c>
    </row>
    <row r="16" spans="1:1" x14ac:dyDescent="0.2">
      <c r="A16" s="10" t="s">
        <v>318</v>
      </c>
    </row>
    <row r="18" spans="1:3" x14ac:dyDescent="0.2">
      <c r="B18" s="4" t="s">
        <v>387</v>
      </c>
    </row>
    <row r="19" spans="1:3" x14ac:dyDescent="0.2">
      <c r="A19" s="5" t="s">
        <v>53</v>
      </c>
      <c r="B19" s="17">
        <f>Input!B117/Input!C117</f>
        <v>2.1844514421457704</v>
      </c>
      <c r="C19" s="6"/>
    </row>
    <row r="20" spans="1:3" x14ac:dyDescent="0.2">
      <c r="A20" s="5" t="s">
        <v>54</v>
      </c>
      <c r="B20" s="17">
        <f>Input!B118/Input!C118</f>
        <v>1.3915195157293192</v>
      </c>
      <c r="C20" s="6"/>
    </row>
    <row r="21" spans="1:3" x14ac:dyDescent="0.2">
      <c r="A21" s="5" t="s">
        <v>94</v>
      </c>
      <c r="B21" s="17">
        <f>Input!B119/Input!C119</f>
        <v>0</v>
      </c>
      <c r="C21" s="6"/>
    </row>
    <row r="22" spans="1:3" x14ac:dyDescent="0.2">
      <c r="A22" s="5" t="s">
        <v>55</v>
      </c>
      <c r="B22" s="17">
        <f>Input!B120/Input!C120</f>
        <v>1.8249078721234926</v>
      </c>
      <c r="C22" s="6"/>
    </row>
    <row r="23" spans="1:3" x14ac:dyDescent="0.2">
      <c r="A23" s="5" t="s">
        <v>56</v>
      </c>
      <c r="B23" s="17">
        <f>Input!B121/Input!C121</f>
        <v>1.3927086532965456</v>
      </c>
      <c r="C23" s="6"/>
    </row>
    <row r="24" spans="1:3" x14ac:dyDescent="0.2">
      <c r="A24" s="5" t="s">
        <v>95</v>
      </c>
      <c r="B24" s="17">
        <f>Input!B122/Input!C122</f>
        <v>0</v>
      </c>
      <c r="C24" s="6"/>
    </row>
    <row r="25" spans="1:3" x14ac:dyDescent="0.2">
      <c r="A25" s="5" t="s">
        <v>57</v>
      </c>
      <c r="B25" s="17">
        <f>Input!B123/Input!C123</f>
        <v>1.5127932166510458</v>
      </c>
      <c r="C25" s="6"/>
    </row>
    <row r="26" spans="1:3" x14ac:dyDescent="0.2">
      <c r="A26" s="5" t="s">
        <v>58</v>
      </c>
      <c r="B26" s="17">
        <f>Input!B124/Input!C124</f>
        <v>1.4949877012868205</v>
      </c>
      <c r="C26" s="6"/>
    </row>
    <row r="27" spans="1:3" x14ac:dyDescent="0.2">
      <c r="A27" s="5" t="s">
        <v>72</v>
      </c>
      <c r="B27" s="17">
        <f>Input!B125/Input!C125</f>
        <v>1.5400197141007743</v>
      </c>
      <c r="C27" s="6"/>
    </row>
    <row r="28" spans="1:3" x14ac:dyDescent="0.2">
      <c r="A28" s="5" t="s">
        <v>59</v>
      </c>
      <c r="B28" s="17">
        <f>Input!B126/Input!C126</f>
        <v>1.1672306978125766</v>
      </c>
      <c r="C28" s="6"/>
    </row>
    <row r="29" spans="1:3" x14ac:dyDescent="0.2">
      <c r="A29" s="5" t="s">
        <v>60</v>
      </c>
      <c r="B29" s="17">
        <f>Input!B127/Input!C127</f>
        <v>1.3360376356253616</v>
      </c>
      <c r="C29" s="6"/>
    </row>
    <row r="30" spans="1:3" x14ac:dyDescent="0.2">
      <c r="A30" s="5" t="s">
        <v>73</v>
      </c>
      <c r="B30" s="17">
        <f>Input!B128/Input!C128</f>
        <v>1.1888295918666962</v>
      </c>
      <c r="C30" s="6"/>
    </row>
    <row r="31" spans="1:3" x14ac:dyDescent="0.2">
      <c r="A31" s="5" t="s">
        <v>74</v>
      </c>
      <c r="B31" s="17">
        <f>Input!B129/Input!C129</f>
        <v>1.1888295918666962</v>
      </c>
      <c r="C31" s="6"/>
    </row>
    <row r="32" spans="1:3" x14ac:dyDescent="0.2">
      <c r="A32" s="5" t="s">
        <v>96</v>
      </c>
      <c r="B32" s="17">
        <f>Input!B130/Input!C130</f>
        <v>1</v>
      </c>
      <c r="C32" s="6"/>
    </row>
    <row r="33" spans="1:3" x14ac:dyDescent="0.2">
      <c r="A33" s="5" t="s">
        <v>97</v>
      </c>
      <c r="B33" s="17">
        <f>Input!B131/Input!C131</f>
        <v>2.1082074030376781</v>
      </c>
      <c r="C33" s="6"/>
    </row>
    <row r="34" spans="1:3" x14ac:dyDescent="0.2">
      <c r="A34" s="5" t="s">
        <v>98</v>
      </c>
      <c r="B34" s="17">
        <f>Input!B132/Input!C132</f>
        <v>3.8756661522412958</v>
      </c>
      <c r="C34" s="6"/>
    </row>
    <row r="35" spans="1:3" x14ac:dyDescent="0.2">
      <c r="A35" s="5" t="s">
        <v>99</v>
      </c>
      <c r="B35" s="17">
        <f>Input!B133/Input!C133</f>
        <v>0</v>
      </c>
      <c r="C35" s="6"/>
    </row>
    <row r="36" spans="1:3" x14ac:dyDescent="0.2">
      <c r="A36" s="5" t="s">
        <v>100</v>
      </c>
      <c r="B36" s="17">
        <f>Input!B134/Input!C134</f>
        <v>1.5811888155637503</v>
      </c>
      <c r="C36" s="6"/>
    </row>
    <row r="38" spans="1:3" ht="16.5" x14ac:dyDescent="0.25">
      <c r="A38" s="3" t="s">
        <v>388</v>
      </c>
    </row>
    <row r="39" spans="1:3" x14ac:dyDescent="0.2">
      <c r="A39" s="10" t="s">
        <v>238</v>
      </c>
    </row>
    <row r="40" spans="1:3" x14ac:dyDescent="0.2">
      <c r="A40" s="11" t="s">
        <v>389</v>
      </c>
    </row>
    <row r="41" spans="1:3" x14ac:dyDescent="0.2">
      <c r="A41" s="10" t="s">
        <v>390</v>
      </c>
    </row>
    <row r="42" spans="1:3" x14ac:dyDescent="0.2">
      <c r="A42" s="10" t="s">
        <v>256</v>
      </c>
    </row>
    <row r="44" spans="1:3" x14ac:dyDescent="0.2">
      <c r="B44" s="4" t="s">
        <v>391</v>
      </c>
    </row>
    <row r="45" spans="1:3" x14ac:dyDescent="0.2">
      <c r="A45" s="5" t="s">
        <v>53</v>
      </c>
      <c r="B45" s="20">
        <f>B$19</f>
        <v>2.1844514421457704</v>
      </c>
      <c r="C45" s="6"/>
    </row>
    <row r="46" spans="1:3" x14ac:dyDescent="0.2">
      <c r="A46" s="5" t="s">
        <v>54</v>
      </c>
      <c r="B46" s="20">
        <f>B$20</f>
        <v>1.3915195157293192</v>
      </c>
      <c r="C46" s="6"/>
    </row>
    <row r="47" spans="1:3" x14ac:dyDescent="0.2">
      <c r="A47" s="5" t="s">
        <v>94</v>
      </c>
      <c r="B47" s="20">
        <f>B$21</f>
        <v>0</v>
      </c>
      <c r="C47" s="6"/>
    </row>
    <row r="48" spans="1:3" x14ac:dyDescent="0.2">
      <c r="A48" s="5" t="s">
        <v>55</v>
      </c>
      <c r="B48" s="20">
        <f>B$22</f>
        <v>1.8249078721234926</v>
      </c>
      <c r="C48" s="6"/>
    </row>
    <row r="49" spans="1:3" x14ac:dyDescent="0.2">
      <c r="A49" s="5" t="s">
        <v>56</v>
      </c>
      <c r="B49" s="20">
        <f>B$23</f>
        <v>1.3927086532965456</v>
      </c>
      <c r="C49" s="6"/>
    </row>
    <row r="50" spans="1:3" x14ac:dyDescent="0.2">
      <c r="A50" s="5" t="s">
        <v>95</v>
      </c>
      <c r="B50" s="20">
        <f>B$24</f>
        <v>0</v>
      </c>
      <c r="C50" s="6"/>
    </row>
    <row r="51" spans="1:3" x14ac:dyDescent="0.2">
      <c r="A51" s="5" t="s">
        <v>57</v>
      </c>
      <c r="B51" s="20">
        <f>B$25</f>
        <v>1.5127932166510458</v>
      </c>
      <c r="C51" s="6"/>
    </row>
    <row r="52" spans="1:3" x14ac:dyDescent="0.2">
      <c r="A52" s="5" t="s">
        <v>58</v>
      </c>
      <c r="B52" s="20">
        <f>B$26</f>
        <v>1.4949877012868205</v>
      </c>
      <c r="C52" s="6"/>
    </row>
    <row r="53" spans="1:3" x14ac:dyDescent="0.2">
      <c r="A53" s="5" t="s">
        <v>72</v>
      </c>
      <c r="B53" s="20">
        <f>B$27</f>
        <v>1.5400197141007743</v>
      </c>
      <c r="C53" s="6"/>
    </row>
    <row r="54" spans="1:3" x14ac:dyDescent="0.2">
      <c r="A54" s="5" t="s">
        <v>59</v>
      </c>
      <c r="B54" s="20">
        <f>B$28</f>
        <v>1.1672306978125766</v>
      </c>
      <c r="C54" s="6"/>
    </row>
    <row r="55" spans="1:3" x14ac:dyDescent="0.2">
      <c r="A55" s="5" t="s">
        <v>60</v>
      </c>
      <c r="B55" s="20">
        <f>B$29</f>
        <v>1.3360376356253616</v>
      </c>
      <c r="C55" s="6"/>
    </row>
    <row r="56" spans="1:3" x14ac:dyDescent="0.2">
      <c r="A56" s="5" t="s">
        <v>73</v>
      </c>
      <c r="B56" s="20">
        <f>B$30</f>
        <v>1.1888295918666962</v>
      </c>
      <c r="C56" s="6"/>
    </row>
    <row r="57" spans="1:3" x14ac:dyDescent="0.2">
      <c r="A57" s="5" t="s">
        <v>74</v>
      </c>
      <c r="B57" s="20">
        <f>B$31</f>
        <v>1.1888295918666962</v>
      </c>
      <c r="C57" s="6"/>
    </row>
    <row r="58" spans="1:3" x14ac:dyDescent="0.2">
      <c r="A58" s="5" t="s">
        <v>96</v>
      </c>
      <c r="B58" s="20">
        <f>B$32</f>
        <v>1</v>
      </c>
      <c r="C58" s="6"/>
    </row>
    <row r="59" spans="1:3" x14ac:dyDescent="0.2">
      <c r="A59" s="5" t="s">
        <v>97</v>
      </c>
      <c r="B59" s="20">
        <f>B$33</f>
        <v>2.1082074030376781</v>
      </c>
      <c r="C59" s="6"/>
    </row>
    <row r="60" spans="1:3" x14ac:dyDescent="0.2">
      <c r="A60" s="5" t="s">
        <v>98</v>
      </c>
      <c r="B60" s="20">
        <f>B$34</f>
        <v>3.8756661522412958</v>
      </c>
      <c r="C60" s="6"/>
    </row>
    <row r="61" spans="1:3" x14ac:dyDescent="0.2">
      <c r="A61" s="5" t="s">
        <v>99</v>
      </c>
      <c r="B61" s="20">
        <f>B$35</f>
        <v>0</v>
      </c>
      <c r="C61" s="6"/>
    </row>
    <row r="62" spans="1:3" x14ac:dyDescent="0.2">
      <c r="A62" s="5" t="s">
        <v>100</v>
      </c>
      <c r="B62" s="20">
        <f>B$36</f>
        <v>1.5811888155637503</v>
      </c>
      <c r="C62" s="6"/>
    </row>
    <row r="63" spans="1:3" x14ac:dyDescent="0.2">
      <c r="A63" s="5" t="s">
        <v>61</v>
      </c>
      <c r="B63" s="8">
        <v>-1</v>
      </c>
      <c r="C63" s="6"/>
    </row>
    <row r="64" spans="1:3" x14ac:dyDescent="0.2">
      <c r="A64" s="5" t="s">
        <v>62</v>
      </c>
      <c r="B64" s="8">
        <v>-1</v>
      </c>
      <c r="C64" s="6"/>
    </row>
    <row r="65" spans="1:7" x14ac:dyDescent="0.2">
      <c r="A65" s="5" t="s">
        <v>63</v>
      </c>
      <c r="B65" s="8">
        <v>-1</v>
      </c>
      <c r="C65" s="6"/>
    </row>
    <row r="66" spans="1:7" x14ac:dyDescent="0.2">
      <c r="A66" s="5" t="s">
        <v>64</v>
      </c>
      <c r="B66" s="8">
        <v>-1</v>
      </c>
      <c r="C66" s="6"/>
    </row>
    <row r="67" spans="1:7" x14ac:dyDescent="0.2">
      <c r="A67" s="5" t="s">
        <v>65</v>
      </c>
      <c r="B67" s="8">
        <v>-1</v>
      </c>
      <c r="C67" s="6"/>
    </row>
    <row r="68" spans="1:7" x14ac:dyDescent="0.2">
      <c r="A68" s="5" t="s">
        <v>66</v>
      </c>
      <c r="B68" s="8">
        <v>-1</v>
      </c>
      <c r="C68" s="6"/>
    </row>
    <row r="69" spans="1:7" x14ac:dyDescent="0.2">
      <c r="A69" s="5" t="s">
        <v>75</v>
      </c>
      <c r="B69" s="8">
        <v>-1</v>
      </c>
      <c r="C69" s="6"/>
    </row>
    <row r="70" spans="1:7" x14ac:dyDescent="0.2">
      <c r="A70" s="5" t="s">
        <v>76</v>
      </c>
      <c r="B70" s="8">
        <v>-1</v>
      </c>
      <c r="C70" s="6"/>
    </row>
    <row r="71" spans="1:7" x14ac:dyDescent="0.2">
      <c r="A71" s="5" t="s">
        <v>77</v>
      </c>
      <c r="B71" s="8">
        <v>-1</v>
      </c>
      <c r="C71" s="6"/>
    </row>
    <row r="72" spans="1:7" x14ac:dyDescent="0.2">
      <c r="A72" s="5" t="s">
        <v>78</v>
      </c>
      <c r="B72" s="8">
        <v>-1</v>
      </c>
      <c r="C72" s="6"/>
    </row>
    <row r="74" spans="1:7" ht="16.5" x14ac:dyDescent="0.25">
      <c r="A74" s="3" t="s">
        <v>392</v>
      </c>
    </row>
    <row r="76" spans="1:7" ht="25.5" x14ac:dyDescent="0.2">
      <c r="B76" s="4" t="s">
        <v>84</v>
      </c>
      <c r="C76" s="4" t="s">
        <v>85</v>
      </c>
      <c r="D76" s="4" t="s">
        <v>86</v>
      </c>
      <c r="E76" s="4" t="s">
        <v>87</v>
      </c>
      <c r="F76" s="4" t="s">
        <v>88</v>
      </c>
    </row>
    <row r="77" spans="1:7" x14ac:dyDescent="0.2">
      <c r="A77" s="12" t="s">
        <v>111</v>
      </c>
      <c r="G77" s="6"/>
    </row>
    <row r="78" spans="1:7" x14ac:dyDescent="0.2">
      <c r="A78" s="5" t="s">
        <v>53</v>
      </c>
      <c r="B78" s="16">
        <v>1</v>
      </c>
      <c r="C78" s="16">
        <v>0</v>
      </c>
      <c r="D78" s="16">
        <v>0</v>
      </c>
      <c r="E78" s="16">
        <v>0</v>
      </c>
      <c r="F78" s="16">
        <v>0</v>
      </c>
      <c r="G78" s="6"/>
    </row>
    <row r="79" spans="1:7" x14ac:dyDescent="0.2">
      <c r="A79" s="5" t="s">
        <v>112</v>
      </c>
      <c r="B79" s="16">
        <v>0</v>
      </c>
      <c r="C79" s="16">
        <v>1</v>
      </c>
      <c r="D79" s="16">
        <v>0</v>
      </c>
      <c r="E79" s="16">
        <v>0</v>
      </c>
      <c r="F79" s="16">
        <v>0</v>
      </c>
      <c r="G79" s="6"/>
    </row>
    <row r="80" spans="1:7" x14ac:dyDescent="0.2">
      <c r="A80" s="5" t="s">
        <v>113</v>
      </c>
      <c r="B80" s="16">
        <v>0</v>
      </c>
      <c r="C80" s="16">
        <v>0</v>
      </c>
      <c r="D80" s="16">
        <v>1</v>
      </c>
      <c r="E80" s="16">
        <v>0</v>
      </c>
      <c r="F80" s="16">
        <v>0</v>
      </c>
      <c r="G80" s="6"/>
    </row>
    <row r="81" spans="1:7" x14ac:dyDescent="0.2">
      <c r="A81" s="12" t="s">
        <v>114</v>
      </c>
      <c r="G81" s="6"/>
    </row>
    <row r="82" spans="1:7" x14ac:dyDescent="0.2">
      <c r="A82" s="5" t="s">
        <v>54</v>
      </c>
      <c r="B82" s="16">
        <v>1</v>
      </c>
      <c r="C82" s="16">
        <v>0</v>
      </c>
      <c r="D82" s="16">
        <v>0</v>
      </c>
      <c r="E82" s="16">
        <v>0</v>
      </c>
      <c r="F82" s="16">
        <v>0</v>
      </c>
      <c r="G82" s="6"/>
    </row>
    <row r="83" spans="1:7" x14ac:dyDescent="0.2">
      <c r="A83" s="5" t="s">
        <v>115</v>
      </c>
      <c r="B83" s="16">
        <v>0</v>
      </c>
      <c r="C83" s="16">
        <v>1</v>
      </c>
      <c r="D83" s="16">
        <v>0</v>
      </c>
      <c r="E83" s="16">
        <v>0</v>
      </c>
      <c r="F83" s="16">
        <v>0</v>
      </c>
      <c r="G83" s="6"/>
    </row>
    <row r="84" spans="1:7" x14ac:dyDescent="0.2">
      <c r="A84" s="5" t="s">
        <v>116</v>
      </c>
      <c r="B84" s="16">
        <v>0</v>
      </c>
      <c r="C84" s="16">
        <v>0</v>
      </c>
      <c r="D84" s="16">
        <v>1</v>
      </c>
      <c r="E84" s="16">
        <v>0</v>
      </c>
      <c r="F84" s="16">
        <v>0</v>
      </c>
      <c r="G84" s="6"/>
    </row>
    <row r="85" spans="1:7" x14ac:dyDescent="0.2">
      <c r="A85" s="12" t="s">
        <v>117</v>
      </c>
      <c r="G85" s="6"/>
    </row>
    <row r="86" spans="1:7" x14ac:dyDescent="0.2">
      <c r="A86" s="5" t="s">
        <v>94</v>
      </c>
      <c r="B86" s="16">
        <v>1</v>
      </c>
      <c r="C86" s="16">
        <v>0</v>
      </c>
      <c r="D86" s="16">
        <v>0</v>
      </c>
      <c r="E86" s="16">
        <v>0</v>
      </c>
      <c r="F86" s="16">
        <v>0</v>
      </c>
      <c r="G86" s="6"/>
    </row>
    <row r="87" spans="1:7" x14ac:dyDescent="0.2">
      <c r="A87" s="5" t="s">
        <v>118</v>
      </c>
      <c r="B87" s="16">
        <v>0</v>
      </c>
      <c r="C87" s="16">
        <v>1</v>
      </c>
      <c r="D87" s="16">
        <v>0</v>
      </c>
      <c r="E87" s="16">
        <v>0</v>
      </c>
      <c r="F87" s="16">
        <v>0</v>
      </c>
      <c r="G87" s="6"/>
    </row>
    <row r="88" spans="1:7" x14ac:dyDescent="0.2">
      <c r="A88" s="5" t="s">
        <v>119</v>
      </c>
      <c r="B88" s="16">
        <v>0</v>
      </c>
      <c r="C88" s="16">
        <v>0</v>
      </c>
      <c r="D88" s="16">
        <v>1</v>
      </c>
      <c r="E88" s="16">
        <v>0</v>
      </c>
      <c r="F88" s="16">
        <v>0</v>
      </c>
      <c r="G88" s="6"/>
    </row>
    <row r="89" spans="1:7" x14ac:dyDescent="0.2">
      <c r="A89" s="12" t="s">
        <v>120</v>
      </c>
      <c r="G89" s="6"/>
    </row>
    <row r="90" spans="1:7" x14ac:dyDescent="0.2">
      <c r="A90" s="5" t="s">
        <v>55</v>
      </c>
      <c r="B90" s="16">
        <v>1</v>
      </c>
      <c r="C90" s="16">
        <v>0</v>
      </c>
      <c r="D90" s="16">
        <v>0</v>
      </c>
      <c r="E90" s="16">
        <v>0</v>
      </c>
      <c r="F90" s="16">
        <v>0</v>
      </c>
      <c r="G90" s="6"/>
    </row>
    <row r="91" spans="1:7" x14ac:dyDescent="0.2">
      <c r="A91" s="5" t="s">
        <v>121</v>
      </c>
      <c r="B91" s="16">
        <v>0</v>
      </c>
      <c r="C91" s="16">
        <v>1</v>
      </c>
      <c r="D91" s="16">
        <v>0</v>
      </c>
      <c r="E91" s="16">
        <v>0</v>
      </c>
      <c r="F91" s="16">
        <v>0</v>
      </c>
      <c r="G91" s="6"/>
    </row>
    <row r="92" spans="1:7" x14ac:dyDescent="0.2">
      <c r="A92" s="5" t="s">
        <v>122</v>
      </c>
      <c r="B92" s="16">
        <v>0</v>
      </c>
      <c r="C92" s="16">
        <v>0</v>
      </c>
      <c r="D92" s="16">
        <v>1</v>
      </c>
      <c r="E92" s="16">
        <v>0</v>
      </c>
      <c r="F92" s="16">
        <v>0</v>
      </c>
      <c r="G92" s="6"/>
    </row>
    <row r="93" spans="1:7" x14ac:dyDescent="0.2">
      <c r="A93" s="12" t="s">
        <v>123</v>
      </c>
      <c r="G93" s="6"/>
    </row>
    <row r="94" spans="1:7" x14ac:dyDescent="0.2">
      <c r="A94" s="5" t="s">
        <v>56</v>
      </c>
      <c r="B94" s="16">
        <v>1</v>
      </c>
      <c r="C94" s="16">
        <v>0</v>
      </c>
      <c r="D94" s="16">
        <v>0</v>
      </c>
      <c r="E94" s="16">
        <v>0</v>
      </c>
      <c r="F94" s="16">
        <v>0</v>
      </c>
      <c r="G94" s="6"/>
    </row>
    <row r="95" spans="1:7" x14ac:dyDescent="0.2">
      <c r="A95" s="5" t="s">
        <v>124</v>
      </c>
      <c r="B95" s="16">
        <v>0</v>
      </c>
      <c r="C95" s="16">
        <v>1</v>
      </c>
      <c r="D95" s="16">
        <v>0</v>
      </c>
      <c r="E95" s="16">
        <v>0</v>
      </c>
      <c r="F95" s="16">
        <v>0</v>
      </c>
      <c r="G95" s="6"/>
    </row>
    <row r="96" spans="1:7" x14ac:dyDescent="0.2">
      <c r="A96" s="5" t="s">
        <v>125</v>
      </c>
      <c r="B96" s="16">
        <v>0</v>
      </c>
      <c r="C96" s="16">
        <v>0</v>
      </c>
      <c r="D96" s="16">
        <v>1</v>
      </c>
      <c r="E96" s="16">
        <v>0</v>
      </c>
      <c r="F96" s="16">
        <v>0</v>
      </c>
      <c r="G96" s="6"/>
    </row>
    <row r="97" spans="1:7" x14ac:dyDescent="0.2">
      <c r="A97" s="12" t="s">
        <v>126</v>
      </c>
      <c r="G97" s="6"/>
    </row>
    <row r="98" spans="1:7" x14ac:dyDescent="0.2">
      <c r="A98" s="5" t="s">
        <v>95</v>
      </c>
      <c r="B98" s="16">
        <v>1</v>
      </c>
      <c r="C98" s="16">
        <v>0</v>
      </c>
      <c r="D98" s="16">
        <v>0</v>
      </c>
      <c r="E98" s="16">
        <v>0</v>
      </c>
      <c r="F98" s="16">
        <v>0</v>
      </c>
      <c r="G98" s="6"/>
    </row>
    <row r="99" spans="1:7" ht="25.5" x14ac:dyDescent="0.2">
      <c r="A99" s="5" t="s">
        <v>127</v>
      </c>
      <c r="B99" s="16">
        <v>0</v>
      </c>
      <c r="C99" s="16">
        <v>1</v>
      </c>
      <c r="D99" s="16">
        <v>0</v>
      </c>
      <c r="E99" s="16">
        <v>0</v>
      </c>
      <c r="F99" s="16">
        <v>0</v>
      </c>
      <c r="G99" s="6"/>
    </row>
    <row r="100" spans="1:7" ht="25.5" x14ac:dyDescent="0.2">
      <c r="A100" s="5" t="s">
        <v>128</v>
      </c>
      <c r="B100" s="16">
        <v>0</v>
      </c>
      <c r="C100" s="16">
        <v>0</v>
      </c>
      <c r="D100" s="16">
        <v>1</v>
      </c>
      <c r="E100" s="16">
        <v>0</v>
      </c>
      <c r="F100" s="16">
        <v>0</v>
      </c>
      <c r="G100" s="6"/>
    </row>
    <row r="101" spans="1:7" x14ac:dyDescent="0.2">
      <c r="A101" s="12" t="s">
        <v>129</v>
      </c>
      <c r="G101" s="6"/>
    </row>
    <row r="102" spans="1:7" x14ac:dyDescent="0.2">
      <c r="A102" s="5" t="s">
        <v>57</v>
      </c>
      <c r="B102" s="16">
        <v>1</v>
      </c>
      <c r="C102" s="16">
        <v>0</v>
      </c>
      <c r="D102" s="16">
        <v>0</v>
      </c>
      <c r="E102" s="16">
        <v>0</v>
      </c>
      <c r="F102" s="16">
        <v>0</v>
      </c>
      <c r="G102" s="6"/>
    </row>
    <row r="103" spans="1:7" x14ac:dyDescent="0.2">
      <c r="A103" s="5" t="s">
        <v>130</v>
      </c>
      <c r="B103" s="16">
        <v>0</v>
      </c>
      <c r="C103" s="16">
        <v>1</v>
      </c>
      <c r="D103" s="16">
        <v>0</v>
      </c>
      <c r="E103" s="16">
        <v>0</v>
      </c>
      <c r="F103" s="16">
        <v>0</v>
      </c>
      <c r="G103" s="6"/>
    </row>
    <row r="104" spans="1:7" x14ac:dyDescent="0.2">
      <c r="A104" s="5" t="s">
        <v>131</v>
      </c>
      <c r="B104" s="16">
        <v>0</v>
      </c>
      <c r="C104" s="16">
        <v>0</v>
      </c>
      <c r="D104" s="16">
        <v>1</v>
      </c>
      <c r="E104" s="16">
        <v>0</v>
      </c>
      <c r="F104" s="16">
        <v>0</v>
      </c>
      <c r="G104" s="6"/>
    </row>
    <row r="105" spans="1:7" x14ac:dyDescent="0.2">
      <c r="A105" s="12" t="s">
        <v>132</v>
      </c>
      <c r="G105" s="6"/>
    </row>
    <row r="106" spans="1:7" x14ac:dyDescent="0.2">
      <c r="A106" s="5" t="s">
        <v>58</v>
      </c>
      <c r="B106" s="16">
        <v>1</v>
      </c>
      <c r="C106" s="16">
        <v>0</v>
      </c>
      <c r="D106" s="16">
        <v>0</v>
      </c>
      <c r="E106" s="16">
        <v>0</v>
      </c>
      <c r="F106" s="16">
        <v>0</v>
      </c>
      <c r="G106" s="6"/>
    </row>
    <row r="107" spans="1:7" x14ac:dyDescent="0.2">
      <c r="A107" s="12" t="s">
        <v>133</v>
      </c>
      <c r="G107" s="6"/>
    </row>
    <row r="108" spans="1:7" x14ac:dyDescent="0.2">
      <c r="A108" s="5" t="s">
        <v>72</v>
      </c>
      <c r="B108" s="16">
        <v>1</v>
      </c>
      <c r="C108" s="16">
        <v>0</v>
      </c>
      <c r="D108" s="16">
        <v>0</v>
      </c>
      <c r="E108" s="16">
        <v>0</v>
      </c>
      <c r="F108" s="16">
        <v>0</v>
      </c>
      <c r="G108" s="6"/>
    </row>
    <row r="109" spans="1:7" x14ac:dyDescent="0.2">
      <c r="A109" s="12" t="s">
        <v>134</v>
      </c>
      <c r="G109" s="6"/>
    </row>
    <row r="110" spans="1:7" x14ac:dyDescent="0.2">
      <c r="A110" s="5" t="s">
        <v>59</v>
      </c>
      <c r="B110" s="16">
        <v>1</v>
      </c>
      <c r="C110" s="16">
        <v>0</v>
      </c>
      <c r="D110" s="16">
        <v>0</v>
      </c>
      <c r="E110" s="16">
        <v>0</v>
      </c>
      <c r="F110" s="16">
        <v>0</v>
      </c>
      <c r="G110" s="6"/>
    </row>
    <row r="111" spans="1:7" x14ac:dyDescent="0.2">
      <c r="A111" s="5" t="s">
        <v>135</v>
      </c>
      <c r="B111" s="16">
        <v>0</v>
      </c>
      <c r="C111" s="16">
        <v>1</v>
      </c>
      <c r="D111" s="16">
        <v>0</v>
      </c>
      <c r="E111" s="16">
        <v>0</v>
      </c>
      <c r="F111" s="16">
        <v>0</v>
      </c>
      <c r="G111" s="6"/>
    </row>
    <row r="112" spans="1:7" x14ac:dyDescent="0.2">
      <c r="A112" s="5" t="s">
        <v>136</v>
      </c>
      <c r="B112" s="16">
        <v>0</v>
      </c>
      <c r="C112" s="16">
        <v>0</v>
      </c>
      <c r="D112" s="16">
        <v>1</v>
      </c>
      <c r="E112" s="16">
        <v>0</v>
      </c>
      <c r="F112" s="16">
        <v>0</v>
      </c>
      <c r="G112" s="6"/>
    </row>
    <row r="113" spans="1:7" x14ac:dyDescent="0.2">
      <c r="A113" s="12" t="s">
        <v>137</v>
      </c>
      <c r="G113" s="6"/>
    </row>
    <row r="114" spans="1:7" x14ac:dyDescent="0.2">
      <c r="A114" s="5" t="s">
        <v>60</v>
      </c>
      <c r="B114" s="16">
        <v>1</v>
      </c>
      <c r="C114" s="16">
        <v>0</v>
      </c>
      <c r="D114" s="16">
        <v>0</v>
      </c>
      <c r="E114" s="16">
        <v>0</v>
      </c>
      <c r="F114" s="16">
        <v>0</v>
      </c>
      <c r="G114" s="6"/>
    </row>
    <row r="115" spans="1:7" x14ac:dyDescent="0.2">
      <c r="A115" s="5" t="s">
        <v>138</v>
      </c>
      <c r="B115" s="16">
        <v>0</v>
      </c>
      <c r="C115" s="16">
        <v>0</v>
      </c>
      <c r="D115" s="16">
        <v>0</v>
      </c>
      <c r="E115" s="16">
        <v>1</v>
      </c>
      <c r="F115" s="16">
        <v>0</v>
      </c>
      <c r="G115" s="6"/>
    </row>
    <row r="116" spans="1:7" x14ac:dyDescent="0.2">
      <c r="A116" s="12" t="s">
        <v>139</v>
      </c>
      <c r="G116" s="6"/>
    </row>
    <row r="117" spans="1:7" x14ac:dyDescent="0.2">
      <c r="A117" s="5" t="s">
        <v>73</v>
      </c>
      <c r="B117" s="16">
        <v>1</v>
      </c>
      <c r="C117" s="16">
        <v>0</v>
      </c>
      <c r="D117" s="16">
        <v>0</v>
      </c>
      <c r="E117" s="16">
        <v>0</v>
      </c>
      <c r="F117" s="16">
        <v>0</v>
      </c>
      <c r="G117" s="6"/>
    </row>
    <row r="118" spans="1:7" x14ac:dyDescent="0.2">
      <c r="A118" s="5" t="s">
        <v>140</v>
      </c>
      <c r="B118" s="16">
        <v>0</v>
      </c>
      <c r="C118" s="16">
        <v>0</v>
      </c>
      <c r="D118" s="16">
        <v>0</v>
      </c>
      <c r="E118" s="16">
        <v>0</v>
      </c>
      <c r="F118" s="16">
        <v>1</v>
      </c>
      <c r="G118" s="6"/>
    </row>
    <row r="119" spans="1:7" x14ac:dyDescent="0.2">
      <c r="A119" s="12" t="s">
        <v>141</v>
      </c>
      <c r="G119" s="6"/>
    </row>
    <row r="120" spans="1:7" x14ac:dyDescent="0.2">
      <c r="A120" s="5" t="s">
        <v>74</v>
      </c>
      <c r="B120" s="16">
        <v>1</v>
      </c>
      <c r="C120" s="16">
        <v>0</v>
      </c>
      <c r="D120" s="16">
        <v>0</v>
      </c>
      <c r="E120" s="16">
        <v>0</v>
      </c>
      <c r="F120" s="16">
        <v>0</v>
      </c>
      <c r="G120" s="6"/>
    </row>
    <row r="121" spans="1:7" x14ac:dyDescent="0.2">
      <c r="A121" s="12" t="s">
        <v>142</v>
      </c>
      <c r="G121" s="6"/>
    </row>
    <row r="122" spans="1:7" x14ac:dyDescent="0.2">
      <c r="A122" s="5" t="s">
        <v>96</v>
      </c>
      <c r="B122" s="16">
        <v>1</v>
      </c>
      <c r="C122" s="16">
        <v>0</v>
      </c>
      <c r="D122" s="16">
        <v>0</v>
      </c>
      <c r="E122" s="16">
        <v>0</v>
      </c>
      <c r="F122" s="16">
        <v>0</v>
      </c>
      <c r="G122" s="6"/>
    </row>
    <row r="123" spans="1:7" x14ac:dyDescent="0.2">
      <c r="A123" s="5" t="s">
        <v>143</v>
      </c>
      <c r="B123" s="16">
        <v>0</v>
      </c>
      <c r="C123" s="16">
        <v>1</v>
      </c>
      <c r="D123" s="16">
        <v>0</v>
      </c>
      <c r="E123" s="16">
        <v>0</v>
      </c>
      <c r="F123" s="16">
        <v>0</v>
      </c>
      <c r="G123" s="6"/>
    </row>
    <row r="124" spans="1:7" x14ac:dyDescent="0.2">
      <c r="A124" s="5" t="s">
        <v>144</v>
      </c>
      <c r="B124" s="16">
        <v>0</v>
      </c>
      <c r="C124" s="16">
        <v>0</v>
      </c>
      <c r="D124" s="16">
        <v>1</v>
      </c>
      <c r="E124" s="16">
        <v>0</v>
      </c>
      <c r="F124" s="16">
        <v>0</v>
      </c>
      <c r="G124" s="6"/>
    </row>
    <row r="125" spans="1:7" x14ac:dyDescent="0.2">
      <c r="A125" s="12" t="s">
        <v>145</v>
      </c>
      <c r="G125" s="6"/>
    </row>
    <row r="126" spans="1:7" x14ac:dyDescent="0.2">
      <c r="A126" s="5" t="s">
        <v>97</v>
      </c>
      <c r="B126" s="16">
        <v>1</v>
      </c>
      <c r="C126" s="16">
        <v>0</v>
      </c>
      <c r="D126" s="16">
        <v>0</v>
      </c>
      <c r="E126" s="16">
        <v>0</v>
      </c>
      <c r="F126" s="16">
        <v>0</v>
      </c>
      <c r="G126" s="6"/>
    </row>
    <row r="127" spans="1:7" x14ac:dyDescent="0.2">
      <c r="A127" s="5" t="s">
        <v>146</v>
      </c>
      <c r="B127" s="16">
        <v>0</v>
      </c>
      <c r="C127" s="16">
        <v>1</v>
      </c>
      <c r="D127" s="16">
        <v>0</v>
      </c>
      <c r="E127" s="16">
        <v>0</v>
      </c>
      <c r="F127" s="16">
        <v>0</v>
      </c>
      <c r="G127" s="6"/>
    </row>
    <row r="128" spans="1:7" x14ac:dyDescent="0.2">
      <c r="A128" s="5" t="s">
        <v>147</v>
      </c>
      <c r="B128" s="16">
        <v>0</v>
      </c>
      <c r="C128" s="16">
        <v>0</v>
      </c>
      <c r="D128" s="16">
        <v>1</v>
      </c>
      <c r="E128" s="16">
        <v>0</v>
      </c>
      <c r="F128" s="16">
        <v>0</v>
      </c>
      <c r="G128" s="6"/>
    </row>
    <row r="129" spans="1:7" x14ac:dyDescent="0.2">
      <c r="A129" s="12" t="s">
        <v>148</v>
      </c>
      <c r="G129" s="6"/>
    </row>
    <row r="130" spans="1:7" x14ac:dyDescent="0.2">
      <c r="A130" s="5" t="s">
        <v>98</v>
      </c>
      <c r="B130" s="16">
        <v>1</v>
      </c>
      <c r="C130" s="16">
        <v>0</v>
      </c>
      <c r="D130" s="16">
        <v>0</v>
      </c>
      <c r="E130" s="16">
        <v>0</v>
      </c>
      <c r="F130" s="16">
        <v>0</v>
      </c>
      <c r="G130" s="6"/>
    </row>
    <row r="131" spans="1:7" x14ac:dyDescent="0.2">
      <c r="A131" s="5" t="s">
        <v>149</v>
      </c>
      <c r="B131" s="16">
        <v>0</v>
      </c>
      <c r="C131" s="16">
        <v>1</v>
      </c>
      <c r="D131" s="16">
        <v>0</v>
      </c>
      <c r="E131" s="16">
        <v>0</v>
      </c>
      <c r="F131" s="16">
        <v>0</v>
      </c>
      <c r="G131" s="6"/>
    </row>
    <row r="132" spans="1:7" x14ac:dyDescent="0.2">
      <c r="A132" s="5" t="s">
        <v>150</v>
      </c>
      <c r="B132" s="16">
        <v>0</v>
      </c>
      <c r="C132" s="16">
        <v>0</v>
      </c>
      <c r="D132" s="16">
        <v>1</v>
      </c>
      <c r="E132" s="16">
        <v>0</v>
      </c>
      <c r="F132" s="16">
        <v>0</v>
      </c>
      <c r="G132" s="6"/>
    </row>
    <row r="133" spans="1:7" x14ac:dyDescent="0.2">
      <c r="A133" s="12" t="s">
        <v>151</v>
      </c>
      <c r="G133" s="6"/>
    </row>
    <row r="134" spans="1:7" x14ac:dyDescent="0.2">
      <c r="A134" s="5" t="s">
        <v>99</v>
      </c>
      <c r="B134" s="16">
        <v>1</v>
      </c>
      <c r="C134" s="16">
        <v>0</v>
      </c>
      <c r="D134" s="16">
        <v>0</v>
      </c>
      <c r="E134" s="16">
        <v>0</v>
      </c>
      <c r="F134" s="16">
        <v>0</v>
      </c>
      <c r="G134" s="6"/>
    </row>
    <row r="135" spans="1:7" x14ac:dyDescent="0.2">
      <c r="A135" s="5" t="s">
        <v>152</v>
      </c>
      <c r="B135" s="16">
        <v>0</v>
      </c>
      <c r="C135" s="16">
        <v>1</v>
      </c>
      <c r="D135" s="16">
        <v>0</v>
      </c>
      <c r="E135" s="16">
        <v>0</v>
      </c>
      <c r="F135" s="16">
        <v>0</v>
      </c>
      <c r="G135" s="6"/>
    </row>
    <row r="136" spans="1:7" x14ac:dyDescent="0.2">
      <c r="A136" s="5" t="s">
        <v>153</v>
      </c>
      <c r="B136" s="16">
        <v>0</v>
      </c>
      <c r="C136" s="16">
        <v>0</v>
      </c>
      <c r="D136" s="16">
        <v>1</v>
      </c>
      <c r="E136" s="16">
        <v>0</v>
      </c>
      <c r="F136" s="16">
        <v>0</v>
      </c>
      <c r="G136" s="6"/>
    </row>
    <row r="137" spans="1:7" x14ac:dyDescent="0.2">
      <c r="A137" s="12" t="s">
        <v>154</v>
      </c>
      <c r="G137" s="6"/>
    </row>
    <row r="138" spans="1:7" x14ac:dyDescent="0.2">
      <c r="A138" s="5" t="s">
        <v>100</v>
      </c>
      <c r="B138" s="16">
        <v>1</v>
      </c>
      <c r="C138" s="16">
        <v>0</v>
      </c>
      <c r="D138" s="16">
        <v>0</v>
      </c>
      <c r="E138" s="16">
        <v>0</v>
      </c>
      <c r="F138" s="16">
        <v>0</v>
      </c>
      <c r="G138" s="6"/>
    </row>
    <row r="139" spans="1:7" x14ac:dyDescent="0.2">
      <c r="A139" s="5" t="s">
        <v>155</v>
      </c>
      <c r="B139" s="16">
        <v>0</v>
      </c>
      <c r="C139" s="16">
        <v>1</v>
      </c>
      <c r="D139" s="16">
        <v>0</v>
      </c>
      <c r="E139" s="16">
        <v>0</v>
      </c>
      <c r="F139" s="16">
        <v>0</v>
      </c>
      <c r="G139" s="6"/>
    </row>
    <row r="140" spans="1:7" x14ac:dyDescent="0.2">
      <c r="A140" s="5" t="s">
        <v>156</v>
      </c>
      <c r="B140" s="16">
        <v>0</v>
      </c>
      <c r="C140" s="16">
        <v>0</v>
      </c>
      <c r="D140" s="16">
        <v>1</v>
      </c>
      <c r="E140" s="16">
        <v>0</v>
      </c>
      <c r="F140" s="16">
        <v>0</v>
      </c>
      <c r="G140" s="6"/>
    </row>
    <row r="141" spans="1:7" x14ac:dyDescent="0.2">
      <c r="A141" s="12" t="s">
        <v>157</v>
      </c>
      <c r="G141" s="6"/>
    </row>
    <row r="142" spans="1:7" x14ac:dyDescent="0.2">
      <c r="A142" s="5" t="s">
        <v>61</v>
      </c>
      <c r="B142" s="16">
        <v>1</v>
      </c>
      <c r="C142" s="16">
        <v>0</v>
      </c>
      <c r="D142" s="16">
        <v>0</v>
      </c>
      <c r="E142" s="16">
        <v>0</v>
      </c>
      <c r="F142" s="16">
        <v>0</v>
      </c>
      <c r="G142" s="6"/>
    </row>
    <row r="143" spans="1:7" x14ac:dyDescent="0.2">
      <c r="A143" s="5" t="s">
        <v>158</v>
      </c>
      <c r="B143" s="16">
        <v>1</v>
      </c>
      <c r="C143" s="16">
        <v>0</v>
      </c>
      <c r="D143" s="16">
        <v>0</v>
      </c>
      <c r="E143" s="16">
        <v>0</v>
      </c>
      <c r="F143" s="16">
        <v>0</v>
      </c>
      <c r="G143" s="6"/>
    </row>
    <row r="144" spans="1:7" x14ac:dyDescent="0.2">
      <c r="A144" s="5" t="s">
        <v>159</v>
      </c>
      <c r="B144" s="16">
        <v>1</v>
      </c>
      <c r="C144" s="16">
        <v>0</v>
      </c>
      <c r="D144" s="16">
        <v>0</v>
      </c>
      <c r="E144" s="16">
        <v>0</v>
      </c>
      <c r="F144" s="16">
        <v>0</v>
      </c>
      <c r="G144" s="6"/>
    </row>
    <row r="145" spans="1:7" x14ac:dyDescent="0.2">
      <c r="A145" s="12" t="s">
        <v>160</v>
      </c>
      <c r="G145" s="6"/>
    </row>
    <row r="146" spans="1:7" x14ac:dyDescent="0.2">
      <c r="A146" s="5" t="s">
        <v>62</v>
      </c>
      <c r="B146" s="16">
        <v>1</v>
      </c>
      <c r="C146" s="16">
        <v>0</v>
      </c>
      <c r="D146" s="16">
        <v>0</v>
      </c>
      <c r="E146" s="16">
        <v>0</v>
      </c>
      <c r="F146" s="16">
        <v>0</v>
      </c>
      <c r="G146" s="6"/>
    </row>
    <row r="147" spans="1:7" x14ac:dyDescent="0.2">
      <c r="A147" s="5" t="s">
        <v>161</v>
      </c>
      <c r="B147" s="16">
        <v>1</v>
      </c>
      <c r="C147" s="16">
        <v>0</v>
      </c>
      <c r="D147" s="16">
        <v>0</v>
      </c>
      <c r="E147" s="16">
        <v>0</v>
      </c>
      <c r="F147" s="16">
        <v>0</v>
      </c>
      <c r="G147" s="6"/>
    </row>
    <row r="148" spans="1:7" x14ac:dyDescent="0.2">
      <c r="A148" s="12" t="s">
        <v>162</v>
      </c>
      <c r="G148" s="6"/>
    </row>
    <row r="149" spans="1:7" x14ac:dyDescent="0.2">
      <c r="A149" s="5" t="s">
        <v>63</v>
      </c>
      <c r="B149" s="16">
        <v>1</v>
      </c>
      <c r="C149" s="16">
        <v>0</v>
      </c>
      <c r="D149" s="16">
        <v>0</v>
      </c>
      <c r="E149" s="16">
        <v>0</v>
      </c>
      <c r="F149" s="16">
        <v>0</v>
      </c>
      <c r="G149" s="6"/>
    </row>
    <row r="150" spans="1:7" x14ac:dyDescent="0.2">
      <c r="A150" s="5" t="s">
        <v>163</v>
      </c>
      <c r="B150" s="16">
        <v>1</v>
      </c>
      <c r="C150" s="16">
        <v>0</v>
      </c>
      <c r="D150" s="16">
        <v>0</v>
      </c>
      <c r="E150" s="16">
        <v>0</v>
      </c>
      <c r="F150" s="16">
        <v>0</v>
      </c>
      <c r="G150" s="6"/>
    </row>
    <row r="151" spans="1:7" x14ac:dyDescent="0.2">
      <c r="A151" s="5" t="s">
        <v>164</v>
      </c>
      <c r="B151" s="16">
        <v>1</v>
      </c>
      <c r="C151" s="16">
        <v>0</v>
      </c>
      <c r="D151" s="16">
        <v>0</v>
      </c>
      <c r="E151" s="16">
        <v>0</v>
      </c>
      <c r="F151" s="16">
        <v>0</v>
      </c>
      <c r="G151" s="6"/>
    </row>
    <row r="152" spans="1:7" x14ac:dyDescent="0.2">
      <c r="A152" s="12" t="s">
        <v>165</v>
      </c>
      <c r="G152" s="6"/>
    </row>
    <row r="153" spans="1:7" x14ac:dyDescent="0.2">
      <c r="A153" s="5" t="s">
        <v>64</v>
      </c>
      <c r="B153" s="16">
        <v>1</v>
      </c>
      <c r="C153" s="16">
        <v>0</v>
      </c>
      <c r="D153" s="16">
        <v>0</v>
      </c>
      <c r="E153" s="16">
        <v>0</v>
      </c>
      <c r="F153" s="16">
        <v>0</v>
      </c>
      <c r="G153" s="6"/>
    </row>
    <row r="154" spans="1:7" x14ac:dyDescent="0.2">
      <c r="A154" s="5" t="s">
        <v>166</v>
      </c>
      <c r="B154" s="16">
        <v>1</v>
      </c>
      <c r="C154" s="16">
        <v>0</v>
      </c>
      <c r="D154" s="16">
        <v>0</v>
      </c>
      <c r="E154" s="16">
        <v>0</v>
      </c>
      <c r="F154" s="16">
        <v>0</v>
      </c>
      <c r="G154" s="6"/>
    </row>
    <row r="155" spans="1:7" x14ac:dyDescent="0.2">
      <c r="A155" s="5" t="s">
        <v>167</v>
      </c>
      <c r="B155" s="16">
        <v>1</v>
      </c>
      <c r="C155" s="16">
        <v>0</v>
      </c>
      <c r="D155" s="16">
        <v>0</v>
      </c>
      <c r="E155" s="16">
        <v>0</v>
      </c>
      <c r="F155" s="16">
        <v>0</v>
      </c>
      <c r="G155" s="6"/>
    </row>
    <row r="156" spans="1:7" x14ac:dyDescent="0.2">
      <c r="A156" s="12" t="s">
        <v>168</v>
      </c>
      <c r="G156" s="6"/>
    </row>
    <row r="157" spans="1:7" x14ac:dyDescent="0.2">
      <c r="A157" s="5" t="s">
        <v>65</v>
      </c>
      <c r="B157" s="16">
        <v>1</v>
      </c>
      <c r="C157" s="16">
        <v>0</v>
      </c>
      <c r="D157" s="16">
        <v>0</v>
      </c>
      <c r="E157" s="16">
        <v>0</v>
      </c>
      <c r="F157" s="16">
        <v>0</v>
      </c>
      <c r="G157" s="6"/>
    </row>
    <row r="158" spans="1:7" x14ac:dyDescent="0.2">
      <c r="A158" s="5" t="s">
        <v>169</v>
      </c>
      <c r="B158" s="16">
        <v>1</v>
      </c>
      <c r="C158" s="16">
        <v>0</v>
      </c>
      <c r="D158" s="16">
        <v>0</v>
      </c>
      <c r="E158" s="16">
        <v>0</v>
      </c>
      <c r="F158" s="16">
        <v>0</v>
      </c>
      <c r="G158" s="6"/>
    </row>
    <row r="159" spans="1:7" x14ac:dyDescent="0.2">
      <c r="A159" s="12" t="s">
        <v>170</v>
      </c>
      <c r="G159" s="6"/>
    </row>
    <row r="160" spans="1:7" x14ac:dyDescent="0.2">
      <c r="A160" s="5" t="s">
        <v>66</v>
      </c>
      <c r="B160" s="16">
        <v>1</v>
      </c>
      <c r="C160" s="16">
        <v>0</v>
      </c>
      <c r="D160" s="16">
        <v>0</v>
      </c>
      <c r="E160" s="16">
        <v>0</v>
      </c>
      <c r="F160" s="16">
        <v>0</v>
      </c>
      <c r="G160" s="6"/>
    </row>
    <row r="161" spans="1:7" x14ac:dyDescent="0.2">
      <c r="A161" s="5" t="s">
        <v>171</v>
      </c>
      <c r="B161" s="16">
        <v>1</v>
      </c>
      <c r="C161" s="16">
        <v>0</v>
      </c>
      <c r="D161" s="16">
        <v>0</v>
      </c>
      <c r="E161" s="16">
        <v>0</v>
      </c>
      <c r="F161" s="16">
        <v>0</v>
      </c>
      <c r="G161" s="6"/>
    </row>
    <row r="162" spans="1:7" x14ac:dyDescent="0.2">
      <c r="A162" s="12" t="s">
        <v>172</v>
      </c>
      <c r="G162" s="6"/>
    </row>
    <row r="163" spans="1:7" x14ac:dyDescent="0.2">
      <c r="A163" s="5" t="s">
        <v>75</v>
      </c>
      <c r="B163" s="16">
        <v>1</v>
      </c>
      <c r="C163" s="16">
        <v>0</v>
      </c>
      <c r="D163" s="16">
        <v>0</v>
      </c>
      <c r="E163" s="16">
        <v>0</v>
      </c>
      <c r="F163" s="16">
        <v>0</v>
      </c>
      <c r="G163" s="6"/>
    </row>
    <row r="164" spans="1:7" x14ac:dyDescent="0.2">
      <c r="A164" s="5" t="s">
        <v>173</v>
      </c>
      <c r="B164" s="16">
        <v>1</v>
      </c>
      <c r="C164" s="16">
        <v>0</v>
      </c>
      <c r="D164" s="16">
        <v>0</v>
      </c>
      <c r="E164" s="16">
        <v>0</v>
      </c>
      <c r="F164" s="16">
        <v>0</v>
      </c>
      <c r="G164" s="6"/>
    </row>
    <row r="165" spans="1:7" x14ac:dyDescent="0.2">
      <c r="A165" s="12" t="s">
        <v>174</v>
      </c>
      <c r="G165" s="6"/>
    </row>
    <row r="166" spans="1:7" x14ac:dyDescent="0.2">
      <c r="A166" s="5" t="s">
        <v>76</v>
      </c>
      <c r="B166" s="16">
        <v>1</v>
      </c>
      <c r="C166" s="16">
        <v>0</v>
      </c>
      <c r="D166" s="16">
        <v>0</v>
      </c>
      <c r="E166" s="16">
        <v>0</v>
      </c>
      <c r="F166" s="16">
        <v>0</v>
      </c>
      <c r="G166" s="6"/>
    </row>
    <row r="167" spans="1:7" x14ac:dyDescent="0.2">
      <c r="A167" s="5" t="s">
        <v>175</v>
      </c>
      <c r="B167" s="16">
        <v>1</v>
      </c>
      <c r="C167" s="16">
        <v>0</v>
      </c>
      <c r="D167" s="16">
        <v>0</v>
      </c>
      <c r="E167" s="16">
        <v>0</v>
      </c>
      <c r="F167" s="16">
        <v>0</v>
      </c>
      <c r="G167" s="6"/>
    </row>
    <row r="168" spans="1:7" x14ac:dyDescent="0.2">
      <c r="A168" s="12" t="s">
        <v>176</v>
      </c>
      <c r="G168" s="6"/>
    </row>
    <row r="169" spans="1:7" x14ac:dyDescent="0.2">
      <c r="A169" s="5" t="s">
        <v>77</v>
      </c>
      <c r="B169" s="16">
        <v>1</v>
      </c>
      <c r="C169" s="16">
        <v>0</v>
      </c>
      <c r="D169" s="16">
        <v>0</v>
      </c>
      <c r="E169" s="16">
        <v>0</v>
      </c>
      <c r="F169" s="16">
        <v>0</v>
      </c>
      <c r="G169" s="6"/>
    </row>
    <row r="170" spans="1:7" x14ac:dyDescent="0.2">
      <c r="A170" s="12" t="s">
        <v>177</v>
      </c>
      <c r="G170" s="6"/>
    </row>
    <row r="171" spans="1:7" x14ac:dyDescent="0.2">
      <c r="A171" s="5" t="s">
        <v>78</v>
      </c>
      <c r="B171" s="16">
        <v>1</v>
      </c>
      <c r="C171" s="16">
        <v>0</v>
      </c>
      <c r="D171" s="16">
        <v>0</v>
      </c>
      <c r="E171" s="16">
        <v>0</v>
      </c>
      <c r="F171" s="16">
        <v>0</v>
      </c>
      <c r="G171" s="6"/>
    </row>
    <row r="173" spans="1:7" ht="16.5" x14ac:dyDescent="0.25">
      <c r="A173" s="3" t="s">
        <v>393</v>
      </c>
    </row>
    <row r="174" spans="1:7" x14ac:dyDescent="0.2">
      <c r="A174" s="10" t="s">
        <v>238</v>
      </c>
    </row>
    <row r="175" spans="1:7" x14ac:dyDescent="0.2">
      <c r="A175" s="11" t="s">
        <v>394</v>
      </c>
    </row>
    <row r="176" spans="1:7" x14ac:dyDescent="0.2">
      <c r="A176" s="11" t="s">
        <v>395</v>
      </c>
    </row>
    <row r="177" spans="1:10" x14ac:dyDescent="0.2">
      <c r="A177" s="10" t="s">
        <v>396</v>
      </c>
    </row>
    <row r="178" spans="1:10" x14ac:dyDescent="0.2">
      <c r="A178" s="11" t="s">
        <v>397</v>
      </c>
    </row>
    <row r="179" spans="1:10" x14ac:dyDescent="0.2">
      <c r="A179" s="11" t="s">
        <v>398</v>
      </c>
    </row>
    <row r="180" spans="1:10" x14ac:dyDescent="0.2">
      <c r="A180" s="11" t="s">
        <v>399</v>
      </c>
    </row>
    <row r="181" spans="1:10" x14ac:dyDescent="0.2">
      <c r="A181" s="11" t="s">
        <v>400</v>
      </c>
    </row>
    <row r="182" spans="1:10" x14ac:dyDescent="0.2">
      <c r="A182" s="11" t="s">
        <v>401</v>
      </c>
    </row>
    <row r="183" spans="1:10" x14ac:dyDescent="0.2">
      <c r="A183" s="11" t="s">
        <v>402</v>
      </c>
    </row>
    <row r="184" spans="1:10" x14ac:dyDescent="0.2">
      <c r="A184" s="11" t="s">
        <v>403</v>
      </c>
    </row>
    <row r="185" spans="1:10" x14ac:dyDescent="0.2">
      <c r="A185" s="11" t="s">
        <v>404</v>
      </c>
    </row>
    <row r="186" spans="1:10" ht="25.5" x14ac:dyDescent="0.2">
      <c r="A186" s="18" t="s">
        <v>241</v>
      </c>
      <c r="B186" s="18" t="s">
        <v>243</v>
      </c>
      <c r="C186" s="18" t="s">
        <v>405</v>
      </c>
      <c r="D186" s="18" t="s">
        <v>371</v>
      </c>
      <c r="E186" s="18" t="s">
        <v>371</v>
      </c>
      <c r="F186" s="18" t="s">
        <v>371</v>
      </c>
      <c r="G186" s="18" t="s">
        <v>371</v>
      </c>
      <c r="H186" s="18" t="s">
        <v>371</v>
      </c>
      <c r="I186" s="18" t="s">
        <v>371</v>
      </c>
    </row>
    <row r="187" spans="1:10" ht="25.5" x14ac:dyDescent="0.2">
      <c r="A187" s="18" t="s">
        <v>244</v>
      </c>
      <c r="B187" s="18" t="s">
        <v>246</v>
      </c>
      <c r="C187" s="18" t="s">
        <v>406</v>
      </c>
      <c r="D187" s="18" t="s">
        <v>407</v>
      </c>
      <c r="E187" s="18" t="s">
        <v>408</v>
      </c>
      <c r="F187" s="18" t="s">
        <v>409</v>
      </c>
      <c r="G187" s="18" t="s">
        <v>410</v>
      </c>
      <c r="H187" s="18" t="s">
        <v>411</v>
      </c>
      <c r="I187" s="18" t="s">
        <v>412</v>
      </c>
    </row>
    <row r="189" spans="1:10" ht="38.25" x14ac:dyDescent="0.2">
      <c r="B189" s="4" t="s">
        <v>413</v>
      </c>
      <c r="C189" s="4" t="s">
        <v>414</v>
      </c>
      <c r="D189" s="4" t="s">
        <v>105</v>
      </c>
      <c r="E189" s="4" t="s">
        <v>106</v>
      </c>
      <c r="F189" s="4" t="s">
        <v>107</v>
      </c>
      <c r="G189" s="4" t="s">
        <v>108</v>
      </c>
      <c r="H189" s="4" t="s">
        <v>109</v>
      </c>
      <c r="I189" s="4" t="s">
        <v>110</v>
      </c>
    </row>
    <row r="190" spans="1:10" x14ac:dyDescent="0.2">
      <c r="A190" s="12" t="s">
        <v>111</v>
      </c>
      <c r="J190" s="6"/>
    </row>
    <row r="191" spans="1:10" x14ac:dyDescent="0.2">
      <c r="A191" s="5" t="s">
        <v>53</v>
      </c>
      <c r="B191" s="22">
        <f>SUMPRODUCT($B78:$F78,Input!$B$111:$F$111)</f>
        <v>0</v>
      </c>
      <c r="C191" s="24">
        <f>B191</f>
        <v>0</v>
      </c>
      <c r="D191" s="17">
        <f>Input!B143*(1-B191)</f>
        <v>7399575.6676649665</v>
      </c>
      <c r="E191" s="17">
        <f>Input!C143*(1-B191)</f>
        <v>0</v>
      </c>
      <c r="F191" s="17">
        <f>Input!D143*(1-B191)</f>
        <v>0</v>
      </c>
      <c r="G191" s="17">
        <f>Input!E143*(1-C191)</f>
        <v>1966268.3959221658</v>
      </c>
      <c r="H191" s="17">
        <f>Input!F143*(1-B191)</f>
        <v>0</v>
      </c>
      <c r="I191" s="17">
        <f>Input!G143*(1-B191)</f>
        <v>0</v>
      </c>
      <c r="J191" s="6"/>
    </row>
    <row r="192" spans="1:10" x14ac:dyDescent="0.2">
      <c r="A192" s="5" t="s">
        <v>112</v>
      </c>
      <c r="B192" s="22">
        <f>SUMPRODUCT($B79:$F79,Input!$B$111:$F$111)</f>
        <v>0.32548614019019362</v>
      </c>
      <c r="C192" s="24">
        <f>B192</f>
        <v>0.32548614019019362</v>
      </c>
      <c r="D192" s="17">
        <f>Input!B144*(1-B192)</f>
        <v>18002.493599219371</v>
      </c>
      <c r="E192" s="17">
        <f>Input!C144*(1-B192)</f>
        <v>0</v>
      </c>
      <c r="F192" s="17">
        <f>Input!D144*(1-B192)</f>
        <v>0</v>
      </c>
      <c r="G192" s="17">
        <f>Input!E144*(1-C192)</f>
        <v>6338.940317435211</v>
      </c>
      <c r="H192" s="17">
        <f>Input!F144*(1-B192)</f>
        <v>0</v>
      </c>
      <c r="I192" s="17">
        <f>Input!G144*(1-B192)</f>
        <v>0</v>
      </c>
      <c r="J192" s="6"/>
    </row>
    <row r="193" spans="1:10" x14ac:dyDescent="0.2">
      <c r="A193" s="5" t="s">
        <v>113</v>
      </c>
      <c r="B193" s="22">
        <f>SUMPRODUCT($B80:$F80,Input!$B$111:$F$111)</f>
        <v>0.5477577362844599</v>
      </c>
      <c r="C193" s="24">
        <f>B193</f>
        <v>0.5477577362844599</v>
      </c>
      <c r="D193" s="17">
        <f>Input!B145*(1-B193)</f>
        <v>7063.9468576868094</v>
      </c>
      <c r="E193" s="17">
        <f>Input!C145*(1-B193)</f>
        <v>0</v>
      </c>
      <c r="F193" s="17">
        <f>Input!D145*(1-B193)</f>
        <v>0</v>
      </c>
      <c r="G193" s="17">
        <f>Input!E145*(1-C193)</f>
        <v>2382.5453367434043</v>
      </c>
      <c r="H193" s="17">
        <f>Input!F145*(1-B193)</f>
        <v>0</v>
      </c>
      <c r="I193" s="17">
        <f>Input!G145*(1-B193)</f>
        <v>0</v>
      </c>
      <c r="J193" s="6"/>
    </row>
    <row r="194" spans="1:10" x14ac:dyDescent="0.2">
      <c r="A194" s="12" t="s">
        <v>114</v>
      </c>
      <c r="J194" s="6"/>
    </row>
    <row r="195" spans="1:10" x14ac:dyDescent="0.2">
      <c r="A195" s="5" t="s">
        <v>54</v>
      </c>
      <c r="B195" s="22">
        <f>SUMPRODUCT($B82:$F82,Input!$B$111:$F$111)</f>
        <v>0</v>
      </c>
      <c r="C195" s="24">
        <f>B195</f>
        <v>0</v>
      </c>
      <c r="D195" s="17">
        <f>Input!B147*(1-B195)</f>
        <v>672421.39150304359</v>
      </c>
      <c r="E195" s="17">
        <f>Input!C147*(1-B195)</f>
        <v>550720.33864968794</v>
      </c>
      <c r="F195" s="17">
        <f>Input!D147*(1-B195)</f>
        <v>0</v>
      </c>
      <c r="G195" s="17">
        <f>Input!E147*(1-C195)</f>
        <v>193198.50471492525</v>
      </c>
      <c r="H195" s="17">
        <f>Input!F147*(1-B195)</f>
        <v>0</v>
      </c>
      <c r="I195" s="17">
        <f>Input!G147*(1-B195)</f>
        <v>0</v>
      </c>
      <c r="J195" s="6"/>
    </row>
    <row r="196" spans="1:10" x14ac:dyDescent="0.2">
      <c r="A196" s="5" t="s">
        <v>115</v>
      </c>
      <c r="B196" s="22">
        <f>SUMPRODUCT($B83:$F83,Input!$B$111:$F$111)</f>
        <v>0.32548614019019362</v>
      </c>
      <c r="C196" s="24">
        <f>B196</f>
        <v>0.32548614019019362</v>
      </c>
      <c r="D196" s="17">
        <f>Input!B148*(1-B196)</f>
        <v>138.41134408217044</v>
      </c>
      <c r="E196" s="17">
        <f>Input!C148*(1-B196)</f>
        <v>60.747016125187578</v>
      </c>
      <c r="F196" s="17">
        <f>Input!D148*(1-B196)</f>
        <v>0</v>
      </c>
      <c r="G196" s="17">
        <f>Input!E148*(1-C196)</f>
        <v>68.583456983214191</v>
      </c>
      <c r="H196" s="17">
        <f>Input!F148*(1-B196)</f>
        <v>0</v>
      </c>
      <c r="I196" s="17">
        <f>Input!G148*(1-B196)</f>
        <v>0</v>
      </c>
      <c r="J196" s="6"/>
    </row>
    <row r="197" spans="1:10" x14ac:dyDescent="0.2">
      <c r="A197" s="5" t="s">
        <v>116</v>
      </c>
      <c r="B197" s="22">
        <f>SUMPRODUCT($B84:$F84,Input!$B$111:$F$111)</f>
        <v>0.5477577362844599</v>
      </c>
      <c r="C197" s="24">
        <f>B197</f>
        <v>0.5477577362844599</v>
      </c>
      <c r="D197" s="17">
        <f>Input!B149*(1-B197)</f>
        <v>777.44605713280987</v>
      </c>
      <c r="E197" s="17">
        <f>Input!C149*(1-B197)</f>
        <v>442.26369693219118</v>
      </c>
      <c r="F197" s="17">
        <f>Input!D149*(1-B197)</f>
        <v>0</v>
      </c>
      <c r="G197" s="17">
        <f>Input!E149*(1-C197)</f>
        <v>313.29919379204313</v>
      </c>
      <c r="H197" s="17">
        <f>Input!F149*(1-B197)</f>
        <v>0</v>
      </c>
      <c r="I197" s="17">
        <f>Input!G149*(1-B197)</f>
        <v>0</v>
      </c>
      <c r="J197" s="6"/>
    </row>
    <row r="198" spans="1:10" x14ac:dyDescent="0.2">
      <c r="A198" s="12" t="s">
        <v>117</v>
      </c>
      <c r="J198" s="6"/>
    </row>
    <row r="199" spans="1:10" x14ac:dyDescent="0.2">
      <c r="A199" s="5" t="s">
        <v>94</v>
      </c>
      <c r="B199" s="22">
        <f>SUMPRODUCT($B86:$F86,Input!$B$111:$F$111)</f>
        <v>0</v>
      </c>
      <c r="C199" s="24">
        <f>B199</f>
        <v>0</v>
      </c>
      <c r="D199" s="17">
        <f>Input!B151*(1-B199)</f>
        <v>29089.73821783829</v>
      </c>
      <c r="E199" s="17">
        <f>Input!C151*(1-B199)</f>
        <v>0</v>
      </c>
      <c r="F199" s="17">
        <f>Input!D151*(1-B199)</f>
        <v>0</v>
      </c>
      <c r="G199" s="17">
        <f>Input!E151*(1-C199)</f>
        <v>7812.8718610241485</v>
      </c>
      <c r="H199" s="17">
        <f>Input!F151*(1-B199)</f>
        <v>0</v>
      </c>
      <c r="I199" s="17">
        <f>Input!G151*(1-B199)</f>
        <v>0</v>
      </c>
      <c r="J199" s="6"/>
    </row>
    <row r="200" spans="1:10" x14ac:dyDescent="0.2">
      <c r="A200" s="5" t="s">
        <v>118</v>
      </c>
      <c r="B200" s="22">
        <f>SUMPRODUCT($B87:$F87,Input!$B$111:$F$111)</f>
        <v>0.32548614019019362</v>
      </c>
      <c r="C200" s="24">
        <f>B200</f>
        <v>0.32548614019019362</v>
      </c>
      <c r="D200" s="17">
        <f>Input!B152*(1-B200)</f>
        <v>0</v>
      </c>
      <c r="E200" s="17">
        <f>Input!C152*(1-B200)</f>
        <v>0</v>
      </c>
      <c r="F200" s="17">
        <f>Input!D152*(1-B200)</f>
        <v>0</v>
      </c>
      <c r="G200" s="17">
        <f>Input!E152*(1-C200)</f>
        <v>0</v>
      </c>
      <c r="H200" s="17">
        <f>Input!F152*(1-B200)</f>
        <v>0</v>
      </c>
      <c r="I200" s="17">
        <f>Input!G152*(1-B200)</f>
        <v>0</v>
      </c>
      <c r="J200" s="6"/>
    </row>
    <row r="201" spans="1:10" x14ac:dyDescent="0.2">
      <c r="A201" s="5" t="s">
        <v>119</v>
      </c>
      <c r="B201" s="22">
        <f>SUMPRODUCT($B88:$F88,Input!$B$111:$F$111)</f>
        <v>0.5477577362844599</v>
      </c>
      <c r="C201" s="24">
        <f>B201</f>
        <v>0.5477577362844599</v>
      </c>
      <c r="D201" s="17">
        <f>Input!B153*(1-B201)</f>
        <v>0</v>
      </c>
      <c r="E201" s="17">
        <f>Input!C153*(1-B201)</f>
        <v>0</v>
      </c>
      <c r="F201" s="17">
        <f>Input!D153*(1-B201)</f>
        <v>0</v>
      </c>
      <c r="G201" s="17">
        <f>Input!E153*(1-C201)</f>
        <v>0</v>
      </c>
      <c r="H201" s="17">
        <f>Input!F153*(1-B201)</f>
        <v>0</v>
      </c>
      <c r="I201" s="17">
        <f>Input!G153*(1-B201)</f>
        <v>0</v>
      </c>
      <c r="J201" s="6"/>
    </row>
    <row r="202" spans="1:10" x14ac:dyDescent="0.2">
      <c r="A202" s="12" t="s">
        <v>120</v>
      </c>
      <c r="J202" s="6"/>
    </row>
    <row r="203" spans="1:10" x14ac:dyDescent="0.2">
      <c r="A203" s="5" t="s">
        <v>55</v>
      </c>
      <c r="B203" s="22">
        <f>SUMPRODUCT($B90:$F90,Input!$B$111:$F$111)</f>
        <v>0</v>
      </c>
      <c r="C203" s="24">
        <f>B203</f>
        <v>0</v>
      </c>
      <c r="D203" s="17">
        <f>Input!B155*(1-B203)</f>
        <v>1773367.1718367361</v>
      </c>
      <c r="E203" s="17">
        <f>Input!C155*(1-B203)</f>
        <v>0</v>
      </c>
      <c r="F203" s="17">
        <f>Input!D155*(1-B203)</f>
        <v>0</v>
      </c>
      <c r="G203" s="17">
        <f>Input!E155*(1-C203)</f>
        <v>119240.62499606305</v>
      </c>
      <c r="H203" s="17">
        <f>Input!F155*(1-B203)</f>
        <v>0</v>
      </c>
      <c r="I203" s="17">
        <f>Input!G155*(1-B203)</f>
        <v>0</v>
      </c>
      <c r="J203" s="6"/>
    </row>
    <row r="204" spans="1:10" x14ac:dyDescent="0.2">
      <c r="A204" s="5" t="s">
        <v>121</v>
      </c>
      <c r="B204" s="22">
        <f>SUMPRODUCT($B91:$F91,Input!$B$111:$F$111)</f>
        <v>0.32548614019019362</v>
      </c>
      <c r="C204" s="24">
        <f>B204</f>
        <v>0.32548614019019362</v>
      </c>
      <c r="D204" s="17">
        <f>Input!B156*(1-B204)</f>
        <v>1394.885053797884</v>
      </c>
      <c r="E204" s="17">
        <f>Input!C156*(1-B204)</f>
        <v>0</v>
      </c>
      <c r="F204" s="17">
        <f>Input!D156*(1-B204)</f>
        <v>0</v>
      </c>
      <c r="G204" s="17">
        <f>Input!E156*(1-C204)</f>
        <v>189.29034127367117</v>
      </c>
      <c r="H204" s="17">
        <f>Input!F156*(1-B204)</f>
        <v>0</v>
      </c>
      <c r="I204" s="17">
        <f>Input!G156*(1-B204)</f>
        <v>0</v>
      </c>
      <c r="J204" s="6"/>
    </row>
    <row r="205" spans="1:10" x14ac:dyDescent="0.2">
      <c r="A205" s="5" t="s">
        <v>122</v>
      </c>
      <c r="B205" s="22">
        <f>SUMPRODUCT($B92:$F92,Input!$B$111:$F$111)</f>
        <v>0.5477577362844599</v>
      </c>
      <c r="C205" s="24">
        <f>B205</f>
        <v>0.5477577362844599</v>
      </c>
      <c r="D205" s="17">
        <f>Input!B157*(1-B205)</f>
        <v>967.18314819500449</v>
      </c>
      <c r="E205" s="17">
        <f>Input!C157*(1-B205)</f>
        <v>0</v>
      </c>
      <c r="F205" s="17">
        <f>Input!D157*(1-B205)</f>
        <v>0</v>
      </c>
      <c r="G205" s="17">
        <f>Input!E157*(1-C205)</f>
        <v>104.84180457620229</v>
      </c>
      <c r="H205" s="17">
        <f>Input!F157*(1-B205)</f>
        <v>0</v>
      </c>
      <c r="I205" s="17">
        <f>Input!G157*(1-B205)</f>
        <v>0</v>
      </c>
      <c r="J205" s="6"/>
    </row>
    <row r="206" spans="1:10" x14ac:dyDescent="0.2">
      <c r="A206" s="12" t="s">
        <v>123</v>
      </c>
      <c r="J206" s="6"/>
    </row>
    <row r="207" spans="1:10" x14ac:dyDescent="0.2">
      <c r="A207" s="5" t="s">
        <v>56</v>
      </c>
      <c r="B207" s="22">
        <f>SUMPRODUCT($B94:$F94,Input!$B$111:$F$111)</f>
        <v>0</v>
      </c>
      <c r="C207" s="24">
        <f>B207</f>
        <v>0</v>
      </c>
      <c r="D207" s="17">
        <f>Input!B159*(1-B207)</f>
        <v>580219.88067205786</v>
      </c>
      <c r="E207" s="17">
        <f>Input!C159*(1-B207)</f>
        <v>225877.39922975076</v>
      </c>
      <c r="F207" s="17">
        <f>Input!D159*(1-B207)</f>
        <v>0</v>
      </c>
      <c r="G207" s="17">
        <f>Input!E159*(1-C207)</f>
        <v>30821.313864052241</v>
      </c>
      <c r="H207" s="17">
        <f>Input!F159*(1-B207)</f>
        <v>0</v>
      </c>
      <c r="I207" s="17">
        <f>Input!G159*(1-B207)</f>
        <v>0</v>
      </c>
      <c r="J207" s="6"/>
    </row>
    <row r="208" spans="1:10" x14ac:dyDescent="0.2">
      <c r="A208" s="5" t="s">
        <v>124</v>
      </c>
      <c r="B208" s="22">
        <f>SUMPRODUCT($B95:$F95,Input!$B$111:$F$111)</f>
        <v>0.32548614019019362</v>
      </c>
      <c r="C208" s="24">
        <f>B208</f>
        <v>0.32548614019019362</v>
      </c>
      <c r="D208" s="17">
        <f>Input!B160*(1-B208)</f>
        <v>14.987074285085534</v>
      </c>
      <c r="E208" s="17">
        <f>Input!C160*(1-B208)</f>
        <v>5.0474602514536802</v>
      </c>
      <c r="F208" s="17">
        <f>Input!D160*(1-B208)</f>
        <v>0</v>
      </c>
      <c r="G208" s="17">
        <f>Input!E160*(1-C208)</f>
        <v>2.7433382793285679</v>
      </c>
      <c r="H208" s="17">
        <f>Input!F160*(1-B208)</f>
        <v>0</v>
      </c>
      <c r="I208" s="17">
        <f>Input!G160*(1-B208)</f>
        <v>0</v>
      </c>
      <c r="J208" s="6"/>
    </row>
    <row r="209" spans="1:10" x14ac:dyDescent="0.2">
      <c r="A209" s="5" t="s">
        <v>125</v>
      </c>
      <c r="B209" s="22">
        <f>SUMPRODUCT($B96:$F96,Input!$B$111:$F$111)</f>
        <v>0.5477577362844599</v>
      </c>
      <c r="C209" s="24">
        <f>B209</f>
        <v>0.5477577362844599</v>
      </c>
      <c r="D209" s="17">
        <f>Input!B161*(1-B209)</f>
        <v>164.90986997377391</v>
      </c>
      <c r="E209" s="17">
        <f>Input!C161*(1-B209)</f>
        <v>50.063518617782428</v>
      </c>
      <c r="F209" s="17">
        <f>Input!D161*(1-B209)</f>
        <v>0</v>
      </c>
      <c r="G209" s="17">
        <f>Input!E161*(1-C209)</f>
        <v>4.9048797462550784</v>
      </c>
      <c r="H209" s="17">
        <f>Input!F161*(1-B209)</f>
        <v>0</v>
      </c>
      <c r="I209" s="17">
        <f>Input!G161*(1-B209)</f>
        <v>0</v>
      </c>
      <c r="J209" s="6"/>
    </row>
    <row r="210" spans="1:10" x14ac:dyDescent="0.2">
      <c r="A210" s="12" t="s">
        <v>126</v>
      </c>
      <c r="J210" s="6"/>
    </row>
    <row r="211" spans="1:10" x14ac:dyDescent="0.2">
      <c r="A211" s="5" t="s">
        <v>95</v>
      </c>
      <c r="B211" s="22">
        <f>SUMPRODUCT($B98:$F98,Input!$B$111:$F$111)</f>
        <v>0</v>
      </c>
      <c r="C211" s="24">
        <f>B211</f>
        <v>0</v>
      </c>
      <c r="D211" s="17">
        <f>Input!B163*(1-B211)</f>
        <v>29762.160927484445</v>
      </c>
      <c r="E211" s="17">
        <f>Input!C163*(1-B211)</f>
        <v>0</v>
      </c>
      <c r="F211" s="17">
        <f>Input!D163*(1-B211)</f>
        <v>0</v>
      </c>
      <c r="G211" s="17">
        <f>Input!E163*(1-C211)</f>
        <v>4537.443879090979</v>
      </c>
      <c r="H211" s="17">
        <f>Input!F163*(1-B211)</f>
        <v>0</v>
      </c>
      <c r="I211" s="17">
        <f>Input!G163*(1-B211)</f>
        <v>0</v>
      </c>
      <c r="J211" s="6"/>
    </row>
    <row r="212" spans="1:10" ht="25.5" x14ac:dyDescent="0.2">
      <c r="A212" s="5" t="s">
        <v>127</v>
      </c>
      <c r="B212" s="22">
        <f>SUMPRODUCT($B99:$F99,Input!$B$111:$F$111)</f>
        <v>0.32548614019019362</v>
      </c>
      <c r="C212" s="24">
        <f>B212</f>
        <v>0.32548614019019362</v>
      </c>
      <c r="D212" s="17">
        <f>Input!B164*(1-B212)</f>
        <v>0</v>
      </c>
      <c r="E212" s="17">
        <f>Input!C164*(1-B212)</f>
        <v>0</v>
      </c>
      <c r="F212" s="17">
        <f>Input!D164*(1-B212)</f>
        <v>0</v>
      </c>
      <c r="G212" s="17">
        <f>Input!E164*(1-C212)</f>
        <v>0</v>
      </c>
      <c r="H212" s="17">
        <f>Input!F164*(1-B212)</f>
        <v>0</v>
      </c>
      <c r="I212" s="17">
        <f>Input!G164*(1-B212)</f>
        <v>0</v>
      </c>
      <c r="J212" s="6"/>
    </row>
    <row r="213" spans="1:10" ht="25.5" x14ac:dyDescent="0.2">
      <c r="A213" s="5" t="s">
        <v>128</v>
      </c>
      <c r="B213" s="22">
        <f>SUMPRODUCT($B100:$F100,Input!$B$111:$F$111)</f>
        <v>0.5477577362844599</v>
      </c>
      <c r="C213" s="24">
        <f>B213</f>
        <v>0.5477577362844599</v>
      </c>
      <c r="D213" s="17">
        <f>Input!B165*(1-B213)</f>
        <v>0</v>
      </c>
      <c r="E213" s="17">
        <f>Input!C165*(1-B213)</f>
        <v>0</v>
      </c>
      <c r="F213" s="17">
        <f>Input!D165*(1-B213)</f>
        <v>0</v>
      </c>
      <c r="G213" s="17">
        <f>Input!E165*(1-C213)</f>
        <v>0</v>
      </c>
      <c r="H213" s="17">
        <f>Input!F165*(1-B213)</f>
        <v>0</v>
      </c>
      <c r="I213" s="17">
        <f>Input!G165*(1-B213)</f>
        <v>0</v>
      </c>
      <c r="J213" s="6"/>
    </row>
    <row r="214" spans="1:10" x14ac:dyDescent="0.2">
      <c r="A214" s="12" t="s">
        <v>129</v>
      </c>
      <c r="J214" s="6"/>
    </row>
    <row r="215" spans="1:10" x14ac:dyDescent="0.2">
      <c r="A215" s="5" t="s">
        <v>57</v>
      </c>
      <c r="B215" s="22">
        <f>SUMPRODUCT($B102:$F102,Input!$B$111:$F$111)</f>
        <v>0</v>
      </c>
      <c r="C215" s="24">
        <f>B215</f>
        <v>0</v>
      </c>
      <c r="D215" s="17">
        <f>Input!B167*(1-B215)</f>
        <v>1029276.3013581143</v>
      </c>
      <c r="E215" s="17">
        <f>Input!C167*(1-B215)</f>
        <v>253869.7108350849</v>
      </c>
      <c r="F215" s="17">
        <f>Input!D167*(1-B215)</f>
        <v>0</v>
      </c>
      <c r="G215" s="17">
        <f>Input!E167*(1-C215)</f>
        <v>11223.982793627194</v>
      </c>
      <c r="H215" s="17">
        <f>Input!F167*(1-B215)</f>
        <v>0</v>
      </c>
      <c r="I215" s="17">
        <f>Input!G167*(1-B215)</f>
        <v>0</v>
      </c>
      <c r="J215" s="6"/>
    </row>
    <row r="216" spans="1:10" x14ac:dyDescent="0.2">
      <c r="A216" s="5" t="s">
        <v>130</v>
      </c>
      <c r="B216" s="22">
        <f>SUMPRODUCT($B103:$F103,Input!$B$111:$F$111)</f>
        <v>0.32548614019019362</v>
      </c>
      <c r="C216" s="24">
        <f>B216</f>
        <v>0.32548614019019362</v>
      </c>
      <c r="D216" s="17">
        <f>Input!B168*(1-B216)</f>
        <v>0</v>
      </c>
      <c r="E216" s="17">
        <f>Input!C168*(1-B216)</f>
        <v>0</v>
      </c>
      <c r="F216" s="17">
        <f>Input!D168*(1-B216)</f>
        <v>0</v>
      </c>
      <c r="G216" s="17">
        <f>Input!E168*(1-C216)</f>
        <v>0.91444609310952263</v>
      </c>
      <c r="H216" s="17">
        <f>Input!F168*(1-B216)</f>
        <v>0</v>
      </c>
      <c r="I216" s="17">
        <f>Input!G168*(1-B216)</f>
        <v>0</v>
      </c>
      <c r="J216" s="6"/>
    </row>
    <row r="217" spans="1:10" x14ac:dyDescent="0.2">
      <c r="A217" s="5" t="s">
        <v>131</v>
      </c>
      <c r="B217" s="22">
        <f>SUMPRODUCT($B104:$F104,Input!$B$111:$F$111)</f>
        <v>0.5477577362844599</v>
      </c>
      <c r="C217" s="24">
        <f>B217</f>
        <v>0.5477577362844599</v>
      </c>
      <c r="D217" s="17">
        <f>Input!B169*(1-B217)</f>
        <v>171.57409708438647</v>
      </c>
      <c r="E217" s="17">
        <f>Input!C169*(1-B217)</f>
        <v>38.654004792247122</v>
      </c>
      <c r="F217" s="17">
        <f>Input!D169*(1-B217)</f>
        <v>0</v>
      </c>
      <c r="G217" s="17">
        <f>Input!E169*(1-C217)</f>
        <v>5.517989714536963</v>
      </c>
      <c r="H217" s="17">
        <f>Input!F169*(1-B217)</f>
        <v>0</v>
      </c>
      <c r="I217" s="17">
        <f>Input!G169*(1-B217)</f>
        <v>0</v>
      </c>
      <c r="J217" s="6"/>
    </row>
    <row r="218" spans="1:10" x14ac:dyDescent="0.2">
      <c r="A218" s="12" t="s">
        <v>132</v>
      </c>
      <c r="J218" s="6"/>
    </row>
    <row r="219" spans="1:10" x14ac:dyDescent="0.2">
      <c r="A219" s="5" t="s">
        <v>58</v>
      </c>
      <c r="B219" s="22">
        <f>SUMPRODUCT($B106:$F106,Input!$B$111:$F$111)</f>
        <v>0</v>
      </c>
      <c r="C219" s="24">
        <f>B219</f>
        <v>0</v>
      </c>
      <c r="D219" s="17">
        <f>Input!B171*(1-B219)</f>
        <v>34485.961825356251</v>
      </c>
      <c r="E219" s="17">
        <f>Input!C171*(1-B219)</f>
        <v>9407.0686626999159</v>
      </c>
      <c r="F219" s="17">
        <f>Input!D171*(1-B219)</f>
        <v>0</v>
      </c>
      <c r="G219" s="17">
        <f>Input!E171*(1-C219)</f>
        <v>348.75333450159138</v>
      </c>
      <c r="H219" s="17">
        <f>Input!F171*(1-B219)</f>
        <v>0</v>
      </c>
      <c r="I219" s="17">
        <f>Input!G171*(1-B219)</f>
        <v>0</v>
      </c>
      <c r="J219" s="6"/>
    </row>
    <row r="220" spans="1:10" x14ac:dyDescent="0.2">
      <c r="A220" s="12" t="s">
        <v>133</v>
      </c>
      <c r="J220" s="6"/>
    </row>
    <row r="221" spans="1:10" x14ac:dyDescent="0.2">
      <c r="A221" s="5" t="s">
        <v>72</v>
      </c>
      <c r="B221" s="22">
        <f>SUMPRODUCT($B108:$F108,Input!$B$111:$F$111)</f>
        <v>0</v>
      </c>
      <c r="C221" s="24">
        <f>B221</f>
        <v>0</v>
      </c>
      <c r="D221" s="17">
        <f>Input!B173*(1-B221)</f>
        <v>8641.9161673928411</v>
      </c>
      <c r="E221" s="17">
        <f>Input!C173*(1-B221)</f>
        <v>2565.3353644297385</v>
      </c>
      <c r="F221" s="17">
        <f>Input!D173*(1-B221)</f>
        <v>0</v>
      </c>
      <c r="G221" s="17">
        <f>Input!E173*(1-C221)</f>
        <v>68.555558952026317</v>
      </c>
      <c r="H221" s="17">
        <f>Input!F173*(1-B221)</f>
        <v>0</v>
      </c>
      <c r="I221" s="17">
        <f>Input!G173*(1-B221)</f>
        <v>0</v>
      </c>
      <c r="J221" s="6"/>
    </row>
    <row r="222" spans="1:10" x14ac:dyDescent="0.2">
      <c r="A222" s="12" t="s">
        <v>134</v>
      </c>
      <c r="J222" s="6"/>
    </row>
    <row r="223" spans="1:10" x14ac:dyDescent="0.2">
      <c r="A223" s="5" t="s">
        <v>59</v>
      </c>
      <c r="B223" s="22">
        <f>SUMPRODUCT($B110:$F110,Input!$B$111:$F$111)</f>
        <v>0</v>
      </c>
      <c r="C223" s="24">
        <f>B223</f>
        <v>0</v>
      </c>
      <c r="D223" s="17">
        <f>Input!B175*(1-B223)</f>
        <v>115710.04138381009</v>
      </c>
      <c r="E223" s="17">
        <f>Input!C175*(1-B223)</f>
        <v>661020.25327785639</v>
      </c>
      <c r="F223" s="17">
        <f>Input!D175*(1-B223)</f>
        <v>808010.335403773</v>
      </c>
      <c r="G223" s="17">
        <f>Input!E175*(1-C223)</f>
        <v>4948.4112120990931</v>
      </c>
      <c r="H223" s="17">
        <f>Input!F175*(1-B223)</f>
        <v>752209.79678130196</v>
      </c>
      <c r="I223" s="17">
        <f>Input!G175*(1-B223)</f>
        <v>116363.06440213854</v>
      </c>
      <c r="J223" s="6"/>
    </row>
    <row r="224" spans="1:10" x14ac:dyDescent="0.2">
      <c r="A224" s="5" t="s">
        <v>135</v>
      </c>
      <c r="B224" s="22">
        <f>SUMPRODUCT($B111:$F111,Input!$B$111:$F$111)</f>
        <v>0.32548614019019362</v>
      </c>
      <c r="C224" s="24">
        <f>B224</f>
        <v>0.32548614019019362</v>
      </c>
      <c r="D224" s="17">
        <f>Input!B176*(1-B224)</f>
        <v>0</v>
      </c>
      <c r="E224" s="17">
        <f>Input!C176*(1-B224)</f>
        <v>0</v>
      </c>
      <c r="F224" s="17">
        <f>Input!D176*(1-B224)</f>
        <v>0</v>
      </c>
      <c r="G224" s="17">
        <f>Input!E176*(1-C224)</f>
        <v>0</v>
      </c>
      <c r="H224" s="17">
        <f>Input!F176*(1-B224)</f>
        <v>0</v>
      </c>
      <c r="I224" s="17">
        <f>Input!G176*(1-B224)</f>
        <v>0</v>
      </c>
      <c r="J224" s="6"/>
    </row>
    <row r="225" spans="1:10" x14ac:dyDescent="0.2">
      <c r="A225" s="5" t="s">
        <v>136</v>
      </c>
      <c r="B225" s="22">
        <f>SUMPRODUCT($B112:$F112,Input!$B$111:$F$111)</f>
        <v>0.5477577362844599</v>
      </c>
      <c r="C225" s="24">
        <f>B225</f>
        <v>0.5477577362844599</v>
      </c>
      <c r="D225" s="17">
        <f>Input!B177*(1-B225)</f>
        <v>0</v>
      </c>
      <c r="E225" s="17">
        <f>Input!C177*(1-B225)</f>
        <v>0</v>
      </c>
      <c r="F225" s="17">
        <f>Input!D177*(1-B225)</f>
        <v>0</v>
      </c>
      <c r="G225" s="17">
        <f>Input!E177*(1-C225)</f>
        <v>0</v>
      </c>
      <c r="H225" s="17">
        <f>Input!F177*(1-B225)</f>
        <v>0</v>
      </c>
      <c r="I225" s="17">
        <f>Input!G177*(1-B225)</f>
        <v>0</v>
      </c>
      <c r="J225" s="6"/>
    </row>
    <row r="226" spans="1:10" x14ac:dyDescent="0.2">
      <c r="A226" s="12" t="s">
        <v>137</v>
      </c>
      <c r="J226" s="6"/>
    </row>
    <row r="227" spans="1:10" x14ac:dyDescent="0.2">
      <c r="A227" s="5" t="s">
        <v>60</v>
      </c>
      <c r="B227" s="22">
        <f>SUMPRODUCT($B114:$F114,Input!$B$111:$F$111)</f>
        <v>0</v>
      </c>
      <c r="C227" s="24">
        <f>B227</f>
        <v>0</v>
      </c>
      <c r="D227" s="17">
        <f>Input!B179*(1-B227)</f>
        <v>93144.042828731064</v>
      </c>
      <c r="E227" s="17">
        <f>Input!C179*(1-B227)</f>
        <v>545943.1064019521</v>
      </c>
      <c r="F227" s="17">
        <f>Input!D179*(1-B227)</f>
        <v>688947.02480521007</v>
      </c>
      <c r="G227" s="17">
        <f>Input!E179*(1-C227)</f>
        <v>1830.2774665284201</v>
      </c>
      <c r="H227" s="17">
        <f>Input!F179*(1-B227)</f>
        <v>631754.01391039649</v>
      </c>
      <c r="I227" s="17">
        <f>Input!G179*(1-B227)</f>
        <v>99562.514593088417</v>
      </c>
      <c r="J227" s="6"/>
    </row>
    <row r="228" spans="1:10" x14ac:dyDescent="0.2">
      <c r="A228" s="5" t="s">
        <v>138</v>
      </c>
      <c r="B228" s="22">
        <f>SUMPRODUCT($B115:$F115,Input!$B$111:$F$111)</f>
        <v>0.30947311684265033</v>
      </c>
      <c r="C228" s="24">
        <f>B228</f>
        <v>0.30947311684265033</v>
      </c>
      <c r="D228" s="17">
        <f>Input!B180*(1-B228)</f>
        <v>0</v>
      </c>
      <c r="E228" s="17">
        <f>Input!C180*(1-B228)</f>
        <v>0</v>
      </c>
      <c r="F228" s="17">
        <f>Input!D180*(1-B228)</f>
        <v>0</v>
      </c>
      <c r="G228" s="17">
        <f>Input!E180*(1-C228)</f>
        <v>0</v>
      </c>
      <c r="H228" s="17">
        <f>Input!F180*(1-B228)</f>
        <v>0</v>
      </c>
      <c r="I228" s="17">
        <f>Input!G180*(1-B228)</f>
        <v>0</v>
      </c>
      <c r="J228" s="6"/>
    </row>
    <row r="229" spans="1:10" x14ac:dyDescent="0.2">
      <c r="A229" s="12" t="s">
        <v>139</v>
      </c>
      <c r="J229" s="6"/>
    </row>
    <row r="230" spans="1:10" x14ac:dyDescent="0.2">
      <c r="A230" s="5" t="s">
        <v>73</v>
      </c>
      <c r="B230" s="22">
        <f>SUMPRODUCT($B117:$F117,Input!$B$111:$F$111)</f>
        <v>0</v>
      </c>
      <c r="C230" s="24">
        <f>B230</f>
        <v>0</v>
      </c>
      <c r="D230" s="17">
        <f>Input!B182*(1-B230)</f>
        <v>348070.46558944526</v>
      </c>
      <c r="E230" s="17">
        <f>Input!C182*(1-B230)</f>
        <v>1911997.1742103195</v>
      </c>
      <c r="F230" s="17">
        <f>Input!D182*(1-B230)</f>
        <v>2977880.4572311277</v>
      </c>
      <c r="G230" s="17">
        <f>Input!E182*(1-C230)</f>
        <v>1964.4374527396105</v>
      </c>
      <c r="H230" s="17">
        <f>Input!F182*(1-B230)</f>
        <v>1834857.0806551576</v>
      </c>
      <c r="I230" s="17">
        <f>Input!G182*(1-B230)</f>
        <v>309733.7512243017</v>
      </c>
      <c r="J230" s="6"/>
    </row>
    <row r="231" spans="1:10" x14ac:dyDescent="0.2">
      <c r="A231" s="5" t="s">
        <v>140</v>
      </c>
      <c r="B231" s="22">
        <f>SUMPRODUCT($B118:$F118,Input!$B$111:$F$111)</f>
        <v>0.19320657979543002</v>
      </c>
      <c r="C231" s="24">
        <f>B231</f>
        <v>0.19320657979543002</v>
      </c>
      <c r="D231" s="17">
        <f>Input!B183*(1-B231)</f>
        <v>0</v>
      </c>
      <c r="E231" s="17">
        <f>Input!C183*(1-B231)</f>
        <v>0</v>
      </c>
      <c r="F231" s="17">
        <f>Input!D183*(1-B231)</f>
        <v>0</v>
      </c>
      <c r="G231" s="17">
        <f>Input!E183*(1-C231)</f>
        <v>0</v>
      </c>
      <c r="H231" s="17">
        <f>Input!F183*(1-B231)</f>
        <v>0</v>
      </c>
      <c r="I231" s="17">
        <f>Input!G183*(1-B231)</f>
        <v>0</v>
      </c>
      <c r="J231" s="6"/>
    </row>
    <row r="232" spans="1:10" x14ac:dyDescent="0.2">
      <c r="A232" s="12" t="s">
        <v>141</v>
      </c>
      <c r="J232" s="6"/>
    </row>
    <row r="233" spans="1:10" x14ac:dyDescent="0.2">
      <c r="A233" s="5" t="s">
        <v>74</v>
      </c>
      <c r="B233" s="22">
        <f>SUMPRODUCT($B120:$F120,Input!$B$111:$F$111)</f>
        <v>0</v>
      </c>
      <c r="C233" s="24">
        <f>B233</f>
        <v>0</v>
      </c>
      <c r="D233" s="17">
        <f>Input!B185*(1-B233)</f>
        <v>0</v>
      </c>
      <c r="E233" s="17">
        <f>Input!C185*(1-B233)</f>
        <v>0</v>
      </c>
      <c r="F233" s="17">
        <f>Input!D185*(1-B233)</f>
        <v>0</v>
      </c>
      <c r="G233" s="17">
        <f>Input!E185*(1-C233)</f>
        <v>0</v>
      </c>
      <c r="H233" s="17">
        <f>Input!F185*(1-B233)</f>
        <v>0</v>
      </c>
      <c r="I233" s="17">
        <f>Input!G185*(1-B233)</f>
        <v>0</v>
      </c>
      <c r="J233" s="6"/>
    </row>
    <row r="234" spans="1:10" x14ac:dyDescent="0.2">
      <c r="A234" s="12" t="s">
        <v>142</v>
      </c>
      <c r="J234" s="6"/>
    </row>
    <row r="235" spans="1:10" x14ac:dyDescent="0.2">
      <c r="A235" s="5" t="s">
        <v>96</v>
      </c>
      <c r="B235" s="22">
        <f>SUMPRODUCT($B122:$F122,Input!$B$111:$F$111)</f>
        <v>0</v>
      </c>
      <c r="C235" s="24">
        <f>B235</f>
        <v>0</v>
      </c>
      <c r="D235" s="17">
        <f>Input!B187*(1-B235)</f>
        <v>43147.28153507517</v>
      </c>
      <c r="E235" s="17">
        <f>Input!C187*(1-B235)</f>
        <v>0</v>
      </c>
      <c r="F235" s="17">
        <f>Input!D187*(1-B235)</f>
        <v>0</v>
      </c>
      <c r="G235" s="17">
        <f>Input!E187*(1-C235)</f>
        <v>248</v>
      </c>
      <c r="H235" s="17">
        <f>Input!F187*(1-B235)</f>
        <v>0</v>
      </c>
      <c r="I235" s="17">
        <f>Input!G187*(1-B235)</f>
        <v>0</v>
      </c>
      <c r="J235" s="6"/>
    </row>
    <row r="236" spans="1:10" x14ac:dyDescent="0.2">
      <c r="A236" s="5" t="s">
        <v>143</v>
      </c>
      <c r="B236" s="22">
        <f>SUMPRODUCT($B123:$F123,Input!$B$111:$F$111)</f>
        <v>0.32548614019019362</v>
      </c>
      <c r="C236" s="24">
        <f>B236</f>
        <v>0.32548614019019362</v>
      </c>
      <c r="D236" s="17">
        <f>Input!B188*(1-B236)</f>
        <v>0</v>
      </c>
      <c r="E236" s="17">
        <f>Input!C188*(1-B236)</f>
        <v>0</v>
      </c>
      <c r="F236" s="17">
        <f>Input!D188*(1-B236)</f>
        <v>0</v>
      </c>
      <c r="G236" s="17">
        <f>Input!E188*(1-C236)</f>
        <v>0</v>
      </c>
      <c r="H236" s="17">
        <f>Input!F188*(1-B236)</f>
        <v>0</v>
      </c>
      <c r="I236" s="17">
        <f>Input!G188*(1-B236)</f>
        <v>0</v>
      </c>
      <c r="J236" s="6"/>
    </row>
    <row r="237" spans="1:10" x14ac:dyDescent="0.2">
      <c r="A237" s="5" t="s">
        <v>144</v>
      </c>
      <c r="B237" s="22">
        <f>SUMPRODUCT($B124:$F124,Input!$B$111:$F$111)</f>
        <v>0.5477577362844599</v>
      </c>
      <c r="C237" s="24">
        <f>B237</f>
        <v>0.5477577362844599</v>
      </c>
      <c r="D237" s="17">
        <f>Input!B189*(1-B237)</f>
        <v>0</v>
      </c>
      <c r="E237" s="17">
        <f>Input!C189*(1-B237)</f>
        <v>0</v>
      </c>
      <c r="F237" s="17">
        <f>Input!D189*(1-B237)</f>
        <v>0</v>
      </c>
      <c r="G237" s="17">
        <f>Input!E189*(1-C237)</f>
        <v>0</v>
      </c>
      <c r="H237" s="17">
        <f>Input!F189*(1-B237)</f>
        <v>0</v>
      </c>
      <c r="I237" s="17">
        <f>Input!G189*(1-B237)</f>
        <v>0</v>
      </c>
      <c r="J237" s="6"/>
    </row>
    <row r="238" spans="1:10" x14ac:dyDescent="0.2">
      <c r="A238" s="12" t="s">
        <v>145</v>
      </c>
      <c r="J238" s="6"/>
    </row>
    <row r="239" spans="1:10" x14ac:dyDescent="0.2">
      <c r="A239" s="5" t="s">
        <v>97</v>
      </c>
      <c r="B239" s="22">
        <f>SUMPRODUCT($B126:$F126,Input!$B$111:$F$111)</f>
        <v>0</v>
      </c>
      <c r="C239" s="24">
        <f>B239</f>
        <v>0</v>
      </c>
      <c r="D239" s="17">
        <f>Input!B191*(1-B239)</f>
        <v>13421.547791167388</v>
      </c>
      <c r="E239" s="17">
        <f>Input!C191*(1-B239)</f>
        <v>0</v>
      </c>
      <c r="F239" s="17">
        <f>Input!D191*(1-B239)</f>
        <v>0</v>
      </c>
      <c r="G239" s="17">
        <f>Input!E191*(1-C239)</f>
        <v>401</v>
      </c>
      <c r="H239" s="17">
        <f>Input!F191*(1-B239)</f>
        <v>0</v>
      </c>
      <c r="I239" s="17">
        <f>Input!G191*(1-B239)</f>
        <v>0</v>
      </c>
      <c r="J239" s="6"/>
    </row>
    <row r="240" spans="1:10" x14ac:dyDescent="0.2">
      <c r="A240" s="5" t="s">
        <v>146</v>
      </c>
      <c r="B240" s="22">
        <f>SUMPRODUCT($B127:$F127,Input!$B$111:$F$111)</f>
        <v>0.32548614019019362</v>
      </c>
      <c r="C240" s="24">
        <f>B240</f>
        <v>0.32548614019019362</v>
      </c>
      <c r="D240" s="17">
        <f>Input!B192*(1-B240)</f>
        <v>25.736211772074036</v>
      </c>
      <c r="E240" s="17">
        <f>Input!C192*(1-B240)</f>
        <v>0</v>
      </c>
      <c r="F240" s="17">
        <f>Input!D192*(1-B240)</f>
        <v>0</v>
      </c>
      <c r="G240" s="17">
        <f>Input!E192*(1-C240)</f>
        <v>12.815763336386322</v>
      </c>
      <c r="H240" s="17">
        <f>Input!F192*(1-B240)</f>
        <v>0</v>
      </c>
      <c r="I240" s="17">
        <f>Input!G192*(1-B240)</f>
        <v>0</v>
      </c>
      <c r="J240" s="6"/>
    </row>
    <row r="241" spans="1:10" x14ac:dyDescent="0.2">
      <c r="A241" s="5" t="s">
        <v>147</v>
      </c>
      <c r="B241" s="22">
        <f>SUMPRODUCT($B128:$F128,Input!$B$111:$F$111)</f>
        <v>0.5477577362844599</v>
      </c>
      <c r="C241" s="24">
        <f>B241</f>
        <v>0.5477577362844599</v>
      </c>
      <c r="D241" s="17">
        <f>Input!B193*(1-B241)</f>
        <v>32.723417410221025</v>
      </c>
      <c r="E241" s="17">
        <f>Input!C193*(1-B241)</f>
        <v>0</v>
      </c>
      <c r="F241" s="17">
        <f>Input!D193*(1-B241)</f>
        <v>0</v>
      </c>
      <c r="G241" s="17">
        <f>Input!E193*(1-C241)</f>
        <v>4.522422637155401</v>
      </c>
      <c r="H241" s="17">
        <f>Input!F193*(1-B241)</f>
        <v>0</v>
      </c>
      <c r="I241" s="17">
        <f>Input!G193*(1-B241)</f>
        <v>0</v>
      </c>
      <c r="J241" s="6"/>
    </row>
    <row r="242" spans="1:10" x14ac:dyDescent="0.2">
      <c r="A242" s="12" t="s">
        <v>148</v>
      </c>
      <c r="J242" s="6"/>
    </row>
    <row r="243" spans="1:10" x14ac:dyDescent="0.2">
      <c r="A243" s="5" t="s">
        <v>98</v>
      </c>
      <c r="B243" s="22">
        <f>SUMPRODUCT($B130:$F130,Input!$B$111:$F$111)</f>
        <v>0</v>
      </c>
      <c r="C243" s="24">
        <f>B243</f>
        <v>0</v>
      </c>
      <c r="D243" s="17">
        <f>Input!B195*(1-B243)</f>
        <v>1.3947031837786772</v>
      </c>
      <c r="E243" s="17">
        <f>Input!C195*(1-B243)</f>
        <v>0</v>
      </c>
      <c r="F243" s="17">
        <f>Input!D195*(1-B243)</f>
        <v>0</v>
      </c>
      <c r="G243" s="17">
        <f>Input!E195*(1-C243)</f>
        <v>1</v>
      </c>
      <c r="H243" s="17">
        <f>Input!F195*(1-B243)</f>
        <v>0</v>
      </c>
      <c r="I243" s="17">
        <f>Input!G195*(1-B243)</f>
        <v>0</v>
      </c>
      <c r="J243" s="6"/>
    </row>
    <row r="244" spans="1:10" x14ac:dyDescent="0.2">
      <c r="A244" s="5" t="s">
        <v>149</v>
      </c>
      <c r="B244" s="22">
        <f>SUMPRODUCT($B131:$F131,Input!$B$111:$F$111)</f>
        <v>0.32548614019019362</v>
      </c>
      <c r="C244" s="24">
        <f>B244</f>
        <v>0.32548614019019362</v>
      </c>
      <c r="D244" s="17">
        <f>Input!B196*(1-B244)</f>
        <v>0</v>
      </c>
      <c r="E244" s="17">
        <f>Input!C196*(1-B244)</f>
        <v>0</v>
      </c>
      <c r="F244" s="17">
        <f>Input!D196*(1-B244)</f>
        <v>0</v>
      </c>
      <c r="G244" s="17">
        <f>Input!E196*(1-C244)</f>
        <v>0</v>
      </c>
      <c r="H244" s="17">
        <f>Input!F196*(1-B244)</f>
        <v>0</v>
      </c>
      <c r="I244" s="17">
        <f>Input!G196*(1-B244)</f>
        <v>0</v>
      </c>
      <c r="J244" s="6"/>
    </row>
    <row r="245" spans="1:10" x14ac:dyDescent="0.2">
      <c r="A245" s="5" t="s">
        <v>150</v>
      </c>
      <c r="B245" s="22">
        <f>SUMPRODUCT($B132:$F132,Input!$B$111:$F$111)</f>
        <v>0.5477577362844599</v>
      </c>
      <c r="C245" s="24">
        <f>B245</f>
        <v>0.5477577362844599</v>
      </c>
      <c r="D245" s="17">
        <f>Input!B197*(1-B245)</f>
        <v>0</v>
      </c>
      <c r="E245" s="17">
        <f>Input!C197*(1-B245)</f>
        <v>0</v>
      </c>
      <c r="F245" s="17">
        <f>Input!D197*(1-B245)</f>
        <v>0</v>
      </c>
      <c r="G245" s="17">
        <f>Input!E197*(1-C245)</f>
        <v>0</v>
      </c>
      <c r="H245" s="17">
        <f>Input!F197*(1-B245)</f>
        <v>0</v>
      </c>
      <c r="I245" s="17">
        <f>Input!G197*(1-B245)</f>
        <v>0</v>
      </c>
      <c r="J245" s="6"/>
    </row>
    <row r="246" spans="1:10" x14ac:dyDescent="0.2">
      <c r="A246" s="12" t="s">
        <v>151</v>
      </c>
      <c r="J246" s="6"/>
    </row>
    <row r="247" spans="1:10" x14ac:dyDescent="0.2">
      <c r="A247" s="5" t="s">
        <v>99</v>
      </c>
      <c r="B247" s="22">
        <f>SUMPRODUCT($B134:$F134,Input!$B$111:$F$111)</f>
        <v>0</v>
      </c>
      <c r="C247" s="24">
        <f>B247</f>
        <v>0</v>
      </c>
      <c r="D247" s="17">
        <f>Input!B199*(1-B247)</f>
        <v>0</v>
      </c>
      <c r="E247" s="17">
        <f>Input!C199*(1-B247)</f>
        <v>0</v>
      </c>
      <c r="F247" s="17">
        <f>Input!D199*(1-B247)</f>
        <v>0</v>
      </c>
      <c r="G247" s="17">
        <f>Input!E199*(1-C247)</f>
        <v>0</v>
      </c>
      <c r="H247" s="17">
        <f>Input!F199*(1-B247)</f>
        <v>0</v>
      </c>
      <c r="I247" s="17">
        <f>Input!G199*(1-B247)</f>
        <v>0</v>
      </c>
      <c r="J247" s="6"/>
    </row>
    <row r="248" spans="1:10" x14ac:dyDescent="0.2">
      <c r="A248" s="5" t="s">
        <v>152</v>
      </c>
      <c r="B248" s="22">
        <f>SUMPRODUCT($B135:$F135,Input!$B$111:$F$111)</f>
        <v>0.32548614019019362</v>
      </c>
      <c r="C248" s="24">
        <f>B248</f>
        <v>0.32548614019019362</v>
      </c>
      <c r="D248" s="17">
        <f>Input!B200*(1-B248)</f>
        <v>0</v>
      </c>
      <c r="E248" s="17">
        <f>Input!C200*(1-B248)</f>
        <v>0</v>
      </c>
      <c r="F248" s="17">
        <f>Input!D200*(1-B248)</f>
        <v>0</v>
      </c>
      <c r="G248" s="17">
        <f>Input!E200*(1-C248)</f>
        <v>0</v>
      </c>
      <c r="H248" s="17">
        <f>Input!F200*(1-B248)</f>
        <v>0</v>
      </c>
      <c r="I248" s="17">
        <f>Input!G200*(1-B248)</f>
        <v>0</v>
      </c>
      <c r="J248" s="6"/>
    </row>
    <row r="249" spans="1:10" x14ac:dyDescent="0.2">
      <c r="A249" s="5" t="s">
        <v>153</v>
      </c>
      <c r="B249" s="22">
        <f>SUMPRODUCT($B136:$F136,Input!$B$111:$F$111)</f>
        <v>0.5477577362844599</v>
      </c>
      <c r="C249" s="24">
        <f>B249</f>
        <v>0.5477577362844599</v>
      </c>
      <c r="D249" s="17">
        <f>Input!B201*(1-B249)</f>
        <v>0</v>
      </c>
      <c r="E249" s="17">
        <f>Input!C201*(1-B249)</f>
        <v>0</v>
      </c>
      <c r="F249" s="17">
        <f>Input!D201*(1-B249)</f>
        <v>0</v>
      </c>
      <c r="G249" s="17">
        <f>Input!E201*(1-C249)</f>
        <v>0</v>
      </c>
      <c r="H249" s="17">
        <f>Input!F201*(1-B249)</f>
        <v>0</v>
      </c>
      <c r="I249" s="17">
        <f>Input!G201*(1-B249)</f>
        <v>0</v>
      </c>
      <c r="J249" s="6"/>
    </row>
    <row r="250" spans="1:10" x14ac:dyDescent="0.2">
      <c r="A250" s="12" t="s">
        <v>154</v>
      </c>
      <c r="J250" s="6"/>
    </row>
    <row r="251" spans="1:10" x14ac:dyDescent="0.2">
      <c r="A251" s="5" t="s">
        <v>100</v>
      </c>
      <c r="B251" s="22">
        <f>SUMPRODUCT($B138:$F138,Input!$B$111:$F$111)</f>
        <v>0</v>
      </c>
      <c r="C251" s="24">
        <f>B251</f>
        <v>0</v>
      </c>
      <c r="D251" s="17">
        <f>Input!B203*(1-B251)</f>
        <v>9424.2315778324828</v>
      </c>
      <c r="E251" s="17">
        <f>Input!C203*(1-B251)</f>
        <v>33565.973169766723</v>
      </c>
      <c r="F251" s="17">
        <f>Input!D203*(1-B251)</f>
        <v>236161.06999327819</v>
      </c>
      <c r="G251" s="17">
        <f>Input!E203*(1-C251)</f>
        <v>23</v>
      </c>
      <c r="H251" s="17">
        <f>Input!F203*(1-B251)</f>
        <v>0</v>
      </c>
      <c r="I251" s="17">
        <f>Input!G203*(1-B251)</f>
        <v>0</v>
      </c>
      <c r="J251" s="6"/>
    </row>
    <row r="252" spans="1:10" x14ac:dyDescent="0.2">
      <c r="A252" s="5" t="s">
        <v>155</v>
      </c>
      <c r="B252" s="22">
        <f>SUMPRODUCT($B139:$F139,Input!$B$111:$F$111)</f>
        <v>0.32548614019019362</v>
      </c>
      <c r="C252" s="24">
        <f>B252</f>
        <v>0.32548614019019362</v>
      </c>
      <c r="D252" s="17">
        <f>Input!B204*(1-B252)</f>
        <v>0</v>
      </c>
      <c r="E252" s="17">
        <f>Input!C204*(1-B252)</f>
        <v>0</v>
      </c>
      <c r="F252" s="17">
        <f>Input!D204*(1-B252)</f>
        <v>0</v>
      </c>
      <c r="G252" s="17">
        <f>Input!E204*(1-C252)</f>
        <v>0</v>
      </c>
      <c r="H252" s="17">
        <f>Input!F204*(1-B252)</f>
        <v>0</v>
      </c>
      <c r="I252" s="17">
        <f>Input!G204*(1-B252)</f>
        <v>0</v>
      </c>
      <c r="J252" s="6"/>
    </row>
    <row r="253" spans="1:10" x14ac:dyDescent="0.2">
      <c r="A253" s="5" t="s">
        <v>156</v>
      </c>
      <c r="B253" s="22">
        <f>SUMPRODUCT($B140:$F140,Input!$B$111:$F$111)</f>
        <v>0.5477577362844599</v>
      </c>
      <c r="C253" s="24">
        <f>B253</f>
        <v>0.5477577362844599</v>
      </c>
      <c r="D253" s="17">
        <f>Input!B205*(1-B253)</f>
        <v>0</v>
      </c>
      <c r="E253" s="17">
        <f>Input!C205*(1-B253)</f>
        <v>0</v>
      </c>
      <c r="F253" s="17">
        <f>Input!D205*(1-B253)</f>
        <v>0</v>
      </c>
      <c r="G253" s="17">
        <f>Input!E205*(1-C253)</f>
        <v>0</v>
      </c>
      <c r="H253" s="17">
        <f>Input!F205*(1-B253)</f>
        <v>0</v>
      </c>
      <c r="I253" s="17">
        <f>Input!G205*(1-B253)</f>
        <v>0</v>
      </c>
      <c r="J253" s="6"/>
    </row>
    <row r="254" spans="1:10" x14ac:dyDescent="0.2">
      <c r="A254" s="12" t="s">
        <v>157</v>
      </c>
      <c r="J254" s="6"/>
    </row>
    <row r="255" spans="1:10" x14ac:dyDescent="0.2">
      <c r="A255" s="5" t="s">
        <v>61</v>
      </c>
      <c r="B255" s="22">
        <f>SUMPRODUCT($B142:$F142,Input!$B$111:$F$111)</f>
        <v>0</v>
      </c>
      <c r="C255" s="24">
        <f>B255</f>
        <v>0</v>
      </c>
      <c r="D255" s="17">
        <f>Input!B207*(1-B255)</f>
        <v>878.96280862633739</v>
      </c>
      <c r="E255" s="17">
        <f>Input!C207*(1-B255)</f>
        <v>0</v>
      </c>
      <c r="F255" s="17">
        <f>Input!D207*(1-B255)</f>
        <v>0</v>
      </c>
      <c r="G255" s="17">
        <f>Input!E207*(1-C255)</f>
        <v>51</v>
      </c>
      <c r="H255" s="17">
        <f>Input!F207*(1-B255)</f>
        <v>0</v>
      </c>
      <c r="I255" s="17">
        <f>Input!G207*(1-B255)</f>
        <v>0</v>
      </c>
      <c r="J255" s="6"/>
    </row>
    <row r="256" spans="1:10" x14ac:dyDescent="0.2">
      <c r="A256" s="5" t="s">
        <v>158</v>
      </c>
      <c r="B256" s="22">
        <f>SUMPRODUCT($B143:$F143,Input!$B$111:$F$111)</f>
        <v>0</v>
      </c>
      <c r="C256" s="23">
        <v>1</v>
      </c>
      <c r="D256" s="17">
        <f>Input!B208*(1-B256)</f>
        <v>0</v>
      </c>
      <c r="E256" s="17">
        <f>Input!C208*(1-B256)</f>
        <v>0</v>
      </c>
      <c r="F256" s="17">
        <f>Input!D208*(1-B256)</f>
        <v>0</v>
      </c>
      <c r="G256" s="17">
        <f>Input!E208*(1-C256)</f>
        <v>0</v>
      </c>
      <c r="H256" s="17">
        <f>Input!F208*(1-B256)</f>
        <v>0</v>
      </c>
      <c r="I256" s="17">
        <f>Input!G208*(1-B256)</f>
        <v>0</v>
      </c>
      <c r="J256" s="6"/>
    </row>
    <row r="257" spans="1:10" x14ac:dyDescent="0.2">
      <c r="A257" s="5" t="s">
        <v>159</v>
      </c>
      <c r="B257" s="22">
        <f>SUMPRODUCT($B144:$F144,Input!$B$111:$F$111)</f>
        <v>0</v>
      </c>
      <c r="C257" s="23">
        <v>1</v>
      </c>
      <c r="D257" s="17">
        <f>Input!B209*(1-B257)</f>
        <v>0</v>
      </c>
      <c r="E257" s="17">
        <f>Input!C209*(1-B257)</f>
        <v>0</v>
      </c>
      <c r="F257" s="17">
        <f>Input!D209*(1-B257)</f>
        <v>0</v>
      </c>
      <c r="G257" s="17">
        <f>Input!E209*(1-C257)</f>
        <v>0</v>
      </c>
      <c r="H257" s="17">
        <f>Input!F209*(1-B257)</f>
        <v>0</v>
      </c>
      <c r="I257" s="17">
        <f>Input!G209*(1-B257)</f>
        <v>0</v>
      </c>
      <c r="J257" s="6"/>
    </row>
    <row r="258" spans="1:10" x14ac:dyDescent="0.2">
      <c r="A258" s="12" t="s">
        <v>160</v>
      </c>
      <c r="J258" s="6"/>
    </row>
    <row r="259" spans="1:10" x14ac:dyDescent="0.2">
      <c r="A259" s="5" t="s">
        <v>62</v>
      </c>
      <c r="B259" s="22">
        <f>SUMPRODUCT($B146:$F146,Input!$B$111:$F$111)</f>
        <v>0</v>
      </c>
      <c r="C259" s="24">
        <f>B259</f>
        <v>0</v>
      </c>
      <c r="D259" s="17">
        <f>Input!B211*(1-B259)</f>
        <v>0</v>
      </c>
      <c r="E259" s="17">
        <f>Input!C211*(1-B259)</f>
        <v>0</v>
      </c>
      <c r="F259" s="17">
        <f>Input!D211*(1-B259)</f>
        <v>0</v>
      </c>
      <c r="G259" s="17">
        <f>Input!E211*(1-C259)</f>
        <v>0</v>
      </c>
      <c r="H259" s="17">
        <f>Input!F211*(1-B259)</f>
        <v>0</v>
      </c>
      <c r="I259" s="17">
        <f>Input!G211*(1-B259)</f>
        <v>0</v>
      </c>
      <c r="J259" s="6"/>
    </row>
    <row r="260" spans="1:10" x14ac:dyDescent="0.2">
      <c r="A260" s="5" t="s">
        <v>161</v>
      </c>
      <c r="B260" s="22">
        <f>SUMPRODUCT($B147:$F147,Input!$B$111:$F$111)</f>
        <v>0</v>
      </c>
      <c r="C260" s="23">
        <v>1</v>
      </c>
      <c r="D260" s="17">
        <f>Input!B212*(1-B260)</f>
        <v>0</v>
      </c>
      <c r="E260" s="17">
        <f>Input!C212*(1-B260)</f>
        <v>0</v>
      </c>
      <c r="F260" s="17">
        <f>Input!D212*(1-B260)</f>
        <v>0</v>
      </c>
      <c r="G260" s="17">
        <f>Input!E212*(1-C260)</f>
        <v>0</v>
      </c>
      <c r="H260" s="17">
        <f>Input!F212*(1-B260)</f>
        <v>0</v>
      </c>
      <c r="I260" s="17">
        <f>Input!G212*(1-B260)</f>
        <v>0</v>
      </c>
      <c r="J260" s="6"/>
    </row>
    <row r="261" spans="1:10" x14ac:dyDescent="0.2">
      <c r="A261" s="12" t="s">
        <v>162</v>
      </c>
      <c r="J261" s="6"/>
    </row>
    <row r="262" spans="1:10" x14ac:dyDescent="0.2">
      <c r="A262" s="5" t="s">
        <v>63</v>
      </c>
      <c r="B262" s="22">
        <f>SUMPRODUCT($B149:$F149,Input!$B$111:$F$111)</f>
        <v>0</v>
      </c>
      <c r="C262" s="24">
        <f>B262</f>
        <v>0</v>
      </c>
      <c r="D262" s="17">
        <f>Input!B214*(1-B262)</f>
        <v>3907.804934004047</v>
      </c>
      <c r="E262" s="17">
        <f>Input!C214*(1-B262)</f>
        <v>0</v>
      </c>
      <c r="F262" s="17">
        <f>Input!D214*(1-B262)</f>
        <v>0</v>
      </c>
      <c r="G262" s="17">
        <f>Input!E214*(1-C262)</f>
        <v>39</v>
      </c>
      <c r="H262" s="17">
        <f>Input!F214*(1-B262)</f>
        <v>0</v>
      </c>
      <c r="I262" s="17">
        <f>Input!G214*(1-B262)</f>
        <v>1417.9367991080762</v>
      </c>
      <c r="J262" s="6"/>
    </row>
    <row r="263" spans="1:10" x14ac:dyDescent="0.2">
      <c r="A263" s="5" t="s">
        <v>163</v>
      </c>
      <c r="B263" s="22">
        <f>SUMPRODUCT($B150:$F150,Input!$B$111:$F$111)</f>
        <v>0</v>
      </c>
      <c r="C263" s="23">
        <v>1</v>
      </c>
      <c r="D263" s="17">
        <f>Input!B215*(1-B263)</f>
        <v>0</v>
      </c>
      <c r="E263" s="17">
        <f>Input!C215*(1-B263)</f>
        <v>0</v>
      </c>
      <c r="F263" s="17">
        <f>Input!D215*(1-B263)</f>
        <v>0</v>
      </c>
      <c r="G263" s="17">
        <f>Input!E215*(1-C263)</f>
        <v>0</v>
      </c>
      <c r="H263" s="17">
        <f>Input!F215*(1-B263)</f>
        <v>0</v>
      </c>
      <c r="I263" s="17">
        <f>Input!G215*(1-B263)</f>
        <v>0</v>
      </c>
      <c r="J263" s="6"/>
    </row>
    <row r="264" spans="1:10" x14ac:dyDescent="0.2">
      <c r="A264" s="5" t="s">
        <v>164</v>
      </c>
      <c r="B264" s="22">
        <f>SUMPRODUCT($B151:$F151,Input!$B$111:$F$111)</f>
        <v>0</v>
      </c>
      <c r="C264" s="23">
        <v>1</v>
      </c>
      <c r="D264" s="17">
        <f>Input!B216*(1-B264)</f>
        <v>0</v>
      </c>
      <c r="E264" s="17">
        <f>Input!C216*(1-B264)</f>
        <v>0</v>
      </c>
      <c r="F264" s="17">
        <f>Input!D216*(1-B264)</f>
        <v>0</v>
      </c>
      <c r="G264" s="17">
        <f>Input!E216*(1-C264)</f>
        <v>0</v>
      </c>
      <c r="H264" s="17">
        <f>Input!F216*(1-B264)</f>
        <v>0</v>
      </c>
      <c r="I264" s="17">
        <f>Input!G216*(1-B264)</f>
        <v>0</v>
      </c>
      <c r="J264" s="6"/>
    </row>
    <row r="265" spans="1:10" x14ac:dyDescent="0.2">
      <c r="A265" s="12" t="s">
        <v>165</v>
      </c>
      <c r="J265" s="6"/>
    </row>
    <row r="266" spans="1:10" x14ac:dyDescent="0.2">
      <c r="A266" s="5" t="s">
        <v>64</v>
      </c>
      <c r="B266" s="22">
        <f>SUMPRODUCT($B153:$F153,Input!$B$111:$F$111)</f>
        <v>0</v>
      </c>
      <c r="C266" s="24">
        <f>B266</f>
        <v>0</v>
      </c>
      <c r="D266" s="17">
        <f>Input!B218*(1-B266)</f>
        <v>38.187016590265401</v>
      </c>
      <c r="E266" s="17">
        <f>Input!C218*(1-B266)</f>
        <v>77.674890534546904</v>
      </c>
      <c r="F266" s="17">
        <f>Input!D218*(1-B266)</f>
        <v>115.07817629643461</v>
      </c>
      <c r="G266" s="17">
        <f>Input!E218*(1-C266)</f>
        <v>6</v>
      </c>
      <c r="H266" s="17">
        <f>Input!F218*(1-B266)</f>
        <v>0</v>
      </c>
      <c r="I266" s="17">
        <f>Input!G218*(1-B266)</f>
        <v>26.176347095751652</v>
      </c>
      <c r="J266" s="6"/>
    </row>
    <row r="267" spans="1:10" x14ac:dyDescent="0.2">
      <c r="A267" s="5" t="s">
        <v>166</v>
      </c>
      <c r="B267" s="22">
        <f>SUMPRODUCT($B154:$F154,Input!$B$111:$F$111)</f>
        <v>0</v>
      </c>
      <c r="C267" s="23">
        <v>1</v>
      </c>
      <c r="D267" s="17">
        <f>Input!B219*(1-B267)</f>
        <v>0</v>
      </c>
      <c r="E267" s="17">
        <f>Input!C219*(1-B267)</f>
        <v>0</v>
      </c>
      <c r="F267" s="17">
        <f>Input!D219*(1-B267)</f>
        <v>0</v>
      </c>
      <c r="G267" s="17">
        <f>Input!E219*(1-C267)</f>
        <v>0</v>
      </c>
      <c r="H267" s="17">
        <f>Input!F219*(1-B267)</f>
        <v>0</v>
      </c>
      <c r="I267" s="17">
        <f>Input!G219*(1-B267)</f>
        <v>0</v>
      </c>
      <c r="J267" s="6"/>
    </row>
    <row r="268" spans="1:10" x14ac:dyDescent="0.2">
      <c r="A268" s="5" t="s">
        <v>167</v>
      </c>
      <c r="B268" s="22">
        <f>SUMPRODUCT($B155:$F155,Input!$B$111:$F$111)</f>
        <v>0</v>
      </c>
      <c r="C268" s="23">
        <v>1</v>
      </c>
      <c r="D268" s="17">
        <f>Input!B220*(1-B268)</f>
        <v>0</v>
      </c>
      <c r="E268" s="17">
        <f>Input!C220*(1-B268)</f>
        <v>0</v>
      </c>
      <c r="F268" s="17">
        <f>Input!D220*(1-B268)</f>
        <v>0</v>
      </c>
      <c r="G268" s="17">
        <f>Input!E220*(1-C268)</f>
        <v>0</v>
      </c>
      <c r="H268" s="17">
        <f>Input!F220*(1-B268)</f>
        <v>0</v>
      </c>
      <c r="I268" s="17">
        <f>Input!G220*(1-B268)</f>
        <v>0</v>
      </c>
      <c r="J268" s="6"/>
    </row>
    <row r="269" spans="1:10" x14ac:dyDescent="0.2">
      <c r="A269" s="12" t="s">
        <v>168</v>
      </c>
      <c r="J269" s="6"/>
    </row>
    <row r="270" spans="1:10" x14ac:dyDescent="0.2">
      <c r="A270" s="5" t="s">
        <v>65</v>
      </c>
      <c r="B270" s="22">
        <f>SUMPRODUCT($B157:$F157,Input!$B$111:$F$111)</f>
        <v>0</v>
      </c>
      <c r="C270" s="24">
        <f>B270</f>
        <v>0</v>
      </c>
      <c r="D270" s="17">
        <f>Input!B222*(1-B270)</f>
        <v>162.80251073502833</v>
      </c>
      <c r="E270" s="17">
        <f>Input!C222*(1-B270)</f>
        <v>0</v>
      </c>
      <c r="F270" s="17">
        <f>Input!D222*(1-B270)</f>
        <v>0</v>
      </c>
      <c r="G270" s="17">
        <f>Input!E222*(1-C270)</f>
        <v>3</v>
      </c>
      <c r="H270" s="17">
        <f>Input!F222*(1-B270)</f>
        <v>0</v>
      </c>
      <c r="I270" s="17">
        <f>Input!G222*(1-B270)</f>
        <v>9.3101171097353372</v>
      </c>
      <c r="J270" s="6"/>
    </row>
    <row r="271" spans="1:10" x14ac:dyDescent="0.2">
      <c r="A271" s="5" t="s">
        <v>169</v>
      </c>
      <c r="B271" s="22">
        <f>SUMPRODUCT($B158:$F158,Input!$B$111:$F$111)</f>
        <v>0</v>
      </c>
      <c r="C271" s="23">
        <v>1</v>
      </c>
      <c r="D271" s="17">
        <f>Input!B223*(1-B271)</f>
        <v>0</v>
      </c>
      <c r="E271" s="17">
        <f>Input!C223*(1-B271)</f>
        <v>0</v>
      </c>
      <c r="F271" s="17">
        <f>Input!D223*(1-B271)</f>
        <v>0</v>
      </c>
      <c r="G271" s="17">
        <f>Input!E223*(1-C271)</f>
        <v>0</v>
      </c>
      <c r="H271" s="17">
        <f>Input!F223*(1-B271)</f>
        <v>0</v>
      </c>
      <c r="I271" s="17">
        <f>Input!G223*(1-B271)</f>
        <v>0</v>
      </c>
      <c r="J271" s="6"/>
    </row>
    <row r="272" spans="1:10" x14ac:dyDescent="0.2">
      <c r="A272" s="12" t="s">
        <v>170</v>
      </c>
      <c r="J272" s="6"/>
    </row>
    <row r="273" spans="1:10" x14ac:dyDescent="0.2">
      <c r="A273" s="5" t="s">
        <v>66</v>
      </c>
      <c r="B273" s="22">
        <f>SUMPRODUCT($B160:$F160,Input!$B$111:$F$111)</f>
        <v>0</v>
      </c>
      <c r="C273" s="24">
        <f>B273</f>
        <v>0</v>
      </c>
      <c r="D273" s="17">
        <f>Input!B225*(1-B273)</f>
        <v>191.58774492120747</v>
      </c>
      <c r="E273" s="17">
        <f>Input!C225*(1-B273)</f>
        <v>148.85032172385118</v>
      </c>
      <c r="F273" s="17">
        <f>Input!D225*(1-B273)</f>
        <v>129.98347870675352</v>
      </c>
      <c r="G273" s="17">
        <f>Input!E225*(1-C273)</f>
        <v>9</v>
      </c>
      <c r="H273" s="17">
        <f>Input!F225*(1-B273)</f>
        <v>0</v>
      </c>
      <c r="I273" s="17">
        <f>Input!G225*(1-B273)</f>
        <v>765.09034166960498</v>
      </c>
      <c r="J273" s="6"/>
    </row>
    <row r="274" spans="1:10" x14ac:dyDescent="0.2">
      <c r="A274" s="5" t="s">
        <v>171</v>
      </c>
      <c r="B274" s="22">
        <f>SUMPRODUCT($B161:$F161,Input!$B$111:$F$111)</f>
        <v>0</v>
      </c>
      <c r="C274" s="23">
        <v>1</v>
      </c>
      <c r="D274" s="17">
        <f>Input!B226*(1-B274)</f>
        <v>0</v>
      </c>
      <c r="E274" s="17">
        <f>Input!C226*(1-B274)</f>
        <v>0</v>
      </c>
      <c r="F274" s="17">
        <f>Input!D226*(1-B274)</f>
        <v>0</v>
      </c>
      <c r="G274" s="17">
        <f>Input!E226*(1-C274)</f>
        <v>0</v>
      </c>
      <c r="H274" s="17">
        <f>Input!F226*(1-B274)</f>
        <v>0</v>
      </c>
      <c r="I274" s="17">
        <f>Input!G226*(1-B274)</f>
        <v>0</v>
      </c>
      <c r="J274" s="6"/>
    </row>
    <row r="275" spans="1:10" x14ac:dyDescent="0.2">
      <c r="A275" s="12" t="s">
        <v>172</v>
      </c>
      <c r="J275" s="6"/>
    </row>
    <row r="276" spans="1:10" x14ac:dyDescent="0.2">
      <c r="A276" s="5" t="s">
        <v>75</v>
      </c>
      <c r="B276" s="22">
        <f>SUMPRODUCT($B163:$F163,Input!$B$111:$F$111)</f>
        <v>0</v>
      </c>
      <c r="C276" s="24">
        <f>B276</f>
        <v>0</v>
      </c>
      <c r="D276" s="17">
        <f>Input!B228*(1-B276)</f>
        <v>113862.35349765769</v>
      </c>
      <c r="E276" s="17">
        <f>Input!C228*(1-B276)</f>
        <v>0</v>
      </c>
      <c r="F276" s="17">
        <f>Input!D228*(1-B276)</f>
        <v>0</v>
      </c>
      <c r="G276" s="17">
        <f>Input!E228*(1-C276)</f>
        <v>33</v>
      </c>
      <c r="H276" s="17">
        <f>Input!F228*(1-B276)</f>
        <v>0</v>
      </c>
      <c r="I276" s="17">
        <f>Input!G228*(1-B276)</f>
        <v>7606.1687763615655</v>
      </c>
      <c r="J276" s="6"/>
    </row>
    <row r="277" spans="1:10" x14ac:dyDescent="0.2">
      <c r="A277" s="5" t="s">
        <v>173</v>
      </c>
      <c r="B277" s="22">
        <f>SUMPRODUCT($B164:$F164,Input!$B$111:$F$111)</f>
        <v>0</v>
      </c>
      <c r="C277" s="23">
        <v>1</v>
      </c>
      <c r="D277" s="17">
        <f>Input!B229*(1-B277)</f>
        <v>0</v>
      </c>
      <c r="E277" s="17">
        <f>Input!C229*(1-B277)</f>
        <v>0</v>
      </c>
      <c r="F277" s="17">
        <f>Input!D229*(1-B277)</f>
        <v>0</v>
      </c>
      <c r="G277" s="17">
        <f>Input!E229*(1-C277)</f>
        <v>0</v>
      </c>
      <c r="H277" s="17">
        <f>Input!F229*(1-B277)</f>
        <v>0</v>
      </c>
      <c r="I277" s="17">
        <f>Input!G229*(1-B277)</f>
        <v>0</v>
      </c>
      <c r="J277" s="6"/>
    </row>
    <row r="278" spans="1:10" x14ac:dyDescent="0.2">
      <c r="A278" s="12" t="s">
        <v>174</v>
      </c>
      <c r="J278" s="6"/>
    </row>
    <row r="279" spans="1:10" x14ac:dyDescent="0.2">
      <c r="A279" s="5" t="s">
        <v>76</v>
      </c>
      <c r="B279" s="22">
        <f>SUMPRODUCT($B166:$F166,Input!$B$111:$F$111)</f>
        <v>0</v>
      </c>
      <c r="C279" s="24">
        <f>B279</f>
        <v>0</v>
      </c>
      <c r="D279" s="17">
        <f>Input!B231*(1-B279)</f>
        <v>30117.877805273667</v>
      </c>
      <c r="E279" s="17">
        <f>Input!C231*(1-B279)</f>
        <v>148032.72480574468</v>
      </c>
      <c r="F279" s="17">
        <f>Input!D231*(1-B279)</f>
        <v>369275.98540024838</v>
      </c>
      <c r="G279" s="17">
        <f>Input!E231*(1-C279)</f>
        <v>97</v>
      </c>
      <c r="H279" s="17">
        <f>Input!F231*(1-B279)</f>
        <v>0</v>
      </c>
      <c r="I279" s="17">
        <f>Input!G231*(1-B279)</f>
        <v>12285.04977358382</v>
      </c>
      <c r="J279" s="6"/>
    </row>
    <row r="280" spans="1:10" x14ac:dyDescent="0.2">
      <c r="A280" s="5" t="s">
        <v>175</v>
      </c>
      <c r="B280" s="22">
        <f>SUMPRODUCT($B167:$F167,Input!$B$111:$F$111)</f>
        <v>0</v>
      </c>
      <c r="C280" s="23">
        <v>1</v>
      </c>
      <c r="D280" s="17">
        <f>Input!B232*(1-B280)</f>
        <v>0</v>
      </c>
      <c r="E280" s="17">
        <f>Input!C232*(1-B280)</f>
        <v>0</v>
      </c>
      <c r="F280" s="17">
        <f>Input!D232*(1-B280)</f>
        <v>0</v>
      </c>
      <c r="G280" s="17">
        <f>Input!E232*(1-C280)</f>
        <v>0</v>
      </c>
      <c r="H280" s="17">
        <f>Input!F232*(1-B280)</f>
        <v>0</v>
      </c>
      <c r="I280" s="17">
        <f>Input!G232*(1-B280)</f>
        <v>0</v>
      </c>
      <c r="J280" s="6"/>
    </row>
    <row r="281" spans="1:10" x14ac:dyDescent="0.2">
      <c r="A281" s="12" t="s">
        <v>176</v>
      </c>
      <c r="J281" s="6"/>
    </row>
    <row r="282" spans="1:10" x14ac:dyDescent="0.2">
      <c r="A282" s="5" t="s">
        <v>77</v>
      </c>
      <c r="B282" s="22">
        <f>SUMPRODUCT($B169:$F169,Input!$B$111:$F$111)</f>
        <v>0</v>
      </c>
      <c r="C282" s="24">
        <f>B282</f>
        <v>0</v>
      </c>
      <c r="D282" s="17">
        <f>Input!B234*(1-B282)</f>
        <v>0</v>
      </c>
      <c r="E282" s="17">
        <f>Input!C234*(1-B282)</f>
        <v>0</v>
      </c>
      <c r="F282" s="17">
        <f>Input!D234*(1-B282)</f>
        <v>0</v>
      </c>
      <c r="G282" s="17">
        <f>Input!E234*(1-C282)</f>
        <v>0</v>
      </c>
      <c r="H282" s="17">
        <f>Input!F234*(1-B282)</f>
        <v>0</v>
      </c>
      <c r="I282" s="17">
        <f>Input!G234*(1-B282)</f>
        <v>0</v>
      </c>
      <c r="J282" s="6"/>
    </row>
    <row r="283" spans="1:10" x14ac:dyDescent="0.2">
      <c r="A283" s="12" t="s">
        <v>177</v>
      </c>
      <c r="J283" s="6"/>
    </row>
    <row r="284" spans="1:10" x14ac:dyDescent="0.2">
      <c r="A284" s="5" t="s">
        <v>78</v>
      </c>
      <c r="B284" s="22">
        <f>SUMPRODUCT($B171:$F171,Input!$B$111:$F$111)</f>
        <v>0</v>
      </c>
      <c r="C284" s="24">
        <f>B284</f>
        <v>0</v>
      </c>
      <c r="D284" s="17">
        <f>Input!B236*(1-B284)</f>
        <v>0</v>
      </c>
      <c r="E284" s="17">
        <f>Input!C236*(1-B284)</f>
        <v>0</v>
      </c>
      <c r="F284" s="17">
        <f>Input!D236*(1-B284)</f>
        <v>0</v>
      </c>
      <c r="G284" s="17">
        <f>Input!E236*(1-C284)</f>
        <v>0</v>
      </c>
      <c r="H284" s="17">
        <f>Input!F236*(1-B284)</f>
        <v>0</v>
      </c>
      <c r="I284" s="17">
        <f>Input!G236*(1-B284)</f>
        <v>0</v>
      </c>
      <c r="J284" s="6"/>
    </row>
    <row r="286" spans="1:10" ht="16.5" x14ac:dyDescent="0.25">
      <c r="A286" s="3" t="s">
        <v>415</v>
      </c>
    </row>
    <row r="287" spans="1:10" x14ac:dyDescent="0.2">
      <c r="A287" s="10" t="s">
        <v>238</v>
      </c>
    </row>
    <row r="288" spans="1:10" x14ac:dyDescent="0.2">
      <c r="A288" s="11" t="s">
        <v>416</v>
      </c>
    </row>
    <row r="289" spans="1:8" x14ac:dyDescent="0.2">
      <c r="A289" s="11" t="s">
        <v>417</v>
      </c>
    </row>
    <row r="290" spans="1:8" x14ac:dyDescent="0.2">
      <c r="A290" s="11" t="s">
        <v>418</v>
      </c>
    </row>
    <row r="291" spans="1:8" x14ac:dyDescent="0.2">
      <c r="A291" s="11" t="s">
        <v>419</v>
      </c>
    </row>
    <row r="292" spans="1:8" x14ac:dyDescent="0.2">
      <c r="A292" s="11" t="s">
        <v>420</v>
      </c>
    </row>
    <row r="293" spans="1:8" x14ac:dyDescent="0.2">
      <c r="A293" s="11" t="s">
        <v>421</v>
      </c>
    </row>
    <row r="294" spans="1:8" x14ac:dyDescent="0.2">
      <c r="A294" s="18" t="s">
        <v>241</v>
      </c>
      <c r="B294" s="18" t="s">
        <v>372</v>
      </c>
      <c r="C294" s="18" t="s">
        <v>372</v>
      </c>
      <c r="D294" s="18" t="s">
        <v>372</v>
      </c>
      <c r="E294" s="18" t="s">
        <v>372</v>
      </c>
      <c r="F294" s="18" t="s">
        <v>372</v>
      </c>
      <c r="G294" s="18" t="s">
        <v>372</v>
      </c>
    </row>
    <row r="295" spans="1:8" x14ac:dyDescent="0.2">
      <c r="A295" s="18" t="s">
        <v>244</v>
      </c>
      <c r="B295" s="18" t="s">
        <v>422</v>
      </c>
      <c r="C295" s="18" t="s">
        <v>423</v>
      </c>
      <c r="D295" s="18" t="s">
        <v>424</v>
      </c>
      <c r="E295" s="18" t="s">
        <v>425</v>
      </c>
      <c r="F295" s="18" t="s">
        <v>374</v>
      </c>
      <c r="G295" s="18" t="s">
        <v>426</v>
      </c>
    </row>
    <row r="297" spans="1:8" ht="25.5" x14ac:dyDescent="0.2">
      <c r="B297" s="4" t="s">
        <v>105</v>
      </c>
      <c r="C297" s="4" t="s">
        <v>106</v>
      </c>
      <c r="D297" s="4" t="s">
        <v>107</v>
      </c>
      <c r="E297" s="4" t="s">
        <v>108</v>
      </c>
      <c r="F297" s="4" t="s">
        <v>109</v>
      </c>
      <c r="G297" s="4" t="s">
        <v>110</v>
      </c>
    </row>
    <row r="298" spans="1:8" x14ac:dyDescent="0.2">
      <c r="A298" s="5" t="s">
        <v>53</v>
      </c>
      <c r="B298" s="17">
        <f t="shared" ref="B298:G298" si="0">SUM(D$191:D$193)</f>
        <v>7424642.1081218729</v>
      </c>
      <c r="C298" s="17">
        <f t="shared" si="0"/>
        <v>0</v>
      </c>
      <c r="D298" s="17">
        <f t="shared" si="0"/>
        <v>0</v>
      </c>
      <c r="E298" s="17">
        <f t="shared" si="0"/>
        <v>1974989.8815763444</v>
      </c>
      <c r="F298" s="17">
        <f t="shared" si="0"/>
        <v>0</v>
      </c>
      <c r="G298" s="17">
        <f t="shared" si="0"/>
        <v>0</v>
      </c>
      <c r="H298" s="6"/>
    </row>
    <row r="299" spans="1:8" x14ac:dyDescent="0.2">
      <c r="A299" s="5" t="s">
        <v>54</v>
      </c>
      <c r="B299" s="17">
        <f t="shared" ref="B299:G299" si="1">SUM(D$195:D$197)</f>
        <v>673337.24890425859</v>
      </c>
      <c r="C299" s="17">
        <f t="shared" si="1"/>
        <v>551223.34936274542</v>
      </c>
      <c r="D299" s="17">
        <f t="shared" si="1"/>
        <v>0</v>
      </c>
      <c r="E299" s="17">
        <f t="shared" si="1"/>
        <v>193580.3873657005</v>
      </c>
      <c r="F299" s="17">
        <f t="shared" si="1"/>
        <v>0</v>
      </c>
      <c r="G299" s="17">
        <f t="shared" si="1"/>
        <v>0</v>
      </c>
      <c r="H299" s="6"/>
    </row>
    <row r="300" spans="1:8" x14ac:dyDescent="0.2">
      <c r="A300" s="5" t="s">
        <v>94</v>
      </c>
      <c r="B300" s="17">
        <f t="shared" ref="B300:G300" si="2">SUM(D$199:D$201)</f>
        <v>29089.73821783829</v>
      </c>
      <c r="C300" s="17">
        <f t="shared" si="2"/>
        <v>0</v>
      </c>
      <c r="D300" s="17">
        <f t="shared" si="2"/>
        <v>0</v>
      </c>
      <c r="E300" s="17">
        <f t="shared" si="2"/>
        <v>7812.8718610241485</v>
      </c>
      <c r="F300" s="17">
        <f t="shared" si="2"/>
        <v>0</v>
      </c>
      <c r="G300" s="17">
        <f t="shared" si="2"/>
        <v>0</v>
      </c>
      <c r="H300" s="6"/>
    </row>
    <row r="301" spans="1:8" x14ac:dyDescent="0.2">
      <c r="A301" s="5" t="s">
        <v>55</v>
      </c>
      <c r="B301" s="17">
        <f t="shared" ref="B301:G301" si="3">SUM(D$203:D$205)</f>
        <v>1775729.240038729</v>
      </c>
      <c r="C301" s="17">
        <f t="shared" si="3"/>
        <v>0</v>
      </c>
      <c r="D301" s="17">
        <f t="shared" si="3"/>
        <v>0</v>
      </c>
      <c r="E301" s="17">
        <f t="shared" si="3"/>
        <v>119534.75714191294</v>
      </c>
      <c r="F301" s="17">
        <f t="shared" si="3"/>
        <v>0</v>
      </c>
      <c r="G301" s="17">
        <f t="shared" si="3"/>
        <v>0</v>
      </c>
      <c r="H301" s="6"/>
    </row>
    <row r="302" spans="1:8" x14ac:dyDescent="0.2">
      <c r="A302" s="5" t="s">
        <v>56</v>
      </c>
      <c r="B302" s="17">
        <f t="shared" ref="B302:G302" si="4">SUM(D$207:D$209)</f>
        <v>580399.77761631669</v>
      </c>
      <c r="C302" s="17">
        <f t="shared" si="4"/>
        <v>225932.51020862002</v>
      </c>
      <c r="D302" s="17">
        <f t="shared" si="4"/>
        <v>0</v>
      </c>
      <c r="E302" s="17">
        <f t="shared" si="4"/>
        <v>30828.962082077825</v>
      </c>
      <c r="F302" s="17">
        <f t="shared" si="4"/>
        <v>0</v>
      </c>
      <c r="G302" s="17">
        <f t="shared" si="4"/>
        <v>0</v>
      </c>
      <c r="H302" s="6"/>
    </row>
    <row r="303" spans="1:8" x14ac:dyDescent="0.2">
      <c r="A303" s="5" t="s">
        <v>95</v>
      </c>
      <c r="B303" s="17">
        <f t="shared" ref="B303:G303" si="5">SUM(D$211:D$213)</f>
        <v>29762.160927484445</v>
      </c>
      <c r="C303" s="17">
        <f t="shared" si="5"/>
        <v>0</v>
      </c>
      <c r="D303" s="17">
        <f t="shared" si="5"/>
        <v>0</v>
      </c>
      <c r="E303" s="17">
        <f t="shared" si="5"/>
        <v>4537.443879090979</v>
      </c>
      <c r="F303" s="17">
        <f t="shared" si="5"/>
        <v>0</v>
      </c>
      <c r="G303" s="17">
        <f t="shared" si="5"/>
        <v>0</v>
      </c>
      <c r="H303" s="6"/>
    </row>
    <row r="304" spans="1:8" x14ac:dyDescent="0.2">
      <c r="A304" s="5" t="s">
        <v>57</v>
      </c>
      <c r="B304" s="17">
        <f t="shared" ref="B304:G304" si="6">SUM(D$215:D$217)</f>
        <v>1029447.8754551987</v>
      </c>
      <c r="C304" s="17">
        <f t="shared" si="6"/>
        <v>253908.36483987715</v>
      </c>
      <c r="D304" s="17">
        <f t="shared" si="6"/>
        <v>0</v>
      </c>
      <c r="E304" s="17">
        <f t="shared" si="6"/>
        <v>11230.415229434841</v>
      </c>
      <c r="F304" s="17">
        <f t="shared" si="6"/>
        <v>0</v>
      </c>
      <c r="G304" s="17">
        <f t="shared" si="6"/>
        <v>0</v>
      </c>
      <c r="H304" s="6"/>
    </row>
    <row r="305" spans="1:8" x14ac:dyDescent="0.2">
      <c r="A305" s="5" t="s">
        <v>58</v>
      </c>
      <c r="B305" s="17">
        <f t="shared" ref="B305:G305" si="7">SUM(D$219:D$219)</f>
        <v>34485.961825356251</v>
      </c>
      <c r="C305" s="17">
        <f t="shared" si="7"/>
        <v>9407.0686626999159</v>
      </c>
      <c r="D305" s="17">
        <f t="shared" si="7"/>
        <v>0</v>
      </c>
      <c r="E305" s="17">
        <f t="shared" si="7"/>
        <v>348.75333450159138</v>
      </c>
      <c r="F305" s="17">
        <f t="shared" si="7"/>
        <v>0</v>
      </c>
      <c r="G305" s="17">
        <f t="shared" si="7"/>
        <v>0</v>
      </c>
      <c r="H305" s="6"/>
    </row>
    <row r="306" spans="1:8" x14ac:dyDescent="0.2">
      <c r="A306" s="5" t="s">
        <v>72</v>
      </c>
      <c r="B306" s="17">
        <f t="shared" ref="B306:G306" si="8">SUM(D$221:D$221)</f>
        <v>8641.9161673928411</v>
      </c>
      <c r="C306" s="17">
        <f t="shared" si="8"/>
        <v>2565.3353644297385</v>
      </c>
      <c r="D306" s="17">
        <f t="shared" si="8"/>
        <v>0</v>
      </c>
      <c r="E306" s="17">
        <f t="shared" si="8"/>
        <v>68.555558952026317</v>
      </c>
      <c r="F306" s="17">
        <f t="shared" si="8"/>
        <v>0</v>
      </c>
      <c r="G306" s="17">
        <f t="shared" si="8"/>
        <v>0</v>
      </c>
      <c r="H306" s="6"/>
    </row>
    <row r="307" spans="1:8" x14ac:dyDescent="0.2">
      <c r="A307" s="5" t="s">
        <v>59</v>
      </c>
      <c r="B307" s="17">
        <f t="shared" ref="B307:G307" si="9">SUM(D$223:D$225)</f>
        <v>115710.04138381009</v>
      </c>
      <c r="C307" s="17">
        <f t="shared" si="9"/>
        <v>661020.25327785639</v>
      </c>
      <c r="D307" s="17">
        <f t="shared" si="9"/>
        <v>808010.335403773</v>
      </c>
      <c r="E307" s="17">
        <f t="shared" si="9"/>
        <v>4948.4112120990931</v>
      </c>
      <c r="F307" s="17">
        <f t="shared" si="9"/>
        <v>752209.79678130196</v>
      </c>
      <c r="G307" s="17">
        <f t="shared" si="9"/>
        <v>116363.06440213854</v>
      </c>
      <c r="H307" s="6"/>
    </row>
    <row r="308" spans="1:8" x14ac:dyDescent="0.2">
      <c r="A308" s="5" t="s">
        <v>60</v>
      </c>
      <c r="B308" s="17">
        <f t="shared" ref="B308:G308" si="10">SUM(D$227:D$228)</f>
        <v>93144.042828731064</v>
      </c>
      <c r="C308" s="17">
        <f t="shared" si="10"/>
        <v>545943.1064019521</v>
      </c>
      <c r="D308" s="17">
        <f t="shared" si="10"/>
        <v>688947.02480521007</v>
      </c>
      <c r="E308" s="17">
        <f t="shared" si="10"/>
        <v>1830.2774665284201</v>
      </c>
      <c r="F308" s="17">
        <f t="shared" si="10"/>
        <v>631754.01391039649</v>
      </c>
      <c r="G308" s="17">
        <f t="shared" si="10"/>
        <v>99562.514593088417</v>
      </c>
      <c r="H308" s="6"/>
    </row>
    <row r="309" spans="1:8" x14ac:dyDescent="0.2">
      <c r="A309" s="5" t="s">
        <v>73</v>
      </c>
      <c r="B309" s="17">
        <f t="shared" ref="B309:G309" si="11">SUM(D$230:D$231)</f>
        <v>348070.46558944526</v>
      </c>
      <c r="C309" s="17">
        <f t="shared" si="11"/>
        <v>1911997.1742103195</v>
      </c>
      <c r="D309" s="17">
        <f t="shared" si="11"/>
        <v>2977880.4572311277</v>
      </c>
      <c r="E309" s="17">
        <f t="shared" si="11"/>
        <v>1964.4374527396105</v>
      </c>
      <c r="F309" s="17">
        <f t="shared" si="11"/>
        <v>1834857.0806551576</v>
      </c>
      <c r="G309" s="17">
        <f t="shared" si="11"/>
        <v>309733.7512243017</v>
      </c>
      <c r="H309" s="6"/>
    </row>
    <row r="310" spans="1:8" x14ac:dyDescent="0.2">
      <c r="A310" s="5" t="s">
        <v>74</v>
      </c>
      <c r="B310" s="17">
        <f t="shared" ref="B310:G310" si="12">SUM(D$233:D$233)</f>
        <v>0</v>
      </c>
      <c r="C310" s="17">
        <f t="shared" si="12"/>
        <v>0</v>
      </c>
      <c r="D310" s="17">
        <f t="shared" si="12"/>
        <v>0</v>
      </c>
      <c r="E310" s="17">
        <f t="shared" si="12"/>
        <v>0</v>
      </c>
      <c r="F310" s="17">
        <f t="shared" si="12"/>
        <v>0</v>
      </c>
      <c r="G310" s="17">
        <f t="shared" si="12"/>
        <v>0</v>
      </c>
      <c r="H310" s="6"/>
    </row>
    <row r="311" spans="1:8" x14ac:dyDescent="0.2">
      <c r="A311" s="5" t="s">
        <v>96</v>
      </c>
      <c r="B311" s="17">
        <f t="shared" ref="B311:G311" si="13">SUM(D$235:D$237)</f>
        <v>43147.28153507517</v>
      </c>
      <c r="C311" s="17">
        <f t="shared" si="13"/>
        <v>0</v>
      </c>
      <c r="D311" s="17">
        <f t="shared" si="13"/>
        <v>0</v>
      </c>
      <c r="E311" s="17">
        <f t="shared" si="13"/>
        <v>248</v>
      </c>
      <c r="F311" s="17">
        <f t="shared" si="13"/>
        <v>0</v>
      </c>
      <c r="G311" s="17">
        <f t="shared" si="13"/>
        <v>0</v>
      </c>
      <c r="H311" s="6"/>
    </row>
    <row r="312" spans="1:8" x14ac:dyDescent="0.2">
      <c r="A312" s="5" t="s">
        <v>97</v>
      </c>
      <c r="B312" s="17">
        <f t="shared" ref="B312:G312" si="14">SUM(D$239:D$241)</f>
        <v>13480.007420349682</v>
      </c>
      <c r="C312" s="17">
        <f t="shared" si="14"/>
        <v>0</v>
      </c>
      <c r="D312" s="17">
        <f t="shared" si="14"/>
        <v>0</v>
      </c>
      <c r="E312" s="17">
        <f t="shared" si="14"/>
        <v>418.33818597354173</v>
      </c>
      <c r="F312" s="17">
        <f t="shared" si="14"/>
        <v>0</v>
      </c>
      <c r="G312" s="17">
        <f t="shared" si="14"/>
        <v>0</v>
      </c>
      <c r="H312" s="6"/>
    </row>
    <row r="313" spans="1:8" x14ac:dyDescent="0.2">
      <c r="A313" s="5" t="s">
        <v>98</v>
      </c>
      <c r="B313" s="17">
        <f t="shared" ref="B313:G313" si="15">SUM(D$243:D$245)</f>
        <v>1.3947031837786772</v>
      </c>
      <c r="C313" s="17">
        <f t="shared" si="15"/>
        <v>0</v>
      </c>
      <c r="D313" s="17">
        <f t="shared" si="15"/>
        <v>0</v>
      </c>
      <c r="E313" s="17">
        <f t="shared" si="15"/>
        <v>1</v>
      </c>
      <c r="F313" s="17">
        <f t="shared" si="15"/>
        <v>0</v>
      </c>
      <c r="G313" s="17">
        <f t="shared" si="15"/>
        <v>0</v>
      </c>
      <c r="H313" s="6"/>
    </row>
    <row r="314" spans="1:8" x14ac:dyDescent="0.2">
      <c r="A314" s="5" t="s">
        <v>99</v>
      </c>
      <c r="B314" s="17">
        <f t="shared" ref="B314:G314" si="16">SUM(D$247:D$249)</f>
        <v>0</v>
      </c>
      <c r="C314" s="17">
        <f t="shared" si="16"/>
        <v>0</v>
      </c>
      <c r="D314" s="17">
        <f t="shared" si="16"/>
        <v>0</v>
      </c>
      <c r="E314" s="17">
        <f t="shared" si="16"/>
        <v>0</v>
      </c>
      <c r="F314" s="17">
        <f t="shared" si="16"/>
        <v>0</v>
      </c>
      <c r="G314" s="17">
        <f t="shared" si="16"/>
        <v>0</v>
      </c>
      <c r="H314" s="6"/>
    </row>
    <row r="315" spans="1:8" x14ac:dyDescent="0.2">
      <c r="A315" s="5" t="s">
        <v>100</v>
      </c>
      <c r="B315" s="17">
        <f t="shared" ref="B315:G315" si="17">SUM(D$251:D$253)</f>
        <v>9424.2315778324828</v>
      </c>
      <c r="C315" s="17">
        <f t="shared" si="17"/>
        <v>33565.973169766723</v>
      </c>
      <c r="D315" s="17">
        <f t="shared" si="17"/>
        <v>236161.06999327819</v>
      </c>
      <c r="E315" s="17">
        <f t="shared" si="17"/>
        <v>23</v>
      </c>
      <c r="F315" s="17">
        <f t="shared" si="17"/>
        <v>0</v>
      </c>
      <c r="G315" s="17">
        <f t="shared" si="17"/>
        <v>0</v>
      </c>
      <c r="H315" s="6"/>
    </row>
    <row r="316" spans="1:8" x14ac:dyDescent="0.2">
      <c r="A316" s="5" t="s">
        <v>61</v>
      </c>
      <c r="B316" s="17">
        <f t="shared" ref="B316:G316" si="18">SUM(D$255:D$257)</f>
        <v>878.96280862633739</v>
      </c>
      <c r="C316" s="17">
        <f t="shared" si="18"/>
        <v>0</v>
      </c>
      <c r="D316" s="17">
        <f t="shared" si="18"/>
        <v>0</v>
      </c>
      <c r="E316" s="17">
        <f t="shared" si="18"/>
        <v>51</v>
      </c>
      <c r="F316" s="17">
        <f t="shared" si="18"/>
        <v>0</v>
      </c>
      <c r="G316" s="17">
        <f t="shared" si="18"/>
        <v>0</v>
      </c>
      <c r="H316" s="6"/>
    </row>
    <row r="317" spans="1:8" x14ac:dyDescent="0.2">
      <c r="A317" s="5" t="s">
        <v>62</v>
      </c>
      <c r="B317" s="17">
        <f t="shared" ref="B317:G317" si="19">SUM(D$259:D$260)</f>
        <v>0</v>
      </c>
      <c r="C317" s="17">
        <f t="shared" si="19"/>
        <v>0</v>
      </c>
      <c r="D317" s="17">
        <f t="shared" si="19"/>
        <v>0</v>
      </c>
      <c r="E317" s="17">
        <f t="shared" si="19"/>
        <v>0</v>
      </c>
      <c r="F317" s="17">
        <f t="shared" si="19"/>
        <v>0</v>
      </c>
      <c r="G317" s="17">
        <f t="shared" si="19"/>
        <v>0</v>
      </c>
      <c r="H317" s="6"/>
    </row>
    <row r="318" spans="1:8" x14ac:dyDescent="0.2">
      <c r="A318" s="5" t="s">
        <v>63</v>
      </c>
      <c r="B318" s="17">
        <f t="shared" ref="B318:G318" si="20">SUM(D$262:D$264)</f>
        <v>3907.804934004047</v>
      </c>
      <c r="C318" s="17">
        <f t="shared" si="20"/>
        <v>0</v>
      </c>
      <c r="D318" s="17">
        <f t="shared" si="20"/>
        <v>0</v>
      </c>
      <c r="E318" s="17">
        <f t="shared" si="20"/>
        <v>39</v>
      </c>
      <c r="F318" s="17">
        <f t="shared" si="20"/>
        <v>0</v>
      </c>
      <c r="G318" s="17">
        <f t="shared" si="20"/>
        <v>1417.9367991080762</v>
      </c>
      <c r="H318" s="6"/>
    </row>
    <row r="319" spans="1:8" x14ac:dyDescent="0.2">
      <c r="A319" s="5" t="s">
        <v>64</v>
      </c>
      <c r="B319" s="17">
        <f t="shared" ref="B319:G319" si="21">SUM(D$266:D$268)</f>
        <v>38.187016590265401</v>
      </c>
      <c r="C319" s="17">
        <f t="shared" si="21"/>
        <v>77.674890534546904</v>
      </c>
      <c r="D319" s="17">
        <f t="shared" si="21"/>
        <v>115.07817629643461</v>
      </c>
      <c r="E319" s="17">
        <f t="shared" si="21"/>
        <v>6</v>
      </c>
      <c r="F319" s="17">
        <f t="shared" si="21"/>
        <v>0</v>
      </c>
      <c r="G319" s="17">
        <f t="shared" si="21"/>
        <v>26.176347095751652</v>
      </c>
      <c r="H319" s="6"/>
    </row>
    <row r="320" spans="1:8" x14ac:dyDescent="0.2">
      <c r="A320" s="5" t="s">
        <v>65</v>
      </c>
      <c r="B320" s="17">
        <f t="shared" ref="B320:G320" si="22">SUM(D$270:D$271)</f>
        <v>162.80251073502833</v>
      </c>
      <c r="C320" s="17">
        <f t="shared" si="22"/>
        <v>0</v>
      </c>
      <c r="D320" s="17">
        <f t="shared" si="22"/>
        <v>0</v>
      </c>
      <c r="E320" s="17">
        <f t="shared" si="22"/>
        <v>3</v>
      </c>
      <c r="F320" s="17">
        <f t="shared" si="22"/>
        <v>0</v>
      </c>
      <c r="G320" s="17">
        <f t="shared" si="22"/>
        <v>9.3101171097353372</v>
      </c>
      <c r="H320" s="6"/>
    </row>
    <row r="321" spans="1:8" x14ac:dyDescent="0.2">
      <c r="A321" s="5" t="s">
        <v>66</v>
      </c>
      <c r="B321" s="17">
        <f t="shared" ref="B321:G321" si="23">SUM(D$273:D$274)</f>
        <v>191.58774492120747</v>
      </c>
      <c r="C321" s="17">
        <f t="shared" si="23"/>
        <v>148.85032172385118</v>
      </c>
      <c r="D321" s="17">
        <f t="shared" si="23"/>
        <v>129.98347870675352</v>
      </c>
      <c r="E321" s="17">
        <f t="shared" si="23"/>
        <v>9</v>
      </c>
      <c r="F321" s="17">
        <f t="shared" si="23"/>
        <v>0</v>
      </c>
      <c r="G321" s="17">
        <f t="shared" si="23"/>
        <v>765.09034166960498</v>
      </c>
      <c r="H321" s="6"/>
    </row>
    <row r="322" spans="1:8" x14ac:dyDescent="0.2">
      <c r="A322" s="5" t="s">
        <v>75</v>
      </c>
      <c r="B322" s="17">
        <f t="shared" ref="B322:G322" si="24">SUM(D$276:D$277)</f>
        <v>113862.35349765769</v>
      </c>
      <c r="C322" s="17">
        <f t="shared" si="24"/>
        <v>0</v>
      </c>
      <c r="D322" s="17">
        <f t="shared" si="24"/>
        <v>0</v>
      </c>
      <c r="E322" s="17">
        <f t="shared" si="24"/>
        <v>33</v>
      </c>
      <c r="F322" s="17">
        <f t="shared" si="24"/>
        <v>0</v>
      </c>
      <c r="G322" s="17">
        <f t="shared" si="24"/>
        <v>7606.1687763615655</v>
      </c>
      <c r="H322" s="6"/>
    </row>
    <row r="323" spans="1:8" x14ac:dyDescent="0.2">
      <c r="A323" s="5" t="s">
        <v>76</v>
      </c>
      <c r="B323" s="17">
        <f t="shared" ref="B323:G323" si="25">SUM(D$279:D$280)</f>
        <v>30117.877805273667</v>
      </c>
      <c r="C323" s="17">
        <f t="shared" si="25"/>
        <v>148032.72480574468</v>
      </c>
      <c r="D323" s="17">
        <f t="shared" si="25"/>
        <v>369275.98540024838</v>
      </c>
      <c r="E323" s="17">
        <f t="shared" si="25"/>
        <v>97</v>
      </c>
      <c r="F323" s="17">
        <f t="shared" si="25"/>
        <v>0</v>
      </c>
      <c r="G323" s="17">
        <f t="shared" si="25"/>
        <v>12285.04977358382</v>
      </c>
      <c r="H323" s="6"/>
    </row>
    <row r="324" spans="1:8" x14ac:dyDescent="0.2">
      <c r="A324" s="5" t="s">
        <v>77</v>
      </c>
      <c r="B324" s="17">
        <f t="shared" ref="B324:G324" si="26">SUM(D$282:D$282)</f>
        <v>0</v>
      </c>
      <c r="C324" s="17">
        <f t="shared" si="26"/>
        <v>0</v>
      </c>
      <c r="D324" s="17">
        <f t="shared" si="26"/>
        <v>0</v>
      </c>
      <c r="E324" s="17">
        <f t="shared" si="26"/>
        <v>0</v>
      </c>
      <c r="F324" s="17">
        <f t="shared" si="26"/>
        <v>0</v>
      </c>
      <c r="G324" s="17">
        <f t="shared" si="26"/>
        <v>0</v>
      </c>
      <c r="H324" s="6"/>
    </row>
    <row r="325" spans="1:8" x14ac:dyDescent="0.2">
      <c r="A325" s="5" t="s">
        <v>78</v>
      </c>
      <c r="B325" s="17">
        <f t="shared" ref="B325:G325" si="27">SUM(D$284:D$284)</f>
        <v>0</v>
      </c>
      <c r="C325" s="17">
        <f t="shared" si="27"/>
        <v>0</v>
      </c>
      <c r="D325" s="17">
        <f t="shared" si="27"/>
        <v>0</v>
      </c>
      <c r="E325" s="17">
        <f t="shared" si="27"/>
        <v>0</v>
      </c>
      <c r="F325" s="17">
        <f t="shared" si="27"/>
        <v>0</v>
      </c>
      <c r="G325" s="17">
        <f t="shared" si="27"/>
        <v>0</v>
      </c>
      <c r="H325" s="6"/>
    </row>
  </sheetData>
  <sheetProtection sheet="1" objects="1"/>
  <hyperlinks>
    <hyperlink ref="A14" location="'Input'!B117" display="'Input'!B117"/>
    <hyperlink ref="A15" location="'Input'!C117" display="'Input'!C117"/>
    <hyperlink ref="A40" location="'Loads'!B19" display="'Loads'!B19"/>
    <hyperlink ref="A175" location="'Loads'!B77" display="'Loads'!B77"/>
    <hyperlink ref="A176" location="'Input'!B111" display="'Input'!B111"/>
    <hyperlink ref="A178" location="'Loads'!B190" display="'Loads'!B190"/>
    <hyperlink ref="A179" location="'Input'!B142" display="'Input'!B142"/>
    <hyperlink ref="A180" location="'Input'!C142" display="'Input'!C142"/>
    <hyperlink ref="A181" location="'Input'!D142" display="'Input'!D142"/>
    <hyperlink ref="A182" location="'Input'!E142" display="'Input'!E142"/>
    <hyperlink ref="A183" location="'Loads'!C190" display="'Loads'!C190"/>
    <hyperlink ref="A184" location="'Input'!F142" display="'Input'!F142"/>
    <hyperlink ref="A185" location="'Input'!G142" display="'Input'!G142"/>
    <hyperlink ref="A288" location="'Loads'!D190" display="'Loads'!D190"/>
    <hyperlink ref="A289" location="'Loads'!E190" display="'Loads'!E190"/>
    <hyperlink ref="A290" location="'Loads'!F190" display="'Loads'!F190"/>
    <hyperlink ref="A291" location="'Loads'!G190" display="'Loads'!G190"/>
    <hyperlink ref="A292" location="'Loads'!H190" display="'Loads'!H190"/>
    <hyperlink ref="A293" location="'Loads'!I190" display="'Loads'!I190"/>
  </hyperlinks>
  <pageMargins left="0.75" right="0.75" top="1" bottom="1" header="0.5" footer="0.5"/>
  <pageSetup paperSize="9" scale="37" fitToHeight="0" orientation="portrait" blackAndWhite="1" r:id="rId1"/>
  <headerFooter alignWithMargins="0">
    <oddHeader>&amp;L&amp;A&amp;Cr6140&amp;R&amp;P of &amp;N</oddHeader>
    <oddFooter>&amp;F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645"/>
  <sheetViews>
    <sheetView showGridLines="0" workbookViewId="0">
      <pane xSplit="1" ySplit="1" topLeftCell="B2" activePane="bottomRight" state="frozen"/>
      <selection pane="topRight"/>
      <selection pane="bottomLeft"/>
      <selection pane="bottomRight"/>
    </sheetView>
  </sheetViews>
  <sheetFormatPr defaultRowHeight="12.75" x14ac:dyDescent="0.2"/>
  <cols>
    <col min="1" max="1" width="50.7109375" customWidth="1"/>
    <col min="2" max="251" width="16.7109375" customWidth="1"/>
  </cols>
  <sheetData>
    <row r="1" spans="1:6" ht="19.5" x14ac:dyDescent="0.3">
      <c r="A1" s="15" t="str">
        <f>"r6140: Load characteristics for multiple unit rates"&amp;" for "&amp;Input!B7&amp;" in "&amp;Input!C7&amp;" ("&amp;Input!D7&amp;")"</f>
        <v>r6140: Load characteristics for multiple unit rates for Electricity North West  in 2013/14 (April 2013 Indicative)</v>
      </c>
    </row>
    <row r="3" spans="1:6" ht="16.5" x14ac:dyDescent="0.25">
      <c r="A3" s="3" t="s">
        <v>427</v>
      </c>
    </row>
    <row r="4" spans="1:6" x14ac:dyDescent="0.2">
      <c r="A4" s="10" t="s">
        <v>238</v>
      </c>
    </row>
    <row r="5" spans="1:6" x14ac:dyDescent="0.2">
      <c r="A5" s="11" t="s">
        <v>428</v>
      </c>
    </row>
    <row r="6" spans="1:6" x14ac:dyDescent="0.2">
      <c r="A6" s="11" t="s">
        <v>429</v>
      </c>
    </row>
    <row r="7" spans="1:6" x14ac:dyDescent="0.2">
      <c r="A7" s="11" t="s">
        <v>430</v>
      </c>
    </row>
    <row r="8" spans="1:6" x14ac:dyDescent="0.2">
      <c r="A8" s="18" t="s">
        <v>241</v>
      </c>
      <c r="B8" s="18" t="s">
        <v>372</v>
      </c>
      <c r="C8" s="18" t="s">
        <v>371</v>
      </c>
      <c r="D8" s="18"/>
      <c r="E8" s="18"/>
    </row>
    <row r="9" spans="1:6" x14ac:dyDescent="0.2">
      <c r="A9" s="18" t="s">
        <v>244</v>
      </c>
      <c r="B9" s="18" t="s">
        <v>422</v>
      </c>
      <c r="C9" s="18" t="s">
        <v>431</v>
      </c>
      <c r="D9" s="18"/>
      <c r="E9" s="18"/>
    </row>
    <row r="11" spans="1:6" ht="25.5" x14ac:dyDescent="0.2">
      <c r="C11" s="14" t="s">
        <v>433</v>
      </c>
      <c r="D11" s="14"/>
      <c r="E11" s="14"/>
    </row>
    <row r="12" spans="1:6" x14ac:dyDescent="0.2">
      <c r="B12" s="4" t="s">
        <v>432</v>
      </c>
      <c r="C12" s="4" t="s">
        <v>204</v>
      </c>
      <c r="D12" s="4" t="s">
        <v>205</v>
      </c>
      <c r="E12" s="4" t="s">
        <v>206</v>
      </c>
    </row>
    <row r="13" spans="1:6" ht="25.5" x14ac:dyDescent="0.2">
      <c r="A13" s="5" t="s">
        <v>434</v>
      </c>
      <c r="B13" s="26">
        <f>SUM(Input!$B300:$D300)</f>
        <v>8760</v>
      </c>
      <c r="C13" s="26">
        <f>Input!B300*24*Input!$F14/$B13</f>
        <v>522</v>
      </c>
      <c r="D13" s="26">
        <f>Input!C300*24*Input!$F14/$B13</f>
        <v>2687.5</v>
      </c>
      <c r="E13" s="26">
        <f>Input!D300*24*Input!$F14/$B13</f>
        <v>5550.5</v>
      </c>
      <c r="F13" s="6"/>
    </row>
    <row r="15" spans="1:6" ht="16.5" x14ac:dyDescent="0.25">
      <c r="A15" s="3" t="s">
        <v>435</v>
      </c>
    </row>
    <row r="16" spans="1:6" x14ac:dyDescent="0.2">
      <c r="A16" s="10" t="s">
        <v>238</v>
      </c>
    </row>
    <row r="17" spans="1:6" x14ac:dyDescent="0.2">
      <c r="A17" s="11" t="s">
        <v>436</v>
      </c>
    </row>
    <row r="18" spans="1:6" x14ac:dyDescent="0.2">
      <c r="A18" s="11" t="s">
        <v>437</v>
      </c>
    </row>
    <row r="19" spans="1:6" x14ac:dyDescent="0.2">
      <c r="A19" s="11" t="s">
        <v>438</v>
      </c>
    </row>
    <row r="20" spans="1:6" x14ac:dyDescent="0.2">
      <c r="A20" s="11" t="s">
        <v>439</v>
      </c>
    </row>
    <row r="21" spans="1:6" x14ac:dyDescent="0.2">
      <c r="A21" s="18" t="s">
        <v>241</v>
      </c>
      <c r="B21" s="18" t="s">
        <v>372</v>
      </c>
      <c r="C21" s="18" t="s">
        <v>371</v>
      </c>
      <c r="D21" s="18"/>
      <c r="E21" s="18"/>
    </row>
    <row r="22" spans="1:6" x14ac:dyDescent="0.2">
      <c r="A22" s="18" t="s">
        <v>244</v>
      </c>
      <c r="B22" s="18" t="s">
        <v>422</v>
      </c>
      <c r="C22" s="18" t="s">
        <v>440</v>
      </c>
      <c r="D22" s="18"/>
      <c r="E22" s="18"/>
    </row>
    <row r="24" spans="1:6" x14ac:dyDescent="0.2">
      <c r="C24" s="14" t="s">
        <v>442</v>
      </c>
      <c r="D24" s="14"/>
      <c r="E24" s="14"/>
    </row>
    <row r="25" spans="1:6" x14ac:dyDescent="0.2">
      <c r="B25" s="4" t="s">
        <v>441</v>
      </c>
      <c r="C25" s="4" t="s">
        <v>204</v>
      </c>
      <c r="D25" s="4" t="s">
        <v>205</v>
      </c>
      <c r="E25" s="4" t="s">
        <v>206</v>
      </c>
    </row>
    <row r="26" spans="1:6" x14ac:dyDescent="0.2">
      <c r="A26" s="5" t="s">
        <v>54</v>
      </c>
      <c r="B26" s="22">
        <f>SUM(Input!$B263:$D263)</f>
        <v>0.99999999999999967</v>
      </c>
      <c r="C26" s="22">
        <f>IF($B26,Input!B263/$B26,C$13/Input!$F$14/24)</f>
        <v>9.25755604324658E-2</v>
      </c>
      <c r="D26" s="22">
        <f>IF($B26,Input!C263/$B26,D$13/Input!$F$14/24)</f>
        <v>0.36276883951810407</v>
      </c>
      <c r="E26" s="22">
        <f>IF($B26,Input!D263/$B26,E$13/Input!$F$14/24)</f>
        <v>0.54465560004943014</v>
      </c>
      <c r="F26" s="6"/>
    </row>
    <row r="27" spans="1:6" x14ac:dyDescent="0.2">
      <c r="A27" s="5" t="s">
        <v>94</v>
      </c>
      <c r="B27" s="22">
        <f>SUM(Input!$B264:$D264)</f>
        <v>0.99999999999999678</v>
      </c>
      <c r="C27" s="22">
        <f>IF($B27,Input!B264/$B27,C$13/Input!$F$14/24)</f>
        <v>2.3745312951473723E-3</v>
      </c>
      <c r="D27" s="22">
        <f>IF($B27,Input!C264/$B27,D$13/Input!$F$14/24)</f>
        <v>8.9757905649897607E-2</v>
      </c>
      <c r="E27" s="22">
        <f>IF($B27,Input!D264/$B27,E$13/Input!$F$14/24)</f>
        <v>0.90786756305495497</v>
      </c>
      <c r="F27" s="6"/>
    </row>
    <row r="28" spans="1:6" x14ac:dyDescent="0.2">
      <c r="A28" s="5" t="s">
        <v>56</v>
      </c>
      <c r="B28" s="22">
        <f>SUM(Input!$B265:$D265)</f>
        <v>1.000000000000004</v>
      </c>
      <c r="C28" s="22">
        <f>IF($B28,Input!B265/$B28,C$13/Input!$F$14/24)</f>
        <v>8.2056713906240655E-2</v>
      </c>
      <c r="D28" s="22">
        <f>IF($B28,Input!C265/$B28,D$13/Input!$F$14/24)</f>
        <v>0.48499709740086999</v>
      </c>
      <c r="E28" s="22">
        <f>IF($B28,Input!D265/$B28,E$13/Input!$F$14/24)</f>
        <v>0.43294618869288937</v>
      </c>
      <c r="F28" s="6"/>
    </row>
    <row r="29" spans="1:6" x14ac:dyDescent="0.2">
      <c r="A29" s="5" t="s">
        <v>95</v>
      </c>
      <c r="B29" s="22">
        <f>SUM(Input!$B266:$D266)</f>
        <v>1.0000000000000007</v>
      </c>
      <c r="C29" s="22">
        <f>IF($B29,Input!B266/$B29,C$13/Input!$F$14/24)</f>
        <v>1.0253327561345171E-3</v>
      </c>
      <c r="D29" s="22">
        <f>IF($B29,Input!C266/$B29,D$13/Input!$F$14/24)</f>
        <v>5.7017181650198166E-2</v>
      </c>
      <c r="E29" s="22">
        <f>IF($B29,Input!D266/$B29,E$13/Input!$F$14/24)</f>
        <v>0.94195748559366721</v>
      </c>
      <c r="F29" s="6"/>
    </row>
    <row r="30" spans="1:6" x14ac:dyDescent="0.2">
      <c r="A30" s="5" t="s">
        <v>57</v>
      </c>
      <c r="B30" s="22">
        <f>SUM(Input!$B267:$D267)</f>
        <v>1.0000000000000016</v>
      </c>
      <c r="C30" s="22">
        <f>IF($B30,Input!B267/$B30,C$13/Input!$F$14/24)</f>
        <v>8.9178740811194548E-2</v>
      </c>
      <c r="D30" s="22">
        <f>IF($B30,Input!C267/$B30,D$13/Input!$F$14/24)</f>
        <v>0.51063236502430387</v>
      </c>
      <c r="E30" s="22">
        <f>IF($B30,Input!D267/$B30,E$13/Input!$F$14/24)</f>
        <v>0.40018889416450165</v>
      </c>
      <c r="F30" s="6"/>
    </row>
    <row r="31" spans="1:6" x14ac:dyDescent="0.2">
      <c r="A31" s="5" t="s">
        <v>58</v>
      </c>
      <c r="B31" s="22">
        <f>SUM(Input!$B268:$D268)</f>
        <v>1.0000000000000004</v>
      </c>
      <c r="C31" s="22">
        <f>IF($B31,Input!B268/$B31,C$13/Input!$F$14/24)</f>
        <v>8.9796154722368626E-2</v>
      </c>
      <c r="D31" s="22">
        <f>IF($B31,Input!C268/$B31,D$13/Input!$F$14/24)</f>
        <v>0.52093747579668104</v>
      </c>
      <c r="E31" s="22">
        <f>IF($B31,Input!D268/$B31,E$13/Input!$F$14/24)</f>
        <v>0.38926636948095039</v>
      </c>
      <c r="F31" s="6"/>
    </row>
    <row r="32" spans="1:6" x14ac:dyDescent="0.2">
      <c r="A32" s="5" t="s">
        <v>72</v>
      </c>
      <c r="B32" s="22">
        <f>SUM(Input!$B269:$D269)</f>
        <v>0.99999999999999867</v>
      </c>
      <c r="C32" s="22">
        <f>IF($B32,Input!B269/$B32,C$13/Input!$F$14/24)</f>
        <v>8.8349830096270773E-2</v>
      </c>
      <c r="D32" s="22">
        <f>IF($B32,Input!C269/$B32,D$13/Input!$F$14/24)</f>
        <v>0.53146746732079253</v>
      </c>
      <c r="E32" s="22">
        <f>IF($B32,Input!D269/$B32,E$13/Input!$F$14/24)</f>
        <v>0.38018270258293674</v>
      </c>
      <c r="F32" s="6"/>
    </row>
    <row r="34" spans="1:5" ht="16.5" x14ac:dyDescent="0.25">
      <c r="A34" s="3" t="s">
        <v>443</v>
      </c>
    </row>
    <row r="35" spans="1:5" x14ac:dyDescent="0.2">
      <c r="A35" s="10" t="s">
        <v>238</v>
      </c>
    </row>
    <row r="36" spans="1:5" x14ac:dyDescent="0.2">
      <c r="A36" s="11" t="s">
        <v>444</v>
      </c>
    </row>
    <row r="37" spans="1:5" x14ac:dyDescent="0.2">
      <c r="A37" s="10" t="s">
        <v>445</v>
      </c>
    </row>
    <row r="38" spans="1:5" x14ac:dyDescent="0.2">
      <c r="A38" s="10" t="s">
        <v>256</v>
      </c>
    </row>
    <row r="40" spans="1:5" x14ac:dyDescent="0.2">
      <c r="B40" s="4" t="s">
        <v>204</v>
      </c>
      <c r="C40" s="4" t="s">
        <v>205</v>
      </c>
      <c r="D40" s="4" t="s">
        <v>206</v>
      </c>
    </row>
    <row r="41" spans="1:5" x14ac:dyDescent="0.2">
      <c r="A41" s="5" t="s">
        <v>54</v>
      </c>
      <c r="B41" s="24">
        <f>C$26</f>
        <v>9.25755604324658E-2</v>
      </c>
      <c r="C41" s="24">
        <f>D$26</f>
        <v>0.36276883951810407</v>
      </c>
      <c r="D41" s="24">
        <f>E$26</f>
        <v>0.54465560004943014</v>
      </c>
      <c r="E41" s="6"/>
    </row>
    <row r="42" spans="1:5" x14ac:dyDescent="0.2">
      <c r="A42" s="5" t="s">
        <v>94</v>
      </c>
      <c r="B42" s="24">
        <f>C$27</f>
        <v>2.3745312951473723E-3</v>
      </c>
      <c r="C42" s="24">
        <f>D$27</f>
        <v>8.9757905649897607E-2</v>
      </c>
      <c r="D42" s="24">
        <f>E$27</f>
        <v>0.90786756305495497</v>
      </c>
      <c r="E42" s="6"/>
    </row>
    <row r="43" spans="1:5" x14ac:dyDescent="0.2">
      <c r="A43" s="5" t="s">
        <v>56</v>
      </c>
      <c r="B43" s="24">
        <f>C$28</f>
        <v>8.2056713906240655E-2</v>
      </c>
      <c r="C43" s="24">
        <f>D$28</f>
        <v>0.48499709740086999</v>
      </c>
      <c r="D43" s="24">
        <f>E$28</f>
        <v>0.43294618869288937</v>
      </c>
      <c r="E43" s="6"/>
    </row>
    <row r="44" spans="1:5" x14ac:dyDescent="0.2">
      <c r="A44" s="5" t="s">
        <v>95</v>
      </c>
      <c r="B44" s="24">
        <f>C$29</f>
        <v>1.0253327561345171E-3</v>
      </c>
      <c r="C44" s="24">
        <f>D$29</f>
        <v>5.7017181650198166E-2</v>
      </c>
      <c r="D44" s="24">
        <f>E$29</f>
        <v>0.94195748559366721</v>
      </c>
      <c r="E44" s="6"/>
    </row>
    <row r="45" spans="1:5" x14ac:dyDescent="0.2">
      <c r="A45" s="5" t="s">
        <v>57</v>
      </c>
      <c r="B45" s="24">
        <f>C$30</f>
        <v>8.9178740811194548E-2</v>
      </c>
      <c r="C45" s="24">
        <f>D$30</f>
        <v>0.51063236502430387</v>
      </c>
      <c r="D45" s="24">
        <f>E$30</f>
        <v>0.40018889416450165</v>
      </c>
      <c r="E45" s="6"/>
    </row>
    <row r="46" spans="1:5" x14ac:dyDescent="0.2">
      <c r="A46" s="5" t="s">
        <v>58</v>
      </c>
      <c r="B46" s="24">
        <f>C$31</f>
        <v>8.9796154722368626E-2</v>
      </c>
      <c r="C46" s="24">
        <f>D$31</f>
        <v>0.52093747579668104</v>
      </c>
      <c r="D46" s="24">
        <f>E$31</f>
        <v>0.38926636948095039</v>
      </c>
      <c r="E46" s="6"/>
    </row>
    <row r="47" spans="1:5" x14ac:dyDescent="0.2">
      <c r="A47" s="5" t="s">
        <v>72</v>
      </c>
      <c r="B47" s="24">
        <f>C$32</f>
        <v>8.8349830096270773E-2</v>
      </c>
      <c r="C47" s="24">
        <f>D$32</f>
        <v>0.53146746732079253</v>
      </c>
      <c r="D47" s="24">
        <f>E$32</f>
        <v>0.38018270258293674</v>
      </c>
      <c r="E47" s="6"/>
    </row>
    <row r="48" spans="1:5" x14ac:dyDescent="0.2">
      <c r="A48" s="5" t="s">
        <v>59</v>
      </c>
      <c r="B48" s="23">
        <v>1</v>
      </c>
      <c r="C48" s="23">
        <v>0</v>
      </c>
      <c r="D48" s="23">
        <v>0</v>
      </c>
      <c r="E48" s="6"/>
    </row>
    <row r="49" spans="1:5" x14ac:dyDescent="0.2">
      <c r="A49" s="5" t="s">
        <v>60</v>
      </c>
      <c r="B49" s="23">
        <v>1</v>
      </c>
      <c r="C49" s="23">
        <v>0</v>
      </c>
      <c r="D49" s="23">
        <v>0</v>
      </c>
      <c r="E49" s="6"/>
    </row>
    <row r="50" spans="1:5" x14ac:dyDescent="0.2">
      <c r="A50" s="5" t="s">
        <v>73</v>
      </c>
      <c r="B50" s="23">
        <v>1</v>
      </c>
      <c r="C50" s="23">
        <v>0</v>
      </c>
      <c r="D50" s="23">
        <v>0</v>
      </c>
      <c r="E50" s="6"/>
    </row>
    <row r="51" spans="1:5" x14ac:dyDescent="0.2">
      <c r="A51" s="5" t="s">
        <v>74</v>
      </c>
      <c r="B51" s="23">
        <v>1</v>
      </c>
      <c r="C51" s="23">
        <v>0</v>
      </c>
      <c r="D51" s="23">
        <v>0</v>
      </c>
      <c r="E51" s="6"/>
    </row>
    <row r="52" spans="1:5" x14ac:dyDescent="0.2">
      <c r="A52" s="5" t="s">
        <v>64</v>
      </c>
      <c r="B52" s="23">
        <v>1</v>
      </c>
      <c r="C52" s="23">
        <v>0</v>
      </c>
      <c r="D52" s="23">
        <v>0</v>
      </c>
      <c r="E52" s="6"/>
    </row>
    <row r="53" spans="1:5" x14ac:dyDescent="0.2">
      <c r="A53" s="5" t="s">
        <v>66</v>
      </c>
      <c r="B53" s="23">
        <v>1</v>
      </c>
      <c r="C53" s="23">
        <v>0</v>
      </c>
      <c r="D53" s="23">
        <v>0</v>
      </c>
      <c r="E53" s="6"/>
    </row>
    <row r="54" spans="1:5" x14ac:dyDescent="0.2">
      <c r="A54" s="5" t="s">
        <v>76</v>
      </c>
      <c r="B54" s="23">
        <v>1</v>
      </c>
      <c r="C54" s="23">
        <v>0</v>
      </c>
      <c r="D54" s="23">
        <v>0</v>
      </c>
      <c r="E54" s="6"/>
    </row>
    <row r="55" spans="1:5" x14ac:dyDescent="0.2">
      <c r="A55" s="5" t="s">
        <v>78</v>
      </c>
      <c r="B55" s="23">
        <v>1</v>
      </c>
      <c r="C55" s="23">
        <v>0</v>
      </c>
      <c r="D55" s="23">
        <v>0</v>
      </c>
      <c r="E55" s="6"/>
    </row>
    <row r="57" spans="1:5" ht="16.5" x14ac:dyDescent="0.25">
      <c r="A57" s="3" t="s">
        <v>446</v>
      </c>
    </row>
    <row r="58" spans="1:5" x14ac:dyDescent="0.2">
      <c r="A58" s="10" t="s">
        <v>238</v>
      </c>
    </row>
    <row r="59" spans="1:5" x14ac:dyDescent="0.2">
      <c r="A59" s="11" t="s">
        <v>447</v>
      </c>
    </row>
    <row r="60" spans="1:5" x14ac:dyDescent="0.2">
      <c r="A60" s="11" t="s">
        <v>448</v>
      </c>
    </row>
    <row r="61" spans="1:5" x14ac:dyDescent="0.2">
      <c r="A61" s="11" t="s">
        <v>438</v>
      </c>
    </row>
    <row r="62" spans="1:5" x14ac:dyDescent="0.2">
      <c r="A62" s="11" t="s">
        <v>439</v>
      </c>
    </row>
    <row r="63" spans="1:5" x14ac:dyDescent="0.2">
      <c r="A63" s="18" t="s">
        <v>241</v>
      </c>
      <c r="B63" s="18" t="s">
        <v>372</v>
      </c>
      <c r="C63" s="18" t="s">
        <v>371</v>
      </c>
      <c r="D63" s="18"/>
      <c r="E63" s="18"/>
    </row>
    <row r="64" spans="1:5" x14ac:dyDescent="0.2">
      <c r="A64" s="18" t="s">
        <v>244</v>
      </c>
      <c r="B64" s="18" t="s">
        <v>422</v>
      </c>
      <c r="C64" s="18" t="s">
        <v>440</v>
      </c>
      <c r="D64" s="18"/>
      <c r="E64" s="18"/>
    </row>
    <row r="66" spans="1:6" x14ac:dyDescent="0.2">
      <c r="C66" s="14" t="s">
        <v>449</v>
      </c>
      <c r="D66" s="14"/>
      <c r="E66" s="14"/>
    </row>
    <row r="67" spans="1:6" x14ac:dyDescent="0.2">
      <c r="B67" s="4" t="s">
        <v>441</v>
      </c>
      <c r="C67" s="4" t="s">
        <v>204</v>
      </c>
      <c r="D67" s="4" t="s">
        <v>205</v>
      </c>
      <c r="E67" s="4" t="s">
        <v>206</v>
      </c>
    </row>
    <row r="68" spans="1:6" x14ac:dyDescent="0.2">
      <c r="A68" s="5" t="s">
        <v>54</v>
      </c>
      <c r="B68" s="22">
        <f>SUM(Input!$B274:$D274)</f>
        <v>1</v>
      </c>
      <c r="C68" s="22">
        <f>IF($B68,Input!B274/$B68,C$13/Input!$F$14/24)</f>
        <v>0</v>
      </c>
      <c r="D68" s="22">
        <f>IF($B68,Input!C274/$B68,D$13/Input!$F$14/24)</f>
        <v>0</v>
      </c>
      <c r="E68" s="22">
        <f>IF($B68,Input!D274/$B68,E$13/Input!$F$14/24)</f>
        <v>1</v>
      </c>
      <c r="F68" s="6"/>
    </row>
    <row r="69" spans="1:6" x14ac:dyDescent="0.2">
      <c r="A69" s="5" t="s">
        <v>56</v>
      </c>
      <c r="B69" s="22">
        <f>SUM(Input!$B275:$D275)</f>
        <v>1</v>
      </c>
      <c r="C69" s="22">
        <f>IF($B69,Input!B275/$B69,C$13/Input!$F$14/24)</f>
        <v>0</v>
      </c>
      <c r="D69" s="22">
        <f>IF($B69,Input!C275/$B69,D$13/Input!$F$14/24)</f>
        <v>0</v>
      </c>
      <c r="E69" s="22">
        <f>IF($B69,Input!D275/$B69,E$13/Input!$F$14/24)</f>
        <v>1</v>
      </c>
      <c r="F69" s="6"/>
    </row>
    <row r="70" spans="1:6" x14ac:dyDescent="0.2">
      <c r="A70" s="5" t="s">
        <v>57</v>
      </c>
      <c r="B70" s="22">
        <f>SUM(Input!$B276:$D276)</f>
        <v>1</v>
      </c>
      <c r="C70" s="22">
        <f>IF($B70,Input!B276/$B70,C$13/Input!$F$14/24)</f>
        <v>0</v>
      </c>
      <c r="D70" s="22">
        <f>IF($B70,Input!C276/$B70,D$13/Input!$F$14/24)</f>
        <v>0</v>
      </c>
      <c r="E70" s="22">
        <f>IF($B70,Input!D276/$B70,E$13/Input!$F$14/24)</f>
        <v>1</v>
      </c>
      <c r="F70" s="6"/>
    </row>
    <row r="71" spans="1:6" x14ac:dyDescent="0.2">
      <c r="A71" s="5" t="s">
        <v>58</v>
      </c>
      <c r="B71" s="22">
        <f>SUM(Input!$B277:$D277)</f>
        <v>1</v>
      </c>
      <c r="C71" s="22">
        <f>IF($B71,Input!B277/$B71,C$13/Input!$F$14/24)</f>
        <v>0</v>
      </c>
      <c r="D71" s="22">
        <f>IF($B71,Input!C277/$B71,D$13/Input!$F$14/24)</f>
        <v>0</v>
      </c>
      <c r="E71" s="22">
        <f>IF($B71,Input!D277/$B71,E$13/Input!$F$14/24)</f>
        <v>1</v>
      </c>
      <c r="F71" s="6"/>
    </row>
    <row r="72" spans="1:6" x14ac:dyDescent="0.2">
      <c r="A72" s="5" t="s">
        <v>72</v>
      </c>
      <c r="B72" s="22">
        <f>SUM(Input!$B278:$D278)</f>
        <v>1</v>
      </c>
      <c r="C72" s="22">
        <f>IF($B72,Input!B278/$B72,C$13/Input!$F$14/24)</f>
        <v>0</v>
      </c>
      <c r="D72" s="22">
        <f>IF($B72,Input!C278/$B72,D$13/Input!$F$14/24)</f>
        <v>0</v>
      </c>
      <c r="E72" s="22">
        <f>IF($B72,Input!D278/$B72,E$13/Input!$F$14/24)</f>
        <v>1</v>
      </c>
      <c r="F72" s="6"/>
    </row>
    <row r="74" spans="1:6" ht="16.5" x14ac:dyDescent="0.25">
      <c r="A74" s="3" t="s">
        <v>450</v>
      </c>
    </row>
    <row r="75" spans="1:6" x14ac:dyDescent="0.2">
      <c r="A75" s="10" t="s">
        <v>238</v>
      </c>
    </row>
    <row r="76" spans="1:6" x14ac:dyDescent="0.2">
      <c r="A76" s="11" t="s">
        <v>451</v>
      </c>
    </row>
    <row r="77" spans="1:6" x14ac:dyDescent="0.2">
      <c r="A77" s="10" t="s">
        <v>452</v>
      </c>
    </row>
    <row r="78" spans="1:6" x14ac:dyDescent="0.2">
      <c r="A78" s="10" t="s">
        <v>256</v>
      </c>
    </row>
    <row r="80" spans="1:6" x14ac:dyDescent="0.2">
      <c r="B80" s="4" t="s">
        <v>204</v>
      </c>
      <c r="C80" s="4" t="s">
        <v>205</v>
      </c>
      <c r="D80" s="4" t="s">
        <v>206</v>
      </c>
    </row>
    <row r="81" spans="1:5" x14ac:dyDescent="0.2">
      <c r="A81" s="5" t="s">
        <v>54</v>
      </c>
      <c r="B81" s="24">
        <f>C$68</f>
        <v>0</v>
      </c>
      <c r="C81" s="24">
        <f>D$68</f>
        <v>0</v>
      </c>
      <c r="D81" s="24">
        <f>E$68</f>
        <v>1</v>
      </c>
      <c r="E81" s="6"/>
    </row>
    <row r="82" spans="1:5" x14ac:dyDescent="0.2">
      <c r="A82" s="5" t="s">
        <v>56</v>
      </c>
      <c r="B82" s="24">
        <f>C$69</f>
        <v>0</v>
      </c>
      <c r="C82" s="24">
        <f>D$69</f>
        <v>0</v>
      </c>
      <c r="D82" s="24">
        <f>E$69</f>
        <v>1</v>
      </c>
      <c r="E82" s="6"/>
    </row>
    <row r="83" spans="1:5" x14ac:dyDescent="0.2">
      <c r="A83" s="5" t="s">
        <v>57</v>
      </c>
      <c r="B83" s="24">
        <f>C$70</f>
        <v>0</v>
      </c>
      <c r="C83" s="24">
        <f>D$70</f>
        <v>0</v>
      </c>
      <c r="D83" s="24">
        <f>E$70</f>
        <v>1</v>
      </c>
      <c r="E83" s="6"/>
    </row>
    <row r="84" spans="1:5" x14ac:dyDescent="0.2">
      <c r="A84" s="5" t="s">
        <v>58</v>
      </c>
      <c r="B84" s="24">
        <f>C$71</f>
        <v>0</v>
      </c>
      <c r="C84" s="24">
        <f>D$71</f>
        <v>0</v>
      </c>
      <c r="D84" s="24">
        <f>E$71</f>
        <v>1</v>
      </c>
      <c r="E84" s="6"/>
    </row>
    <row r="85" spans="1:5" x14ac:dyDescent="0.2">
      <c r="A85" s="5" t="s">
        <v>72</v>
      </c>
      <c r="B85" s="24">
        <f>C$72</f>
        <v>0</v>
      </c>
      <c r="C85" s="24">
        <f>D$72</f>
        <v>0</v>
      </c>
      <c r="D85" s="24">
        <f>E$72</f>
        <v>1</v>
      </c>
      <c r="E85" s="6"/>
    </row>
    <row r="86" spans="1:5" x14ac:dyDescent="0.2">
      <c r="A86" s="5" t="s">
        <v>59</v>
      </c>
      <c r="B86" s="23">
        <v>0</v>
      </c>
      <c r="C86" s="23">
        <v>1</v>
      </c>
      <c r="D86" s="23">
        <v>0</v>
      </c>
      <c r="E86" s="6"/>
    </row>
    <row r="87" spans="1:5" x14ac:dyDescent="0.2">
      <c r="A87" s="5" t="s">
        <v>60</v>
      </c>
      <c r="B87" s="23">
        <v>0</v>
      </c>
      <c r="C87" s="23">
        <v>1</v>
      </c>
      <c r="D87" s="23">
        <v>0</v>
      </c>
      <c r="E87" s="6"/>
    </row>
    <row r="88" spans="1:5" x14ac:dyDescent="0.2">
      <c r="A88" s="5" t="s">
        <v>73</v>
      </c>
      <c r="B88" s="23">
        <v>0</v>
      </c>
      <c r="C88" s="23">
        <v>1</v>
      </c>
      <c r="D88" s="23">
        <v>0</v>
      </c>
      <c r="E88" s="6"/>
    </row>
    <row r="89" spans="1:5" x14ac:dyDescent="0.2">
      <c r="A89" s="5" t="s">
        <v>74</v>
      </c>
      <c r="B89" s="23">
        <v>0</v>
      </c>
      <c r="C89" s="23">
        <v>1</v>
      </c>
      <c r="D89" s="23">
        <v>0</v>
      </c>
      <c r="E89" s="6"/>
    </row>
    <row r="90" spans="1:5" x14ac:dyDescent="0.2">
      <c r="A90" s="5" t="s">
        <v>64</v>
      </c>
      <c r="B90" s="23">
        <v>0</v>
      </c>
      <c r="C90" s="23">
        <v>1</v>
      </c>
      <c r="D90" s="23">
        <v>0</v>
      </c>
      <c r="E90" s="6"/>
    </row>
    <row r="91" spans="1:5" x14ac:dyDescent="0.2">
      <c r="A91" s="5" t="s">
        <v>66</v>
      </c>
      <c r="B91" s="23">
        <v>0</v>
      </c>
      <c r="C91" s="23">
        <v>1</v>
      </c>
      <c r="D91" s="23">
        <v>0</v>
      </c>
      <c r="E91" s="6"/>
    </row>
    <row r="92" spans="1:5" x14ac:dyDescent="0.2">
      <c r="A92" s="5" t="s">
        <v>76</v>
      </c>
      <c r="B92" s="23">
        <v>0</v>
      </c>
      <c r="C92" s="23">
        <v>1</v>
      </c>
      <c r="D92" s="23">
        <v>0</v>
      </c>
      <c r="E92" s="6"/>
    </row>
    <row r="93" spans="1:5" x14ac:dyDescent="0.2">
      <c r="A93" s="5" t="s">
        <v>78</v>
      </c>
      <c r="B93" s="23">
        <v>0</v>
      </c>
      <c r="C93" s="23">
        <v>1</v>
      </c>
      <c r="D93" s="23">
        <v>0</v>
      </c>
      <c r="E93" s="6"/>
    </row>
    <row r="95" spans="1:5" ht="16.5" x14ac:dyDescent="0.25">
      <c r="A95" s="3" t="s">
        <v>453</v>
      </c>
    </row>
    <row r="97" spans="1:5" x14ac:dyDescent="0.2">
      <c r="B97" s="4" t="s">
        <v>204</v>
      </c>
      <c r="C97" s="4" t="s">
        <v>205</v>
      </c>
      <c r="D97" s="4" t="s">
        <v>206</v>
      </c>
    </row>
    <row r="98" spans="1:5" x14ac:dyDescent="0.2">
      <c r="A98" s="5" t="s">
        <v>59</v>
      </c>
      <c r="B98" s="23">
        <v>0</v>
      </c>
      <c r="C98" s="23">
        <v>0</v>
      </c>
      <c r="D98" s="23">
        <v>1</v>
      </c>
      <c r="E98" s="6"/>
    </row>
    <row r="99" spans="1:5" x14ac:dyDescent="0.2">
      <c r="A99" s="5" t="s">
        <v>60</v>
      </c>
      <c r="B99" s="23">
        <v>0</v>
      </c>
      <c r="C99" s="23">
        <v>0</v>
      </c>
      <c r="D99" s="23">
        <v>1</v>
      </c>
      <c r="E99" s="6"/>
    </row>
    <row r="100" spans="1:5" x14ac:dyDescent="0.2">
      <c r="A100" s="5" t="s">
        <v>73</v>
      </c>
      <c r="B100" s="23">
        <v>0</v>
      </c>
      <c r="C100" s="23">
        <v>0</v>
      </c>
      <c r="D100" s="23">
        <v>1</v>
      </c>
      <c r="E100" s="6"/>
    </row>
    <row r="101" spans="1:5" x14ac:dyDescent="0.2">
      <c r="A101" s="5" t="s">
        <v>74</v>
      </c>
      <c r="B101" s="23">
        <v>0</v>
      </c>
      <c r="C101" s="23">
        <v>0</v>
      </c>
      <c r="D101" s="23">
        <v>1</v>
      </c>
      <c r="E101" s="6"/>
    </row>
    <row r="102" spans="1:5" x14ac:dyDescent="0.2">
      <c r="A102" s="5" t="s">
        <v>64</v>
      </c>
      <c r="B102" s="23">
        <v>0</v>
      </c>
      <c r="C102" s="23">
        <v>0</v>
      </c>
      <c r="D102" s="23">
        <v>1</v>
      </c>
      <c r="E102" s="6"/>
    </row>
    <row r="103" spans="1:5" x14ac:dyDescent="0.2">
      <c r="A103" s="5" t="s">
        <v>66</v>
      </c>
      <c r="B103" s="23">
        <v>0</v>
      </c>
      <c r="C103" s="23">
        <v>0</v>
      </c>
      <c r="D103" s="23">
        <v>1</v>
      </c>
      <c r="E103" s="6"/>
    </row>
    <row r="104" spans="1:5" x14ac:dyDescent="0.2">
      <c r="A104" s="5" t="s">
        <v>76</v>
      </c>
      <c r="B104" s="23">
        <v>0</v>
      </c>
      <c r="C104" s="23">
        <v>0</v>
      </c>
      <c r="D104" s="23">
        <v>1</v>
      </c>
      <c r="E104" s="6"/>
    </row>
    <row r="105" spans="1:5" x14ac:dyDescent="0.2">
      <c r="A105" s="5" t="s">
        <v>78</v>
      </c>
      <c r="B105" s="23">
        <v>0</v>
      </c>
      <c r="C105" s="23">
        <v>0</v>
      </c>
      <c r="D105" s="23">
        <v>1</v>
      </c>
      <c r="E105" s="6"/>
    </row>
    <row r="107" spans="1:5" ht="16.5" x14ac:dyDescent="0.25">
      <c r="A107" s="3" t="s">
        <v>454</v>
      </c>
    </row>
    <row r="108" spans="1:5" x14ac:dyDescent="0.2">
      <c r="A108" s="10" t="s">
        <v>238</v>
      </c>
    </row>
    <row r="109" spans="1:5" x14ac:dyDescent="0.2">
      <c r="A109" s="11" t="s">
        <v>455</v>
      </c>
    </row>
    <row r="110" spans="1:5" x14ac:dyDescent="0.2">
      <c r="A110" s="11" t="s">
        <v>456</v>
      </c>
    </row>
    <row r="111" spans="1:5" x14ac:dyDescent="0.2">
      <c r="A111" s="11" t="s">
        <v>457</v>
      </c>
    </row>
    <row r="112" spans="1:5" x14ac:dyDescent="0.2">
      <c r="A112" s="10" t="s">
        <v>458</v>
      </c>
    </row>
    <row r="114" spans="1:3" x14ac:dyDescent="0.2">
      <c r="B114" s="4" t="s">
        <v>459</v>
      </c>
    </row>
    <row r="115" spans="1:3" x14ac:dyDescent="0.2">
      <c r="A115" s="5" t="s">
        <v>53</v>
      </c>
      <c r="B115" s="25">
        <f>Loads!B298+Loads!C298+Loads!D298</f>
        <v>7424642.1081218729</v>
      </c>
      <c r="C115" s="6"/>
    </row>
    <row r="116" spans="1:3" x14ac:dyDescent="0.2">
      <c r="A116" s="5" t="s">
        <v>54</v>
      </c>
      <c r="B116" s="25">
        <f>Loads!B299+Loads!C299+Loads!D299</f>
        <v>1224560.5982670039</v>
      </c>
      <c r="C116" s="6"/>
    </row>
    <row r="117" spans="1:3" x14ac:dyDescent="0.2">
      <c r="A117" s="5" t="s">
        <v>94</v>
      </c>
      <c r="B117" s="25">
        <f>Loads!B300+Loads!C300+Loads!D300</f>
        <v>29089.73821783829</v>
      </c>
      <c r="C117" s="6"/>
    </row>
    <row r="118" spans="1:3" x14ac:dyDescent="0.2">
      <c r="A118" s="5" t="s">
        <v>55</v>
      </c>
      <c r="B118" s="25">
        <f>Loads!B301+Loads!C301+Loads!D301</f>
        <v>1775729.240038729</v>
      </c>
      <c r="C118" s="6"/>
    </row>
    <row r="119" spans="1:3" x14ac:dyDescent="0.2">
      <c r="A119" s="5" t="s">
        <v>56</v>
      </c>
      <c r="B119" s="25">
        <f>Loads!B302+Loads!C302+Loads!D302</f>
        <v>806332.28782493668</v>
      </c>
      <c r="C119" s="6"/>
    </row>
    <row r="120" spans="1:3" x14ac:dyDescent="0.2">
      <c r="A120" s="5" t="s">
        <v>95</v>
      </c>
      <c r="B120" s="25">
        <f>Loads!B303+Loads!C303+Loads!D303</f>
        <v>29762.160927484445</v>
      </c>
      <c r="C120" s="6"/>
    </row>
    <row r="121" spans="1:3" x14ac:dyDescent="0.2">
      <c r="A121" s="5" t="s">
        <v>57</v>
      </c>
      <c r="B121" s="25">
        <f>Loads!B304+Loads!C304+Loads!D304</f>
        <v>1283356.2402950758</v>
      </c>
      <c r="C121" s="6"/>
    </row>
    <row r="122" spans="1:3" x14ac:dyDescent="0.2">
      <c r="A122" s="5" t="s">
        <v>58</v>
      </c>
      <c r="B122" s="25">
        <f>Loads!B305+Loads!C305+Loads!D305</f>
        <v>43893.030488056167</v>
      </c>
      <c r="C122" s="6"/>
    </row>
    <row r="123" spans="1:3" x14ac:dyDescent="0.2">
      <c r="A123" s="5" t="s">
        <v>72</v>
      </c>
      <c r="B123" s="25">
        <f>Loads!B306+Loads!C306+Loads!D306</f>
        <v>11207.25153182258</v>
      </c>
      <c r="C123" s="6"/>
    </row>
    <row r="124" spans="1:3" x14ac:dyDescent="0.2">
      <c r="A124" s="5" t="s">
        <v>59</v>
      </c>
      <c r="B124" s="25">
        <f>Loads!B307+Loads!C307+Loads!D307</f>
        <v>1584740.6300654395</v>
      </c>
      <c r="C124" s="6"/>
    </row>
    <row r="125" spans="1:3" x14ac:dyDescent="0.2">
      <c r="A125" s="5" t="s">
        <v>60</v>
      </c>
      <c r="B125" s="25">
        <f>Loads!B308+Loads!C308+Loads!D308</f>
        <v>1328034.1740358933</v>
      </c>
      <c r="C125" s="6"/>
    </row>
    <row r="126" spans="1:3" x14ac:dyDescent="0.2">
      <c r="A126" s="5" t="s">
        <v>73</v>
      </c>
      <c r="B126" s="25">
        <f>Loads!B309+Loads!C309+Loads!D309</f>
        <v>5237948.097030893</v>
      </c>
      <c r="C126" s="6"/>
    </row>
    <row r="127" spans="1:3" x14ac:dyDescent="0.2">
      <c r="A127" s="5" t="s">
        <v>74</v>
      </c>
      <c r="B127" s="25">
        <f>Loads!B310+Loads!C310+Loads!D310</f>
        <v>0</v>
      </c>
      <c r="C127" s="6"/>
    </row>
    <row r="128" spans="1:3" x14ac:dyDescent="0.2">
      <c r="A128" s="5" t="s">
        <v>96</v>
      </c>
      <c r="B128" s="25">
        <f>Loads!B311+Loads!C311+Loads!D311</f>
        <v>43147.28153507517</v>
      </c>
      <c r="C128" s="6"/>
    </row>
    <row r="129" spans="1:3" x14ac:dyDescent="0.2">
      <c r="A129" s="5" t="s">
        <v>97</v>
      </c>
      <c r="B129" s="25">
        <f>Loads!B312+Loads!C312+Loads!D312</f>
        <v>13480.007420349682</v>
      </c>
      <c r="C129" s="6"/>
    </row>
    <row r="130" spans="1:3" x14ac:dyDescent="0.2">
      <c r="A130" s="5" t="s">
        <v>98</v>
      </c>
      <c r="B130" s="25">
        <f>Loads!B313+Loads!C313+Loads!D313</f>
        <v>1.3947031837786772</v>
      </c>
      <c r="C130" s="6"/>
    </row>
    <row r="131" spans="1:3" x14ac:dyDescent="0.2">
      <c r="A131" s="5" t="s">
        <v>99</v>
      </c>
      <c r="B131" s="25">
        <f>Loads!B314+Loads!C314+Loads!D314</f>
        <v>0</v>
      </c>
      <c r="C131" s="6"/>
    </row>
    <row r="132" spans="1:3" x14ac:dyDescent="0.2">
      <c r="A132" s="5" t="s">
        <v>100</v>
      </c>
      <c r="B132" s="25">
        <f>Loads!B315+Loads!C315+Loads!D315</f>
        <v>279151.27474087739</v>
      </c>
      <c r="C132" s="6"/>
    </row>
    <row r="133" spans="1:3" x14ac:dyDescent="0.2">
      <c r="A133" s="5" t="s">
        <v>61</v>
      </c>
      <c r="B133" s="25">
        <f>Loads!B316+Loads!C316+Loads!D316</f>
        <v>878.96280862633739</v>
      </c>
      <c r="C133" s="6"/>
    </row>
    <row r="134" spans="1:3" x14ac:dyDescent="0.2">
      <c r="A134" s="5" t="s">
        <v>62</v>
      </c>
      <c r="B134" s="25">
        <f>Loads!B317+Loads!C317+Loads!D317</f>
        <v>0</v>
      </c>
      <c r="C134" s="6"/>
    </row>
    <row r="135" spans="1:3" x14ac:dyDescent="0.2">
      <c r="A135" s="5" t="s">
        <v>63</v>
      </c>
      <c r="B135" s="25">
        <f>Loads!B318+Loads!C318+Loads!D318</f>
        <v>3907.804934004047</v>
      </c>
      <c r="C135" s="6"/>
    </row>
    <row r="136" spans="1:3" x14ac:dyDescent="0.2">
      <c r="A136" s="5" t="s">
        <v>64</v>
      </c>
      <c r="B136" s="25">
        <f>Loads!B319+Loads!C319+Loads!D319</f>
        <v>230.94008342124692</v>
      </c>
      <c r="C136" s="6"/>
    </row>
    <row r="137" spans="1:3" x14ac:dyDescent="0.2">
      <c r="A137" s="5" t="s">
        <v>65</v>
      </c>
      <c r="B137" s="25">
        <f>Loads!B320+Loads!C320+Loads!D320</f>
        <v>162.80251073502833</v>
      </c>
      <c r="C137" s="6"/>
    </row>
    <row r="138" spans="1:3" x14ac:dyDescent="0.2">
      <c r="A138" s="5" t="s">
        <v>66</v>
      </c>
      <c r="B138" s="25">
        <f>Loads!B321+Loads!C321+Loads!D321</f>
        <v>470.42154535181214</v>
      </c>
      <c r="C138" s="6"/>
    </row>
    <row r="139" spans="1:3" x14ac:dyDescent="0.2">
      <c r="A139" s="5" t="s">
        <v>75</v>
      </c>
      <c r="B139" s="25">
        <f>Loads!B322+Loads!C322+Loads!D322</f>
        <v>113862.35349765769</v>
      </c>
      <c r="C139" s="6"/>
    </row>
    <row r="140" spans="1:3" x14ac:dyDescent="0.2">
      <c r="A140" s="5" t="s">
        <v>76</v>
      </c>
      <c r="B140" s="25">
        <f>Loads!B323+Loads!C323+Loads!D323</f>
        <v>547426.58801126666</v>
      </c>
      <c r="C140" s="6"/>
    </row>
    <row r="141" spans="1:3" x14ac:dyDescent="0.2">
      <c r="A141" s="5" t="s">
        <v>77</v>
      </c>
      <c r="B141" s="25">
        <f>Loads!B324+Loads!C324+Loads!D324</f>
        <v>0</v>
      </c>
      <c r="C141" s="6"/>
    </row>
    <row r="142" spans="1:3" x14ac:dyDescent="0.2">
      <c r="A142" s="5" t="s">
        <v>78</v>
      </c>
      <c r="B142" s="25">
        <f>Loads!B325+Loads!C325+Loads!D325</f>
        <v>0</v>
      </c>
      <c r="C142" s="6"/>
    </row>
    <row r="144" spans="1:3" ht="16.5" x14ac:dyDescent="0.25">
      <c r="A144" s="3" t="s">
        <v>460</v>
      </c>
    </row>
    <row r="145" spans="1:6" x14ac:dyDescent="0.2">
      <c r="A145" s="10" t="s">
        <v>238</v>
      </c>
    </row>
    <row r="146" spans="1:6" x14ac:dyDescent="0.2">
      <c r="A146" s="11" t="s">
        <v>461</v>
      </c>
    </row>
    <row r="147" spans="1:6" x14ac:dyDescent="0.2">
      <c r="A147" s="11" t="s">
        <v>462</v>
      </c>
    </row>
    <row r="148" spans="1:6" x14ac:dyDescent="0.2">
      <c r="A148" s="11" t="s">
        <v>463</v>
      </c>
    </row>
    <row r="149" spans="1:6" x14ac:dyDescent="0.2">
      <c r="A149" s="11" t="s">
        <v>464</v>
      </c>
    </row>
    <row r="150" spans="1:6" x14ac:dyDescent="0.2">
      <c r="A150" s="11" t="s">
        <v>465</v>
      </c>
    </row>
    <row r="151" spans="1:6" x14ac:dyDescent="0.2">
      <c r="A151" s="11" t="s">
        <v>466</v>
      </c>
    </row>
    <row r="152" spans="1:6" x14ac:dyDescent="0.2">
      <c r="A152" s="11" t="s">
        <v>467</v>
      </c>
    </row>
    <row r="153" spans="1:6" x14ac:dyDescent="0.2">
      <c r="A153" s="11" t="s">
        <v>468</v>
      </c>
    </row>
    <row r="154" spans="1:6" x14ac:dyDescent="0.2">
      <c r="A154" s="18" t="s">
        <v>241</v>
      </c>
      <c r="B154" s="18" t="s">
        <v>371</v>
      </c>
      <c r="C154" s="18"/>
      <c r="D154" s="18"/>
      <c r="E154" s="18" t="s">
        <v>371</v>
      </c>
    </row>
    <row r="155" spans="1:6" ht="25.5" x14ac:dyDescent="0.2">
      <c r="A155" s="18" t="s">
        <v>244</v>
      </c>
      <c r="B155" s="18" t="s">
        <v>469</v>
      </c>
      <c r="C155" s="18"/>
      <c r="D155" s="18"/>
      <c r="E155" s="18" t="s">
        <v>470</v>
      </c>
    </row>
    <row r="157" spans="1:6" ht="25.5" x14ac:dyDescent="0.2">
      <c r="B157" s="14" t="s">
        <v>471</v>
      </c>
      <c r="C157" s="14"/>
      <c r="D157" s="14"/>
    </row>
    <row r="158" spans="1:6" ht="51" x14ac:dyDescent="0.2">
      <c r="B158" s="4" t="s">
        <v>204</v>
      </c>
      <c r="C158" s="4" t="s">
        <v>205</v>
      </c>
      <c r="D158" s="4" t="s">
        <v>206</v>
      </c>
      <c r="E158" s="4" t="s">
        <v>472</v>
      </c>
    </row>
    <row r="159" spans="1:6" x14ac:dyDescent="0.2">
      <c r="A159" s="5" t="s">
        <v>54</v>
      </c>
      <c r="B159" s="22">
        <f>IF($B$116&gt;0,(Loads!$B$299*B$41+Loads!$C$299*B$81)/$B$116,0)</f>
        <v>5.0903624749630394E-2</v>
      </c>
      <c r="C159" s="22">
        <f>IF($B$116&gt;0,(Loads!$B$299*C$41+Loads!$C$299*C$81)/$B$116,0)</f>
        <v>0.19947218025387653</v>
      </c>
      <c r="D159" s="22">
        <f>IF($B$116&gt;0,(Loads!$B$299*D$41+Loads!$C$299*D$81)/$B$116,0)</f>
        <v>0.74962419499649324</v>
      </c>
      <c r="E159" s="17">
        <f>IF($C$13&gt;0,$B159*Input!$F$14*24/$C$13,0)</f>
        <v>0.85424473717770544</v>
      </c>
      <c r="F159" s="6"/>
    </row>
    <row r="160" spans="1:6" x14ac:dyDescent="0.2">
      <c r="A160" s="5" t="s">
        <v>56</v>
      </c>
      <c r="B160" s="22">
        <f>IF($B$119&gt;0,(Loads!$B$302*B$43+Loads!$C$302*B$82)/$B$119,0)</f>
        <v>5.9064605525814995E-2</v>
      </c>
      <c r="C160" s="22">
        <f>IF($B$119&gt;0,(Loads!$B$302*C$43+Loads!$C$302*C$82)/$B$119,0)</f>
        <v>0.34910199148212578</v>
      </c>
      <c r="D160" s="22">
        <f>IF($B$119&gt;0,(Loads!$B$302*D$43+Loads!$C$302*D$82)/$B$119,0)</f>
        <v>0.59183340299205922</v>
      </c>
      <c r="E160" s="17">
        <f>IF($C$13&gt;0,$B160*Input!$F$14*24/$C$13,0)</f>
        <v>0.99119912721482639</v>
      </c>
      <c r="F160" s="6"/>
    </row>
    <row r="161" spans="1:6" x14ac:dyDescent="0.2">
      <c r="A161" s="5" t="s">
        <v>57</v>
      </c>
      <c r="B161" s="22">
        <f>IF($B$121&gt;0,(Loads!$B$304*B$45+Loads!$C$304*B$83)/$B$121,0)</f>
        <v>7.153498177773758E-2</v>
      </c>
      <c r="C161" s="22">
        <f>IF($B$121&gt;0,(Loads!$B$304*C$45+Loads!$C$304*C$83)/$B$121,0)</f>
        <v>0.40960521078081064</v>
      </c>
      <c r="D161" s="22">
        <f>IF($B$121&gt;0,(Loads!$B$304*D$45+Loads!$C$304*D$83)/$B$121,0)</f>
        <v>0.51885980744145188</v>
      </c>
      <c r="E161" s="17">
        <f>IF($C$13&gt;0,$B161*Input!$F$14*24/$C$13,0)</f>
        <v>1.2004721079942169</v>
      </c>
      <c r="F161" s="6"/>
    </row>
    <row r="162" spans="1:6" x14ac:dyDescent="0.2">
      <c r="A162" s="5" t="s">
        <v>58</v>
      </c>
      <c r="B162" s="22">
        <f>IF($B$122&gt;0,(Loads!$B$305*B$46+Loads!$C$305*B$84)/$B$122,0)</f>
        <v>7.055121802678993E-2</v>
      </c>
      <c r="C162" s="22">
        <f>IF($B$122&gt;0,(Loads!$B$305*C$46+Loads!$C$305*C$84)/$B$122,0)</f>
        <v>0.4092911722878258</v>
      </c>
      <c r="D162" s="22">
        <f>IF($B$122&gt;0,(Loads!$B$305*D$46+Loads!$C$305*D$84)/$B$122,0)</f>
        <v>0.52015760968538427</v>
      </c>
      <c r="E162" s="17">
        <f>IF($C$13&gt;0,$B162*Input!$F$14*24/$C$13,0)</f>
        <v>1.1839629691852103</v>
      </c>
      <c r="F162" s="6"/>
    </row>
    <row r="163" spans="1:6" x14ac:dyDescent="0.2">
      <c r="A163" s="5" t="s">
        <v>72</v>
      </c>
      <c r="B163" s="22">
        <f>IF($B$123&gt;0,(Loads!$B$306*B$47+Loads!$C$306*B$85)/$B$123,0)</f>
        <v>6.8126589550293326E-2</v>
      </c>
      <c r="C163" s="22">
        <f>IF($B$123&gt;0,(Loads!$B$306*C$47+Loads!$C$306*C$85)/$B$123,0)</f>
        <v>0.40981477798026755</v>
      </c>
      <c r="D163" s="22">
        <f>IF($B$123&gt;0,(Loads!$B$306*D$47+Loads!$C$306*D$85)/$B$123,0)</f>
        <v>0.52205863246943918</v>
      </c>
      <c r="E163" s="17">
        <f>IF($C$13&gt;0,$B163*Input!$F$14*24/$C$13,0)</f>
        <v>1.1432738016486006</v>
      </c>
      <c r="F163" s="6"/>
    </row>
    <row r="165" spans="1:6" ht="16.5" x14ac:dyDescent="0.25">
      <c r="A165" s="3" t="s">
        <v>473</v>
      </c>
    </row>
    <row r="166" spans="1:6" x14ac:dyDescent="0.2">
      <c r="A166" s="10" t="s">
        <v>238</v>
      </c>
    </row>
    <row r="167" spans="1:6" x14ac:dyDescent="0.2">
      <c r="A167" s="11" t="s">
        <v>461</v>
      </c>
    </row>
    <row r="168" spans="1:6" x14ac:dyDescent="0.2">
      <c r="A168" s="11" t="s">
        <v>462</v>
      </c>
    </row>
    <row r="169" spans="1:6" x14ac:dyDescent="0.2">
      <c r="A169" s="11" t="s">
        <v>463</v>
      </c>
    </row>
    <row r="170" spans="1:6" x14ac:dyDescent="0.2">
      <c r="A170" s="11" t="s">
        <v>464</v>
      </c>
    </row>
    <row r="171" spans="1:6" x14ac:dyDescent="0.2">
      <c r="A171" s="11" t="s">
        <v>465</v>
      </c>
    </row>
    <row r="172" spans="1:6" x14ac:dyDescent="0.2">
      <c r="A172" s="11" t="s">
        <v>474</v>
      </c>
    </row>
    <row r="173" spans="1:6" x14ac:dyDescent="0.2">
      <c r="A173" s="11" t="s">
        <v>475</v>
      </c>
    </row>
    <row r="174" spans="1:6" x14ac:dyDescent="0.2">
      <c r="A174" s="11" t="s">
        <v>476</v>
      </c>
    </row>
    <row r="175" spans="1:6" x14ac:dyDescent="0.2">
      <c r="A175" s="11" t="s">
        <v>477</v>
      </c>
    </row>
    <row r="176" spans="1:6" x14ac:dyDescent="0.2">
      <c r="A176" s="11" t="s">
        <v>478</v>
      </c>
    </row>
    <row r="177" spans="1:6" x14ac:dyDescent="0.2">
      <c r="A177" s="18" t="s">
        <v>241</v>
      </c>
      <c r="B177" s="18" t="s">
        <v>371</v>
      </c>
      <c r="C177" s="18"/>
      <c r="D177" s="18"/>
      <c r="E177" s="18" t="s">
        <v>371</v>
      </c>
    </row>
    <row r="178" spans="1:6" ht="25.5" x14ac:dyDescent="0.2">
      <c r="A178" s="18" t="s">
        <v>244</v>
      </c>
      <c r="B178" s="18" t="s">
        <v>479</v>
      </c>
      <c r="C178" s="18"/>
      <c r="D178" s="18"/>
      <c r="E178" s="18" t="s">
        <v>480</v>
      </c>
    </row>
    <row r="180" spans="1:6" ht="25.5" x14ac:dyDescent="0.2">
      <c r="B180" s="14" t="s">
        <v>481</v>
      </c>
      <c r="C180" s="14"/>
      <c r="D180" s="14"/>
    </row>
    <row r="181" spans="1:6" ht="51" x14ac:dyDescent="0.2">
      <c r="B181" s="4" t="s">
        <v>204</v>
      </c>
      <c r="C181" s="4" t="s">
        <v>205</v>
      </c>
      <c r="D181" s="4" t="s">
        <v>206</v>
      </c>
      <c r="E181" s="4" t="s">
        <v>482</v>
      </c>
    </row>
    <row r="182" spans="1:6" x14ac:dyDescent="0.2">
      <c r="A182" s="5" t="s">
        <v>59</v>
      </c>
      <c r="B182" s="22">
        <f>IF($B$124&gt;0,(Loads!$B$307*B$48+Loads!$C$307*B$86+Loads!$D$307*B$98)/$B$124,0)</f>
        <v>7.3015128904110965E-2</v>
      </c>
      <c r="C182" s="22">
        <f>IF($B$124&gt;0,(Loads!$B$307*C$48+Loads!$C$307*C$86+Loads!$D$307*C$98)/$B$124,0)</f>
        <v>0.41711573536835522</v>
      </c>
      <c r="D182" s="22">
        <f>IF($B$124&gt;0,(Loads!$B$307*D$48+Loads!$C$307*D$86+Loads!$D$307*D$98)/$B$124,0)</f>
        <v>0.50986913572753378</v>
      </c>
      <c r="E182" s="17">
        <f>IF($C$13&gt;0,$B182*Input!$F$14*24/$C$13,0)</f>
        <v>1.2253113586207127</v>
      </c>
      <c r="F182" s="6"/>
    </row>
    <row r="183" spans="1:6" x14ac:dyDescent="0.2">
      <c r="A183" s="5" t="s">
        <v>60</v>
      </c>
      <c r="B183" s="22">
        <f>IF($B$125&gt;0,(Loads!$B$308*B$49+Loads!$C$308*B$87+Loads!$D$308*B$99)/$B$125,0)</f>
        <v>7.0136781605300486E-2</v>
      </c>
      <c r="C183" s="22">
        <f>IF($B$125&gt;0,(Loads!$B$308*C$49+Loads!$C$308*C$87+Loads!$D$308*C$99)/$B$125,0)</f>
        <v>0.41109115795027479</v>
      </c>
      <c r="D183" s="22">
        <f>IF($B$125&gt;0,(Loads!$B$308*D$49+Loads!$C$308*D$87+Loads!$D$308*D$99)/$B$125,0)</f>
        <v>0.5187720604444247</v>
      </c>
      <c r="E183" s="17">
        <f>IF($C$13&gt;0,$B183*Input!$F$14*24/$C$13,0)</f>
        <v>1.1770080591234335</v>
      </c>
      <c r="F183" s="6"/>
    </row>
    <row r="184" spans="1:6" x14ac:dyDescent="0.2">
      <c r="A184" s="5" t="s">
        <v>73</v>
      </c>
      <c r="B184" s="22">
        <f>IF($B$126&gt;0,(Loads!$B$309*B$50+Loads!$C$309*B$88+Loads!$D$309*B$100)/$B$126,0)</f>
        <v>6.6451682823422287E-2</v>
      </c>
      <c r="C184" s="22">
        <f>IF($B$126&gt;0,(Loads!$B$309*C$50+Loads!$C$309*C$88+Loads!$D$309*C$100)/$B$126,0)</f>
        <v>0.3650278961897554</v>
      </c>
      <c r="D184" s="22">
        <f>IF($B$126&gt;0,(Loads!$B$309*D$50+Loads!$C$309*D$88+Loads!$D$309*D$100)/$B$126,0)</f>
        <v>0.56852042098682221</v>
      </c>
      <c r="E184" s="17">
        <f>IF($C$13&gt;0,$B184*Input!$F$14*24/$C$13,0)</f>
        <v>1.1151661715195005</v>
      </c>
      <c r="F184" s="6"/>
    </row>
    <row r="185" spans="1:6" x14ac:dyDescent="0.2">
      <c r="A185" s="5" t="s">
        <v>74</v>
      </c>
      <c r="B185" s="22">
        <f>IF($B$127&gt;0,(Loads!$B$310*B$51+Loads!$C$310*B$89+Loads!$D$310*B$101)/$B$127,0)</f>
        <v>0</v>
      </c>
      <c r="C185" s="22">
        <f>IF($B$127&gt;0,(Loads!$B$310*C$51+Loads!$C$310*C$89+Loads!$D$310*C$101)/$B$127,0)</f>
        <v>0</v>
      </c>
      <c r="D185" s="22">
        <f>IF($B$127&gt;0,(Loads!$B$310*D$51+Loads!$C$310*D$89+Loads!$D$310*D$101)/$B$127,0)</f>
        <v>0</v>
      </c>
      <c r="E185" s="17">
        <f>IF($C$13&gt;0,$B185*Input!$F$14*24/$C$13,0)</f>
        <v>0</v>
      </c>
      <c r="F185" s="6"/>
    </row>
    <row r="187" spans="1:6" ht="16.5" x14ac:dyDescent="0.25">
      <c r="A187" s="3" t="s">
        <v>483</v>
      </c>
    </row>
    <row r="188" spans="1:6" x14ac:dyDescent="0.2">
      <c r="A188" s="10" t="s">
        <v>238</v>
      </c>
    </row>
    <row r="189" spans="1:6" x14ac:dyDescent="0.2">
      <c r="A189" s="11" t="s">
        <v>484</v>
      </c>
    </row>
    <row r="190" spans="1:6" x14ac:dyDescent="0.2">
      <c r="A190" s="11" t="s">
        <v>485</v>
      </c>
    </row>
    <row r="191" spans="1:6" x14ac:dyDescent="0.2">
      <c r="A191" s="11" t="s">
        <v>486</v>
      </c>
    </row>
    <row r="192" spans="1:6" x14ac:dyDescent="0.2">
      <c r="A192" s="11" t="s">
        <v>487</v>
      </c>
    </row>
    <row r="193" spans="1:4" x14ac:dyDescent="0.2">
      <c r="A193" s="18" t="s">
        <v>241</v>
      </c>
      <c r="B193" s="18" t="s">
        <v>405</v>
      </c>
      <c r="C193" s="18" t="s">
        <v>371</v>
      </c>
    </row>
    <row r="194" spans="1:4" ht="25.5" x14ac:dyDescent="0.2">
      <c r="A194" s="18" t="s">
        <v>244</v>
      </c>
      <c r="B194" s="18" t="s">
        <v>488</v>
      </c>
      <c r="C194" s="18" t="s">
        <v>489</v>
      </c>
    </row>
    <row r="196" spans="1:4" ht="63.75" x14ac:dyDescent="0.2">
      <c r="B196" s="4" t="s">
        <v>490</v>
      </c>
      <c r="C196" s="4" t="s">
        <v>491</v>
      </c>
    </row>
    <row r="197" spans="1:4" x14ac:dyDescent="0.2">
      <c r="A197" s="5" t="s">
        <v>54</v>
      </c>
      <c r="B197" s="20">
        <f>E$159</f>
        <v>0.85424473717770544</v>
      </c>
      <c r="C197" s="17">
        <f>IF($B197&lt;&gt;0,Loads!B$46/$B197,IF(Loads!B$46&lt;0,-1,1))</f>
        <v>1.6289471332614678</v>
      </c>
      <c r="D197" s="6"/>
    </row>
    <row r="198" spans="1:4" x14ac:dyDescent="0.2">
      <c r="A198" s="5" t="s">
        <v>94</v>
      </c>
      <c r="B198" s="21"/>
      <c r="C198" s="17">
        <f>IF($B198&lt;&gt;0,Loads!B$47/$B198,IF(Loads!B$47&lt;0,-1,1))</f>
        <v>1</v>
      </c>
      <c r="D198" s="6"/>
    </row>
    <row r="199" spans="1:4" x14ac:dyDescent="0.2">
      <c r="A199" s="5" t="s">
        <v>56</v>
      </c>
      <c r="B199" s="20">
        <f>E$160</f>
        <v>0.99119912721482639</v>
      </c>
      <c r="C199" s="17">
        <f>IF($B199&lt;&gt;0,Loads!B$49/$B199,IF(Loads!B$49&lt;0,-1,1))</f>
        <v>1.4050745355374981</v>
      </c>
      <c r="D199" s="6"/>
    </row>
    <row r="200" spans="1:4" x14ac:dyDescent="0.2">
      <c r="A200" s="5" t="s">
        <v>95</v>
      </c>
      <c r="B200" s="21"/>
      <c r="C200" s="17">
        <f>IF($B200&lt;&gt;0,Loads!B$50/$B200,IF(Loads!B$50&lt;0,-1,1))</f>
        <v>1</v>
      </c>
      <c r="D200" s="6"/>
    </row>
    <row r="201" spans="1:4" x14ac:dyDescent="0.2">
      <c r="A201" s="5" t="s">
        <v>57</v>
      </c>
      <c r="B201" s="20">
        <f>E$161</f>
        <v>1.2004721079942169</v>
      </c>
      <c r="C201" s="17">
        <f>IF($B201&lt;&gt;0,Loads!B$51/$B201,IF(Loads!B$51&lt;0,-1,1))</f>
        <v>1.2601652354744535</v>
      </c>
      <c r="D201" s="6"/>
    </row>
    <row r="202" spans="1:4" x14ac:dyDescent="0.2">
      <c r="A202" s="5" t="s">
        <v>58</v>
      </c>
      <c r="B202" s="20">
        <f>E$162</f>
        <v>1.1839629691852103</v>
      </c>
      <c r="C202" s="17">
        <f>IF($B202&lt;&gt;0,Loads!B$52/$B202,IF(Loads!B$52&lt;0,-1,1))</f>
        <v>1.2626980236684715</v>
      </c>
      <c r="D202" s="6"/>
    </row>
    <row r="203" spans="1:4" x14ac:dyDescent="0.2">
      <c r="A203" s="5" t="s">
        <v>72</v>
      </c>
      <c r="B203" s="20">
        <f>E$163</f>
        <v>1.1432738016486006</v>
      </c>
      <c r="C203" s="17">
        <f>IF($B203&lt;&gt;0,Loads!B$53/$B203,IF(Loads!B$53&lt;0,-1,1))</f>
        <v>1.3470261558342946</v>
      </c>
      <c r="D203" s="6"/>
    </row>
    <row r="204" spans="1:4" x14ac:dyDescent="0.2">
      <c r="A204" s="5" t="s">
        <v>59</v>
      </c>
      <c r="B204" s="20">
        <f>E$182</f>
        <v>1.2253113586207127</v>
      </c>
      <c r="C204" s="17">
        <f>IF($B204&lt;&gt;0,Loads!B$54/$B204,IF(Loads!B$54&lt;0,-1,1))</f>
        <v>0.95259926352636171</v>
      </c>
      <c r="D204" s="6"/>
    </row>
    <row r="205" spans="1:4" x14ac:dyDescent="0.2">
      <c r="A205" s="5" t="s">
        <v>60</v>
      </c>
      <c r="B205" s="20">
        <f>E$183</f>
        <v>1.1770080591234335</v>
      </c>
      <c r="C205" s="17">
        <f>IF($B205&lt;&gt;0,Loads!B$55/$B205,IF(Loads!B$55&lt;0,-1,1))</f>
        <v>1.1351134134292709</v>
      </c>
      <c r="D205" s="6"/>
    </row>
    <row r="206" spans="1:4" x14ac:dyDescent="0.2">
      <c r="A206" s="5" t="s">
        <v>73</v>
      </c>
      <c r="B206" s="20">
        <f>E$184</f>
        <v>1.1151661715195005</v>
      </c>
      <c r="C206" s="17">
        <f>IF($B206&lt;&gt;0,Loads!B$56/$B206,IF(Loads!B$56&lt;0,-1,1))</f>
        <v>1.0660560033369948</v>
      </c>
      <c r="D206" s="6"/>
    </row>
    <row r="207" spans="1:4" x14ac:dyDescent="0.2">
      <c r="A207" s="5" t="s">
        <v>74</v>
      </c>
      <c r="B207" s="20">
        <f>E$185</f>
        <v>0</v>
      </c>
      <c r="C207" s="17">
        <f>IF($B207&lt;&gt;0,Loads!B$57/$B207,IF(Loads!B$57&lt;0,-1,1))</f>
        <v>1</v>
      </c>
      <c r="D207" s="6"/>
    </row>
    <row r="208" spans="1:4" x14ac:dyDescent="0.2">
      <c r="A208" s="5" t="s">
        <v>64</v>
      </c>
      <c r="B208" s="21"/>
      <c r="C208" s="17">
        <f>IF($B208&lt;&gt;0,Loads!B$66/$B208,IF(Loads!B$66&lt;0,-1,1))</f>
        <v>-1</v>
      </c>
      <c r="D208" s="6"/>
    </row>
    <row r="209" spans="1:6" x14ac:dyDescent="0.2">
      <c r="A209" s="5" t="s">
        <v>66</v>
      </c>
      <c r="B209" s="21"/>
      <c r="C209" s="17">
        <f>IF($B209&lt;&gt;0,Loads!B$68/$B209,IF(Loads!B$68&lt;0,-1,1))</f>
        <v>-1</v>
      </c>
      <c r="D209" s="6"/>
    </row>
    <row r="210" spans="1:6" x14ac:dyDescent="0.2">
      <c r="A210" s="5" t="s">
        <v>76</v>
      </c>
      <c r="B210" s="21"/>
      <c r="C210" s="17">
        <f>IF($B210&lt;&gt;0,Loads!B$70/$B210,IF(Loads!B$70&lt;0,-1,1))</f>
        <v>-1</v>
      </c>
      <c r="D210" s="6"/>
    </row>
    <row r="211" spans="1:6" x14ac:dyDescent="0.2">
      <c r="A211" s="5" t="s">
        <v>78</v>
      </c>
      <c r="B211" s="21"/>
      <c r="C211" s="17">
        <f>IF($B211&lt;&gt;0,Loads!B$72/$B211,IF(Loads!B$72&lt;0,-1,1))</f>
        <v>-1</v>
      </c>
      <c r="D211" s="6"/>
    </row>
    <row r="213" spans="1:6" ht="16.5" x14ac:dyDescent="0.25">
      <c r="A213" s="3" t="s">
        <v>492</v>
      </c>
    </row>
    <row r="214" spans="1:6" x14ac:dyDescent="0.2">
      <c r="A214" s="10" t="s">
        <v>238</v>
      </c>
    </row>
    <row r="215" spans="1:6" x14ac:dyDescent="0.2">
      <c r="A215" s="11" t="s">
        <v>493</v>
      </c>
    </row>
    <row r="216" spans="1:6" x14ac:dyDescent="0.2">
      <c r="A216" s="11" t="s">
        <v>494</v>
      </c>
    </row>
    <row r="217" spans="1:6" x14ac:dyDescent="0.2">
      <c r="A217" s="11" t="s">
        <v>495</v>
      </c>
    </row>
    <row r="218" spans="1:6" x14ac:dyDescent="0.2">
      <c r="A218" s="11" t="s">
        <v>496</v>
      </c>
    </row>
    <row r="219" spans="1:6" x14ac:dyDescent="0.2">
      <c r="A219" s="18" t="s">
        <v>241</v>
      </c>
      <c r="B219" s="18" t="s">
        <v>372</v>
      </c>
      <c r="C219" s="18" t="s">
        <v>371</v>
      </c>
      <c r="D219" s="18"/>
      <c r="E219" s="18"/>
    </row>
    <row r="220" spans="1:6" x14ac:dyDescent="0.2">
      <c r="A220" s="18" t="s">
        <v>244</v>
      </c>
      <c r="B220" s="18" t="s">
        <v>422</v>
      </c>
      <c r="C220" s="18" t="s">
        <v>497</v>
      </c>
      <c r="D220" s="18"/>
      <c r="E220" s="18"/>
    </row>
    <row r="222" spans="1:6" x14ac:dyDescent="0.2">
      <c r="C222" s="14" t="s">
        <v>499</v>
      </c>
      <c r="D222" s="14"/>
      <c r="E222" s="14"/>
    </row>
    <row r="223" spans="1:6" ht="25.5" x14ac:dyDescent="0.2">
      <c r="B223" s="4" t="s">
        <v>498</v>
      </c>
      <c r="C223" s="4" t="s">
        <v>204</v>
      </c>
      <c r="D223" s="4" t="s">
        <v>205</v>
      </c>
      <c r="E223" s="4" t="s">
        <v>206</v>
      </c>
    </row>
    <row r="224" spans="1:6" x14ac:dyDescent="0.2">
      <c r="A224" s="5" t="s">
        <v>21</v>
      </c>
      <c r="B224" s="22">
        <f>SUM(Input!$B307:$D307)</f>
        <v>0.99996666666666667</v>
      </c>
      <c r="C224" s="22">
        <f>IF($B224,Input!B307/$B224,Input!B$300/$B$13)</f>
        <v>0.72299447018604324</v>
      </c>
      <c r="D224" s="22">
        <f>IF($B224,Input!C307/$B224,Input!C$300/$B$13)</f>
        <v>0.20293269034893757</v>
      </c>
      <c r="E224" s="22">
        <f>IF($B224,Input!D307/$B224,Input!D$300/$B$13)</f>
        <v>7.4072839465019205E-2</v>
      </c>
      <c r="F224" s="6"/>
    </row>
    <row r="225" spans="1:38" x14ac:dyDescent="0.2">
      <c r="A225" s="5" t="s">
        <v>22</v>
      </c>
      <c r="B225" s="22">
        <f>SUM(Input!$B308:$D308)</f>
        <v>1.0033333333333332</v>
      </c>
      <c r="C225" s="22">
        <f>IF($B225,Input!B308/$B225,Input!B$300/$B$13)</f>
        <v>0.63170859041290939</v>
      </c>
      <c r="D225" s="22">
        <f>IF($B225,Input!C308/$B225,Input!C$300/$B$13)</f>
        <v>0.28143331751305173</v>
      </c>
      <c r="E225" s="22">
        <f>IF($B225,Input!D308/$B225,Input!D$300/$B$13)</f>
        <v>8.6858092074038926E-2</v>
      </c>
      <c r="F225" s="6"/>
    </row>
    <row r="226" spans="1:38" x14ac:dyDescent="0.2">
      <c r="A226" s="5" t="s">
        <v>23</v>
      </c>
      <c r="B226" s="22">
        <f>SUM(Input!$B309:$D309)</f>
        <v>1.0033333333333332</v>
      </c>
      <c r="C226" s="22">
        <f>IF($B226,Input!B309/$B226,Input!B$300/$B$13)</f>
        <v>0.63170859041290939</v>
      </c>
      <c r="D226" s="22">
        <f>IF($B226,Input!C309/$B226,Input!C$300/$B$13)</f>
        <v>0.28143331751305173</v>
      </c>
      <c r="E226" s="22">
        <f>IF($B226,Input!D309/$B226,Input!D$300/$B$13)</f>
        <v>8.6858092074038926E-2</v>
      </c>
      <c r="F226" s="6"/>
    </row>
    <row r="227" spans="1:38" x14ac:dyDescent="0.2">
      <c r="A227" s="5" t="s">
        <v>24</v>
      </c>
      <c r="B227" s="22">
        <f>SUM(Input!$B310:$D310)</f>
        <v>1</v>
      </c>
      <c r="C227" s="22">
        <f>IF($B227,Input!B310/$B227,Input!B$300/$B$13)</f>
        <v>0.56945495495495491</v>
      </c>
      <c r="D227" s="22">
        <f>IF($B227,Input!C310/$B227,Input!C$300/$B$13)</f>
        <v>0.3370504504504504</v>
      </c>
      <c r="E227" s="22">
        <f>IF($B227,Input!D310/$B227,Input!D$300/$B$13)</f>
        <v>9.3494594594594596E-2</v>
      </c>
      <c r="F227" s="6"/>
    </row>
    <row r="228" spans="1:38" x14ac:dyDescent="0.2">
      <c r="A228" s="5" t="s">
        <v>25</v>
      </c>
      <c r="B228" s="22">
        <f>SUM(Input!$B311:$D311)</f>
        <v>1</v>
      </c>
      <c r="C228" s="22">
        <f>IF($B228,Input!B311/$B228,Input!B$300/$B$13)</f>
        <v>0.56945495495495491</v>
      </c>
      <c r="D228" s="22">
        <f>IF($B228,Input!C311/$B228,Input!C$300/$B$13)</f>
        <v>0.3370504504504504</v>
      </c>
      <c r="E228" s="22">
        <f>IF($B228,Input!D311/$B228,Input!D$300/$B$13)</f>
        <v>9.3494594594594596E-2</v>
      </c>
      <c r="F228" s="6"/>
    </row>
    <row r="229" spans="1:38" x14ac:dyDescent="0.2">
      <c r="A229" s="5" t="s">
        <v>30</v>
      </c>
      <c r="B229" s="22">
        <f>SUM(Input!$B312:$D312)</f>
        <v>0</v>
      </c>
      <c r="C229" s="22">
        <f>IF($B229,Input!B312/$B229,Input!B$300/$B$13)</f>
        <v>5.9589041095890409E-2</v>
      </c>
      <c r="D229" s="22">
        <f>IF($B229,Input!C312/$B229,Input!C$300/$B$13)</f>
        <v>0.30679223744292239</v>
      </c>
      <c r="E229" s="22">
        <f>IF($B229,Input!D312/$B229,Input!D$300/$B$13)</f>
        <v>0.63361872146118725</v>
      </c>
      <c r="F229" s="6"/>
    </row>
    <row r="230" spans="1:38" x14ac:dyDescent="0.2">
      <c r="A230" s="5" t="s">
        <v>26</v>
      </c>
      <c r="B230" s="22">
        <f>SUM(Input!$B313:$D313)</f>
        <v>1</v>
      </c>
      <c r="C230" s="22">
        <f>IF($B230,Input!B313/$B230,Input!B$300/$B$13)</f>
        <v>0.56945495495495491</v>
      </c>
      <c r="D230" s="22">
        <f>IF($B230,Input!C313/$B230,Input!C$300/$B$13)</f>
        <v>0.3370504504504504</v>
      </c>
      <c r="E230" s="22">
        <f>IF($B230,Input!D313/$B230,Input!D$300/$B$13)</f>
        <v>9.3494594594594596E-2</v>
      </c>
      <c r="F230" s="6"/>
    </row>
    <row r="231" spans="1:38" x14ac:dyDescent="0.2">
      <c r="A231" s="5" t="s">
        <v>27</v>
      </c>
      <c r="B231" s="22">
        <f>SUM(Input!$B314:$D314)</f>
        <v>1</v>
      </c>
      <c r="C231" s="22">
        <f>IF($B231,Input!B314/$B231,Input!B$300/$B$13)</f>
        <v>0.56945495495495491</v>
      </c>
      <c r="D231" s="22">
        <f>IF($B231,Input!C314/$B231,Input!C$300/$B$13)</f>
        <v>0.3370504504504504</v>
      </c>
      <c r="E231" s="22">
        <f>IF($B231,Input!D314/$B231,Input!D$300/$B$13)</f>
        <v>9.3494594594594596E-2</v>
      </c>
      <c r="F231" s="6"/>
    </row>
    <row r="232" spans="1:38" x14ac:dyDescent="0.2">
      <c r="A232" s="5" t="s">
        <v>28</v>
      </c>
      <c r="B232" s="22">
        <f>SUM(Input!$B315:$D315)</f>
        <v>1</v>
      </c>
      <c r="C232" s="22">
        <f>IF($B232,Input!B315/$B232,Input!B$300/$B$13)</f>
        <v>0.56945495495495491</v>
      </c>
      <c r="D232" s="22">
        <f>IF($B232,Input!C315/$B232,Input!C$300/$B$13)</f>
        <v>0.3370504504504504</v>
      </c>
      <c r="E232" s="22">
        <f>IF($B232,Input!D315/$B232,Input!D$300/$B$13)</f>
        <v>9.3494594594594596E-2</v>
      </c>
      <c r="F232" s="6"/>
    </row>
    <row r="234" spans="1:38" ht="16.5" x14ac:dyDescent="0.25">
      <c r="A234" s="3" t="s">
        <v>500</v>
      </c>
    </row>
    <row r="235" spans="1:38" x14ac:dyDescent="0.2">
      <c r="A235" s="10" t="s">
        <v>238</v>
      </c>
    </row>
    <row r="236" spans="1:38" x14ac:dyDescent="0.2">
      <c r="A236" s="11" t="s">
        <v>501</v>
      </c>
    </row>
    <row r="237" spans="1:38" x14ac:dyDescent="0.2">
      <c r="A237" s="10" t="s">
        <v>502</v>
      </c>
    </row>
    <row r="239" spans="1:38" x14ac:dyDescent="0.2">
      <c r="B239" s="12" t="s">
        <v>21</v>
      </c>
      <c r="C239" s="4" t="s">
        <v>204</v>
      </c>
      <c r="D239" s="4" t="s">
        <v>205</v>
      </c>
      <c r="E239" s="4" t="s">
        <v>206</v>
      </c>
      <c r="F239" s="12" t="s">
        <v>22</v>
      </c>
      <c r="G239" s="4" t="s">
        <v>204</v>
      </c>
      <c r="H239" s="4" t="s">
        <v>205</v>
      </c>
      <c r="I239" s="4" t="s">
        <v>206</v>
      </c>
      <c r="J239" s="12" t="s">
        <v>23</v>
      </c>
      <c r="K239" s="4" t="s">
        <v>204</v>
      </c>
      <c r="L239" s="4" t="s">
        <v>205</v>
      </c>
      <c r="M239" s="4" t="s">
        <v>206</v>
      </c>
      <c r="N239" s="12" t="s">
        <v>24</v>
      </c>
      <c r="O239" s="4" t="s">
        <v>204</v>
      </c>
      <c r="P239" s="4" t="s">
        <v>205</v>
      </c>
      <c r="Q239" s="4" t="s">
        <v>206</v>
      </c>
      <c r="R239" s="12" t="s">
        <v>25</v>
      </c>
      <c r="S239" s="4" t="s">
        <v>204</v>
      </c>
      <c r="T239" s="4" t="s">
        <v>205</v>
      </c>
      <c r="U239" s="4" t="s">
        <v>206</v>
      </c>
      <c r="V239" s="12" t="s">
        <v>30</v>
      </c>
      <c r="W239" s="4" t="s">
        <v>204</v>
      </c>
      <c r="X239" s="4" t="s">
        <v>205</v>
      </c>
      <c r="Y239" s="4" t="s">
        <v>206</v>
      </c>
      <c r="Z239" s="12" t="s">
        <v>26</v>
      </c>
      <c r="AA239" s="4" t="s">
        <v>204</v>
      </c>
      <c r="AB239" s="4" t="s">
        <v>205</v>
      </c>
      <c r="AC239" s="4" t="s">
        <v>206</v>
      </c>
      <c r="AD239" s="12" t="s">
        <v>27</v>
      </c>
      <c r="AE239" s="4" t="s">
        <v>204</v>
      </c>
      <c r="AF239" s="4" t="s">
        <v>205</v>
      </c>
      <c r="AG239" s="4" t="s">
        <v>206</v>
      </c>
      <c r="AH239" s="12" t="s">
        <v>28</v>
      </c>
      <c r="AI239" s="4" t="s">
        <v>204</v>
      </c>
      <c r="AJ239" s="4" t="s">
        <v>205</v>
      </c>
      <c r="AK239" s="4" t="s">
        <v>206</v>
      </c>
    </row>
    <row r="240" spans="1:38" x14ac:dyDescent="0.2">
      <c r="A240" s="5" t="s">
        <v>503</v>
      </c>
      <c r="C240" s="24">
        <f>C$224</f>
        <v>0.72299447018604324</v>
      </c>
      <c r="D240" s="24">
        <f>D$224</f>
        <v>0.20293269034893757</v>
      </c>
      <c r="E240" s="24">
        <f>E$224</f>
        <v>7.4072839465019205E-2</v>
      </c>
      <c r="G240" s="24">
        <f>C$225</f>
        <v>0.63170859041290939</v>
      </c>
      <c r="H240" s="24">
        <f>D$225</f>
        <v>0.28143331751305173</v>
      </c>
      <c r="I240" s="24">
        <f>E$225</f>
        <v>8.6858092074038926E-2</v>
      </c>
      <c r="K240" s="24">
        <f>C$226</f>
        <v>0.63170859041290939</v>
      </c>
      <c r="L240" s="24">
        <f>D$226</f>
        <v>0.28143331751305173</v>
      </c>
      <c r="M240" s="24">
        <f>E$226</f>
        <v>8.6858092074038926E-2</v>
      </c>
      <c r="O240" s="24">
        <f>C$227</f>
        <v>0.56945495495495491</v>
      </c>
      <c r="P240" s="24">
        <f>D$227</f>
        <v>0.3370504504504504</v>
      </c>
      <c r="Q240" s="24">
        <f>E$227</f>
        <v>9.3494594594594596E-2</v>
      </c>
      <c r="S240" s="24">
        <f>C$228</f>
        <v>0.56945495495495491</v>
      </c>
      <c r="T240" s="24">
        <f>D$228</f>
        <v>0.3370504504504504</v>
      </c>
      <c r="U240" s="24">
        <f>E$228</f>
        <v>9.3494594594594596E-2</v>
      </c>
      <c r="W240" s="24">
        <f>C$229</f>
        <v>5.9589041095890409E-2</v>
      </c>
      <c r="X240" s="24">
        <f>D$229</f>
        <v>0.30679223744292239</v>
      </c>
      <c r="Y240" s="24">
        <f>E$229</f>
        <v>0.63361872146118725</v>
      </c>
      <c r="AA240" s="24">
        <f>C$230</f>
        <v>0.56945495495495491</v>
      </c>
      <c r="AB240" s="24">
        <f>D$230</f>
        <v>0.3370504504504504</v>
      </c>
      <c r="AC240" s="24">
        <f>E$230</f>
        <v>9.3494594594594596E-2</v>
      </c>
      <c r="AE240" s="24">
        <f>C$231</f>
        <v>0.56945495495495491</v>
      </c>
      <c r="AF240" s="24">
        <f>D$231</f>
        <v>0.3370504504504504</v>
      </c>
      <c r="AG240" s="24">
        <f>E$231</f>
        <v>9.3494594594594596E-2</v>
      </c>
      <c r="AI240" s="24">
        <f>C$232</f>
        <v>0.56945495495495491</v>
      </c>
      <c r="AJ240" s="24">
        <f>D$232</f>
        <v>0.3370504504504504</v>
      </c>
      <c r="AK240" s="24">
        <f>E$232</f>
        <v>9.3494594594594596E-2</v>
      </c>
      <c r="AL240" s="6"/>
    </row>
    <row r="242" spans="1:38" ht="16.5" x14ac:dyDescent="0.25">
      <c r="A242" s="3" t="s">
        <v>504</v>
      </c>
    </row>
    <row r="243" spans="1:38" x14ac:dyDescent="0.2">
      <c r="A243" s="10" t="s">
        <v>238</v>
      </c>
    </row>
    <row r="244" spans="1:38" x14ac:dyDescent="0.2">
      <c r="A244" s="11" t="s">
        <v>505</v>
      </c>
    </row>
    <row r="245" spans="1:38" x14ac:dyDescent="0.2">
      <c r="A245" s="11" t="s">
        <v>506</v>
      </c>
    </row>
    <row r="246" spans="1:38" x14ac:dyDescent="0.2">
      <c r="A246" s="11" t="s">
        <v>507</v>
      </c>
    </row>
    <row r="247" spans="1:38" x14ac:dyDescent="0.2">
      <c r="A247" s="11" t="s">
        <v>439</v>
      </c>
    </row>
    <row r="248" spans="1:38" x14ac:dyDescent="0.2">
      <c r="A248" s="10" t="s">
        <v>508</v>
      </c>
    </row>
    <row r="250" spans="1:38" x14ac:dyDescent="0.2">
      <c r="B250" s="12" t="s">
        <v>21</v>
      </c>
      <c r="C250" s="4" t="s">
        <v>204</v>
      </c>
      <c r="D250" s="4" t="s">
        <v>205</v>
      </c>
      <c r="E250" s="4" t="s">
        <v>206</v>
      </c>
      <c r="F250" s="12" t="s">
        <v>22</v>
      </c>
      <c r="G250" s="4" t="s">
        <v>204</v>
      </c>
      <c r="H250" s="4" t="s">
        <v>205</v>
      </c>
      <c r="I250" s="4" t="s">
        <v>206</v>
      </c>
      <c r="J250" s="12" t="s">
        <v>23</v>
      </c>
      <c r="K250" s="4" t="s">
        <v>204</v>
      </c>
      <c r="L250" s="4" t="s">
        <v>205</v>
      </c>
      <c r="M250" s="4" t="s">
        <v>206</v>
      </c>
      <c r="N250" s="12" t="s">
        <v>24</v>
      </c>
      <c r="O250" s="4" t="s">
        <v>204</v>
      </c>
      <c r="P250" s="4" t="s">
        <v>205</v>
      </c>
      <c r="Q250" s="4" t="s">
        <v>206</v>
      </c>
      <c r="R250" s="12" t="s">
        <v>25</v>
      </c>
      <c r="S250" s="4" t="s">
        <v>204</v>
      </c>
      <c r="T250" s="4" t="s">
        <v>205</v>
      </c>
      <c r="U250" s="4" t="s">
        <v>206</v>
      </c>
      <c r="V250" s="12" t="s">
        <v>30</v>
      </c>
      <c r="W250" s="4" t="s">
        <v>204</v>
      </c>
      <c r="X250" s="4" t="s">
        <v>205</v>
      </c>
      <c r="Y250" s="4" t="s">
        <v>206</v>
      </c>
      <c r="Z250" s="12" t="s">
        <v>26</v>
      </c>
      <c r="AA250" s="4" t="s">
        <v>204</v>
      </c>
      <c r="AB250" s="4" t="s">
        <v>205</v>
      </c>
      <c r="AC250" s="4" t="s">
        <v>206</v>
      </c>
      <c r="AD250" s="12" t="s">
        <v>27</v>
      </c>
      <c r="AE250" s="4" t="s">
        <v>204</v>
      </c>
      <c r="AF250" s="4" t="s">
        <v>205</v>
      </c>
      <c r="AG250" s="4" t="s">
        <v>206</v>
      </c>
      <c r="AH250" s="12" t="s">
        <v>28</v>
      </c>
      <c r="AI250" s="4" t="s">
        <v>204</v>
      </c>
      <c r="AJ250" s="4" t="s">
        <v>205</v>
      </c>
      <c r="AK250" s="4" t="s">
        <v>206</v>
      </c>
    </row>
    <row r="251" spans="1:38" x14ac:dyDescent="0.2">
      <c r="A251" s="5" t="s">
        <v>54</v>
      </c>
      <c r="C251" s="17">
        <f>IF(C$13&gt;0,$C197*C$240*24*Input!$F$14/C$13,0)</f>
        <v>19.764032914680865</v>
      </c>
      <c r="D251" s="17">
        <f>IF(D$13&gt;0,$C197*D$240*24*Input!$F$14/D$13,0)</f>
        <v>1.0774934429377139</v>
      </c>
      <c r="E251" s="17">
        <f>IF(E$13&gt;0,$C197*E$240*24*Input!$F$14/E$13,0)</f>
        <v>0.19043114638535993</v>
      </c>
      <c r="G251" s="17">
        <f>IF(C$13&gt;0,$C197*G$240*24*Input!$F$14/C$13,0)</f>
        <v>17.268609772623414</v>
      </c>
      <c r="H251" s="17">
        <f>IF(D$13&gt;0,$C197*H$240*24*Input!$F$14/D$13,0)</f>
        <v>1.4943011582959012</v>
      </c>
      <c r="I251" s="17">
        <f>IF(E$13&gt;0,$C197*I$240*24*Input!$F$14/E$13,0)</f>
        <v>0.2233002834232593</v>
      </c>
      <c r="K251" s="17">
        <f>IF(C$13&gt;0,$C197*K$240*24*Input!$F$14/C$13,0)</f>
        <v>17.268609772623414</v>
      </c>
      <c r="L251" s="17">
        <f>IF(D$13&gt;0,$C197*L$240*24*Input!$F$14/D$13,0)</f>
        <v>1.4943011582959012</v>
      </c>
      <c r="M251" s="17">
        <f>IF(E$13&gt;0,$C197*M$240*24*Input!$F$14/E$13,0)</f>
        <v>0.2233002834232593</v>
      </c>
      <c r="O251" s="17">
        <f>IF(C$13&gt;0,$C197*O$240*24*Input!$F$14/C$13,0)</f>
        <v>15.566822344106914</v>
      </c>
      <c r="P251" s="17">
        <f>IF(D$13&gt;0,$C197*P$240*24*Input!$F$14/D$13,0)</f>
        <v>1.7896064437676464</v>
      </c>
      <c r="Q251" s="17">
        <f>IF(E$13&gt;0,$C197*Q$240*24*Input!$F$14/E$13,0)</f>
        <v>0.24036182436196701</v>
      </c>
      <c r="S251" s="17">
        <f>IF(C$13&gt;0,$C197*S$240*24*Input!$F$14/C$13,0)</f>
        <v>15.566822344106914</v>
      </c>
      <c r="T251" s="17">
        <f>IF(D$13&gt;0,$C197*T$240*24*Input!$F$14/D$13,0)</f>
        <v>1.7896064437676464</v>
      </c>
      <c r="U251" s="17">
        <f>IF(E$13&gt;0,$C197*U$240*24*Input!$F$14/E$13,0)</f>
        <v>0.24036182436196701</v>
      </c>
      <c r="W251" s="17">
        <f>IF(C$13&gt;0,$C197*W$240*24*Input!$F$14/C$13,0)</f>
        <v>1.6289471332614678</v>
      </c>
      <c r="X251" s="17">
        <f>IF(D$13&gt;0,$C197*X$240*24*Input!$F$14/D$13,0)</f>
        <v>1.6289471332614678</v>
      </c>
      <c r="Y251" s="17">
        <f>IF(E$13&gt;0,$C197*Y$240*24*Input!$F$14/E$13,0)</f>
        <v>1.6289471332614678</v>
      </c>
      <c r="AA251" s="17">
        <f>IF(C$13&gt;0,$C197*AA$240*24*Input!$F$14/C$13,0)</f>
        <v>15.566822344106914</v>
      </c>
      <c r="AB251" s="17">
        <f>IF(D$13&gt;0,$C197*AB$240*24*Input!$F$14/D$13,0)</f>
        <v>1.7896064437676464</v>
      </c>
      <c r="AC251" s="17">
        <f>IF(E$13&gt;0,$C197*AC$240*24*Input!$F$14/E$13,0)</f>
        <v>0.24036182436196701</v>
      </c>
      <c r="AE251" s="17">
        <f>IF(C$13&gt;0,$C197*AE$240*24*Input!$F$14/C$13,0)</f>
        <v>15.566822344106914</v>
      </c>
      <c r="AF251" s="17">
        <f>IF(D$13&gt;0,$C197*AF$240*24*Input!$F$14/D$13,0)</f>
        <v>1.7896064437676464</v>
      </c>
      <c r="AG251" s="17">
        <f>IF(E$13&gt;0,$C197*AG$240*24*Input!$F$14/E$13,0)</f>
        <v>0.24036182436196701</v>
      </c>
      <c r="AI251" s="17">
        <f>IF(C$13&gt;0,$C197*AI$240*24*Input!$F$14/C$13,0)</f>
        <v>15.566822344106914</v>
      </c>
      <c r="AJ251" s="17">
        <f>IF(D$13&gt;0,$C197*AJ$240*24*Input!$F$14/D$13,0)</f>
        <v>1.7896064437676464</v>
      </c>
      <c r="AK251" s="17">
        <f>IF(E$13&gt;0,$C197*AK$240*24*Input!$F$14/E$13,0)</f>
        <v>0.24036182436196701</v>
      </c>
      <c r="AL251" s="6"/>
    </row>
    <row r="252" spans="1:38" x14ac:dyDescent="0.2">
      <c r="A252" s="5" t="s">
        <v>94</v>
      </c>
      <c r="C252" s="17">
        <f>IF(C$13&gt;0,$C198*C$240*24*Input!$F$14/C$13,0)</f>
        <v>12.133010649099116</v>
      </c>
      <c r="D252" s="17">
        <f>IF(D$13&gt;0,$C198*D$240*24*Input!$F$14/D$13,0)</f>
        <v>0.66146618323969975</v>
      </c>
      <c r="E252" s="17">
        <f>IF(E$13&gt;0,$C198*E$240*24*Input!$F$14/E$13,0)</f>
        <v>0.11690443630548027</v>
      </c>
      <c r="G252" s="17">
        <f>IF(C$13&gt;0,$C198*G$240*24*Input!$F$14/C$13,0)</f>
        <v>10.601086689687905</v>
      </c>
      <c r="H252" s="17">
        <f>IF(D$13&gt;0,$C198*H$240*24*Input!$F$14/D$13,0)</f>
        <v>0.91734171587510083</v>
      </c>
      <c r="I252" s="17">
        <f>IF(E$13&gt;0,$C198*I$240*24*Input!$F$14/E$13,0)</f>
        <v>0.13708258473445292</v>
      </c>
      <c r="K252" s="17">
        <f>IF(C$13&gt;0,$C198*K$240*24*Input!$F$14/C$13,0)</f>
        <v>10.601086689687905</v>
      </c>
      <c r="L252" s="17">
        <f>IF(D$13&gt;0,$C198*L$240*24*Input!$F$14/D$13,0)</f>
        <v>0.91734171587510083</v>
      </c>
      <c r="M252" s="17">
        <f>IF(E$13&gt;0,$C198*M$240*24*Input!$F$14/E$13,0)</f>
        <v>0.13708258473445292</v>
      </c>
      <c r="O252" s="17">
        <f>IF(C$13&gt;0,$C198*O$240*24*Input!$F$14/C$13,0)</f>
        <v>9.556370508439473</v>
      </c>
      <c r="P252" s="17">
        <f>IF(D$13&gt;0,$C198*P$240*24*Input!$F$14/D$13,0)</f>
        <v>1.0986277008170962</v>
      </c>
      <c r="Q252" s="17">
        <f>IF(E$13&gt;0,$C198*Q$240*24*Input!$F$14/E$13,0)</f>
        <v>0.14755655322018713</v>
      </c>
      <c r="S252" s="17">
        <f>IF(C$13&gt;0,$C198*S$240*24*Input!$F$14/C$13,0)</f>
        <v>9.556370508439473</v>
      </c>
      <c r="T252" s="17">
        <f>IF(D$13&gt;0,$C198*T$240*24*Input!$F$14/D$13,0)</f>
        <v>1.0986277008170962</v>
      </c>
      <c r="U252" s="17">
        <f>IF(E$13&gt;0,$C198*U$240*24*Input!$F$14/E$13,0)</f>
        <v>0.14755655322018713</v>
      </c>
      <c r="W252" s="17">
        <f>IF(C$13&gt;0,$C198*W$240*24*Input!$F$14/C$13,0)</f>
        <v>1</v>
      </c>
      <c r="X252" s="17">
        <f>IF(D$13&gt;0,$C198*X$240*24*Input!$F$14/D$13,0)</f>
        <v>1</v>
      </c>
      <c r="Y252" s="17">
        <f>IF(E$13&gt;0,$C198*Y$240*24*Input!$F$14/E$13,0)</f>
        <v>1</v>
      </c>
      <c r="AA252" s="17">
        <f>IF(C$13&gt;0,$C198*AA$240*24*Input!$F$14/C$13,0)</f>
        <v>9.556370508439473</v>
      </c>
      <c r="AB252" s="17">
        <f>IF(D$13&gt;0,$C198*AB$240*24*Input!$F$14/D$13,0)</f>
        <v>1.0986277008170962</v>
      </c>
      <c r="AC252" s="17">
        <f>IF(E$13&gt;0,$C198*AC$240*24*Input!$F$14/E$13,0)</f>
        <v>0.14755655322018713</v>
      </c>
      <c r="AE252" s="17">
        <f>IF(C$13&gt;0,$C198*AE$240*24*Input!$F$14/C$13,0)</f>
        <v>9.556370508439473</v>
      </c>
      <c r="AF252" s="17">
        <f>IF(D$13&gt;0,$C198*AF$240*24*Input!$F$14/D$13,0)</f>
        <v>1.0986277008170962</v>
      </c>
      <c r="AG252" s="17">
        <f>IF(E$13&gt;0,$C198*AG$240*24*Input!$F$14/E$13,0)</f>
        <v>0.14755655322018713</v>
      </c>
      <c r="AI252" s="17">
        <f>IF(C$13&gt;0,$C198*AI$240*24*Input!$F$14/C$13,0)</f>
        <v>9.556370508439473</v>
      </c>
      <c r="AJ252" s="17">
        <f>IF(D$13&gt;0,$C198*AJ$240*24*Input!$F$14/D$13,0)</f>
        <v>1.0986277008170962</v>
      </c>
      <c r="AK252" s="17">
        <f>IF(E$13&gt;0,$C198*AK$240*24*Input!$F$14/E$13,0)</f>
        <v>0.14755655322018713</v>
      </c>
      <c r="AL252" s="6"/>
    </row>
    <row r="253" spans="1:38" x14ac:dyDescent="0.2">
      <c r="A253" s="5" t="s">
        <v>56</v>
      </c>
      <c r="C253" s="17">
        <f>IF(C$13&gt;0,$C199*C$240*24*Input!$F$14/C$13,0)</f>
        <v>17.04778430245446</v>
      </c>
      <c r="D253" s="17">
        <f>IF(D$13&gt;0,$C199*D$240*24*Input!$F$14/D$13,0)</f>
        <v>0.92940929018928276</v>
      </c>
      <c r="E253" s="17">
        <f>IF(E$13&gt;0,$C199*E$240*24*Input!$F$14/E$13,0)</f>
        <v>0.16425944654419569</v>
      </c>
      <c r="G253" s="17">
        <f>IF(C$13&gt;0,$C199*G$240*24*Input!$F$14/C$13,0)</f>
        <v>14.895316956705985</v>
      </c>
      <c r="H253" s="17">
        <f>IF(D$13&gt;0,$C199*H$240*24*Input!$F$14/D$13,0)</f>
        <v>1.2889334853623786</v>
      </c>
      <c r="I253" s="17">
        <f>IF(E$13&gt;0,$C199*I$240*24*Input!$F$14/E$13,0)</f>
        <v>0.19261124907604119</v>
      </c>
      <c r="K253" s="17">
        <f>IF(C$13&gt;0,$C199*K$240*24*Input!$F$14/C$13,0)</f>
        <v>14.895316956705985</v>
      </c>
      <c r="L253" s="17">
        <f>IF(D$13&gt;0,$C199*L$240*24*Input!$F$14/D$13,0)</f>
        <v>1.2889334853623786</v>
      </c>
      <c r="M253" s="17">
        <f>IF(E$13&gt;0,$C199*M$240*24*Input!$F$14/E$13,0)</f>
        <v>0.19261124907604119</v>
      </c>
      <c r="O253" s="17">
        <f>IF(C$13&gt;0,$C199*O$240*24*Input!$F$14/C$13,0)</f>
        <v>13.427412853569837</v>
      </c>
      <c r="P253" s="17">
        <f>IF(D$13&gt;0,$C199*P$240*24*Input!$F$14/D$13,0)</f>
        <v>1.5436538064542107</v>
      </c>
      <c r="Q253" s="17">
        <f>IF(E$13&gt;0,$C199*Q$240*24*Input!$F$14/E$13,0)</f>
        <v>0.20732795548136854</v>
      </c>
      <c r="S253" s="17">
        <f>IF(C$13&gt;0,$C199*S$240*24*Input!$F$14/C$13,0)</f>
        <v>13.427412853569837</v>
      </c>
      <c r="T253" s="17">
        <f>IF(D$13&gt;0,$C199*T$240*24*Input!$F$14/D$13,0)</f>
        <v>1.5436538064542107</v>
      </c>
      <c r="U253" s="17">
        <f>IF(E$13&gt;0,$C199*U$240*24*Input!$F$14/E$13,0)</f>
        <v>0.20732795548136854</v>
      </c>
      <c r="W253" s="17">
        <f>IF(C$13&gt;0,$C199*W$240*24*Input!$F$14/C$13,0)</f>
        <v>1.4050745355374981</v>
      </c>
      <c r="X253" s="17">
        <f>IF(D$13&gt;0,$C199*X$240*24*Input!$F$14/D$13,0)</f>
        <v>1.4050745355374981</v>
      </c>
      <c r="Y253" s="17">
        <f>IF(E$13&gt;0,$C199*Y$240*24*Input!$F$14/E$13,0)</f>
        <v>1.4050745355374978</v>
      </c>
      <c r="AA253" s="17">
        <f>IF(C$13&gt;0,$C199*AA$240*24*Input!$F$14/C$13,0)</f>
        <v>13.427412853569837</v>
      </c>
      <c r="AB253" s="17">
        <f>IF(D$13&gt;0,$C199*AB$240*24*Input!$F$14/D$13,0)</f>
        <v>1.5436538064542107</v>
      </c>
      <c r="AC253" s="17">
        <f>IF(E$13&gt;0,$C199*AC$240*24*Input!$F$14/E$13,0)</f>
        <v>0.20732795548136854</v>
      </c>
      <c r="AE253" s="17">
        <f>IF(C$13&gt;0,$C199*AE$240*24*Input!$F$14/C$13,0)</f>
        <v>13.427412853569837</v>
      </c>
      <c r="AF253" s="17">
        <f>IF(D$13&gt;0,$C199*AF$240*24*Input!$F$14/D$13,0)</f>
        <v>1.5436538064542107</v>
      </c>
      <c r="AG253" s="17">
        <f>IF(E$13&gt;0,$C199*AG$240*24*Input!$F$14/E$13,0)</f>
        <v>0.20732795548136854</v>
      </c>
      <c r="AI253" s="17">
        <f>IF(C$13&gt;0,$C199*AI$240*24*Input!$F$14/C$13,0)</f>
        <v>13.427412853569837</v>
      </c>
      <c r="AJ253" s="17">
        <f>IF(D$13&gt;0,$C199*AJ$240*24*Input!$F$14/D$13,0)</f>
        <v>1.5436538064542107</v>
      </c>
      <c r="AK253" s="17">
        <f>IF(E$13&gt;0,$C199*AK$240*24*Input!$F$14/E$13,0)</f>
        <v>0.20732795548136854</v>
      </c>
      <c r="AL253" s="6"/>
    </row>
    <row r="254" spans="1:38" x14ac:dyDescent="0.2">
      <c r="A254" s="5" t="s">
        <v>95</v>
      </c>
      <c r="C254" s="17">
        <f>IF(C$13&gt;0,$C200*C$240*24*Input!$F$14/C$13,0)</f>
        <v>12.133010649099116</v>
      </c>
      <c r="D254" s="17">
        <f>IF(D$13&gt;0,$C200*D$240*24*Input!$F$14/D$13,0)</f>
        <v>0.66146618323969975</v>
      </c>
      <c r="E254" s="17">
        <f>IF(E$13&gt;0,$C200*E$240*24*Input!$F$14/E$13,0)</f>
        <v>0.11690443630548027</v>
      </c>
      <c r="G254" s="17">
        <f>IF(C$13&gt;0,$C200*G$240*24*Input!$F$14/C$13,0)</f>
        <v>10.601086689687905</v>
      </c>
      <c r="H254" s="17">
        <f>IF(D$13&gt;0,$C200*H$240*24*Input!$F$14/D$13,0)</f>
        <v>0.91734171587510083</v>
      </c>
      <c r="I254" s="17">
        <f>IF(E$13&gt;0,$C200*I$240*24*Input!$F$14/E$13,0)</f>
        <v>0.13708258473445292</v>
      </c>
      <c r="K254" s="17">
        <f>IF(C$13&gt;0,$C200*K$240*24*Input!$F$14/C$13,0)</f>
        <v>10.601086689687905</v>
      </c>
      <c r="L254" s="17">
        <f>IF(D$13&gt;0,$C200*L$240*24*Input!$F$14/D$13,0)</f>
        <v>0.91734171587510083</v>
      </c>
      <c r="M254" s="17">
        <f>IF(E$13&gt;0,$C200*M$240*24*Input!$F$14/E$13,0)</f>
        <v>0.13708258473445292</v>
      </c>
      <c r="O254" s="17">
        <f>IF(C$13&gt;0,$C200*O$240*24*Input!$F$14/C$13,0)</f>
        <v>9.556370508439473</v>
      </c>
      <c r="P254" s="17">
        <f>IF(D$13&gt;0,$C200*P$240*24*Input!$F$14/D$13,0)</f>
        <v>1.0986277008170962</v>
      </c>
      <c r="Q254" s="17">
        <f>IF(E$13&gt;0,$C200*Q$240*24*Input!$F$14/E$13,0)</f>
        <v>0.14755655322018713</v>
      </c>
      <c r="S254" s="17">
        <f>IF(C$13&gt;0,$C200*S$240*24*Input!$F$14/C$13,0)</f>
        <v>9.556370508439473</v>
      </c>
      <c r="T254" s="17">
        <f>IF(D$13&gt;0,$C200*T$240*24*Input!$F$14/D$13,0)</f>
        <v>1.0986277008170962</v>
      </c>
      <c r="U254" s="17">
        <f>IF(E$13&gt;0,$C200*U$240*24*Input!$F$14/E$13,0)</f>
        <v>0.14755655322018713</v>
      </c>
      <c r="W254" s="17">
        <f>IF(C$13&gt;0,$C200*W$240*24*Input!$F$14/C$13,0)</f>
        <v>1</v>
      </c>
      <c r="X254" s="17">
        <f>IF(D$13&gt;0,$C200*X$240*24*Input!$F$14/D$13,0)</f>
        <v>1</v>
      </c>
      <c r="Y254" s="17">
        <f>IF(E$13&gt;0,$C200*Y$240*24*Input!$F$14/E$13,0)</f>
        <v>1</v>
      </c>
      <c r="AA254" s="17">
        <f>IF(C$13&gt;0,$C200*AA$240*24*Input!$F$14/C$13,0)</f>
        <v>9.556370508439473</v>
      </c>
      <c r="AB254" s="17">
        <f>IF(D$13&gt;0,$C200*AB$240*24*Input!$F$14/D$13,0)</f>
        <v>1.0986277008170962</v>
      </c>
      <c r="AC254" s="17">
        <f>IF(E$13&gt;0,$C200*AC$240*24*Input!$F$14/E$13,0)</f>
        <v>0.14755655322018713</v>
      </c>
      <c r="AE254" s="17">
        <f>IF(C$13&gt;0,$C200*AE$240*24*Input!$F$14/C$13,0)</f>
        <v>9.556370508439473</v>
      </c>
      <c r="AF254" s="17">
        <f>IF(D$13&gt;0,$C200*AF$240*24*Input!$F$14/D$13,0)</f>
        <v>1.0986277008170962</v>
      </c>
      <c r="AG254" s="17">
        <f>IF(E$13&gt;0,$C200*AG$240*24*Input!$F$14/E$13,0)</f>
        <v>0.14755655322018713</v>
      </c>
      <c r="AI254" s="17">
        <f>IF(C$13&gt;0,$C200*AI$240*24*Input!$F$14/C$13,0)</f>
        <v>9.556370508439473</v>
      </c>
      <c r="AJ254" s="17">
        <f>IF(D$13&gt;0,$C200*AJ$240*24*Input!$F$14/D$13,0)</f>
        <v>1.0986277008170962</v>
      </c>
      <c r="AK254" s="17">
        <f>IF(E$13&gt;0,$C200*AK$240*24*Input!$F$14/E$13,0)</f>
        <v>0.14755655322018713</v>
      </c>
      <c r="AL254" s="6"/>
    </row>
    <row r="255" spans="1:38" x14ac:dyDescent="0.2">
      <c r="A255" s="5" t="s">
        <v>57</v>
      </c>
      <c r="C255" s="17">
        <f>IF(C$13&gt;0,$C201*C$240*24*Input!$F$14/C$13,0)</f>
        <v>15.289598221636039</v>
      </c>
      <c r="D255" s="17">
        <f>IF(D$13&gt;0,$C201*D$240*24*Input!$F$14/D$13,0)</f>
        <v>0.83355668856064413</v>
      </c>
      <c r="E255" s="17">
        <f>IF(E$13&gt;0,$C201*E$240*24*Input!$F$14/E$13,0)</f>
        <v>0.14731890650490378</v>
      </c>
      <c r="G255" s="17">
        <f>IF(C$13&gt;0,$C201*G$240*24*Input!$F$14/C$13,0)</f>
        <v>13.359120904595652</v>
      </c>
      <c r="H255" s="17">
        <f>IF(D$13&gt;0,$C201*H$240*24*Input!$F$14/D$13,0)</f>
        <v>1.1560021393962856</v>
      </c>
      <c r="I255" s="17">
        <f>IF(E$13&gt;0,$C201*I$240*24*Input!$F$14/E$13,0)</f>
        <v>0.1727467076713386</v>
      </c>
      <c r="K255" s="17">
        <f>IF(C$13&gt;0,$C201*K$240*24*Input!$F$14/C$13,0)</f>
        <v>13.359120904595652</v>
      </c>
      <c r="L255" s="17">
        <f>IF(D$13&gt;0,$C201*L$240*24*Input!$F$14/D$13,0)</f>
        <v>1.1560021393962856</v>
      </c>
      <c r="M255" s="17">
        <f>IF(E$13&gt;0,$C201*M$240*24*Input!$F$14/E$13,0)</f>
        <v>0.1727467076713386</v>
      </c>
      <c r="O255" s="17">
        <f>IF(C$13&gt;0,$C201*O$240*24*Input!$F$14/C$13,0)</f>
        <v>12.042605892048753</v>
      </c>
      <c r="P255" s="17">
        <f>IF(D$13&gt;0,$C201*P$240*24*Input!$F$14/D$13,0)</f>
        <v>1.3844524352989334</v>
      </c>
      <c r="Q255" s="17">
        <f>IF(E$13&gt;0,$C201*Q$240*24*Input!$F$14/E$13,0)</f>
        <v>0.18594563863451583</v>
      </c>
      <c r="S255" s="17">
        <f>IF(C$13&gt;0,$C201*S$240*24*Input!$F$14/C$13,0)</f>
        <v>12.042605892048753</v>
      </c>
      <c r="T255" s="17">
        <f>IF(D$13&gt;0,$C201*T$240*24*Input!$F$14/D$13,0)</f>
        <v>1.3844524352989334</v>
      </c>
      <c r="U255" s="17">
        <f>IF(E$13&gt;0,$C201*U$240*24*Input!$F$14/E$13,0)</f>
        <v>0.18594563863451583</v>
      </c>
      <c r="W255" s="17">
        <f>IF(C$13&gt;0,$C201*W$240*24*Input!$F$14/C$13,0)</f>
        <v>1.2601652354744535</v>
      </c>
      <c r="X255" s="17">
        <f>IF(D$13&gt;0,$C201*X$240*24*Input!$F$14/D$13,0)</f>
        <v>1.2601652354744535</v>
      </c>
      <c r="Y255" s="17">
        <f>IF(E$13&gt;0,$C201*Y$240*24*Input!$F$14/E$13,0)</f>
        <v>1.2601652354744535</v>
      </c>
      <c r="AA255" s="17">
        <f>IF(C$13&gt;0,$C201*AA$240*24*Input!$F$14/C$13,0)</f>
        <v>12.042605892048753</v>
      </c>
      <c r="AB255" s="17">
        <f>IF(D$13&gt;0,$C201*AB$240*24*Input!$F$14/D$13,0)</f>
        <v>1.3844524352989334</v>
      </c>
      <c r="AC255" s="17">
        <f>IF(E$13&gt;0,$C201*AC$240*24*Input!$F$14/E$13,0)</f>
        <v>0.18594563863451583</v>
      </c>
      <c r="AE255" s="17">
        <f>IF(C$13&gt;0,$C201*AE$240*24*Input!$F$14/C$13,0)</f>
        <v>12.042605892048753</v>
      </c>
      <c r="AF255" s="17">
        <f>IF(D$13&gt;0,$C201*AF$240*24*Input!$F$14/D$13,0)</f>
        <v>1.3844524352989334</v>
      </c>
      <c r="AG255" s="17">
        <f>IF(E$13&gt;0,$C201*AG$240*24*Input!$F$14/E$13,0)</f>
        <v>0.18594563863451583</v>
      </c>
      <c r="AI255" s="17">
        <f>IF(C$13&gt;0,$C201*AI$240*24*Input!$F$14/C$13,0)</f>
        <v>12.042605892048753</v>
      </c>
      <c r="AJ255" s="17">
        <f>IF(D$13&gt;0,$C201*AJ$240*24*Input!$F$14/D$13,0)</f>
        <v>1.3844524352989334</v>
      </c>
      <c r="AK255" s="17">
        <f>IF(E$13&gt;0,$C201*AK$240*24*Input!$F$14/E$13,0)</f>
        <v>0.18594563863451583</v>
      </c>
      <c r="AL255" s="6"/>
    </row>
    <row r="256" spans="1:38" x14ac:dyDescent="0.2">
      <c r="A256" s="5" t="s">
        <v>58</v>
      </c>
      <c r="C256" s="17">
        <f>IF(C$13&gt;0,$C202*C$240*24*Input!$F$14/C$13,0)</f>
        <v>15.320328567765973</v>
      </c>
      <c r="D256" s="17">
        <f>IF(D$13&gt;0,$C202*D$240*24*Input!$F$14/D$13,0)</f>
        <v>0.83523204230029613</v>
      </c>
      <c r="E256" s="17">
        <f>IF(E$13&gt;0,$C202*E$240*24*Input!$F$14/E$13,0)</f>
        <v>0.14761500068100664</v>
      </c>
      <c r="G256" s="17">
        <f>IF(C$13&gt;0,$C202*G$240*24*Input!$F$14/C$13,0)</f>
        <v>13.385971211807055</v>
      </c>
      <c r="H256" s="17">
        <f>IF(D$13&gt;0,$C202*H$240*24*Input!$F$14/D$13,0)</f>
        <v>1.1583255716641343</v>
      </c>
      <c r="I256" s="17">
        <f>IF(E$13&gt;0,$C202*I$240*24*Input!$F$14/E$13,0)</f>
        <v>0.17309390882355949</v>
      </c>
      <c r="K256" s="17">
        <f>IF(C$13&gt;0,$C202*K$240*24*Input!$F$14/C$13,0)</f>
        <v>13.385971211807055</v>
      </c>
      <c r="L256" s="17">
        <f>IF(D$13&gt;0,$C202*L$240*24*Input!$F$14/D$13,0)</f>
        <v>1.1583255716641343</v>
      </c>
      <c r="M256" s="17">
        <f>IF(E$13&gt;0,$C202*M$240*24*Input!$F$14/E$13,0)</f>
        <v>0.17309390882355949</v>
      </c>
      <c r="O256" s="17">
        <f>IF(C$13&gt;0,$C202*O$240*24*Input!$F$14/C$13,0)</f>
        <v>12.06681015445019</v>
      </c>
      <c r="P256" s="17">
        <f>IF(D$13&gt;0,$C202*P$240*24*Input!$F$14/D$13,0)</f>
        <v>1.387235026569184</v>
      </c>
      <c r="Q256" s="17">
        <f>IF(E$13&gt;0,$C202*Q$240*24*Input!$F$14/E$13,0)</f>
        <v>0.18631936813046193</v>
      </c>
      <c r="S256" s="17">
        <f>IF(C$13&gt;0,$C202*S$240*24*Input!$F$14/C$13,0)</f>
        <v>12.06681015445019</v>
      </c>
      <c r="T256" s="17">
        <f>IF(D$13&gt;0,$C202*T$240*24*Input!$F$14/D$13,0)</f>
        <v>1.387235026569184</v>
      </c>
      <c r="U256" s="17">
        <f>IF(E$13&gt;0,$C202*U$240*24*Input!$F$14/E$13,0)</f>
        <v>0.18631936813046193</v>
      </c>
      <c r="W256" s="17">
        <f>IF(C$13&gt;0,$C202*W$240*24*Input!$F$14/C$13,0)</f>
        <v>1.2626980236684715</v>
      </c>
      <c r="X256" s="17">
        <f>IF(D$13&gt;0,$C202*X$240*24*Input!$F$14/D$13,0)</f>
        <v>1.2626980236684715</v>
      </c>
      <c r="Y256" s="17">
        <f>IF(E$13&gt;0,$C202*Y$240*24*Input!$F$14/E$13,0)</f>
        <v>1.2626980236684715</v>
      </c>
      <c r="AA256" s="17">
        <f>IF(C$13&gt;0,$C202*AA$240*24*Input!$F$14/C$13,0)</f>
        <v>12.06681015445019</v>
      </c>
      <c r="AB256" s="17">
        <f>IF(D$13&gt;0,$C202*AB$240*24*Input!$F$14/D$13,0)</f>
        <v>1.387235026569184</v>
      </c>
      <c r="AC256" s="17">
        <f>IF(E$13&gt;0,$C202*AC$240*24*Input!$F$14/E$13,0)</f>
        <v>0.18631936813046193</v>
      </c>
      <c r="AE256" s="17">
        <f>IF(C$13&gt;0,$C202*AE$240*24*Input!$F$14/C$13,0)</f>
        <v>12.06681015445019</v>
      </c>
      <c r="AF256" s="17">
        <f>IF(D$13&gt;0,$C202*AF$240*24*Input!$F$14/D$13,0)</f>
        <v>1.387235026569184</v>
      </c>
      <c r="AG256" s="17">
        <f>IF(E$13&gt;0,$C202*AG$240*24*Input!$F$14/E$13,0)</f>
        <v>0.18631936813046193</v>
      </c>
      <c r="AI256" s="17">
        <f>IF(C$13&gt;0,$C202*AI$240*24*Input!$F$14/C$13,0)</f>
        <v>12.06681015445019</v>
      </c>
      <c r="AJ256" s="17">
        <f>IF(D$13&gt;0,$C202*AJ$240*24*Input!$F$14/D$13,0)</f>
        <v>1.387235026569184</v>
      </c>
      <c r="AK256" s="17">
        <f>IF(E$13&gt;0,$C202*AK$240*24*Input!$F$14/E$13,0)</f>
        <v>0.18631936813046193</v>
      </c>
      <c r="AL256" s="6"/>
    </row>
    <row r="257" spans="1:38" x14ac:dyDescent="0.2">
      <c r="A257" s="5" t="s">
        <v>72</v>
      </c>
      <c r="C257" s="17">
        <f>IF(C$13&gt;0,$C203*C$240*24*Input!$F$14/C$13,0)</f>
        <v>16.343482693352541</v>
      </c>
      <c r="D257" s="17">
        <f>IF(D$13&gt;0,$C203*D$240*24*Input!$F$14/D$13,0)</f>
        <v>0.89101225002375595</v>
      </c>
      <c r="E257" s="17">
        <f>IF(E$13&gt;0,$C203*E$240*24*Input!$F$14/E$13,0)</f>
        <v>0.15747333343654624</v>
      </c>
      <c r="G257" s="17">
        <f>IF(C$13&gt;0,$C203*G$240*24*Input!$F$14/C$13,0)</f>
        <v>14.279941051276406</v>
      </c>
      <c r="H257" s="17">
        <f>IF(D$13&gt;0,$C203*H$240*24*Input!$F$14/D$13,0)</f>
        <v>1.2356832851216726</v>
      </c>
      <c r="I257" s="17">
        <f>IF(E$13&gt;0,$C203*I$240*24*Input!$F$14/E$13,0)</f>
        <v>0.18465382714667911</v>
      </c>
      <c r="K257" s="17">
        <f>IF(C$13&gt;0,$C203*K$240*24*Input!$F$14/C$13,0)</f>
        <v>14.279941051276406</v>
      </c>
      <c r="L257" s="17">
        <f>IF(D$13&gt;0,$C203*L$240*24*Input!$F$14/D$13,0)</f>
        <v>1.2356832851216726</v>
      </c>
      <c r="M257" s="17">
        <f>IF(E$13&gt;0,$C203*M$240*24*Input!$F$14/E$13,0)</f>
        <v>0.18465382714667911</v>
      </c>
      <c r="O257" s="17">
        <f>IF(C$13&gt;0,$C203*O$240*24*Input!$F$14/C$13,0)</f>
        <v>12.872681029711446</v>
      </c>
      <c r="P257" s="17">
        <f>IF(D$13&gt;0,$C203*P$240*24*Input!$F$14/D$13,0)</f>
        <v>1.4798802485247224</v>
      </c>
      <c r="Q257" s="17">
        <f>IF(E$13&gt;0,$C203*Q$240*24*Input!$F$14/E$13,0)</f>
        <v>0.19876253665234717</v>
      </c>
      <c r="S257" s="17">
        <f>IF(C$13&gt;0,$C203*S$240*24*Input!$F$14/C$13,0)</f>
        <v>12.872681029711446</v>
      </c>
      <c r="T257" s="17">
        <f>IF(D$13&gt;0,$C203*T$240*24*Input!$F$14/D$13,0)</f>
        <v>1.4798802485247224</v>
      </c>
      <c r="U257" s="17">
        <f>IF(E$13&gt;0,$C203*U$240*24*Input!$F$14/E$13,0)</f>
        <v>0.19876253665234717</v>
      </c>
      <c r="W257" s="17">
        <f>IF(C$13&gt;0,$C203*W$240*24*Input!$F$14/C$13,0)</f>
        <v>1.3470261558342946</v>
      </c>
      <c r="X257" s="17">
        <f>IF(D$13&gt;0,$C203*X$240*24*Input!$F$14/D$13,0)</f>
        <v>1.3470261558342946</v>
      </c>
      <c r="Y257" s="17">
        <f>IF(E$13&gt;0,$C203*Y$240*24*Input!$F$14/E$13,0)</f>
        <v>1.3470261558342949</v>
      </c>
      <c r="AA257" s="17">
        <f>IF(C$13&gt;0,$C203*AA$240*24*Input!$F$14/C$13,0)</f>
        <v>12.872681029711446</v>
      </c>
      <c r="AB257" s="17">
        <f>IF(D$13&gt;0,$C203*AB$240*24*Input!$F$14/D$13,0)</f>
        <v>1.4798802485247224</v>
      </c>
      <c r="AC257" s="17">
        <f>IF(E$13&gt;0,$C203*AC$240*24*Input!$F$14/E$13,0)</f>
        <v>0.19876253665234717</v>
      </c>
      <c r="AE257" s="17">
        <f>IF(C$13&gt;0,$C203*AE$240*24*Input!$F$14/C$13,0)</f>
        <v>12.872681029711446</v>
      </c>
      <c r="AF257" s="17">
        <f>IF(D$13&gt;0,$C203*AF$240*24*Input!$F$14/D$13,0)</f>
        <v>1.4798802485247224</v>
      </c>
      <c r="AG257" s="17">
        <f>IF(E$13&gt;0,$C203*AG$240*24*Input!$F$14/E$13,0)</f>
        <v>0.19876253665234717</v>
      </c>
      <c r="AI257" s="17">
        <f>IF(C$13&gt;0,$C203*AI$240*24*Input!$F$14/C$13,0)</f>
        <v>12.872681029711446</v>
      </c>
      <c r="AJ257" s="17">
        <f>IF(D$13&gt;0,$C203*AJ$240*24*Input!$F$14/D$13,0)</f>
        <v>1.4798802485247224</v>
      </c>
      <c r="AK257" s="17">
        <f>IF(E$13&gt;0,$C203*AK$240*24*Input!$F$14/E$13,0)</f>
        <v>0.19876253665234717</v>
      </c>
      <c r="AL257" s="6"/>
    </row>
    <row r="258" spans="1:38" x14ac:dyDescent="0.2">
      <c r="A258" s="5" t="s">
        <v>59</v>
      </c>
      <c r="C258" s="17">
        <f>IF(C$13&gt;0,$C204*C$240*24*Input!$F$14/C$13,0)</f>
        <v>11.55789700868932</v>
      </c>
      <c r="D258" s="17">
        <f>IF(D$13&gt;0,$C204*D$240*24*Input!$F$14/D$13,0)</f>
        <v>0.63011219900173143</v>
      </c>
      <c r="E258" s="17">
        <f>IF(E$13&gt;0,$C204*E$240*24*Input!$F$14/E$13,0)</f>
        <v>0.11136307992756496</v>
      </c>
      <c r="G258" s="17">
        <f>IF(C$13&gt;0,$C204*G$240*24*Input!$F$14/C$13,0)</f>
        <v>10.098587373175816</v>
      </c>
      <c r="H258" s="17">
        <f>IF(D$13&gt;0,$C204*H$240*24*Input!$F$14/D$13,0)</f>
        <v>0.8738590429446299</v>
      </c>
      <c r="I258" s="17">
        <f>IF(E$13&gt;0,$C204*I$240*24*Input!$F$14/E$13,0)</f>
        <v>0.13058476926032991</v>
      </c>
      <c r="K258" s="17">
        <f>IF(C$13&gt;0,$C204*K$240*24*Input!$F$14/C$13,0)</f>
        <v>10.098587373175816</v>
      </c>
      <c r="L258" s="17">
        <f>IF(D$13&gt;0,$C204*L$240*24*Input!$F$14/D$13,0)</f>
        <v>0.8738590429446299</v>
      </c>
      <c r="M258" s="17">
        <f>IF(E$13&gt;0,$C204*M$240*24*Input!$F$14/E$13,0)</f>
        <v>0.13058476926032991</v>
      </c>
      <c r="O258" s="17">
        <f>IF(C$13&gt;0,$C204*O$240*24*Input!$F$14/C$13,0)</f>
        <v>9.1033915083244832</v>
      </c>
      <c r="P258" s="17">
        <f>IF(D$13&gt;0,$C204*P$240*24*Input!$F$14/D$13,0)</f>
        <v>1.0465519386880255</v>
      </c>
      <c r="Q258" s="17">
        <f>IF(E$13&gt;0,$C204*Q$240*24*Input!$F$14/E$13,0)</f>
        <v>0.14056226392603866</v>
      </c>
      <c r="S258" s="17">
        <f>IF(C$13&gt;0,$C204*S$240*24*Input!$F$14/C$13,0)</f>
        <v>9.1033915083244832</v>
      </c>
      <c r="T258" s="17">
        <f>IF(D$13&gt;0,$C204*T$240*24*Input!$F$14/D$13,0)</f>
        <v>1.0465519386880255</v>
      </c>
      <c r="U258" s="17">
        <f>IF(E$13&gt;0,$C204*U$240*24*Input!$F$14/E$13,0)</f>
        <v>0.14056226392603866</v>
      </c>
      <c r="W258" s="17">
        <f>IF(C$13&gt;0,$C204*W$240*24*Input!$F$14/C$13,0)</f>
        <v>0.95259926352636171</v>
      </c>
      <c r="X258" s="17">
        <f>IF(D$13&gt;0,$C204*X$240*24*Input!$F$14/D$13,0)</f>
        <v>0.95259926352636193</v>
      </c>
      <c r="Y258" s="17">
        <f>IF(E$13&gt;0,$C204*Y$240*24*Input!$F$14/E$13,0)</f>
        <v>0.95259926352636182</v>
      </c>
      <c r="AA258" s="17">
        <f>IF(C$13&gt;0,$C204*AA$240*24*Input!$F$14/C$13,0)</f>
        <v>9.1033915083244832</v>
      </c>
      <c r="AB258" s="17">
        <f>IF(D$13&gt;0,$C204*AB$240*24*Input!$F$14/D$13,0)</f>
        <v>1.0465519386880255</v>
      </c>
      <c r="AC258" s="17">
        <f>IF(E$13&gt;0,$C204*AC$240*24*Input!$F$14/E$13,0)</f>
        <v>0.14056226392603866</v>
      </c>
      <c r="AE258" s="17">
        <f>IF(C$13&gt;0,$C204*AE$240*24*Input!$F$14/C$13,0)</f>
        <v>9.1033915083244832</v>
      </c>
      <c r="AF258" s="17">
        <f>IF(D$13&gt;0,$C204*AF$240*24*Input!$F$14/D$13,0)</f>
        <v>1.0465519386880255</v>
      </c>
      <c r="AG258" s="17">
        <f>IF(E$13&gt;0,$C204*AG$240*24*Input!$F$14/E$13,0)</f>
        <v>0.14056226392603866</v>
      </c>
      <c r="AI258" s="17">
        <f>IF(C$13&gt;0,$C204*AI$240*24*Input!$F$14/C$13,0)</f>
        <v>9.1033915083244832</v>
      </c>
      <c r="AJ258" s="17">
        <f>IF(D$13&gt;0,$C204*AJ$240*24*Input!$F$14/D$13,0)</f>
        <v>1.0465519386880255</v>
      </c>
      <c r="AK258" s="17">
        <f>IF(E$13&gt;0,$C204*AK$240*24*Input!$F$14/E$13,0)</f>
        <v>0.14056226392603866</v>
      </c>
      <c r="AL258" s="6"/>
    </row>
    <row r="259" spans="1:38" x14ac:dyDescent="0.2">
      <c r="A259" s="5" t="s">
        <v>60</v>
      </c>
      <c r="C259" s="17">
        <f>IF(C$13&gt;0,$C205*C$240*24*Input!$F$14/C$13,0)</f>
        <v>13.772343133072591</v>
      </c>
      <c r="D259" s="17">
        <f>IF(D$13&gt;0,$C205*D$240*24*Input!$F$14/D$13,0)</f>
        <v>0.75083913712524719</v>
      </c>
      <c r="E259" s="17">
        <f>IF(E$13&gt;0,$C205*E$240*24*Input!$F$14/E$13,0)</f>
        <v>0.13269979373973848</v>
      </c>
      <c r="G259" s="17">
        <f>IF(C$13&gt;0,$C205*G$240*24*Input!$F$14/C$13,0)</f>
        <v>12.033435698391244</v>
      </c>
      <c r="H259" s="17">
        <f>IF(D$13&gt;0,$C205*H$240*24*Input!$F$14/D$13,0)</f>
        <v>1.0412868863880498</v>
      </c>
      <c r="I259" s="17">
        <f>IF(E$13&gt;0,$C205*I$240*24*Input!$F$14/E$13,0)</f>
        <v>0.15560428067963211</v>
      </c>
      <c r="K259" s="17">
        <f>IF(C$13&gt;0,$C205*K$240*24*Input!$F$14/C$13,0)</f>
        <v>12.033435698391244</v>
      </c>
      <c r="L259" s="17">
        <f>IF(D$13&gt;0,$C205*L$240*24*Input!$F$14/D$13,0)</f>
        <v>1.0412868863880498</v>
      </c>
      <c r="M259" s="17">
        <f>IF(E$13&gt;0,$C205*M$240*24*Input!$F$14/E$13,0)</f>
        <v>0.15560428067963211</v>
      </c>
      <c r="O259" s="17">
        <f>IF(C$13&gt;0,$C205*O$240*24*Input!$F$14/C$13,0)</f>
        <v>10.847564347829545</v>
      </c>
      <c r="P259" s="17">
        <f>IF(D$13&gt;0,$C205*P$240*24*Input!$F$14/D$13,0)</f>
        <v>1.2470670395624457</v>
      </c>
      <c r="Q259" s="17">
        <f>IF(E$13&gt;0,$C205*Q$240*24*Input!$F$14/E$13,0)</f>
        <v>0.16749342279962448</v>
      </c>
      <c r="S259" s="17">
        <f>IF(C$13&gt;0,$C205*S$240*24*Input!$F$14/C$13,0)</f>
        <v>10.847564347829545</v>
      </c>
      <c r="T259" s="17">
        <f>IF(D$13&gt;0,$C205*T$240*24*Input!$F$14/D$13,0)</f>
        <v>1.2470670395624457</v>
      </c>
      <c r="U259" s="17">
        <f>IF(E$13&gt;0,$C205*U$240*24*Input!$F$14/E$13,0)</f>
        <v>0.16749342279962448</v>
      </c>
      <c r="W259" s="17">
        <f>IF(C$13&gt;0,$C205*W$240*24*Input!$F$14/C$13,0)</f>
        <v>1.1351134134292709</v>
      </c>
      <c r="X259" s="17">
        <f>IF(D$13&gt;0,$C205*X$240*24*Input!$F$14/D$13,0)</f>
        <v>1.1351134134292711</v>
      </c>
      <c r="Y259" s="17">
        <f>IF(E$13&gt;0,$C205*Y$240*24*Input!$F$14/E$13,0)</f>
        <v>1.1351134134292709</v>
      </c>
      <c r="AA259" s="17">
        <f>IF(C$13&gt;0,$C205*AA$240*24*Input!$F$14/C$13,0)</f>
        <v>10.847564347829545</v>
      </c>
      <c r="AB259" s="17">
        <f>IF(D$13&gt;0,$C205*AB$240*24*Input!$F$14/D$13,0)</f>
        <v>1.2470670395624457</v>
      </c>
      <c r="AC259" s="17">
        <f>IF(E$13&gt;0,$C205*AC$240*24*Input!$F$14/E$13,0)</f>
        <v>0.16749342279962448</v>
      </c>
      <c r="AE259" s="17">
        <f>IF(C$13&gt;0,$C205*AE$240*24*Input!$F$14/C$13,0)</f>
        <v>10.847564347829545</v>
      </c>
      <c r="AF259" s="17">
        <f>IF(D$13&gt;0,$C205*AF$240*24*Input!$F$14/D$13,0)</f>
        <v>1.2470670395624457</v>
      </c>
      <c r="AG259" s="17">
        <f>IF(E$13&gt;0,$C205*AG$240*24*Input!$F$14/E$13,0)</f>
        <v>0.16749342279962448</v>
      </c>
      <c r="AI259" s="17">
        <f>IF(C$13&gt;0,$C205*AI$240*24*Input!$F$14/C$13,0)</f>
        <v>10.847564347829545</v>
      </c>
      <c r="AJ259" s="17">
        <f>IF(D$13&gt;0,$C205*AJ$240*24*Input!$F$14/D$13,0)</f>
        <v>1.2470670395624457</v>
      </c>
      <c r="AK259" s="17">
        <f>IF(E$13&gt;0,$C205*AK$240*24*Input!$F$14/E$13,0)</f>
        <v>0.16749342279962448</v>
      </c>
      <c r="AL259" s="6"/>
    </row>
    <row r="260" spans="1:38" x14ac:dyDescent="0.2">
      <c r="A260" s="5" t="s">
        <v>73</v>
      </c>
      <c r="C260" s="17">
        <f>IF(C$13&gt;0,$C206*C$240*24*Input!$F$14/C$13,0)</f>
        <v>12.934468841023802</v>
      </c>
      <c r="D260" s="17">
        <f>IF(D$13&gt;0,$C206*D$240*24*Input!$F$14/D$13,0)</f>
        <v>0.70515999564709053</v>
      </c>
      <c r="E260" s="17">
        <f>IF(E$13&gt;0,$C206*E$240*24*Input!$F$14/E$13,0)</f>
        <v>0.12462667614018456</v>
      </c>
      <c r="G260" s="17">
        <f>IF(C$13&gt;0,$C206*G$240*24*Input!$F$14/C$13,0)</f>
        <v>11.301352107437701</v>
      </c>
      <c r="H260" s="17">
        <f>IF(D$13&gt;0,$C206*H$240*24*Input!$F$14/D$13,0)</f>
        <v>0.97793764332011068</v>
      </c>
      <c r="I260" s="17">
        <f>IF(E$13&gt;0,$C206*I$240*24*Input!$F$14/E$13,0)</f>
        <v>0.14613771240911583</v>
      </c>
      <c r="K260" s="17">
        <f>IF(C$13&gt;0,$C206*K$240*24*Input!$F$14/C$13,0)</f>
        <v>11.301352107437701</v>
      </c>
      <c r="L260" s="17">
        <f>IF(D$13&gt;0,$C206*L$240*24*Input!$F$14/D$13,0)</f>
        <v>0.97793764332011068</v>
      </c>
      <c r="M260" s="17">
        <f>IF(E$13&gt;0,$C206*M$240*24*Input!$F$14/E$13,0)</f>
        <v>0.14613771240911583</v>
      </c>
      <c r="O260" s="17">
        <f>IF(C$13&gt;0,$C206*O$240*24*Input!$F$14/C$13,0)</f>
        <v>10.187626150634509</v>
      </c>
      <c r="P260" s="17">
        <f>IF(D$13&gt;0,$C206*P$240*24*Input!$F$14/D$13,0)</f>
        <v>1.1711986558883849</v>
      </c>
      <c r="Q260" s="17">
        <f>IF(E$13&gt;0,$C206*Q$240*24*Input!$F$14/E$13,0)</f>
        <v>0.15730354939209526</v>
      </c>
      <c r="S260" s="17">
        <f>IF(C$13&gt;0,$C206*S$240*24*Input!$F$14/C$13,0)</f>
        <v>10.187626150634509</v>
      </c>
      <c r="T260" s="17">
        <f>IF(D$13&gt;0,$C206*T$240*24*Input!$F$14/D$13,0)</f>
        <v>1.1711986558883849</v>
      </c>
      <c r="U260" s="17">
        <f>IF(E$13&gt;0,$C206*U$240*24*Input!$F$14/E$13,0)</f>
        <v>0.15730354939209526</v>
      </c>
      <c r="W260" s="17">
        <f>IF(C$13&gt;0,$C206*W$240*24*Input!$F$14/C$13,0)</f>
        <v>1.0660560033369946</v>
      </c>
      <c r="X260" s="17">
        <f>IF(D$13&gt;0,$C206*X$240*24*Input!$F$14/D$13,0)</f>
        <v>1.0660560033369948</v>
      </c>
      <c r="Y260" s="17">
        <f>IF(E$13&gt;0,$C206*Y$240*24*Input!$F$14/E$13,0)</f>
        <v>1.066056003336995</v>
      </c>
      <c r="AA260" s="17">
        <f>IF(C$13&gt;0,$C206*AA$240*24*Input!$F$14/C$13,0)</f>
        <v>10.187626150634509</v>
      </c>
      <c r="AB260" s="17">
        <f>IF(D$13&gt;0,$C206*AB$240*24*Input!$F$14/D$13,0)</f>
        <v>1.1711986558883849</v>
      </c>
      <c r="AC260" s="17">
        <f>IF(E$13&gt;0,$C206*AC$240*24*Input!$F$14/E$13,0)</f>
        <v>0.15730354939209526</v>
      </c>
      <c r="AE260" s="17">
        <f>IF(C$13&gt;0,$C206*AE$240*24*Input!$F$14/C$13,0)</f>
        <v>10.187626150634509</v>
      </c>
      <c r="AF260" s="17">
        <f>IF(D$13&gt;0,$C206*AF$240*24*Input!$F$14/D$13,0)</f>
        <v>1.1711986558883849</v>
      </c>
      <c r="AG260" s="17">
        <f>IF(E$13&gt;0,$C206*AG$240*24*Input!$F$14/E$13,0)</f>
        <v>0.15730354939209526</v>
      </c>
      <c r="AI260" s="17">
        <f>IF(C$13&gt;0,$C206*AI$240*24*Input!$F$14/C$13,0)</f>
        <v>10.187626150634509</v>
      </c>
      <c r="AJ260" s="17">
        <f>IF(D$13&gt;0,$C206*AJ$240*24*Input!$F$14/D$13,0)</f>
        <v>1.1711986558883849</v>
      </c>
      <c r="AK260" s="17">
        <f>IF(E$13&gt;0,$C206*AK$240*24*Input!$F$14/E$13,0)</f>
        <v>0.15730354939209526</v>
      </c>
      <c r="AL260" s="6"/>
    </row>
    <row r="261" spans="1:38" x14ac:dyDescent="0.2">
      <c r="A261" s="5" t="s">
        <v>74</v>
      </c>
      <c r="C261" s="17">
        <f>IF(C$13&gt;0,$C207*C$240*24*Input!$F$14/C$13,0)</f>
        <v>12.133010649099116</v>
      </c>
      <c r="D261" s="17">
        <f>IF(D$13&gt;0,$C207*D$240*24*Input!$F$14/D$13,0)</f>
        <v>0.66146618323969975</v>
      </c>
      <c r="E261" s="17">
        <f>IF(E$13&gt;0,$C207*E$240*24*Input!$F$14/E$13,0)</f>
        <v>0.11690443630548027</v>
      </c>
      <c r="G261" s="17">
        <f>IF(C$13&gt;0,$C207*G$240*24*Input!$F$14/C$13,0)</f>
        <v>10.601086689687905</v>
      </c>
      <c r="H261" s="17">
        <f>IF(D$13&gt;0,$C207*H$240*24*Input!$F$14/D$13,0)</f>
        <v>0.91734171587510083</v>
      </c>
      <c r="I261" s="17">
        <f>IF(E$13&gt;0,$C207*I$240*24*Input!$F$14/E$13,0)</f>
        <v>0.13708258473445292</v>
      </c>
      <c r="K261" s="17">
        <f>IF(C$13&gt;0,$C207*K$240*24*Input!$F$14/C$13,0)</f>
        <v>10.601086689687905</v>
      </c>
      <c r="L261" s="17">
        <f>IF(D$13&gt;0,$C207*L$240*24*Input!$F$14/D$13,0)</f>
        <v>0.91734171587510083</v>
      </c>
      <c r="M261" s="17">
        <f>IF(E$13&gt;0,$C207*M$240*24*Input!$F$14/E$13,0)</f>
        <v>0.13708258473445292</v>
      </c>
      <c r="O261" s="17">
        <f>IF(C$13&gt;0,$C207*O$240*24*Input!$F$14/C$13,0)</f>
        <v>9.556370508439473</v>
      </c>
      <c r="P261" s="17">
        <f>IF(D$13&gt;0,$C207*P$240*24*Input!$F$14/D$13,0)</f>
        <v>1.0986277008170962</v>
      </c>
      <c r="Q261" s="17">
        <f>IF(E$13&gt;0,$C207*Q$240*24*Input!$F$14/E$13,0)</f>
        <v>0.14755655322018713</v>
      </c>
      <c r="S261" s="17">
        <f>IF(C$13&gt;0,$C207*S$240*24*Input!$F$14/C$13,0)</f>
        <v>9.556370508439473</v>
      </c>
      <c r="T261" s="17">
        <f>IF(D$13&gt;0,$C207*T$240*24*Input!$F$14/D$13,0)</f>
        <v>1.0986277008170962</v>
      </c>
      <c r="U261" s="17">
        <f>IF(E$13&gt;0,$C207*U$240*24*Input!$F$14/E$13,0)</f>
        <v>0.14755655322018713</v>
      </c>
      <c r="W261" s="17">
        <f>IF(C$13&gt;0,$C207*W$240*24*Input!$F$14/C$13,0)</f>
        <v>1</v>
      </c>
      <c r="X261" s="17">
        <f>IF(D$13&gt;0,$C207*X$240*24*Input!$F$14/D$13,0)</f>
        <v>1</v>
      </c>
      <c r="Y261" s="17">
        <f>IF(E$13&gt;0,$C207*Y$240*24*Input!$F$14/E$13,0)</f>
        <v>1</v>
      </c>
      <c r="AA261" s="17">
        <f>IF(C$13&gt;0,$C207*AA$240*24*Input!$F$14/C$13,0)</f>
        <v>9.556370508439473</v>
      </c>
      <c r="AB261" s="17">
        <f>IF(D$13&gt;0,$C207*AB$240*24*Input!$F$14/D$13,0)</f>
        <v>1.0986277008170962</v>
      </c>
      <c r="AC261" s="17">
        <f>IF(E$13&gt;0,$C207*AC$240*24*Input!$F$14/E$13,0)</f>
        <v>0.14755655322018713</v>
      </c>
      <c r="AE261" s="17">
        <f>IF(C$13&gt;0,$C207*AE$240*24*Input!$F$14/C$13,0)</f>
        <v>9.556370508439473</v>
      </c>
      <c r="AF261" s="17">
        <f>IF(D$13&gt;0,$C207*AF$240*24*Input!$F$14/D$13,0)</f>
        <v>1.0986277008170962</v>
      </c>
      <c r="AG261" s="17">
        <f>IF(E$13&gt;0,$C207*AG$240*24*Input!$F$14/E$13,0)</f>
        <v>0.14755655322018713</v>
      </c>
      <c r="AI261" s="17">
        <f>IF(C$13&gt;0,$C207*AI$240*24*Input!$F$14/C$13,0)</f>
        <v>9.556370508439473</v>
      </c>
      <c r="AJ261" s="17">
        <f>IF(D$13&gt;0,$C207*AJ$240*24*Input!$F$14/D$13,0)</f>
        <v>1.0986277008170962</v>
      </c>
      <c r="AK261" s="17">
        <f>IF(E$13&gt;0,$C207*AK$240*24*Input!$F$14/E$13,0)</f>
        <v>0.14755655322018713</v>
      </c>
      <c r="AL261" s="6"/>
    </row>
    <row r="262" spans="1:38" x14ac:dyDescent="0.2">
      <c r="A262" s="5" t="s">
        <v>64</v>
      </c>
      <c r="C262" s="17">
        <f>IF(C$13&gt;0,$C208*C$240*24*Input!$F$14/C$13,0)</f>
        <v>-12.133010649099116</v>
      </c>
      <c r="D262" s="17">
        <f>IF(D$13&gt;0,$C208*D$240*24*Input!$F$14/D$13,0)</f>
        <v>-0.66146618323969975</v>
      </c>
      <c r="E262" s="17">
        <f>IF(E$13&gt;0,$C208*E$240*24*Input!$F$14/E$13,0)</f>
        <v>-0.11690443630548027</v>
      </c>
      <c r="G262" s="17">
        <f>IF(C$13&gt;0,$C208*G$240*24*Input!$F$14/C$13,0)</f>
        <v>-10.601086689687905</v>
      </c>
      <c r="H262" s="17">
        <f>IF(D$13&gt;0,$C208*H$240*24*Input!$F$14/D$13,0)</f>
        <v>-0.91734171587510083</v>
      </c>
      <c r="I262" s="17">
        <f>IF(E$13&gt;0,$C208*I$240*24*Input!$F$14/E$13,0)</f>
        <v>-0.13708258473445292</v>
      </c>
      <c r="K262" s="17">
        <f>IF(C$13&gt;0,$C208*K$240*24*Input!$F$14/C$13,0)</f>
        <v>-10.601086689687905</v>
      </c>
      <c r="L262" s="17">
        <f>IF(D$13&gt;0,$C208*L$240*24*Input!$F$14/D$13,0)</f>
        <v>-0.91734171587510083</v>
      </c>
      <c r="M262" s="17">
        <f>IF(E$13&gt;0,$C208*M$240*24*Input!$F$14/E$13,0)</f>
        <v>-0.13708258473445292</v>
      </c>
      <c r="O262" s="17">
        <f>IF(C$13&gt;0,$C208*O$240*24*Input!$F$14/C$13,0)</f>
        <v>-9.556370508439473</v>
      </c>
      <c r="P262" s="17">
        <f>IF(D$13&gt;0,$C208*P$240*24*Input!$F$14/D$13,0)</f>
        <v>-1.0986277008170962</v>
      </c>
      <c r="Q262" s="17">
        <f>IF(E$13&gt;0,$C208*Q$240*24*Input!$F$14/E$13,0)</f>
        <v>-0.14755655322018713</v>
      </c>
      <c r="S262" s="17">
        <f>IF(C$13&gt;0,$C208*S$240*24*Input!$F$14/C$13,0)</f>
        <v>-9.556370508439473</v>
      </c>
      <c r="T262" s="17">
        <f>IF(D$13&gt;0,$C208*T$240*24*Input!$F$14/D$13,0)</f>
        <v>-1.0986277008170962</v>
      </c>
      <c r="U262" s="17">
        <f>IF(E$13&gt;0,$C208*U$240*24*Input!$F$14/E$13,0)</f>
        <v>-0.14755655322018713</v>
      </c>
      <c r="W262" s="17">
        <f>IF(C$13&gt;0,$C208*W$240*24*Input!$F$14/C$13,0)</f>
        <v>-1</v>
      </c>
      <c r="X262" s="17">
        <f>IF(D$13&gt;0,$C208*X$240*24*Input!$F$14/D$13,0)</f>
        <v>-1</v>
      </c>
      <c r="Y262" s="17">
        <f>IF(E$13&gt;0,$C208*Y$240*24*Input!$F$14/E$13,0)</f>
        <v>-1</v>
      </c>
      <c r="AA262" s="17">
        <f>IF(C$13&gt;0,$C208*AA$240*24*Input!$F$14/C$13,0)</f>
        <v>-9.556370508439473</v>
      </c>
      <c r="AB262" s="17">
        <f>IF(D$13&gt;0,$C208*AB$240*24*Input!$F$14/D$13,0)</f>
        <v>-1.0986277008170962</v>
      </c>
      <c r="AC262" s="17">
        <f>IF(E$13&gt;0,$C208*AC$240*24*Input!$F$14/E$13,0)</f>
        <v>-0.14755655322018713</v>
      </c>
      <c r="AE262" s="17">
        <f>IF(C$13&gt;0,$C208*AE$240*24*Input!$F$14/C$13,0)</f>
        <v>-9.556370508439473</v>
      </c>
      <c r="AF262" s="17">
        <f>IF(D$13&gt;0,$C208*AF$240*24*Input!$F$14/D$13,0)</f>
        <v>-1.0986277008170962</v>
      </c>
      <c r="AG262" s="17">
        <f>IF(E$13&gt;0,$C208*AG$240*24*Input!$F$14/E$13,0)</f>
        <v>-0.14755655322018713</v>
      </c>
      <c r="AI262" s="17">
        <f>IF(C$13&gt;0,$C208*AI$240*24*Input!$F$14/C$13,0)</f>
        <v>-9.556370508439473</v>
      </c>
      <c r="AJ262" s="17">
        <f>IF(D$13&gt;0,$C208*AJ$240*24*Input!$F$14/D$13,0)</f>
        <v>-1.0986277008170962</v>
      </c>
      <c r="AK262" s="17">
        <f>IF(E$13&gt;0,$C208*AK$240*24*Input!$F$14/E$13,0)</f>
        <v>-0.14755655322018713</v>
      </c>
      <c r="AL262" s="6"/>
    </row>
    <row r="263" spans="1:38" x14ac:dyDescent="0.2">
      <c r="A263" s="5" t="s">
        <v>66</v>
      </c>
      <c r="C263" s="17">
        <f>IF(C$13&gt;0,$C209*C$240*24*Input!$F$14/C$13,0)</f>
        <v>-12.133010649099116</v>
      </c>
      <c r="D263" s="17">
        <f>IF(D$13&gt;0,$C209*D$240*24*Input!$F$14/D$13,0)</f>
        <v>-0.66146618323969975</v>
      </c>
      <c r="E263" s="17">
        <f>IF(E$13&gt;0,$C209*E$240*24*Input!$F$14/E$13,0)</f>
        <v>-0.11690443630548027</v>
      </c>
      <c r="G263" s="17">
        <f>IF(C$13&gt;0,$C209*G$240*24*Input!$F$14/C$13,0)</f>
        <v>-10.601086689687905</v>
      </c>
      <c r="H263" s="17">
        <f>IF(D$13&gt;0,$C209*H$240*24*Input!$F$14/D$13,0)</f>
        <v>-0.91734171587510083</v>
      </c>
      <c r="I263" s="17">
        <f>IF(E$13&gt;0,$C209*I$240*24*Input!$F$14/E$13,0)</f>
        <v>-0.13708258473445292</v>
      </c>
      <c r="K263" s="17">
        <f>IF(C$13&gt;0,$C209*K$240*24*Input!$F$14/C$13,0)</f>
        <v>-10.601086689687905</v>
      </c>
      <c r="L263" s="17">
        <f>IF(D$13&gt;0,$C209*L$240*24*Input!$F$14/D$13,0)</f>
        <v>-0.91734171587510083</v>
      </c>
      <c r="M263" s="17">
        <f>IF(E$13&gt;0,$C209*M$240*24*Input!$F$14/E$13,0)</f>
        <v>-0.13708258473445292</v>
      </c>
      <c r="O263" s="17">
        <f>IF(C$13&gt;0,$C209*O$240*24*Input!$F$14/C$13,0)</f>
        <v>-9.556370508439473</v>
      </c>
      <c r="P263" s="17">
        <f>IF(D$13&gt;0,$C209*P$240*24*Input!$F$14/D$13,0)</f>
        <v>-1.0986277008170962</v>
      </c>
      <c r="Q263" s="17">
        <f>IF(E$13&gt;0,$C209*Q$240*24*Input!$F$14/E$13,0)</f>
        <v>-0.14755655322018713</v>
      </c>
      <c r="S263" s="17">
        <f>IF(C$13&gt;0,$C209*S$240*24*Input!$F$14/C$13,0)</f>
        <v>-9.556370508439473</v>
      </c>
      <c r="T263" s="17">
        <f>IF(D$13&gt;0,$C209*T$240*24*Input!$F$14/D$13,0)</f>
        <v>-1.0986277008170962</v>
      </c>
      <c r="U263" s="17">
        <f>IF(E$13&gt;0,$C209*U$240*24*Input!$F$14/E$13,0)</f>
        <v>-0.14755655322018713</v>
      </c>
      <c r="W263" s="17">
        <f>IF(C$13&gt;0,$C209*W$240*24*Input!$F$14/C$13,0)</f>
        <v>-1</v>
      </c>
      <c r="X263" s="17">
        <f>IF(D$13&gt;0,$C209*X$240*24*Input!$F$14/D$13,0)</f>
        <v>-1</v>
      </c>
      <c r="Y263" s="17">
        <f>IF(E$13&gt;0,$C209*Y$240*24*Input!$F$14/E$13,0)</f>
        <v>-1</v>
      </c>
      <c r="AA263" s="17">
        <f>IF(C$13&gt;0,$C209*AA$240*24*Input!$F$14/C$13,0)</f>
        <v>-9.556370508439473</v>
      </c>
      <c r="AB263" s="17">
        <f>IF(D$13&gt;0,$C209*AB$240*24*Input!$F$14/D$13,0)</f>
        <v>-1.0986277008170962</v>
      </c>
      <c r="AC263" s="17">
        <f>IF(E$13&gt;0,$C209*AC$240*24*Input!$F$14/E$13,0)</f>
        <v>-0.14755655322018713</v>
      </c>
      <c r="AE263" s="17">
        <f>IF(C$13&gt;0,$C209*AE$240*24*Input!$F$14/C$13,0)</f>
        <v>-9.556370508439473</v>
      </c>
      <c r="AF263" s="17">
        <f>IF(D$13&gt;0,$C209*AF$240*24*Input!$F$14/D$13,0)</f>
        <v>-1.0986277008170962</v>
      </c>
      <c r="AG263" s="17">
        <f>IF(E$13&gt;0,$C209*AG$240*24*Input!$F$14/E$13,0)</f>
        <v>-0.14755655322018713</v>
      </c>
      <c r="AI263" s="17">
        <f>IF(C$13&gt;0,$C209*AI$240*24*Input!$F$14/C$13,0)</f>
        <v>-9.556370508439473</v>
      </c>
      <c r="AJ263" s="17">
        <f>IF(D$13&gt;0,$C209*AJ$240*24*Input!$F$14/D$13,0)</f>
        <v>-1.0986277008170962</v>
      </c>
      <c r="AK263" s="17">
        <f>IF(E$13&gt;0,$C209*AK$240*24*Input!$F$14/E$13,0)</f>
        <v>-0.14755655322018713</v>
      </c>
      <c r="AL263" s="6"/>
    </row>
    <row r="264" spans="1:38" x14ac:dyDescent="0.2">
      <c r="A264" s="5" t="s">
        <v>76</v>
      </c>
      <c r="C264" s="17">
        <f>IF(C$13&gt;0,$C210*C$240*24*Input!$F$14/C$13,0)</f>
        <v>-12.133010649099116</v>
      </c>
      <c r="D264" s="17">
        <f>IF(D$13&gt;0,$C210*D$240*24*Input!$F$14/D$13,0)</f>
        <v>-0.66146618323969975</v>
      </c>
      <c r="E264" s="17">
        <f>IF(E$13&gt;0,$C210*E$240*24*Input!$F$14/E$13,0)</f>
        <v>-0.11690443630548027</v>
      </c>
      <c r="G264" s="17">
        <f>IF(C$13&gt;0,$C210*G$240*24*Input!$F$14/C$13,0)</f>
        <v>-10.601086689687905</v>
      </c>
      <c r="H264" s="17">
        <f>IF(D$13&gt;0,$C210*H$240*24*Input!$F$14/D$13,0)</f>
        <v>-0.91734171587510083</v>
      </c>
      <c r="I264" s="17">
        <f>IF(E$13&gt;0,$C210*I$240*24*Input!$F$14/E$13,0)</f>
        <v>-0.13708258473445292</v>
      </c>
      <c r="K264" s="17">
        <f>IF(C$13&gt;0,$C210*K$240*24*Input!$F$14/C$13,0)</f>
        <v>-10.601086689687905</v>
      </c>
      <c r="L264" s="17">
        <f>IF(D$13&gt;0,$C210*L$240*24*Input!$F$14/D$13,0)</f>
        <v>-0.91734171587510083</v>
      </c>
      <c r="M264" s="17">
        <f>IF(E$13&gt;0,$C210*M$240*24*Input!$F$14/E$13,0)</f>
        <v>-0.13708258473445292</v>
      </c>
      <c r="O264" s="17">
        <f>IF(C$13&gt;0,$C210*O$240*24*Input!$F$14/C$13,0)</f>
        <v>-9.556370508439473</v>
      </c>
      <c r="P264" s="17">
        <f>IF(D$13&gt;0,$C210*P$240*24*Input!$F$14/D$13,0)</f>
        <v>-1.0986277008170962</v>
      </c>
      <c r="Q264" s="17">
        <f>IF(E$13&gt;0,$C210*Q$240*24*Input!$F$14/E$13,0)</f>
        <v>-0.14755655322018713</v>
      </c>
      <c r="S264" s="17">
        <f>IF(C$13&gt;0,$C210*S$240*24*Input!$F$14/C$13,0)</f>
        <v>-9.556370508439473</v>
      </c>
      <c r="T264" s="17">
        <f>IF(D$13&gt;0,$C210*T$240*24*Input!$F$14/D$13,0)</f>
        <v>-1.0986277008170962</v>
      </c>
      <c r="U264" s="17">
        <f>IF(E$13&gt;0,$C210*U$240*24*Input!$F$14/E$13,0)</f>
        <v>-0.14755655322018713</v>
      </c>
      <c r="W264" s="17">
        <f>IF(C$13&gt;0,$C210*W$240*24*Input!$F$14/C$13,0)</f>
        <v>-1</v>
      </c>
      <c r="X264" s="17">
        <f>IF(D$13&gt;0,$C210*X$240*24*Input!$F$14/D$13,0)</f>
        <v>-1</v>
      </c>
      <c r="Y264" s="17">
        <f>IF(E$13&gt;0,$C210*Y$240*24*Input!$F$14/E$13,0)</f>
        <v>-1</v>
      </c>
      <c r="AA264" s="17">
        <f>IF(C$13&gt;0,$C210*AA$240*24*Input!$F$14/C$13,0)</f>
        <v>-9.556370508439473</v>
      </c>
      <c r="AB264" s="17">
        <f>IF(D$13&gt;0,$C210*AB$240*24*Input!$F$14/D$13,0)</f>
        <v>-1.0986277008170962</v>
      </c>
      <c r="AC264" s="17">
        <f>IF(E$13&gt;0,$C210*AC$240*24*Input!$F$14/E$13,0)</f>
        <v>-0.14755655322018713</v>
      </c>
      <c r="AE264" s="17">
        <f>IF(C$13&gt;0,$C210*AE$240*24*Input!$F$14/C$13,0)</f>
        <v>-9.556370508439473</v>
      </c>
      <c r="AF264" s="17">
        <f>IF(D$13&gt;0,$C210*AF$240*24*Input!$F$14/D$13,0)</f>
        <v>-1.0986277008170962</v>
      </c>
      <c r="AG264" s="17">
        <f>IF(E$13&gt;0,$C210*AG$240*24*Input!$F$14/E$13,0)</f>
        <v>-0.14755655322018713</v>
      </c>
      <c r="AI264" s="17">
        <f>IF(C$13&gt;0,$C210*AI$240*24*Input!$F$14/C$13,0)</f>
        <v>-9.556370508439473</v>
      </c>
      <c r="AJ264" s="17">
        <f>IF(D$13&gt;0,$C210*AJ$240*24*Input!$F$14/D$13,0)</f>
        <v>-1.0986277008170962</v>
      </c>
      <c r="AK264" s="17">
        <f>IF(E$13&gt;0,$C210*AK$240*24*Input!$F$14/E$13,0)</f>
        <v>-0.14755655322018713</v>
      </c>
      <c r="AL264" s="6"/>
    </row>
    <row r="265" spans="1:38" x14ac:dyDescent="0.2">
      <c r="A265" s="5" t="s">
        <v>78</v>
      </c>
      <c r="C265" s="17">
        <f>IF(C$13&gt;0,$C211*C$240*24*Input!$F$14/C$13,0)</f>
        <v>-12.133010649099116</v>
      </c>
      <c r="D265" s="17">
        <f>IF(D$13&gt;0,$C211*D$240*24*Input!$F$14/D$13,0)</f>
        <v>-0.66146618323969975</v>
      </c>
      <c r="E265" s="17">
        <f>IF(E$13&gt;0,$C211*E$240*24*Input!$F$14/E$13,0)</f>
        <v>-0.11690443630548027</v>
      </c>
      <c r="G265" s="17">
        <f>IF(C$13&gt;0,$C211*G$240*24*Input!$F$14/C$13,0)</f>
        <v>-10.601086689687905</v>
      </c>
      <c r="H265" s="17">
        <f>IF(D$13&gt;0,$C211*H$240*24*Input!$F$14/D$13,0)</f>
        <v>-0.91734171587510083</v>
      </c>
      <c r="I265" s="17">
        <f>IF(E$13&gt;0,$C211*I$240*24*Input!$F$14/E$13,0)</f>
        <v>-0.13708258473445292</v>
      </c>
      <c r="K265" s="17">
        <f>IF(C$13&gt;0,$C211*K$240*24*Input!$F$14/C$13,0)</f>
        <v>-10.601086689687905</v>
      </c>
      <c r="L265" s="17">
        <f>IF(D$13&gt;0,$C211*L$240*24*Input!$F$14/D$13,0)</f>
        <v>-0.91734171587510083</v>
      </c>
      <c r="M265" s="17">
        <f>IF(E$13&gt;0,$C211*M$240*24*Input!$F$14/E$13,0)</f>
        <v>-0.13708258473445292</v>
      </c>
      <c r="O265" s="17">
        <f>IF(C$13&gt;0,$C211*O$240*24*Input!$F$14/C$13,0)</f>
        <v>-9.556370508439473</v>
      </c>
      <c r="P265" s="17">
        <f>IF(D$13&gt;0,$C211*P$240*24*Input!$F$14/D$13,0)</f>
        <v>-1.0986277008170962</v>
      </c>
      <c r="Q265" s="17">
        <f>IF(E$13&gt;0,$C211*Q$240*24*Input!$F$14/E$13,0)</f>
        <v>-0.14755655322018713</v>
      </c>
      <c r="S265" s="17">
        <f>IF(C$13&gt;0,$C211*S$240*24*Input!$F$14/C$13,0)</f>
        <v>-9.556370508439473</v>
      </c>
      <c r="T265" s="17">
        <f>IF(D$13&gt;0,$C211*T$240*24*Input!$F$14/D$13,0)</f>
        <v>-1.0986277008170962</v>
      </c>
      <c r="U265" s="17">
        <f>IF(E$13&gt;0,$C211*U$240*24*Input!$F$14/E$13,0)</f>
        <v>-0.14755655322018713</v>
      </c>
      <c r="W265" s="17">
        <f>IF(C$13&gt;0,$C211*W$240*24*Input!$F$14/C$13,0)</f>
        <v>-1</v>
      </c>
      <c r="X265" s="17">
        <f>IF(D$13&gt;0,$C211*X$240*24*Input!$F$14/D$13,0)</f>
        <v>-1</v>
      </c>
      <c r="Y265" s="17">
        <f>IF(E$13&gt;0,$C211*Y$240*24*Input!$F$14/E$13,0)</f>
        <v>-1</v>
      </c>
      <c r="AA265" s="17">
        <f>IF(C$13&gt;0,$C211*AA$240*24*Input!$F$14/C$13,0)</f>
        <v>-9.556370508439473</v>
      </c>
      <c r="AB265" s="17">
        <f>IF(D$13&gt;0,$C211*AB$240*24*Input!$F$14/D$13,0)</f>
        <v>-1.0986277008170962</v>
      </c>
      <c r="AC265" s="17">
        <f>IF(E$13&gt;0,$C211*AC$240*24*Input!$F$14/E$13,0)</f>
        <v>-0.14755655322018713</v>
      </c>
      <c r="AE265" s="17">
        <f>IF(C$13&gt;0,$C211*AE$240*24*Input!$F$14/C$13,0)</f>
        <v>-9.556370508439473</v>
      </c>
      <c r="AF265" s="17">
        <f>IF(D$13&gt;0,$C211*AF$240*24*Input!$F$14/D$13,0)</f>
        <v>-1.0986277008170962</v>
      </c>
      <c r="AG265" s="17">
        <f>IF(E$13&gt;0,$C211*AG$240*24*Input!$F$14/E$13,0)</f>
        <v>-0.14755655322018713</v>
      </c>
      <c r="AI265" s="17">
        <f>IF(C$13&gt;0,$C211*AI$240*24*Input!$F$14/C$13,0)</f>
        <v>-9.556370508439473</v>
      </c>
      <c r="AJ265" s="17">
        <f>IF(D$13&gt;0,$C211*AJ$240*24*Input!$F$14/D$13,0)</f>
        <v>-1.0986277008170962</v>
      </c>
      <c r="AK265" s="17">
        <f>IF(E$13&gt;0,$C211*AK$240*24*Input!$F$14/E$13,0)</f>
        <v>-0.14755655322018713</v>
      </c>
      <c r="AL265" s="6"/>
    </row>
    <row r="267" spans="1:38" ht="16.5" x14ac:dyDescent="0.25">
      <c r="A267" s="3" t="s">
        <v>509</v>
      </c>
    </row>
    <row r="268" spans="1:38" x14ac:dyDescent="0.2">
      <c r="A268" s="10" t="s">
        <v>238</v>
      </c>
    </row>
    <row r="269" spans="1:38" x14ac:dyDescent="0.2">
      <c r="A269" s="11" t="s">
        <v>510</v>
      </c>
    </row>
    <row r="270" spans="1:38" x14ac:dyDescent="0.2">
      <c r="A270" s="11" t="s">
        <v>511</v>
      </c>
    </row>
    <row r="271" spans="1:38" x14ac:dyDescent="0.2">
      <c r="A271" s="10" t="s">
        <v>251</v>
      </c>
    </row>
    <row r="273" spans="1:11" x14ac:dyDescent="0.2">
      <c r="B273" s="4" t="s">
        <v>21</v>
      </c>
      <c r="C273" s="4" t="s">
        <v>22</v>
      </c>
      <c r="D273" s="4" t="s">
        <v>23</v>
      </c>
      <c r="E273" s="4" t="s">
        <v>24</v>
      </c>
      <c r="F273" s="4" t="s">
        <v>25</v>
      </c>
      <c r="G273" s="4" t="s">
        <v>30</v>
      </c>
      <c r="H273" s="4" t="s">
        <v>26</v>
      </c>
      <c r="I273" s="4" t="s">
        <v>27</v>
      </c>
      <c r="J273" s="4" t="s">
        <v>28</v>
      </c>
    </row>
    <row r="274" spans="1:11" x14ac:dyDescent="0.2">
      <c r="A274" s="5" t="s">
        <v>54</v>
      </c>
      <c r="B274" s="17">
        <f t="shared" ref="B274:B288" si="0">SUMPRODUCT($C251:$E251,$B41:$D41)</f>
        <v>2.3242668596677816</v>
      </c>
      <c r="C274" s="17">
        <f t="shared" ref="C274:C288" si="1">SUMPRODUCT($G251:$I251,$B41:$D41)</f>
        <v>2.2623588745348342</v>
      </c>
      <c r="D274" s="17">
        <f t="shared" ref="D274:D288" si="2">SUMPRODUCT($K251:$M251,$B41:$D41)</f>
        <v>2.2623588745348342</v>
      </c>
      <c r="E274" s="17">
        <f t="shared" ref="E274:E288" si="3">SUMPRODUCT($O251:$Q251,$B41:$D41)</f>
        <v>2.2212351691348813</v>
      </c>
      <c r="F274" s="17">
        <f t="shared" ref="F274:F288" si="4">SUMPRODUCT($S251:$U251,$B41:$D41)</f>
        <v>2.2212351691348813</v>
      </c>
      <c r="G274" s="17">
        <f t="shared" ref="G274:G288" si="5">SUMPRODUCT($W251:$Y251,$B41:$D41)</f>
        <v>1.6289471332614678</v>
      </c>
      <c r="H274" s="17">
        <f t="shared" ref="H274:H288" si="6">SUMPRODUCT($AA251:$AC251,$B41:$D41)</f>
        <v>2.2212351691348813</v>
      </c>
      <c r="I274" s="17">
        <f t="shared" ref="I274:I288" si="7">SUMPRODUCT($AE251:$AG251,$B41:$D41)</f>
        <v>2.2212351691348813</v>
      </c>
      <c r="J274" s="17">
        <f t="shared" ref="J274:J288" si="8">SUMPRODUCT($AI251:$AK251,$B41:$D41)</f>
        <v>2.2212351691348813</v>
      </c>
      <c r="K274" s="6"/>
    </row>
    <row r="275" spans="1:11" x14ac:dyDescent="0.2">
      <c r="A275" s="5" t="s">
        <v>94</v>
      </c>
      <c r="B275" s="17">
        <f t="shared" si="0"/>
        <v>0.19431577845543863</v>
      </c>
      <c r="C275" s="17">
        <f t="shared" si="1"/>
        <v>0.23196411542960882</v>
      </c>
      <c r="D275" s="17">
        <f t="shared" si="2"/>
        <v>0.23196411542960882</v>
      </c>
      <c r="E275" s="17">
        <f t="shared" si="3"/>
        <v>0.25526423073941784</v>
      </c>
      <c r="F275" s="17">
        <f t="shared" si="4"/>
        <v>0.25526423073941784</v>
      </c>
      <c r="G275" s="17">
        <f t="shared" si="5"/>
        <v>1</v>
      </c>
      <c r="H275" s="17">
        <f t="shared" si="6"/>
        <v>0.25526423073941784</v>
      </c>
      <c r="I275" s="17">
        <f t="shared" si="7"/>
        <v>0.25526423073941784</v>
      </c>
      <c r="J275" s="17">
        <f t="shared" si="8"/>
        <v>0.25526423073941784</v>
      </c>
      <c r="K275" s="6"/>
    </row>
    <row r="276" spans="1:11" x14ac:dyDescent="0.2">
      <c r="A276" s="5" t="s">
        <v>56</v>
      </c>
      <c r="B276" s="17">
        <f t="shared" si="0"/>
        <v>1.9207614686191239</v>
      </c>
      <c r="C276" s="17">
        <f t="shared" si="1"/>
        <v>1.9307800673895876</v>
      </c>
      <c r="D276" s="17">
        <f t="shared" si="2"/>
        <v>1.9307800673895876</v>
      </c>
      <c r="E276" s="17">
        <f t="shared" si="3"/>
        <v>1.9402388386836029</v>
      </c>
      <c r="F276" s="17">
        <f t="shared" si="4"/>
        <v>1.9402388386836029</v>
      </c>
      <c r="G276" s="17">
        <f t="shared" si="5"/>
        <v>1.4050745355374978</v>
      </c>
      <c r="H276" s="17">
        <f t="shared" si="6"/>
        <v>1.9402388386836029</v>
      </c>
      <c r="I276" s="17">
        <f t="shared" si="7"/>
        <v>1.9402388386836029</v>
      </c>
      <c r="J276" s="17">
        <f t="shared" si="8"/>
        <v>1.9402388386836029</v>
      </c>
      <c r="K276" s="6"/>
    </row>
    <row r="277" spans="1:11" x14ac:dyDescent="0.2">
      <c r="A277" s="5" t="s">
        <v>95</v>
      </c>
      <c r="B277" s="17">
        <f t="shared" si="0"/>
        <v>0.1602743196513467</v>
      </c>
      <c r="C277" s="17">
        <f t="shared" si="1"/>
        <v>0.19229984751805984</v>
      </c>
      <c r="D277" s="17">
        <f t="shared" si="2"/>
        <v>0.19229984751805984</v>
      </c>
      <c r="E277" s="17">
        <f t="shared" si="3"/>
        <v>0.21143111474964441</v>
      </c>
      <c r="F277" s="17">
        <f t="shared" si="4"/>
        <v>0.21143111474964441</v>
      </c>
      <c r="G277" s="17">
        <f t="shared" si="5"/>
        <v>0.99999999999999989</v>
      </c>
      <c r="H277" s="17">
        <f t="shared" si="6"/>
        <v>0.21143111474964441</v>
      </c>
      <c r="I277" s="17">
        <f t="shared" si="7"/>
        <v>0.21143111474964441</v>
      </c>
      <c r="J277" s="17">
        <f t="shared" si="8"/>
        <v>0.21143111474964441</v>
      </c>
      <c r="K277" s="6"/>
    </row>
    <row r="278" spans="1:11" x14ac:dyDescent="0.2">
      <c r="A278" s="5" t="s">
        <v>57</v>
      </c>
      <c r="B278" s="17">
        <f t="shared" si="0"/>
        <v>1.8481035304598512</v>
      </c>
      <c r="C278" s="17">
        <f t="shared" si="1"/>
        <v>1.8507730009429781</v>
      </c>
      <c r="D278" s="17">
        <f t="shared" si="2"/>
        <v>1.8507730009429781</v>
      </c>
      <c r="E278" s="17">
        <f t="shared" si="3"/>
        <v>1.8553040303385901</v>
      </c>
      <c r="F278" s="17">
        <f t="shared" si="4"/>
        <v>1.8553040303385901</v>
      </c>
      <c r="G278" s="17">
        <f t="shared" si="5"/>
        <v>1.2601652354744535</v>
      </c>
      <c r="H278" s="17">
        <f t="shared" si="6"/>
        <v>1.8553040303385901</v>
      </c>
      <c r="I278" s="17">
        <f t="shared" si="7"/>
        <v>1.8553040303385901</v>
      </c>
      <c r="J278" s="17">
        <f t="shared" si="8"/>
        <v>1.8553040303385901</v>
      </c>
      <c r="K278" s="6"/>
    </row>
    <row r="279" spans="1:11" x14ac:dyDescent="0.2">
      <c r="A279" s="5" t="s">
        <v>58</v>
      </c>
      <c r="B279" s="17">
        <f t="shared" si="0"/>
        <v>1.868271821685084</v>
      </c>
      <c r="C279" s="17">
        <f t="shared" si="1"/>
        <v>1.8728035789650739</v>
      </c>
      <c r="D279" s="17">
        <f t="shared" si="2"/>
        <v>1.8728035789650739</v>
      </c>
      <c r="E279" s="17">
        <f t="shared" si="3"/>
        <v>1.8787437287082802</v>
      </c>
      <c r="F279" s="17">
        <f t="shared" si="4"/>
        <v>1.8787437287082802</v>
      </c>
      <c r="G279" s="17">
        <f t="shared" si="5"/>
        <v>1.2626980236684715</v>
      </c>
      <c r="H279" s="17">
        <f t="shared" si="6"/>
        <v>1.8787437287082802</v>
      </c>
      <c r="I279" s="17">
        <f t="shared" si="7"/>
        <v>1.8787437287082802</v>
      </c>
      <c r="J279" s="17">
        <f t="shared" si="8"/>
        <v>1.8787437287082802</v>
      </c>
      <c r="K279" s="6"/>
    </row>
    <row r="280" spans="1:11" x14ac:dyDescent="0.2">
      <c r="A280" s="5" t="s">
        <v>72</v>
      </c>
      <c r="B280" s="17">
        <f t="shared" si="0"/>
        <v>1.9773565805016153</v>
      </c>
      <c r="C280" s="17">
        <f t="shared" si="1"/>
        <v>1.9885580226661916</v>
      </c>
      <c r="D280" s="17">
        <f t="shared" si="2"/>
        <v>1.9885580226661916</v>
      </c>
      <c r="E280" s="17">
        <f t="shared" si="3"/>
        <v>1.9993734678367225</v>
      </c>
      <c r="F280" s="17">
        <f t="shared" si="4"/>
        <v>1.9993734678367225</v>
      </c>
      <c r="G280" s="17">
        <f t="shared" si="5"/>
        <v>1.3470261558342949</v>
      </c>
      <c r="H280" s="17">
        <f t="shared" si="6"/>
        <v>1.9993734678367225</v>
      </c>
      <c r="I280" s="17">
        <f t="shared" si="7"/>
        <v>1.9993734678367225</v>
      </c>
      <c r="J280" s="17">
        <f t="shared" si="8"/>
        <v>1.9993734678367225</v>
      </c>
      <c r="K280" s="6"/>
    </row>
    <row r="281" spans="1:11" x14ac:dyDescent="0.2">
      <c r="A281" s="5" t="s">
        <v>59</v>
      </c>
      <c r="B281" s="17">
        <f t="shared" si="0"/>
        <v>11.55789700868932</v>
      </c>
      <c r="C281" s="17">
        <f t="shared" si="1"/>
        <v>10.098587373175816</v>
      </c>
      <c r="D281" s="17">
        <f t="shared" si="2"/>
        <v>10.098587373175816</v>
      </c>
      <c r="E281" s="17">
        <f t="shared" si="3"/>
        <v>9.1033915083244832</v>
      </c>
      <c r="F281" s="17">
        <f t="shared" si="4"/>
        <v>9.1033915083244832</v>
      </c>
      <c r="G281" s="17">
        <f t="shared" si="5"/>
        <v>0.95259926352636171</v>
      </c>
      <c r="H281" s="17">
        <f t="shared" si="6"/>
        <v>9.1033915083244832</v>
      </c>
      <c r="I281" s="17">
        <f t="shared" si="7"/>
        <v>9.1033915083244832</v>
      </c>
      <c r="J281" s="17">
        <f t="shared" si="8"/>
        <v>9.1033915083244832</v>
      </c>
      <c r="K281" s="6"/>
    </row>
    <row r="282" spans="1:11" x14ac:dyDescent="0.2">
      <c r="A282" s="5" t="s">
        <v>60</v>
      </c>
      <c r="B282" s="17">
        <f t="shared" si="0"/>
        <v>13.772343133072591</v>
      </c>
      <c r="C282" s="17">
        <f t="shared" si="1"/>
        <v>12.033435698391244</v>
      </c>
      <c r="D282" s="17">
        <f t="shared" si="2"/>
        <v>12.033435698391244</v>
      </c>
      <c r="E282" s="17">
        <f t="shared" si="3"/>
        <v>10.847564347829545</v>
      </c>
      <c r="F282" s="17">
        <f t="shared" si="4"/>
        <v>10.847564347829545</v>
      </c>
      <c r="G282" s="17">
        <f t="shared" si="5"/>
        <v>1.1351134134292709</v>
      </c>
      <c r="H282" s="17">
        <f t="shared" si="6"/>
        <v>10.847564347829545</v>
      </c>
      <c r="I282" s="17">
        <f t="shared" si="7"/>
        <v>10.847564347829545</v>
      </c>
      <c r="J282" s="17">
        <f t="shared" si="8"/>
        <v>10.847564347829545</v>
      </c>
      <c r="K282" s="6"/>
    </row>
    <row r="283" spans="1:11" x14ac:dyDescent="0.2">
      <c r="A283" s="5" t="s">
        <v>73</v>
      </c>
      <c r="B283" s="17">
        <f t="shared" si="0"/>
        <v>12.934468841023802</v>
      </c>
      <c r="C283" s="17">
        <f t="shared" si="1"/>
        <v>11.301352107437701</v>
      </c>
      <c r="D283" s="17">
        <f t="shared" si="2"/>
        <v>11.301352107437701</v>
      </c>
      <c r="E283" s="17">
        <f t="shared" si="3"/>
        <v>10.187626150634509</v>
      </c>
      <c r="F283" s="17">
        <f t="shared" si="4"/>
        <v>10.187626150634509</v>
      </c>
      <c r="G283" s="17">
        <f t="shared" si="5"/>
        <v>1.0660560033369946</v>
      </c>
      <c r="H283" s="17">
        <f t="shared" si="6"/>
        <v>10.187626150634509</v>
      </c>
      <c r="I283" s="17">
        <f t="shared" si="7"/>
        <v>10.187626150634509</v>
      </c>
      <c r="J283" s="17">
        <f t="shared" si="8"/>
        <v>10.187626150634509</v>
      </c>
      <c r="K283" s="6"/>
    </row>
    <row r="284" spans="1:11" x14ac:dyDescent="0.2">
      <c r="A284" s="5" t="s">
        <v>74</v>
      </c>
      <c r="B284" s="17">
        <f t="shared" si="0"/>
        <v>12.133010649099116</v>
      </c>
      <c r="C284" s="17">
        <f t="shared" si="1"/>
        <v>10.601086689687905</v>
      </c>
      <c r="D284" s="17">
        <f t="shared" si="2"/>
        <v>10.601086689687905</v>
      </c>
      <c r="E284" s="17">
        <f t="shared" si="3"/>
        <v>9.556370508439473</v>
      </c>
      <c r="F284" s="17">
        <f t="shared" si="4"/>
        <v>9.556370508439473</v>
      </c>
      <c r="G284" s="17">
        <f t="shared" si="5"/>
        <v>1</v>
      </c>
      <c r="H284" s="17">
        <f t="shared" si="6"/>
        <v>9.556370508439473</v>
      </c>
      <c r="I284" s="17">
        <f t="shared" si="7"/>
        <v>9.556370508439473</v>
      </c>
      <c r="J284" s="17">
        <f t="shared" si="8"/>
        <v>9.556370508439473</v>
      </c>
      <c r="K284" s="6"/>
    </row>
    <row r="285" spans="1:11" x14ac:dyDescent="0.2">
      <c r="A285" s="5" t="s">
        <v>64</v>
      </c>
      <c r="B285" s="17">
        <f t="shared" si="0"/>
        <v>-12.133010649099116</v>
      </c>
      <c r="C285" s="17">
        <f t="shared" si="1"/>
        <v>-10.601086689687905</v>
      </c>
      <c r="D285" s="17">
        <f t="shared" si="2"/>
        <v>-10.601086689687905</v>
      </c>
      <c r="E285" s="17">
        <f t="shared" si="3"/>
        <v>-9.556370508439473</v>
      </c>
      <c r="F285" s="17">
        <f t="shared" si="4"/>
        <v>-9.556370508439473</v>
      </c>
      <c r="G285" s="17">
        <f t="shared" si="5"/>
        <v>-1</v>
      </c>
      <c r="H285" s="17">
        <f t="shared" si="6"/>
        <v>-9.556370508439473</v>
      </c>
      <c r="I285" s="17">
        <f t="shared" si="7"/>
        <v>-9.556370508439473</v>
      </c>
      <c r="J285" s="17">
        <f t="shared" si="8"/>
        <v>-9.556370508439473</v>
      </c>
      <c r="K285" s="6"/>
    </row>
    <row r="286" spans="1:11" x14ac:dyDescent="0.2">
      <c r="A286" s="5" t="s">
        <v>66</v>
      </c>
      <c r="B286" s="17">
        <f t="shared" si="0"/>
        <v>-12.133010649099116</v>
      </c>
      <c r="C286" s="17">
        <f t="shared" si="1"/>
        <v>-10.601086689687905</v>
      </c>
      <c r="D286" s="17">
        <f t="shared" si="2"/>
        <v>-10.601086689687905</v>
      </c>
      <c r="E286" s="17">
        <f t="shared" si="3"/>
        <v>-9.556370508439473</v>
      </c>
      <c r="F286" s="17">
        <f t="shared" si="4"/>
        <v>-9.556370508439473</v>
      </c>
      <c r="G286" s="17">
        <f t="shared" si="5"/>
        <v>-1</v>
      </c>
      <c r="H286" s="17">
        <f t="shared" si="6"/>
        <v>-9.556370508439473</v>
      </c>
      <c r="I286" s="17">
        <f t="shared" si="7"/>
        <v>-9.556370508439473</v>
      </c>
      <c r="J286" s="17">
        <f t="shared" si="8"/>
        <v>-9.556370508439473</v>
      </c>
      <c r="K286" s="6"/>
    </row>
    <row r="287" spans="1:11" x14ac:dyDescent="0.2">
      <c r="A287" s="5" t="s">
        <v>76</v>
      </c>
      <c r="B287" s="17">
        <f t="shared" si="0"/>
        <v>-12.133010649099116</v>
      </c>
      <c r="C287" s="17">
        <f t="shared" si="1"/>
        <v>-10.601086689687905</v>
      </c>
      <c r="D287" s="17">
        <f t="shared" si="2"/>
        <v>-10.601086689687905</v>
      </c>
      <c r="E287" s="17">
        <f t="shared" si="3"/>
        <v>-9.556370508439473</v>
      </c>
      <c r="F287" s="17">
        <f t="shared" si="4"/>
        <v>-9.556370508439473</v>
      </c>
      <c r="G287" s="17">
        <f t="shared" si="5"/>
        <v>-1</v>
      </c>
      <c r="H287" s="17">
        <f t="shared" si="6"/>
        <v>-9.556370508439473</v>
      </c>
      <c r="I287" s="17">
        <f t="shared" si="7"/>
        <v>-9.556370508439473</v>
      </c>
      <c r="J287" s="17">
        <f t="shared" si="8"/>
        <v>-9.556370508439473</v>
      </c>
      <c r="K287" s="6"/>
    </row>
    <row r="288" spans="1:11" x14ac:dyDescent="0.2">
      <c r="A288" s="5" t="s">
        <v>78</v>
      </c>
      <c r="B288" s="17">
        <f t="shared" si="0"/>
        <v>-12.133010649099116</v>
      </c>
      <c r="C288" s="17">
        <f t="shared" si="1"/>
        <v>-10.601086689687905</v>
      </c>
      <c r="D288" s="17">
        <f t="shared" si="2"/>
        <v>-10.601086689687905</v>
      </c>
      <c r="E288" s="17">
        <f t="shared" si="3"/>
        <v>-9.556370508439473</v>
      </c>
      <c r="F288" s="17">
        <f t="shared" si="4"/>
        <v>-9.556370508439473</v>
      </c>
      <c r="G288" s="17">
        <f t="shared" si="5"/>
        <v>-1</v>
      </c>
      <c r="H288" s="17">
        <f t="shared" si="6"/>
        <v>-9.556370508439473</v>
      </c>
      <c r="I288" s="17">
        <f t="shared" si="7"/>
        <v>-9.556370508439473</v>
      </c>
      <c r="J288" s="17">
        <f t="shared" si="8"/>
        <v>-9.556370508439473</v>
      </c>
      <c r="K288" s="6"/>
    </row>
    <row r="290" spans="1:11" ht="16.5" x14ac:dyDescent="0.25">
      <c r="A290" s="3" t="s">
        <v>512</v>
      </c>
    </row>
    <row r="291" spans="1:11" x14ac:dyDescent="0.2">
      <c r="A291" s="10" t="s">
        <v>238</v>
      </c>
    </row>
    <row r="292" spans="1:11" x14ac:dyDescent="0.2">
      <c r="A292" s="11" t="s">
        <v>510</v>
      </c>
    </row>
    <row r="293" spans="1:11" x14ac:dyDescent="0.2">
      <c r="A293" s="11" t="s">
        <v>513</v>
      </c>
    </row>
    <row r="294" spans="1:11" x14ac:dyDescent="0.2">
      <c r="A294" s="10" t="s">
        <v>251</v>
      </c>
    </row>
    <row r="296" spans="1:11" x14ac:dyDescent="0.2">
      <c r="B296" s="4" t="s">
        <v>21</v>
      </c>
      <c r="C296" s="4" t="s">
        <v>22</v>
      </c>
      <c r="D296" s="4" t="s">
        <v>23</v>
      </c>
      <c r="E296" s="4" t="s">
        <v>24</v>
      </c>
      <c r="F296" s="4" t="s">
        <v>25</v>
      </c>
      <c r="G296" s="4" t="s">
        <v>30</v>
      </c>
      <c r="H296" s="4" t="s">
        <v>26</v>
      </c>
      <c r="I296" s="4" t="s">
        <v>27</v>
      </c>
      <c r="J296" s="4" t="s">
        <v>28</v>
      </c>
    </row>
    <row r="297" spans="1:11" x14ac:dyDescent="0.2">
      <c r="A297" s="5" t="s">
        <v>54</v>
      </c>
      <c r="B297" s="17">
        <f>SUMPRODUCT($C$251:$E$251,$B81:$D81)</f>
        <v>0.19043114638535993</v>
      </c>
      <c r="C297" s="17">
        <f>SUMPRODUCT($G$251:$I$251,$B81:$D81)</f>
        <v>0.2233002834232593</v>
      </c>
      <c r="D297" s="17">
        <f>SUMPRODUCT($K$251:$M$251,$B81:$D81)</f>
        <v>0.2233002834232593</v>
      </c>
      <c r="E297" s="17">
        <f>SUMPRODUCT($O$251:$Q$251,$B81:$D81)</f>
        <v>0.24036182436196701</v>
      </c>
      <c r="F297" s="17">
        <f>SUMPRODUCT($S$251:$U$251,$B81:$D81)</f>
        <v>0.24036182436196701</v>
      </c>
      <c r="G297" s="17">
        <f>SUMPRODUCT($W$251:$Y$251,$B81:$D81)</f>
        <v>1.6289471332614678</v>
      </c>
      <c r="H297" s="17">
        <f>SUMPRODUCT($AA$251:$AC$251,$B81:$D81)</f>
        <v>0.24036182436196701</v>
      </c>
      <c r="I297" s="17">
        <f>SUMPRODUCT($AE$251:$AG$251,$B81:$D81)</f>
        <v>0.24036182436196701</v>
      </c>
      <c r="J297" s="17">
        <f>SUMPRODUCT($AI$251:$AK$251,$B81:$D81)</f>
        <v>0.24036182436196701</v>
      </c>
      <c r="K297" s="6"/>
    </row>
    <row r="298" spans="1:11" x14ac:dyDescent="0.2">
      <c r="A298" s="5" t="s">
        <v>56</v>
      </c>
      <c r="B298" s="17">
        <f>SUMPRODUCT($C$253:$E$253,$B82:$D82)</f>
        <v>0.16425944654419569</v>
      </c>
      <c r="C298" s="17">
        <f>SUMPRODUCT($G$253:$I$253,$B82:$D82)</f>
        <v>0.19261124907604119</v>
      </c>
      <c r="D298" s="17">
        <f>SUMPRODUCT($K$253:$M$253,$B82:$D82)</f>
        <v>0.19261124907604119</v>
      </c>
      <c r="E298" s="17">
        <f>SUMPRODUCT($O$253:$Q$253,$B82:$D82)</f>
        <v>0.20732795548136854</v>
      </c>
      <c r="F298" s="17">
        <f>SUMPRODUCT($S$253:$U$253,$B82:$D82)</f>
        <v>0.20732795548136854</v>
      </c>
      <c r="G298" s="17">
        <f>SUMPRODUCT($W$253:$Y$253,$B82:$D82)</f>
        <v>1.4050745355374978</v>
      </c>
      <c r="H298" s="17">
        <f>SUMPRODUCT($AA$253:$AC$253,$B82:$D82)</f>
        <v>0.20732795548136854</v>
      </c>
      <c r="I298" s="17">
        <f>SUMPRODUCT($AE$253:$AG$253,$B82:$D82)</f>
        <v>0.20732795548136854</v>
      </c>
      <c r="J298" s="17">
        <f>SUMPRODUCT($AI$253:$AK$253,$B82:$D82)</f>
        <v>0.20732795548136854</v>
      </c>
      <c r="K298" s="6"/>
    </row>
    <row r="299" spans="1:11" x14ac:dyDescent="0.2">
      <c r="A299" s="5" t="s">
        <v>57</v>
      </c>
      <c r="B299" s="17">
        <f>SUMPRODUCT($C$255:$E$255,$B83:$D83)</f>
        <v>0.14731890650490378</v>
      </c>
      <c r="C299" s="17">
        <f>SUMPRODUCT($G$255:$I$255,$B83:$D83)</f>
        <v>0.1727467076713386</v>
      </c>
      <c r="D299" s="17">
        <f>SUMPRODUCT($K$255:$M$255,$B83:$D83)</f>
        <v>0.1727467076713386</v>
      </c>
      <c r="E299" s="17">
        <f>SUMPRODUCT($O$255:$Q$255,$B83:$D83)</f>
        <v>0.18594563863451583</v>
      </c>
      <c r="F299" s="17">
        <f>SUMPRODUCT($S$255:$U$255,$B83:$D83)</f>
        <v>0.18594563863451583</v>
      </c>
      <c r="G299" s="17">
        <f>SUMPRODUCT($W$255:$Y$255,$B83:$D83)</f>
        <v>1.2601652354744535</v>
      </c>
      <c r="H299" s="17">
        <f>SUMPRODUCT($AA$255:$AC$255,$B83:$D83)</f>
        <v>0.18594563863451583</v>
      </c>
      <c r="I299" s="17">
        <f>SUMPRODUCT($AE$255:$AG$255,$B83:$D83)</f>
        <v>0.18594563863451583</v>
      </c>
      <c r="J299" s="17">
        <f>SUMPRODUCT($AI$255:$AK$255,$B83:$D83)</f>
        <v>0.18594563863451583</v>
      </c>
      <c r="K299" s="6"/>
    </row>
    <row r="300" spans="1:11" x14ac:dyDescent="0.2">
      <c r="A300" s="5" t="s">
        <v>58</v>
      </c>
      <c r="B300" s="17">
        <f>SUMPRODUCT($C$256:$E$256,$B84:$D84)</f>
        <v>0.14761500068100664</v>
      </c>
      <c r="C300" s="17">
        <f>SUMPRODUCT($G$256:$I$256,$B84:$D84)</f>
        <v>0.17309390882355949</v>
      </c>
      <c r="D300" s="17">
        <f>SUMPRODUCT($K$256:$M$256,$B84:$D84)</f>
        <v>0.17309390882355949</v>
      </c>
      <c r="E300" s="17">
        <f>SUMPRODUCT($O$256:$Q$256,$B84:$D84)</f>
        <v>0.18631936813046193</v>
      </c>
      <c r="F300" s="17">
        <f>SUMPRODUCT($S$256:$U$256,$B84:$D84)</f>
        <v>0.18631936813046193</v>
      </c>
      <c r="G300" s="17">
        <f>SUMPRODUCT($W$256:$Y$256,$B84:$D84)</f>
        <v>1.2626980236684715</v>
      </c>
      <c r="H300" s="17">
        <f>SUMPRODUCT($AA$256:$AC$256,$B84:$D84)</f>
        <v>0.18631936813046193</v>
      </c>
      <c r="I300" s="17">
        <f>SUMPRODUCT($AE$256:$AG$256,$B84:$D84)</f>
        <v>0.18631936813046193</v>
      </c>
      <c r="J300" s="17">
        <f>SUMPRODUCT($AI$256:$AK$256,$B84:$D84)</f>
        <v>0.18631936813046193</v>
      </c>
      <c r="K300" s="6"/>
    </row>
    <row r="301" spans="1:11" x14ac:dyDescent="0.2">
      <c r="A301" s="5" t="s">
        <v>72</v>
      </c>
      <c r="B301" s="17">
        <f>SUMPRODUCT($C$257:$E$257,$B85:$D85)</f>
        <v>0.15747333343654624</v>
      </c>
      <c r="C301" s="17">
        <f>SUMPRODUCT($G$257:$I$257,$B85:$D85)</f>
        <v>0.18465382714667911</v>
      </c>
      <c r="D301" s="17">
        <f>SUMPRODUCT($K$257:$M$257,$B85:$D85)</f>
        <v>0.18465382714667911</v>
      </c>
      <c r="E301" s="17">
        <f>SUMPRODUCT($O$257:$Q$257,$B85:$D85)</f>
        <v>0.19876253665234717</v>
      </c>
      <c r="F301" s="17">
        <f>SUMPRODUCT($S$257:$U$257,$B85:$D85)</f>
        <v>0.19876253665234717</v>
      </c>
      <c r="G301" s="17">
        <f>SUMPRODUCT($W$257:$Y$257,$B85:$D85)</f>
        <v>1.3470261558342949</v>
      </c>
      <c r="H301" s="17">
        <f>SUMPRODUCT($AA$257:$AC$257,$B85:$D85)</f>
        <v>0.19876253665234717</v>
      </c>
      <c r="I301" s="17">
        <f>SUMPRODUCT($AE$257:$AG$257,$B85:$D85)</f>
        <v>0.19876253665234717</v>
      </c>
      <c r="J301" s="17">
        <f>SUMPRODUCT($AI$257:$AK$257,$B85:$D85)</f>
        <v>0.19876253665234717</v>
      </c>
      <c r="K301" s="6"/>
    </row>
    <row r="302" spans="1:11" x14ac:dyDescent="0.2">
      <c r="A302" s="5" t="s">
        <v>59</v>
      </c>
      <c r="B302" s="17">
        <f>SUMPRODUCT($C$258:$E$258,$B86:$D86)</f>
        <v>0.63011219900173143</v>
      </c>
      <c r="C302" s="17">
        <f>SUMPRODUCT($G$258:$I$258,$B86:$D86)</f>
        <v>0.8738590429446299</v>
      </c>
      <c r="D302" s="17">
        <f>SUMPRODUCT($K$258:$M$258,$B86:$D86)</f>
        <v>0.8738590429446299</v>
      </c>
      <c r="E302" s="17">
        <f>SUMPRODUCT($O$258:$Q$258,$B86:$D86)</f>
        <v>1.0465519386880255</v>
      </c>
      <c r="F302" s="17">
        <f>SUMPRODUCT($S$258:$U$258,$B86:$D86)</f>
        <v>1.0465519386880255</v>
      </c>
      <c r="G302" s="17">
        <f>SUMPRODUCT($W$258:$Y$258,$B86:$D86)</f>
        <v>0.95259926352636193</v>
      </c>
      <c r="H302" s="17">
        <f>SUMPRODUCT($AA$258:$AC$258,$B86:$D86)</f>
        <v>1.0465519386880255</v>
      </c>
      <c r="I302" s="17">
        <f>SUMPRODUCT($AE$258:$AG$258,$B86:$D86)</f>
        <v>1.0465519386880255</v>
      </c>
      <c r="J302" s="17">
        <f>SUMPRODUCT($AI$258:$AK$258,$B86:$D86)</f>
        <v>1.0465519386880255</v>
      </c>
      <c r="K302" s="6"/>
    </row>
    <row r="303" spans="1:11" x14ac:dyDescent="0.2">
      <c r="A303" s="5" t="s">
        <v>60</v>
      </c>
      <c r="B303" s="17">
        <f>SUMPRODUCT($C$259:$E$259,$B87:$D87)</f>
        <v>0.75083913712524719</v>
      </c>
      <c r="C303" s="17">
        <f>SUMPRODUCT($G$259:$I$259,$B87:$D87)</f>
        <v>1.0412868863880498</v>
      </c>
      <c r="D303" s="17">
        <f>SUMPRODUCT($K$259:$M$259,$B87:$D87)</f>
        <v>1.0412868863880498</v>
      </c>
      <c r="E303" s="17">
        <f>SUMPRODUCT($O$259:$Q$259,$B87:$D87)</f>
        <v>1.2470670395624457</v>
      </c>
      <c r="F303" s="17">
        <f>SUMPRODUCT($S$259:$U$259,$B87:$D87)</f>
        <v>1.2470670395624457</v>
      </c>
      <c r="G303" s="17">
        <f>SUMPRODUCT($W$259:$Y$259,$B87:$D87)</f>
        <v>1.1351134134292711</v>
      </c>
      <c r="H303" s="17">
        <f>SUMPRODUCT($AA$259:$AC$259,$B87:$D87)</f>
        <v>1.2470670395624457</v>
      </c>
      <c r="I303" s="17">
        <f>SUMPRODUCT($AE$259:$AG$259,$B87:$D87)</f>
        <v>1.2470670395624457</v>
      </c>
      <c r="J303" s="17">
        <f>SUMPRODUCT($AI$259:$AK$259,$B87:$D87)</f>
        <v>1.2470670395624457</v>
      </c>
      <c r="K303" s="6"/>
    </row>
    <row r="304" spans="1:11" x14ac:dyDescent="0.2">
      <c r="A304" s="5" t="s">
        <v>73</v>
      </c>
      <c r="B304" s="17">
        <f>SUMPRODUCT($C$260:$E$260,$B88:$D88)</f>
        <v>0.70515999564709053</v>
      </c>
      <c r="C304" s="17">
        <f>SUMPRODUCT($G$260:$I$260,$B88:$D88)</f>
        <v>0.97793764332011068</v>
      </c>
      <c r="D304" s="17">
        <f>SUMPRODUCT($K$260:$M$260,$B88:$D88)</f>
        <v>0.97793764332011068</v>
      </c>
      <c r="E304" s="17">
        <f>SUMPRODUCT($O$260:$Q$260,$B88:$D88)</f>
        <v>1.1711986558883849</v>
      </c>
      <c r="F304" s="17">
        <f>SUMPRODUCT($S$260:$U$260,$B88:$D88)</f>
        <v>1.1711986558883849</v>
      </c>
      <c r="G304" s="17">
        <f>SUMPRODUCT($W$260:$Y$260,$B88:$D88)</f>
        <v>1.0660560033369948</v>
      </c>
      <c r="H304" s="17">
        <f>SUMPRODUCT($AA$260:$AC$260,$B88:$D88)</f>
        <v>1.1711986558883849</v>
      </c>
      <c r="I304" s="17">
        <f>SUMPRODUCT($AE$260:$AG$260,$B88:$D88)</f>
        <v>1.1711986558883849</v>
      </c>
      <c r="J304" s="17">
        <f>SUMPRODUCT($AI$260:$AK$260,$B88:$D88)</f>
        <v>1.1711986558883849</v>
      </c>
      <c r="K304" s="6"/>
    </row>
    <row r="305" spans="1:11" x14ac:dyDescent="0.2">
      <c r="A305" s="5" t="s">
        <v>74</v>
      </c>
      <c r="B305" s="17">
        <f>SUMPRODUCT($C$261:$E$261,$B89:$D89)</f>
        <v>0.66146618323969975</v>
      </c>
      <c r="C305" s="17">
        <f>SUMPRODUCT($G$261:$I$261,$B89:$D89)</f>
        <v>0.91734171587510083</v>
      </c>
      <c r="D305" s="17">
        <f>SUMPRODUCT($K$261:$M$261,$B89:$D89)</f>
        <v>0.91734171587510083</v>
      </c>
      <c r="E305" s="17">
        <f>SUMPRODUCT($O$261:$Q$261,$B89:$D89)</f>
        <v>1.0986277008170962</v>
      </c>
      <c r="F305" s="17">
        <f>SUMPRODUCT($S$261:$U$261,$B89:$D89)</f>
        <v>1.0986277008170962</v>
      </c>
      <c r="G305" s="17">
        <f>SUMPRODUCT($W$261:$Y$261,$B89:$D89)</f>
        <v>1</v>
      </c>
      <c r="H305" s="17">
        <f>SUMPRODUCT($AA$261:$AC$261,$B89:$D89)</f>
        <v>1.0986277008170962</v>
      </c>
      <c r="I305" s="17">
        <f>SUMPRODUCT($AE$261:$AG$261,$B89:$D89)</f>
        <v>1.0986277008170962</v>
      </c>
      <c r="J305" s="17">
        <f>SUMPRODUCT($AI$261:$AK$261,$B89:$D89)</f>
        <v>1.0986277008170962</v>
      </c>
      <c r="K305" s="6"/>
    </row>
    <row r="306" spans="1:11" x14ac:dyDescent="0.2">
      <c r="A306" s="5" t="s">
        <v>64</v>
      </c>
      <c r="B306" s="17">
        <f>SUMPRODUCT($C$262:$E$262,$B90:$D90)</f>
        <v>-0.66146618323969975</v>
      </c>
      <c r="C306" s="17">
        <f>SUMPRODUCT($G$262:$I$262,$B90:$D90)</f>
        <v>-0.91734171587510083</v>
      </c>
      <c r="D306" s="17">
        <f>SUMPRODUCT($K$262:$M$262,$B90:$D90)</f>
        <v>-0.91734171587510083</v>
      </c>
      <c r="E306" s="17">
        <f>SUMPRODUCT($O$262:$Q$262,$B90:$D90)</f>
        <v>-1.0986277008170962</v>
      </c>
      <c r="F306" s="17">
        <f>SUMPRODUCT($S$262:$U$262,$B90:$D90)</f>
        <v>-1.0986277008170962</v>
      </c>
      <c r="G306" s="17">
        <f>SUMPRODUCT($W$262:$Y$262,$B90:$D90)</f>
        <v>-1</v>
      </c>
      <c r="H306" s="17">
        <f>SUMPRODUCT($AA$262:$AC$262,$B90:$D90)</f>
        <v>-1.0986277008170962</v>
      </c>
      <c r="I306" s="17">
        <f>SUMPRODUCT($AE$262:$AG$262,$B90:$D90)</f>
        <v>-1.0986277008170962</v>
      </c>
      <c r="J306" s="17">
        <f>SUMPRODUCT($AI$262:$AK$262,$B90:$D90)</f>
        <v>-1.0986277008170962</v>
      </c>
      <c r="K306" s="6"/>
    </row>
    <row r="307" spans="1:11" x14ac:dyDescent="0.2">
      <c r="A307" s="5" t="s">
        <v>66</v>
      </c>
      <c r="B307" s="17">
        <f>SUMPRODUCT($C$263:$E$263,$B91:$D91)</f>
        <v>-0.66146618323969975</v>
      </c>
      <c r="C307" s="17">
        <f>SUMPRODUCT($G$263:$I$263,$B91:$D91)</f>
        <v>-0.91734171587510083</v>
      </c>
      <c r="D307" s="17">
        <f>SUMPRODUCT($K$263:$M$263,$B91:$D91)</f>
        <v>-0.91734171587510083</v>
      </c>
      <c r="E307" s="17">
        <f>SUMPRODUCT($O$263:$Q$263,$B91:$D91)</f>
        <v>-1.0986277008170962</v>
      </c>
      <c r="F307" s="17">
        <f>SUMPRODUCT($S$263:$U$263,$B91:$D91)</f>
        <v>-1.0986277008170962</v>
      </c>
      <c r="G307" s="17">
        <f>SUMPRODUCT($W$263:$Y$263,$B91:$D91)</f>
        <v>-1</v>
      </c>
      <c r="H307" s="17">
        <f>SUMPRODUCT($AA$263:$AC$263,$B91:$D91)</f>
        <v>-1.0986277008170962</v>
      </c>
      <c r="I307" s="17">
        <f>SUMPRODUCT($AE$263:$AG$263,$B91:$D91)</f>
        <v>-1.0986277008170962</v>
      </c>
      <c r="J307" s="17">
        <f>SUMPRODUCT($AI$263:$AK$263,$B91:$D91)</f>
        <v>-1.0986277008170962</v>
      </c>
      <c r="K307" s="6"/>
    </row>
    <row r="308" spans="1:11" x14ac:dyDescent="0.2">
      <c r="A308" s="5" t="s">
        <v>76</v>
      </c>
      <c r="B308" s="17">
        <f>SUMPRODUCT($C$264:$E$264,$B92:$D92)</f>
        <v>-0.66146618323969975</v>
      </c>
      <c r="C308" s="17">
        <f>SUMPRODUCT($G$264:$I$264,$B92:$D92)</f>
        <v>-0.91734171587510083</v>
      </c>
      <c r="D308" s="17">
        <f>SUMPRODUCT($K$264:$M$264,$B92:$D92)</f>
        <v>-0.91734171587510083</v>
      </c>
      <c r="E308" s="17">
        <f>SUMPRODUCT($O$264:$Q$264,$B92:$D92)</f>
        <v>-1.0986277008170962</v>
      </c>
      <c r="F308" s="17">
        <f>SUMPRODUCT($S$264:$U$264,$B92:$D92)</f>
        <v>-1.0986277008170962</v>
      </c>
      <c r="G308" s="17">
        <f>SUMPRODUCT($W$264:$Y$264,$B92:$D92)</f>
        <v>-1</v>
      </c>
      <c r="H308" s="17">
        <f>SUMPRODUCT($AA$264:$AC$264,$B92:$D92)</f>
        <v>-1.0986277008170962</v>
      </c>
      <c r="I308" s="17">
        <f>SUMPRODUCT($AE$264:$AG$264,$B92:$D92)</f>
        <v>-1.0986277008170962</v>
      </c>
      <c r="J308" s="17">
        <f>SUMPRODUCT($AI$264:$AK$264,$B92:$D92)</f>
        <v>-1.0986277008170962</v>
      </c>
      <c r="K308" s="6"/>
    </row>
    <row r="309" spans="1:11" x14ac:dyDescent="0.2">
      <c r="A309" s="5" t="s">
        <v>78</v>
      </c>
      <c r="B309" s="17">
        <f>SUMPRODUCT($C$265:$E$265,$B93:$D93)</f>
        <v>-0.66146618323969975</v>
      </c>
      <c r="C309" s="17">
        <f>SUMPRODUCT($G$265:$I$265,$B93:$D93)</f>
        <v>-0.91734171587510083</v>
      </c>
      <c r="D309" s="17">
        <f>SUMPRODUCT($K$265:$M$265,$B93:$D93)</f>
        <v>-0.91734171587510083</v>
      </c>
      <c r="E309" s="17">
        <f>SUMPRODUCT($O$265:$Q$265,$B93:$D93)</f>
        <v>-1.0986277008170962</v>
      </c>
      <c r="F309" s="17">
        <f>SUMPRODUCT($S$265:$U$265,$B93:$D93)</f>
        <v>-1.0986277008170962</v>
      </c>
      <c r="G309" s="17">
        <f>SUMPRODUCT($W$265:$Y$265,$B93:$D93)</f>
        <v>-1</v>
      </c>
      <c r="H309" s="17">
        <f>SUMPRODUCT($AA$265:$AC$265,$B93:$D93)</f>
        <v>-1.0986277008170962</v>
      </c>
      <c r="I309" s="17">
        <f>SUMPRODUCT($AE$265:$AG$265,$B93:$D93)</f>
        <v>-1.0986277008170962</v>
      </c>
      <c r="J309" s="17">
        <f>SUMPRODUCT($AI$265:$AK$265,$B93:$D93)</f>
        <v>-1.0986277008170962</v>
      </c>
      <c r="K309" s="6"/>
    </row>
    <row r="311" spans="1:11" ht="16.5" x14ac:dyDescent="0.25">
      <c r="A311" s="3" t="s">
        <v>514</v>
      </c>
    </row>
    <row r="312" spans="1:11" x14ac:dyDescent="0.2">
      <c r="A312" s="10" t="s">
        <v>238</v>
      </c>
    </row>
    <row r="313" spans="1:11" x14ac:dyDescent="0.2">
      <c r="A313" s="11" t="s">
        <v>510</v>
      </c>
    </row>
    <row r="314" spans="1:11" x14ac:dyDescent="0.2">
      <c r="A314" s="11" t="s">
        <v>515</v>
      </c>
    </row>
    <row r="315" spans="1:11" x14ac:dyDescent="0.2">
      <c r="A315" s="10" t="s">
        <v>251</v>
      </c>
    </row>
    <row r="317" spans="1:11" x14ac:dyDescent="0.2">
      <c r="B317" s="4" t="s">
        <v>21</v>
      </c>
      <c r="C317" s="4" t="s">
        <v>22</v>
      </c>
      <c r="D317" s="4" t="s">
        <v>23</v>
      </c>
      <c r="E317" s="4" t="s">
        <v>24</v>
      </c>
      <c r="F317" s="4" t="s">
        <v>25</v>
      </c>
      <c r="G317" s="4" t="s">
        <v>30</v>
      </c>
      <c r="H317" s="4" t="s">
        <v>26</v>
      </c>
      <c r="I317" s="4" t="s">
        <v>27</v>
      </c>
      <c r="J317" s="4" t="s">
        <v>28</v>
      </c>
    </row>
    <row r="318" spans="1:11" x14ac:dyDescent="0.2">
      <c r="A318" s="5" t="s">
        <v>59</v>
      </c>
      <c r="B318" s="17">
        <f>SUMPRODUCT($C$258:$E$258,$B98:$D98)</f>
        <v>0.11136307992756496</v>
      </c>
      <c r="C318" s="17">
        <f>SUMPRODUCT($G$258:$I$258,$B98:$D98)</f>
        <v>0.13058476926032991</v>
      </c>
      <c r="D318" s="17">
        <f>SUMPRODUCT($K$258:$M$258,$B98:$D98)</f>
        <v>0.13058476926032991</v>
      </c>
      <c r="E318" s="17">
        <f>SUMPRODUCT($O$258:$Q$258,$B98:$D98)</f>
        <v>0.14056226392603866</v>
      </c>
      <c r="F318" s="17">
        <f>SUMPRODUCT($S$258:$U$258,$B98:$D98)</f>
        <v>0.14056226392603866</v>
      </c>
      <c r="G318" s="17">
        <f>SUMPRODUCT($W$258:$Y$258,$B98:$D98)</f>
        <v>0.95259926352636182</v>
      </c>
      <c r="H318" s="17">
        <f>SUMPRODUCT($AA$258:$AC$258,$B98:$D98)</f>
        <v>0.14056226392603866</v>
      </c>
      <c r="I318" s="17">
        <f>SUMPRODUCT($AE$258:$AG$258,$B98:$D98)</f>
        <v>0.14056226392603866</v>
      </c>
      <c r="J318" s="17">
        <f>SUMPRODUCT($AI$258:$AK$258,$B98:$D98)</f>
        <v>0.14056226392603866</v>
      </c>
      <c r="K318" s="6"/>
    </row>
    <row r="319" spans="1:11" x14ac:dyDescent="0.2">
      <c r="A319" s="5" t="s">
        <v>60</v>
      </c>
      <c r="B319" s="17">
        <f>SUMPRODUCT($C$259:$E$259,$B99:$D99)</f>
        <v>0.13269979373973848</v>
      </c>
      <c r="C319" s="17">
        <f>SUMPRODUCT($G$259:$I$259,$B99:$D99)</f>
        <v>0.15560428067963211</v>
      </c>
      <c r="D319" s="17">
        <f>SUMPRODUCT($K$259:$M$259,$B99:$D99)</f>
        <v>0.15560428067963211</v>
      </c>
      <c r="E319" s="17">
        <f>SUMPRODUCT($O$259:$Q$259,$B99:$D99)</f>
        <v>0.16749342279962448</v>
      </c>
      <c r="F319" s="17">
        <f>SUMPRODUCT($S$259:$U$259,$B99:$D99)</f>
        <v>0.16749342279962448</v>
      </c>
      <c r="G319" s="17">
        <f>SUMPRODUCT($W$259:$Y$259,$B99:$D99)</f>
        <v>1.1351134134292709</v>
      </c>
      <c r="H319" s="17">
        <f>SUMPRODUCT($AA$259:$AC$259,$B99:$D99)</f>
        <v>0.16749342279962448</v>
      </c>
      <c r="I319" s="17">
        <f>SUMPRODUCT($AE$259:$AG$259,$B99:$D99)</f>
        <v>0.16749342279962448</v>
      </c>
      <c r="J319" s="17">
        <f>SUMPRODUCT($AI$259:$AK$259,$B99:$D99)</f>
        <v>0.16749342279962448</v>
      </c>
      <c r="K319" s="6"/>
    </row>
    <row r="320" spans="1:11" x14ac:dyDescent="0.2">
      <c r="A320" s="5" t="s">
        <v>73</v>
      </c>
      <c r="B320" s="17">
        <f>SUMPRODUCT($C$260:$E$260,$B100:$D100)</f>
        <v>0.12462667614018456</v>
      </c>
      <c r="C320" s="17">
        <f>SUMPRODUCT($G$260:$I$260,$B100:$D100)</f>
        <v>0.14613771240911583</v>
      </c>
      <c r="D320" s="17">
        <f>SUMPRODUCT($K$260:$M$260,$B100:$D100)</f>
        <v>0.14613771240911583</v>
      </c>
      <c r="E320" s="17">
        <f>SUMPRODUCT($O$260:$Q$260,$B100:$D100)</f>
        <v>0.15730354939209526</v>
      </c>
      <c r="F320" s="17">
        <f>SUMPRODUCT($S$260:$U$260,$B100:$D100)</f>
        <v>0.15730354939209526</v>
      </c>
      <c r="G320" s="17">
        <f>SUMPRODUCT($W$260:$Y$260,$B100:$D100)</f>
        <v>1.066056003336995</v>
      </c>
      <c r="H320" s="17">
        <f>SUMPRODUCT($AA$260:$AC$260,$B100:$D100)</f>
        <v>0.15730354939209526</v>
      </c>
      <c r="I320" s="17">
        <f>SUMPRODUCT($AE$260:$AG$260,$B100:$D100)</f>
        <v>0.15730354939209526</v>
      </c>
      <c r="J320" s="17">
        <f>SUMPRODUCT($AI$260:$AK$260,$B100:$D100)</f>
        <v>0.15730354939209526</v>
      </c>
      <c r="K320" s="6"/>
    </row>
    <row r="321" spans="1:11" x14ac:dyDescent="0.2">
      <c r="A321" s="5" t="s">
        <v>74</v>
      </c>
      <c r="B321" s="17">
        <f>SUMPRODUCT($C$261:$E$261,$B101:$D101)</f>
        <v>0.11690443630548027</v>
      </c>
      <c r="C321" s="17">
        <f>SUMPRODUCT($G$261:$I$261,$B101:$D101)</f>
        <v>0.13708258473445292</v>
      </c>
      <c r="D321" s="17">
        <f>SUMPRODUCT($K$261:$M$261,$B101:$D101)</f>
        <v>0.13708258473445292</v>
      </c>
      <c r="E321" s="17">
        <f>SUMPRODUCT($O$261:$Q$261,$B101:$D101)</f>
        <v>0.14755655322018713</v>
      </c>
      <c r="F321" s="17">
        <f>SUMPRODUCT($S$261:$U$261,$B101:$D101)</f>
        <v>0.14755655322018713</v>
      </c>
      <c r="G321" s="17">
        <f>SUMPRODUCT($W$261:$Y$261,$B101:$D101)</f>
        <v>1</v>
      </c>
      <c r="H321" s="17">
        <f>SUMPRODUCT($AA$261:$AC$261,$B101:$D101)</f>
        <v>0.14755655322018713</v>
      </c>
      <c r="I321" s="17">
        <f>SUMPRODUCT($AE$261:$AG$261,$B101:$D101)</f>
        <v>0.14755655322018713</v>
      </c>
      <c r="J321" s="17">
        <f>SUMPRODUCT($AI$261:$AK$261,$B101:$D101)</f>
        <v>0.14755655322018713</v>
      </c>
      <c r="K321" s="6"/>
    </row>
    <row r="322" spans="1:11" x14ac:dyDescent="0.2">
      <c r="A322" s="5" t="s">
        <v>64</v>
      </c>
      <c r="B322" s="17">
        <f>SUMPRODUCT($C$262:$E$262,$B102:$D102)</f>
        <v>-0.11690443630548027</v>
      </c>
      <c r="C322" s="17">
        <f>SUMPRODUCT($G$262:$I$262,$B102:$D102)</f>
        <v>-0.13708258473445292</v>
      </c>
      <c r="D322" s="17">
        <f>SUMPRODUCT($K$262:$M$262,$B102:$D102)</f>
        <v>-0.13708258473445292</v>
      </c>
      <c r="E322" s="17">
        <f>SUMPRODUCT($O$262:$Q$262,$B102:$D102)</f>
        <v>-0.14755655322018713</v>
      </c>
      <c r="F322" s="17">
        <f>SUMPRODUCT($S$262:$U$262,$B102:$D102)</f>
        <v>-0.14755655322018713</v>
      </c>
      <c r="G322" s="17">
        <f>SUMPRODUCT($W$262:$Y$262,$B102:$D102)</f>
        <v>-1</v>
      </c>
      <c r="H322" s="17">
        <f>SUMPRODUCT($AA$262:$AC$262,$B102:$D102)</f>
        <v>-0.14755655322018713</v>
      </c>
      <c r="I322" s="17">
        <f>SUMPRODUCT($AE$262:$AG$262,$B102:$D102)</f>
        <v>-0.14755655322018713</v>
      </c>
      <c r="J322" s="17">
        <f>SUMPRODUCT($AI$262:$AK$262,$B102:$D102)</f>
        <v>-0.14755655322018713</v>
      </c>
      <c r="K322" s="6"/>
    </row>
    <row r="323" spans="1:11" x14ac:dyDescent="0.2">
      <c r="A323" s="5" t="s">
        <v>66</v>
      </c>
      <c r="B323" s="17">
        <f>SUMPRODUCT($C$263:$E$263,$B103:$D103)</f>
        <v>-0.11690443630548027</v>
      </c>
      <c r="C323" s="17">
        <f>SUMPRODUCT($G$263:$I$263,$B103:$D103)</f>
        <v>-0.13708258473445292</v>
      </c>
      <c r="D323" s="17">
        <f>SUMPRODUCT($K$263:$M$263,$B103:$D103)</f>
        <v>-0.13708258473445292</v>
      </c>
      <c r="E323" s="17">
        <f>SUMPRODUCT($O$263:$Q$263,$B103:$D103)</f>
        <v>-0.14755655322018713</v>
      </c>
      <c r="F323" s="17">
        <f>SUMPRODUCT($S$263:$U$263,$B103:$D103)</f>
        <v>-0.14755655322018713</v>
      </c>
      <c r="G323" s="17">
        <f>SUMPRODUCT($W$263:$Y$263,$B103:$D103)</f>
        <v>-1</v>
      </c>
      <c r="H323" s="17">
        <f>SUMPRODUCT($AA$263:$AC$263,$B103:$D103)</f>
        <v>-0.14755655322018713</v>
      </c>
      <c r="I323" s="17">
        <f>SUMPRODUCT($AE$263:$AG$263,$B103:$D103)</f>
        <v>-0.14755655322018713</v>
      </c>
      <c r="J323" s="17">
        <f>SUMPRODUCT($AI$263:$AK$263,$B103:$D103)</f>
        <v>-0.14755655322018713</v>
      </c>
      <c r="K323" s="6"/>
    </row>
    <row r="324" spans="1:11" x14ac:dyDescent="0.2">
      <c r="A324" s="5" t="s">
        <v>76</v>
      </c>
      <c r="B324" s="17">
        <f>SUMPRODUCT($C$264:$E$264,$B104:$D104)</f>
        <v>-0.11690443630548027</v>
      </c>
      <c r="C324" s="17">
        <f>SUMPRODUCT($G$264:$I$264,$B104:$D104)</f>
        <v>-0.13708258473445292</v>
      </c>
      <c r="D324" s="17">
        <f>SUMPRODUCT($K$264:$M$264,$B104:$D104)</f>
        <v>-0.13708258473445292</v>
      </c>
      <c r="E324" s="17">
        <f>SUMPRODUCT($O$264:$Q$264,$B104:$D104)</f>
        <v>-0.14755655322018713</v>
      </c>
      <c r="F324" s="17">
        <f>SUMPRODUCT($S$264:$U$264,$B104:$D104)</f>
        <v>-0.14755655322018713</v>
      </c>
      <c r="G324" s="17">
        <f>SUMPRODUCT($W$264:$Y$264,$B104:$D104)</f>
        <v>-1</v>
      </c>
      <c r="H324" s="17">
        <f>SUMPRODUCT($AA$264:$AC$264,$B104:$D104)</f>
        <v>-0.14755655322018713</v>
      </c>
      <c r="I324" s="17">
        <f>SUMPRODUCT($AE$264:$AG$264,$B104:$D104)</f>
        <v>-0.14755655322018713</v>
      </c>
      <c r="J324" s="17">
        <f>SUMPRODUCT($AI$264:$AK$264,$B104:$D104)</f>
        <v>-0.14755655322018713</v>
      </c>
      <c r="K324" s="6"/>
    </row>
    <row r="325" spans="1:11" x14ac:dyDescent="0.2">
      <c r="A325" s="5" t="s">
        <v>78</v>
      </c>
      <c r="B325" s="17">
        <f>SUMPRODUCT($C$265:$E$265,$B105:$D105)</f>
        <v>-0.11690443630548027</v>
      </c>
      <c r="C325" s="17">
        <f>SUMPRODUCT($G$265:$I$265,$B105:$D105)</f>
        <v>-0.13708258473445292</v>
      </c>
      <c r="D325" s="17">
        <f>SUMPRODUCT($K$265:$M$265,$B105:$D105)</f>
        <v>-0.13708258473445292</v>
      </c>
      <c r="E325" s="17">
        <f>SUMPRODUCT($O$265:$Q$265,$B105:$D105)</f>
        <v>-0.14755655322018713</v>
      </c>
      <c r="F325" s="17">
        <f>SUMPRODUCT($S$265:$U$265,$B105:$D105)</f>
        <v>-0.14755655322018713</v>
      </c>
      <c r="G325" s="17">
        <f>SUMPRODUCT($W$265:$Y$265,$B105:$D105)</f>
        <v>-1</v>
      </c>
      <c r="H325" s="17">
        <f>SUMPRODUCT($AA$265:$AC$265,$B105:$D105)</f>
        <v>-0.14755655322018713</v>
      </c>
      <c r="I325" s="17">
        <f>SUMPRODUCT($AE$265:$AG$265,$B105:$D105)</f>
        <v>-0.14755655322018713</v>
      </c>
      <c r="J325" s="17">
        <f>SUMPRODUCT($AI$265:$AK$265,$B105:$D105)</f>
        <v>-0.14755655322018713</v>
      </c>
      <c r="K325" s="6"/>
    </row>
    <row r="327" spans="1:11" ht="16.5" x14ac:dyDescent="0.25">
      <c r="A327" s="3" t="s">
        <v>516</v>
      </c>
    </row>
    <row r="328" spans="1:11" x14ac:dyDescent="0.2">
      <c r="A328" s="10" t="s">
        <v>238</v>
      </c>
    </row>
    <row r="329" spans="1:11" x14ac:dyDescent="0.2">
      <c r="A329" s="11" t="s">
        <v>517</v>
      </c>
    </row>
    <row r="330" spans="1:11" x14ac:dyDescent="0.2">
      <c r="A330" s="11" t="s">
        <v>429</v>
      </c>
    </row>
    <row r="331" spans="1:11" x14ac:dyDescent="0.2">
      <c r="A331" s="11" t="s">
        <v>518</v>
      </c>
    </row>
    <row r="332" spans="1:11" x14ac:dyDescent="0.2">
      <c r="A332" s="18" t="s">
        <v>241</v>
      </c>
      <c r="B332" s="18" t="s">
        <v>372</v>
      </c>
      <c r="C332" s="18" t="s">
        <v>371</v>
      </c>
      <c r="D332" s="18"/>
      <c r="E332" s="18"/>
    </row>
    <row r="333" spans="1:11" x14ac:dyDescent="0.2">
      <c r="A333" s="18" t="s">
        <v>244</v>
      </c>
      <c r="B333" s="18" t="s">
        <v>422</v>
      </c>
      <c r="C333" s="18" t="s">
        <v>431</v>
      </c>
      <c r="D333" s="18"/>
      <c r="E333" s="18"/>
    </row>
    <row r="335" spans="1:11" ht="25.5" x14ac:dyDescent="0.2">
      <c r="C335" s="14" t="s">
        <v>519</v>
      </c>
      <c r="D335" s="14"/>
      <c r="E335" s="14"/>
    </row>
    <row r="336" spans="1:11" x14ac:dyDescent="0.2">
      <c r="B336" s="4" t="s">
        <v>432</v>
      </c>
      <c r="C336" s="4" t="s">
        <v>209</v>
      </c>
      <c r="D336" s="4" t="s">
        <v>210</v>
      </c>
      <c r="E336" s="4" t="s">
        <v>206</v>
      </c>
    </row>
    <row r="337" spans="1:6" ht="25.5" x14ac:dyDescent="0.2">
      <c r="A337" s="5" t="s">
        <v>520</v>
      </c>
      <c r="B337" s="26">
        <f>SUM(Input!$B293:$D293)</f>
        <v>8760</v>
      </c>
      <c r="C337" s="26">
        <f>Input!B293*24*Input!$F14/$B337</f>
        <v>172</v>
      </c>
      <c r="D337" s="26">
        <f>Input!C293*24*Input!$F14/$B337</f>
        <v>3037.5</v>
      </c>
      <c r="E337" s="26">
        <f>Input!D293*24*Input!$F14/$B337</f>
        <v>5550.5</v>
      </c>
      <c r="F337" s="6"/>
    </row>
    <row r="339" spans="1:6" ht="16.5" x14ac:dyDescent="0.25">
      <c r="A339" s="3" t="s">
        <v>521</v>
      </c>
    </row>
    <row r="340" spans="1:6" x14ac:dyDescent="0.2">
      <c r="A340" s="10" t="s">
        <v>238</v>
      </c>
    </row>
    <row r="341" spans="1:6" x14ac:dyDescent="0.2">
      <c r="A341" s="11" t="s">
        <v>522</v>
      </c>
    </row>
    <row r="342" spans="1:6" x14ac:dyDescent="0.2">
      <c r="A342" s="11" t="s">
        <v>523</v>
      </c>
    </row>
    <row r="343" spans="1:6" x14ac:dyDescent="0.2">
      <c r="A343" s="11" t="s">
        <v>524</v>
      </c>
    </row>
    <row r="344" spans="1:6" x14ac:dyDescent="0.2">
      <c r="A344" s="11" t="s">
        <v>439</v>
      </c>
    </row>
    <row r="345" spans="1:6" x14ac:dyDescent="0.2">
      <c r="A345" s="18" t="s">
        <v>241</v>
      </c>
      <c r="B345" s="18" t="s">
        <v>372</v>
      </c>
      <c r="C345" s="18" t="s">
        <v>371</v>
      </c>
      <c r="D345" s="18"/>
      <c r="E345" s="18"/>
    </row>
    <row r="346" spans="1:6" x14ac:dyDescent="0.2">
      <c r="A346" s="18" t="s">
        <v>244</v>
      </c>
      <c r="B346" s="18" t="s">
        <v>422</v>
      </c>
      <c r="C346" s="18" t="s">
        <v>440</v>
      </c>
      <c r="D346" s="18"/>
      <c r="E346" s="18"/>
    </row>
    <row r="348" spans="1:6" ht="25.5" x14ac:dyDescent="0.2">
      <c r="C348" s="14" t="s">
        <v>525</v>
      </c>
      <c r="D348" s="14"/>
      <c r="E348" s="14"/>
    </row>
    <row r="349" spans="1:6" x14ac:dyDescent="0.2">
      <c r="B349" s="4" t="s">
        <v>441</v>
      </c>
      <c r="C349" s="4" t="s">
        <v>209</v>
      </c>
      <c r="D349" s="4" t="s">
        <v>210</v>
      </c>
      <c r="E349" s="4" t="s">
        <v>206</v>
      </c>
    </row>
    <row r="350" spans="1:6" x14ac:dyDescent="0.2">
      <c r="A350" s="5" t="s">
        <v>96</v>
      </c>
      <c r="B350" s="22">
        <f>SUM(Input!$B283:$D283)</f>
        <v>1</v>
      </c>
      <c r="C350" s="22">
        <f>IF($B350,Input!B283/$B350,C$337/Input!$F$14/24)</f>
        <v>1.9634703196347001E-2</v>
      </c>
      <c r="D350" s="22">
        <f>IF($B350,Input!C283/$B350,D$337/Input!$F$14/24)</f>
        <v>0.346746575342466</v>
      </c>
      <c r="E350" s="22">
        <f>IF($B350,Input!D283/$B350,E$337/Input!$F$14/24)</f>
        <v>0.63361872146118703</v>
      </c>
      <c r="F350" s="6"/>
    </row>
    <row r="351" spans="1:6" x14ac:dyDescent="0.2">
      <c r="A351" s="5" t="s">
        <v>97</v>
      </c>
      <c r="B351" s="22">
        <f>SUM(Input!$B284:$D284)</f>
        <v>0.99999999999999911</v>
      </c>
      <c r="C351" s="22">
        <f>IF($B351,Input!B284/$B351,C$337/Input!$F$14/24)</f>
        <v>3.6316454937412326E-2</v>
      </c>
      <c r="D351" s="22">
        <f>IF($B351,Input!C284/$B351,D$337/Input!$F$14/24)</f>
        <v>8.9681297086375303E-2</v>
      </c>
      <c r="E351" s="22">
        <f>IF($B351,Input!D284/$B351,E$337/Input!$F$14/24)</f>
        <v>0.8740022479762124</v>
      </c>
      <c r="F351" s="6"/>
    </row>
    <row r="352" spans="1:6" x14ac:dyDescent="0.2">
      <c r="A352" s="5" t="s">
        <v>98</v>
      </c>
      <c r="B352" s="22">
        <f>SUM(Input!$B285:$D285)</f>
        <v>0.99999999999999956</v>
      </c>
      <c r="C352" s="22">
        <f>IF($B352,Input!B285/$B352,C$337/Input!$F$14/24)</f>
        <v>6.8862889284340506E-2</v>
      </c>
      <c r="D352" s="22">
        <f>IF($B352,Input!C285/$B352,D$337/Input!$F$14/24)</f>
        <v>0.17592312306487681</v>
      </c>
      <c r="E352" s="22">
        <f>IF($B352,Input!D285/$B352,E$337/Input!$F$14/24)</f>
        <v>0.75521398765078274</v>
      </c>
      <c r="F352" s="6"/>
    </row>
    <row r="353" spans="1:6" x14ac:dyDescent="0.2">
      <c r="A353" s="5" t="s">
        <v>99</v>
      </c>
      <c r="B353" s="22">
        <f>SUM(Input!$B286:$D286)</f>
        <v>1.0000000000000011</v>
      </c>
      <c r="C353" s="22">
        <f>IF($B353,Input!B286/$B353,C$337/Input!$F$14/24)</f>
        <v>8.3824288253045876E-3</v>
      </c>
      <c r="D353" s="22">
        <f>IF($B353,Input!C286/$B353,D$337/Input!$F$14/24)</f>
        <v>0.55928811318484517</v>
      </c>
      <c r="E353" s="22">
        <f>IF($B353,Input!D286/$B353,E$337/Input!$F$14/24)</f>
        <v>0.43232945798985017</v>
      </c>
      <c r="F353" s="6"/>
    </row>
    <row r="355" spans="1:6" ht="16.5" x14ac:dyDescent="0.25">
      <c r="A355" s="3" t="s">
        <v>526</v>
      </c>
    </row>
    <row r="356" spans="1:6" x14ac:dyDescent="0.2">
      <c r="A356" s="10" t="s">
        <v>238</v>
      </c>
    </row>
    <row r="357" spans="1:6" x14ac:dyDescent="0.2">
      <c r="A357" s="11" t="s">
        <v>527</v>
      </c>
    </row>
    <row r="358" spans="1:6" x14ac:dyDescent="0.2">
      <c r="A358" s="10" t="s">
        <v>528</v>
      </c>
    </row>
    <row r="359" spans="1:6" x14ac:dyDescent="0.2">
      <c r="A359" s="10" t="s">
        <v>256</v>
      </c>
    </row>
    <row r="361" spans="1:6" x14ac:dyDescent="0.2">
      <c r="B361" s="4" t="s">
        <v>209</v>
      </c>
      <c r="C361" s="4" t="s">
        <v>210</v>
      </c>
      <c r="D361" s="4" t="s">
        <v>206</v>
      </c>
    </row>
    <row r="362" spans="1:6" x14ac:dyDescent="0.2">
      <c r="A362" s="5" t="s">
        <v>96</v>
      </c>
      <c r="B362" s="24">
        <f>C$350</f>
        <v>1.9634703196347001E-2</v>
      </c>
      <c r="C362" s="24">
        <f>D$350</f>
        <v>0.346746575342466</v>
      </c>
      <c r="D362" s="24">
        <f>E$350</f>
        <v>0.63361872146118703</v>
      </c>
      <c r="E362" s="6"/>
    </row>
    <row r="363" spans="1:6" x14ac:dyDescent="0.2">
      <c r="A363" s="5" t="s">
        <v>97</v>
      </c>
      <c r="B363" s="24">
        <f>C$351</f>
        <v>3.6316454937412326E-2</v>
      </c>
      <c r="C363" s="24">
        <f>D$351</f>
        <v>8.9681297086375303E-2</v>
      </c>
      <c r="D363" s="24">
        <f>E$351</f>
        <v>0.8740022479762124</v>
      </c>
      <c r="E363" s="6"/>
    </row>
    <row r="364" spans="1:6" x14ac:dyDescent="0.2">
      <c r="A364" s="5" t="s">
        <v>98</v>
      </c>
      <c r="B364" s="24">
        <f>C$352</f>
        <v>6.8862889284340506E-2</v>
      </c>
      <c r="C364" s="24">
        <f>D$352</f>
        <v>0.17592312306487681</v>
      </c>
      <c r="D364" s="24">
        <f>E$352</f>
        <v>0.75521398765078274</v>
      </c>
      <c r="E364" s="6"/>
    </row>
    <row r="365" spans="1:6" x14ac:dyDescent="0.2">
      <c r="A365" s="5" t="s">
        <v>99</v>
      </c>
      <c r="B365" s="24">
        <f>C$353</f>
        <v>8.3824288253045876E-3</v>
      </c>
      <c r="C365" s="24">
        <f>D$353</f>
        <v>0.55928811318484517</v>
      </c>
      <c r="D365" s="24">
        <f>E$353</f>
        <v>0.43232945798985017</v>
      </c>
      <c r="E365" s="6"/>
    </row>
    <row r="366" spans="1:6" x14ac:dyDescent="0.2">
      <c r="A366" s="5" t="s">
        <v>100</v>
      </c>
      <c r="B366" s="23">
        <v>1</v>
      </c>
      <c r="C366" s="23">
        <v>0</v>
      </c>
      <c r="D366" s="23">
        <v>0</v>
      </c>
      <c r="E366" s="6"/>
    </row>
    <row r="368" spans="1:6" ht="16.5" x14ac:dyDescent="0.25">
      <c r="A368" s="3" t="s">
        <v>529</v>
      </c>
    </row>
    <row r="370" spans="1:5" x14ac:dyDescent="0.2">
      <c r="B370" s="4" t="s">
        <v>209</v>
      </c>
      <c r="C370" s="4" t="s">
        <v>210</v>
      </c>
      <c r="D370" s="4" t="s">
        <v>206</v>
      </c>
    </row>
    <row r="371" spans="1:5" x14ac:dyDescent="0.2">
      <c r="A371" s="5" t="s">
        <v>100</v>
      </c>
      <c r="B371" s="23">
        <v>0</v>
      </c>
      <c r="C371" s="23">
        <v>1</v>
      </c>
      <c r="D371" s="23">
        <v>0</v>
      </c>
      <c r="E371" s="6"/>
    </row>
    <row r="373" spans="1:5" ht="16.5" x14ac:dyDescent="0.25">
      <c r="A373" s="3" t="s">
        <v>530</v>
      </c>
    </row>
    <row r="375" spans="1:5" x14ac:dyDescent="0.2">
      <c r="B375" s="4" t="s">
        <v>209</v>
      </c>
      <c r="C375" s="4" t="s">
        <v>210</v>
      </c>
      <c r="D375" s="4" t="s">
        <v>206</v>
      </c>
    </row>
    <row r="376" spans="1:5" x14ac:dyDescent="0.2">
      <c r="A376" s="5" t="s">
        <v>100</v>
      </c>
      <c r="B376" s="23">
        <v>0</v>
      </c>
      <c r="C376" s="23">
        <v>0</v>
      </c>
      <c r="D376" s="23">
        <v>1</v>
      </c>
      <c r="E376" s="6"/>
    </row>
    <row r="378" spans="1:5" ht="16.5" x14ac:dyDescent="0.25">
      <c r="A378" s="3" t="s">
        <v>531</v>
      </c>
    </row>
    <row r="379" spans="1:5" x14ac:dyDescent="0.2">
      <c r="A379" s="10" t="s">
        <v>238</v>
      </c>
    </row>
    <row r="380" spans="1:5" x14ac:dyDescent="0.2">
      <c r="A380" s="11" t="s">
        <v>461</v>
      </c>
    </row>
    <row r="381" spans="1:5" x14ac:dyDescent="0.2">
      <c r="A381" s="11" t="s">
        <v>462</v>
      </c>
    </row>
    <row r="382" spans="1:5" x14ac:dyDescent="0.2">
      <c r="A382" s="11" t="s">
        <v>532</v>
      </c>
    </row>
    <row r="383" spans="1:5" x14ac:dyDescent="0.2">
      <c r="A383" s="11" t="s">
        <v>533</v>
      </c>
    </row>
    <row r="384" spans="1:5" x14ac:dyDescent="0.2">
      <c r="A384" s="11" t="s">
        <v>534</v>
      </c>
    </row>
    <row r="385" spans="1:6" x14ac:dyDescent="0.2">
      <c r="A385" s="11" t="s">
        <v>535</v>
      </c>
    </row>
    <row r="386" spans="1:6" x14ac:dyDescent="0.2">
      <c r="A386" s="18" t="s">
        <v>241</v>
      </c>
      <c r="B386" s="18" t="s">
        <v>371</v>
      </c>
      <c r="C386" s="18"/>
      <c r="D386" s="18"/>
      <c r="E386" s="18" t="s">
        <v>371</v>
      </c>
    </row>
    <row r="387" spans="1:6" ht="25.5" x14ac:dyDescent="0.2">
      <c r="A387" s="18" t="s">
        <v>244</v>
      </c>
      <c r="B387" s="18" t="s">
        <v>536</v>
      </c>
      <c r="C387" s="18"/>
      <c r="D387" s="18"/>
      <c r="E387" s="18" t="s">
        <v>537</v>
      </c>
    </row>
    <row r="389" spans="1:6" ht="25.5" x14ac:dyDescent="0.2">
      <c r="B389" s="14" t="s">
        <v>538</v>
      </c>
      <c r="C389" s="14"/>
      <c r="D389" s="14"/>
    </row>
    <row r="390" spans="1:6" ht="51" x14ac:dyDescent="0.2">
      <c r="B390" s="4" t="s">
        <v>209</v>
      </c>
      <c r="C390" s="4" t="s">
        <v>210</v>
      </c>
      <c r="D390" s="4" t="s">
        <v>206</v>
      </c>
      <c r="E390" s="4" t="s">
        <v>539</v>
      </c>
    </row>
    <row r="391" spans="1:6" x14ac:dyDescent="0.2">
      <c r="A391" s="5" t="s">
        <v>96</v>
      </c>
      <c r="B391" s="22">
        <f>IF($B$128&gt;0,(Loads!$B$311*B$362)/$B$128,0)</f>
        <v>1.9634703196347001E-2</v>
      </c>
      <c r="C391" s="22">
        <f>IF($B$128&gt;0,(Loads!$B$311*C$362)/$B$128,0)</f>
        <v>0.346746575342466</v>
      </c>
      <c r="D391" s="22">
        <f>IF($B$128&gt;0,(Loads!$B$311*D$362)/$B$128,0)</f>
        <v>0.63361872146118703</v>
      </c>
      <c r="E391" s="17">
        <f>IF($C$337&gt;0,$B391*Input!$F$14*24/$C$337,0)</f>
        <v>0.99999999999999833</v>
      </c>
      <c r="F391" s="6"/>
    </row>
    <row r="392" spans="1:6" x14ac:dyDescent="0.2">
      <c r="A392" s="5" t="s">
        <v>97</v>
      </c>
      <c r="B392" s="22">
        <f>IF($B$129&gt;0,(Loads!$B$312*B$363)/$B$129,0)</f>
        <v>3.6316454937412326E-2</v>
      </c>
      <c r="C392" s="22">
        <f>IF($B$129&gt;0,(Loads!$B$312*C$363)/$B$129,0)</f>
        <v>8.9681297086375303E-2</v>
      </c>
      <c r="D392" s="22">
        <f>IF($B$129&gt;0,(Loads!$B$312*D$363)/$B$129,0)</f>
        <v>0.8740022479762124</v>
      </c>
      <c r="E392" s="17">
        <f>IF($C$337&gt;0,$B392*Input!$F$14*24/$C$337,0)</f>
        <v>1.8496054956496049</v>
      </c>
      <c r="F392" s="6"/>
    </row>
    <row r="393" spans="1:6" x14ac:dyDescent="0.2">
      <c r="A393" s="5" t="s">
        <v>98</v>
      </c>
      <c r="B393" s="22">
        <f>IF($B$130&gt;0,(Loads!$B$313*B$364)/$B$130,0)</f>
        <v>6.8862889284340506E-2</v>
      </c>
      <c r="C393" s="22">
        <f>IF($B$130&gt;0,(Loads!$B$313*C$364)/$B$130,0)</f>
        <v>0.17592312306487681</v>
      </c>
      <c r="D393" s="22">
        <f>IF($B$130&gt;0,(Loads!$B$313*D$364)/$B$130,0)</f>
        <v>0.75521398765078274</v>
      </c>
      <c r="E393" s="17">
        <f>IF($C$337&gt;0,$B393*Input!$F$14*24/$C$337,0)</f>
        <v>3.5072029658768771</v>
      </c>
      <c r="F393" s="6"/>
    </row>
    <row r="394" spans="1:6" x14ac:dyDescent="0.2">
      <c r="A394" s="5" t="s">
        <v>99</v>
      </c>
      <c r="B394" s="22">
        <f>IF($B$131&gt;0,(Loads!$B$314*B$365)/$B$131,0)</f>
        <v>0</v>
      </c>
      <c r="C394" s="22">
        <f>IF($B$131&gt;0,(Loads!$B$314*C$365)/$B$131,0)</f>
        <v>0</v>
      </c>
      <c r="D394" s="22">
        <f>IF($B$131&gt;0,(Loads!$B$314*D$365)/$B$131,0)</f>
        <v>0</v>
      </c>
      <c r="E394" s="17">
        <f>IF($C$337&gt;0,$B394*Input!$F$14*24/$C$337,0)</f>
        <v>0</v>
      </c>
      <c r="F394" s="6"/>
    </row>
    <row r="396" spans="1:6" ht="16.5" x14ac:dyDescent="0.25">
      <c r="A396" s="3" t="s">
        <v>540</v>
      </c>
    </row>
    <row r="397" spans="1:6" x14ac:dyDescent="0.2">
      <c r="A397" s="10" t="s">
        <v>238</v>
      </c>
    </row>
    <row r="398" spans="1:6" x14ac:dyDescent="0.2">
      <c r="A398" s="11" t="s">
        <v>461</v>
      </c>
    </row>
    <row r="399" spans="1:6" x14ac:dyDescent="0.2">
      <c r="A399" s="11" t="s">
        <v>462</v>
      </c>
    </row>
    <row r="400" spans="1:6" x14ac:dyDescent="0.2">
      <c r="A400" s="11" t="s">
        <v>532</v>
      </c>
    </row>
    <row r="401" spans="1:6" x14ac:dyDescent="0.2">
      <c r="A401" s="11" t="s">
        <v>464</v>
      </c>
    </row>
    <row r="402" spans="1:6" x14ac:dyDescent="0.2">
      <c r="A402" s="11" t="s">
        <v>541</v>
      </c>
    </row>
    <row r="403" spans="1:6" x14ac:dyDescent="0.2">
      <c r="A403" s="11" t="s">
        <v>474</v>
      </c>
    </row>
    <row r="404" spans="1:6" x14ac:dyDescent="0.2">
      <c r="A404" s="11" t="s">
        <v>542</v>
      </c>
    </row>
    <row r="405" spans="1:6" x14ac:dyDescent="0.2">
      <c r="A405" s="11" t="s">
        <v>543</v>
      </c>
    </row>
    <row r="406" spans="1:6" x14ac:dyDescent="0.2">
      <c r="A406" s="11" t="s">
        <v>544</v>
      </c>
    </row>
    <row r="407" spans="1:6" x14ac:dyDescent="0.2">
      <c r="A407" s="11" t="s">
        <v>478</v>
      </c>
    </row>
    <row r="408" spans="1:6" x14ac:dyDescent="0.2">
      <c r="A408" s="18" t="s">
        <v>241</v>
      </c>
      <c r="B408" s="18" t="s">
        <v>371</v>
      </c>
      <c r="C408" s="18"/>
      <c r="D408" s="18"/>
      <c r="E408" s="18" t="s">
        <v>371</v>
      </c>
    </row>
    <row r="409" spans="1:6" ht="25.5" x14ac:dyDescent="0.2">
      <c r="A409" s="18" t="s">
        <v>244</v>
      </c>
      <c r="B409" s="18" t="s">
        <v>479</v>
      </c>
      <c r="C409" s="18"/>
      <c r="D409" s="18"/>
      <c r="E409" s="18" t="s">
        <v>480</v>
      </c>
    </row>
    <row r="411" spans="1:6" ht="25.5" x14ac:dyDescent="0.2">
      <c r="B411" s="14" t="s">
        <v>545</v>
      </c>
      <c r="C411" s="14"/>
      <c r="D411" s="14"/>
    </row>
    <row r="412" spans="1:6" ht="51" x14ac:dyDescent="0.2">
      <c r="B412" s="4" t="s">
        <v>209</v>
      </c>
      <c r="C412" s="4" t="s">
        <v>210</v>
      </c>
      <c r="D412" s="4" t="s">
        <v>206</v>
      </c>
      <c r="E412" s="4" t="s">
        <v>546</v>
      </c>
    </row>
    <row r="413" spans="1:6" x14ac:dyDescent="0.2">
      <c r="A413" s="5" t="s">
        <v>100</v>
      </c>
      <c r="B413" s="22">
        <f>IF($B$132&gt;0,(Loads!$B$315*B$366+Loads!$C$315*B$371+Loads!$D$315*B$376)/$B$132,0)</f>
        <v>3.3760302855792228E-2</v>
      </c>
      <c r="C413" s="22">
        <f>IF($B$132&gt;0,(Loads!$B$315*C$366+Loads!$C$315*C$371+Loads!$D$315*C$376)/$B$132,0)</f>
        <v>0.12024295142812581</v>
      </c>
      <c r="D413" s="22">
        <f>IF($B$132&gt;0,(Loads!$B$315*D$366+Loads!$C$315*D$371+Loads!$D$315*D$376)/$B$132,0)</f>
        <v>0.84599674571608197</v>
      </c>
      <c r="E413" s="17">
        <f>IF($C$337&gt;0,$B413*Input!$F$14*24/$C$337,0)</f>
        <v>1.7194200756787206</v>
      </c>
      <c r="F413" s="6"/>
    </row>
    <row r="415" spans="1:6" ht="16.5" x14ac:dyDescent="0.25">
      <c r="A415" s="3" t="s">
        <v>547</v>
      </c>
    </row>
    <row r="416" spans="1:6" x14ac:dyDescent="0.2">
      <c r="A416" s="10" t="s">
        <v>238</v>
      </c>
    </row>
    <row r="417" spans="1:5" x14ac:dyDescent="0.2">
      <c r="A417" s="11" t="s">
        <v>548</v>
      </c>
    </row>
    <row r="418" spans="1:5" x14ac:dyDescent="0.2">
      <c r="A418" s="11" t="s">
        <v>549</v>
      </c>
    </row>
    <row r="419" spans="1:5" x14ac:dyDescent="0.2">
      <c r="A419" s="11" t="s">
        <v>550</v>
      </c>
    </row>
    <row r="420" spans="1:5" x14ac:dyDescent="0.2">
      <c r="A420" s="11" t="s">
        <v>551</v>
      </c>
    </row>
    <row r="421" spans="1:5" x14ac:dyDescent="0.2">
      <c r="A421" s="11" t="s">
        <v>552</v>
      </c>
    </row>
    <row r="422" spans="1:5" x14ac:dyDescent="0.2">
      <c r="A422" s="11" t="s">
        <v>553</v>
      </c>
    </row>
    <row r="423" spans="1:5" x14ac:dyDescent="0.2">
      <c r="A423" s="18" t="s">
        <v>241</v>
      </c>
      <c r="B423" s="18" t="s">
        <v>405</v>
      </c>
      <c r="C423" s="18" t="s">
        <v>371</v>
      </c>
      <c r="D423" s="18" t="s">
        <v>371</v>
      </c>
    </row>
    <row r="424" spans="1:5" ht="25.5" x14ac:dyDescent="0.2">
      <c r="A424" s="18" t="s">
        <v>244</v>
      </c>
      <c r="B424" s="18" t="s">
        <v>488</v>
      </c>
      <c r="C424" s="18" t="s">
        <v>554</v>
      </c>
      <c r="D424" s="18" t="s">
        <v>555</v>
      </c>
    </row>
    <row r="426" spans="1:5" ht="38.25" x14ac:dyDescent="0.2">
      <c r="B426" s="4" t="s">
        <v>556</v>
      </c>
      <c r="C426" s="4" t="s">
        <v>557</v>
      </c>
      <c r="D426" s="4" t="s">
        <v>558</v>
      </c>
    </row>
    <row r="427" spans="1:5" x14ac:dyDescent="0.2">
      <c r="A427" s="5" t="s">
        <v>96</v>
      </c>
      <c r="B427" s="20">
        <f>E$391</f>
        <v>0.99999999999999833</v>
      </c>
      <c r="C427" s="25">
        <f>B427*$B$128/24/Input!$F$14*1000</f>
        <v>4925.4887597117695</v>
      </c>
      <c r="D427" s="25">
        <f>Loads!B$58*B$128/24/Input!F$14*1000</f>
        <v>4925.4887597117777</v>
      </c>
      <c r="E427" s="6"/>
    </row>
    <row r="428" spans="1:5" x14ac:dyDescent="0.2">
      <c r="A428" s="5" t="s">
        <v>97</v>
      </c>
      <c r="B428" s="20">
        <f>E$392</f>
        <v>1.8496054956496049</v>
      </c>
      <c r="C428" s="25">
        <f>B428*$B$129/24/Input!$F$14*1000</f>
        <v>2846.1981513785645</v>
      </c>
      <c r="D428" s="25">
        <f>Loads!B$59*B$129/24/Input!F$14*1000</f>
        <v>3244.1382918474924</v>
      </c>
      <c r="E428" s="6"/>
    </row>
    <row r="429" spans="1:5" x14ac:dyDescent="0.2">
      <c r="A429" s="5" t="s">
        <v>98</v>
      </c>
      <c r="B429" s="20">
        <f>E$393</f>
        <v>3.5072029658768771</v>
      </c>
      <c r="C429" s="25">
        <f>B429*$B$130/24/Input!$F$14*1000</f>
        <v>0.55839122633179217</v>
      </c>
      <c r="D429" s="25">
        <f>Loads!B$60*B$130/24/Input!F$14*1000</f>
        <v>0.6170552422139487</v>
      </c>
      <c r="E429" s="6"/>
    </row>
    <row r="430" spans="1:5" x14ac:dyDescent="0.2">
      <c r="A430" s="5" t="s">
        <v>99</v>
      </c>
      <c r="B430" s="20">
        <f>E$394</f>
        <v>0</v>
      </c>
      <c r="C430" s="25">
        <f>B430*$B$131/24/Input!$F$14*1000</f>
        <v>0</v>
      </c>
      <c r="D430" s="25">
        <f>Loads!B$61*B$131/24/Input!F$14*1000</f>
        <v>0</v>
      </c>
      <c r="E430" s="6"/>
    </row>
    <row r="431" spans="1:5" x14ac:dyDescent="0.2">
      <c r="A431" s="5" t="s">
        <v>100</v>
      </c>
      <c r="B431" s="20">
        <f>E$413</f>
        <v>1.7194200756787206</v>
      </c>
      <c r="C431" s="25">
        <f>B431*$B$132/24/Input!$F$14*1000</f>
        <v>54792.044057165607</v>
      </c>
      <c r="D431" s="25">
        <f>Loads!B$62*B$132/24/Input!F$14*1000</f>
        <v>50387.086012630025</v>
      </c>
      <c r="E431" s="6"/>
    </row>
    <row r="433" spans="1:3" ht="16.5" x14ac:dyDescent="0.25">
      <c r="A433" s="3" t="s">
        <v>559</v>
      </c>
    </row>
    <row r="435" spans="1:3" x14ac:dyDescent="0.2">
      <c r="B435" s="4" t="s">
        <v>560</v>
      </c>
    </row>
    <row r="436" spans="1:3" x14ac:dyDescent="0.2">
      <c r="A436" s="5" t="s">
        <v>96</v>
      </c>
      <c r="B436" s="16">
        <v>1</v>
      </c>
      <c r="C436" s="6"/>
    </row>
    <row r="437" spans="1:3" x14ac:dyDescent="0.2">
      <c r="A437" s="5" t="s">
        <v>97</v>
      </c>
      <c r="B437" s="16">
        <v>1</v>
      </c>
      <c r="C437" s="6"/>
    </row>
    <row r="438" spans="1:3" x14ac:dyDescent="0.2">
      <c r="A438" s="5" t="s">
        <v>98</v>
      </c>
      <c r="B438" s="16">
        <v>1</v>
      </c>
      <c r="C438" s="6"/>
    </row>
    <row r="439" spans="1:3" x14ac:dyDescent="0.2">
      <c r="A439" s="5" t="s">
        <v>99</v>
      </c>
      <c r="B439" s="16">
        <v>1</v>
      </c>
      <c r="C439" s="6"/>
    </row>
    <row r="440" spans="1:3" x14ac:dyDescent="0.2">
      <c r="A440" s="5" t="s">
        <v>100</v>
      </c>
      <c r="B440" s="16">
        <v>1</v>
      </c>
      <c r="C440" s="6"/>
    </row>
    <row r="442" spans="1:3" ht="16.5" x14ac:dyDescent="0.25">
      <c r="A442" s="3" t="s">
        <v>561</v>
      </c>
    </row>
    <row r="443" spans="1:3" x14ac:dyDescent="0.2">
      <c r="A443" s="10" t="s">
        <v>238</v>
      </c>
    </row>
    <row r="444" spans="1:3" x14ac:dyDescent="0.2">
      <c r="A444" s="11" t="s">
        <v>562</v>
      </c>
    </row>
    <row r="445" spans="1:3" x14ac:dyDescent="0.2">
      <c r="A445" s="11" t="s">
        <v>563</v>
      </c>
    </row>
    <row r="446" spans="1:3" x14ac:dyDescent="0.2">
      <c r="A446" s="10" t="s">
        <v>251</v>
      </c>
    </row>
    <row r="448" spans="1:3" x14ac:dyDescent="0.2">
      <c r="B448" s="4" t="s">
        <v>560</v>
      </c>
    </row>
    <row r="449" spans="1:3" x14ac:dyDescent="0.2">
      <c r="A449" s="5" t="s">
        <v>209</v>
      </c>
      <c r="B449" s="25">
        <f>SUMPRODUCT(B$436:B$440,$C$427:$C$431)</f>
        <v>62564.289359482274</v>
      </c>
      <c r="C449" s="6"/>
    </row>
    <row r="451" spans="1:3" ht="16.5" x14ac:dyDescent="0.25">
      <c r="A451" s="3" t="s">
        <v>564</v>
      </c>
    </row>
    <row r="452" spans="1:3" x14ac:dyDescent="0.2">
      <c r="A452" s="10" t="s">
        <v>238</v>
      </c>
    </row>
    <row r="453" spans="1:3" x14ac:dyDescent="0.2">
      <c r="A453" s="11" t="s">
        <v>562</v>
      </c>
    </row>
    <row r="454" spans="1:3" x14ac:dyDescent="0.2">
      <c r="A454" s="11" t="s">
        <v>565</v>
      </c>
    </row>
    <row r="455" spans="1:3" x14ac:dyDescent="0.2">
      <c r="A455" s="10" t="s">
        <v>251</v>
      </c>
    </row>
    <row r="457" spans="1:3" x14ac:dyDescent="0.2">
      <c r="B457" s="4" t="s">
        <v>560</v>
      </c>
    </row>
    <row r="458" spans="1:3" x14ac:dyDescent="0.2">
      <c r="A458" s="5" t="s">
        <v>566</v>
      </c>
      <c r="B458" s="25">
        <f>SUMPRODUCT(B$436:B$440,$D$427:$D$431)</f>
        <v>58557.330119431506</v>
      </c>
      <c r="C458" s="6"/>
    </row>
    <row r="460" spans="1:3" ht="16.5" x14ac:dyDescent="0.25">
      <c r="A460" s="3" t="s">
        <v>567</v>
      </c>
    </row>
    <row r="461" spans="1:3" x14ac:dyDescent="0.2">
      <c r="A461" s="10" t="s">
        <v>238</v>
      </c>
    </row>
    <row r="462" spans="1:3" x14ac:dyDescent="0.2">
      <c r="A462" s="11" t="s">
        <v>568</v>
      </c>
    </row>
    <row r="463" spans="1:3" x14ac:dyDescent="0.2">
      <c r="A463" s="11" t="s">
        <v>569</v>
      </c>
    </row>
    <row r="464" spans="1:3" x14ac:dyDescent="0.2">
      <c r="A464" s="10" t="s">
        <v>570</v>
      </c>
    </row>
    <row r="466" spans="1:3" x14ac:dyDescent="0.2">
      <c r="B466" s="4" t="s">
        <v>560</v>
      </c>
    </row>
    <row r="467" spans="1:3" x14ac:dyDescent="0.2">
      <c r="A467" s="5" t="s">
        <v>571</v>
      </c>
      <c r="B467" s="17">
        <f>IF(B$449,B458/B$449,0)</f>
        <v>0.93595453123382322</v>
      </c>
      <c r="C467" s="6"/>
    </row>
    <row r="469" spans="1:3" ht="16.5" x14ac:dyDescent="0.25">
      <c r="A469" s="3" t="s">
        <v>572</v>
      </c>
    </row>
    <row r="470" spans="1:3" x14ac:dyDescent="0.2">
      <c r="A470" s="10" t="s">
        <v>238</v>
      </c>
    </row>
    <row r="471" spans="1:3" x14ac:dyDescent="0.2">
      <c r="A471" s="11" t="s">
        <v>562</v>
      </c>
    </row>
    <row r="472" spans="1:3" x14ac:dyDescent="0.2">
      <c r="A472" s="11" t="s">
        <v>573</v>
      </c>
    </row>
    <row r="473" spans="1:3" x14ac:dyDescent="0.2">
      <c r="A473" s="10" t="s">
        <v>251</v>
      </c>
    </row>
    <row r="475" spans="1:3" ht="38.25" x14ac:dyDescent="0.2">
      <c r="B475" s="4" t="s">
        <v>574</v>
      </c>
    </row>
    <row r="476" spans="1:3" x14ac:dyDescent="0.2">
      <c r="A476" s="5" t="s">
        <v>96</v>
      </c>
      <c r="B476" s="17">
        <f>$B436*$B$467</f>
        <v>0.93595453123382322</v>
      </c>
      <c r="C476" s="6"/>
    </row>
    <row r="477" spans="1:3" x14ac:dyDescent="0.2">
      <c r="A477" s="5" t="s">
        <v>97</v>
      </c>
      <c r="B477" s="17">
        <f>$B437*$B$467</f>
        <v>0.93595453123382322</v>
      </c>
      <c r="C477" s="6"/>
    </row>
    <row r="478" spans="1:3" x14ac:dyDescent="0.2">
      <c r="A478" s="5" t="s">
        <v>98</v>
      </c>
      <c r="B478" s="17">
        <f>$B438*$B$467</f>
        <v>0.93595453123382322</v>
      </c>
      <c r="C478" s="6"/>
    </row>
    <row r="479" spans="1:3" x14ac:dyDescent="0.2">
      <c r="A479" s="5" t="s">
        <v>99</v>
      </c>
      <c r="B479" s="17">
        <f>$B439*$B$467</f>
        <v>0.93595453123382322</v>
      </c>
      <c r="C479" s="6"/>
    </row>
    <row r="480" spans="1:3" x14ac:dyDescent="0.2">
      <c r="A480" s="5" t="s">
        <v>100</v>
      </c>
      <c r="B480" s="17">
        <f>$B440*$B$467</f>
        <v>0.93595453123382322</v>
      </c>
      <c r="C480" s="6"/>
    </row>
    <row r="482" spans="1:7" ht="16.5" x14ac:dyDescent="0.25">
      <c r="A482" s="3" t="s">
        <v>575</v>
      </c>
    </row>
    <row r="483" spans="1:7" x14ac:dyDescent="0.2">
      <c r="A483" s="10" t="s">
        <v>238</v>
      </c>
    </row>
    <row r="484" spans="1:7" x14ac:dyDescent="0.2">
      <c r="A484" s="11" t="s">
        <v>501</v>
      </c>
    </row>
    <row r="485" spans="1:7" x14ac:dyDescent="0.2">
      <c r="A485" s="11" t="s">
        <v>576</v>
      </c>
    </row>
    <row r="486" spans="1:7" x14ac:dyDescent="0.2">
      <c r="A486" s="11" t="s">
        <v>291</v>
      </c>
    </row>
    <row r="487" spans="1:7" x14ac:dyDescent="0.2">
      <c r="A487" s="11" t="s">
        <v>577</v>
      </c>
    </row>
    <row r="488" spans="1:7" x14ac:dyDescent="0.2">
      <c r="A488" s="11" t="s">
        <v>578</v>
      </c>
    </row>
    <row r="489" spans="1:7" x14ac:dyDescent="0.2">
      <c r="A489" s="11" t="s">
        <v>579</v>
      </c>
    </row>
    <row r="490" spans="1:7" x14ac:dyDescent="0.2">
      <c r="A490" s="11" t="s">
        <v>580</v>
      </c>
    </row>
    <row r="491" spans="1:7" x14ac:dyDescent="0.2">
      <c r="A491" s="11" t="s">
        <v>543</v>
      </c>
    </row>
    <row r="492" spans="1:7" x14ac:dyDescent="0.2">
      <c r="A492" s="11" t="s">
        <v>581</v>
      </c>
    </row>
    <row r="493" spans="1:7" x14ac:dyDescent="0.2">
      <c r="A493" s="11" t="s">
        <v>582</v>
      </c>
    </row>
    <row r="494" spans="1:7" x14ac:dyDescent="0.2">
      <c r="A494" s="18" t="s">
        <v>241</v>
      </c>
      <c r="B494" s="18" t="s">
        <v>300</v>
      </c>
      <c r="C494" s="18" t="s">
        <v>300</v>
      </c>
      <c r="D494" s="18" t="s">
        <v>300</v>
      </c>
      <c r="E494" s="18" t="s">
        <v>371</v>
      </c>
      <c r="F494" s="18" t="s">
        <v>371</v>
      </c>
      <c r="G494" s="18" t="s">
        <v>371</v>
      </c>
    </row>
    <row r="495" spans="1:7" ht="25.5" x14ac:dyDescent="0.2">
      <c r="A495" s="18" t="s">
        <v>244</v>
      </c>
      <c r="B495" s="18" t="s">
        <v>302</v>
      </c>
      <c r="C495" s="18" t="s">
        <v>302</v>
      </c>
      <c r="D495" s="18" t="s">
        <v>302</v>
      </c>
      <c r="E495" s="18" t="s">
        <v>583</v>
      </c>
      <c r="F495" s="18" t="s">
        <v>584</v>
      </c>
      <c r="G495" s="18" t="s">
        <v>585</v>
      </c>
    </row>
    <row r="497" spans="1:8" ht="25.5" x14ac:dyDescent="0.2">
      <c r="B497" s="4" t="s">
        <v>586</v>
      </c>
      <c r="C497" s="4" t="s">
        <v>587</v>
      </c>
      <c r="D497" s="4" t="s">
        <v>588</v>
      </c>
      <c r="E497" s="4" t="s">
        <v>589</v>
      </c>
      <c r="F497" s="4" t="s">
        <v>590</v>
      </c>
      <c r="G497" s="4" t="s">
        <v>219</v>
      </c>
    </row>
    <row r="498" spans="1:8" x14ac:dyDescent="0.2">
      <c r="A498" s="5" t="s">
        <v>21</v>
      </c>
      <c r="B498" s="24">
        <f t="shared" ref="B498:B506" si="9">$C224</f>
        <v>0.72299447018604324</v>
      </c>
      <c r="C498" s="24">
        <f t="shared" ref="C498:C506" si="10">$D224</f>
        <v>0.20293269034893757</v>
      </c>
      <c r="D498" s="24">
        <f t="shared" ref="D498:D506" si="11">$E224</f>
        <v>7.4072839465019205E-2</v>
      </c>
      <c r="E498" s="17">
        <f>C498*24*Input!$F$14/$D$13</f>
        <v>0.66146618323969975</v>
      </c>
      <c r="F498" s="22">
        <f>IF(Input!$E307,$C498+$B498-Input!$E307,$E498*$D$337/Input!$F$14/24)</f>
        <v>0.20299382720164749</v>
      </c>
      <c r="G498" s="22">
        <f t="shared" ref="G498:G506" si="12">1-$F498-$D498</f>
        <v>0.72293333333333332</v>
      </c>
      <c r="H498" s="6"/>
    </row>
    <row r="499" spans="1:8" x14ac:dyDescent="0.2">
      <c r="A499" s="5" t="s">
        <v>22</v>
      </c>
      <c r="B499" s="24">
        <f t="shared" si="9"/>
        <v>0.63170859041290939</v>
      </c>
      <c r="C499" s="24">
        <f t="shared" si="10"/>
        <v>0.28143331751305173</v>
      </c>
      <c r="D499" s="24">
        <f t="shared" si="11"/>
        <v>8.6858092074038926E-2</v>
      </c>
      <c r="E499" s="17">
        <f>C499*24*Input!$F$14/$D$13</f>
        <v>0.91734171587510083</v>
      </c>
      <c r="F499" s="22">
        <f>IF(Input!$E308,$C499+$B499-Input!$E308,$E499*$D$337/Input!$F$14/24)</f>
        <v>0.289741907925961</v>
      </c>
      <c r="G499" s="22">
        <f t="shared" si="12"/>
        <v>0.62340000000000007</v>
      </c>
      <c r="H499" s="6"/>
    </row>
    <row r="500" spans="1:8" x14ac:dyDescent="0.2">
      <c r="A500" s="5" t="s">
        <v>23</v>
      </c>
      <c r="B500" s="24">
        <f t="shared" si="9"/>
        <v>0.63170859041290939</v>
      </c>
      <c r="C500" s="24">
        <f t="shared" si="10"/>
        <v>0.28143331751305173</v>
      </c>
      <c r="D500" s="24">
        <f t="shared" si="11"/>
        <v>8.6858092074038926E-2</v>
      </c>
      <c r="E500" s="17">
        <f>C500*24*Input!$F$14/$D$13</f>
        <v>0.91734171587510083</v>
      </c>
      <c r="F500" s="22">
        <f>IF(Input!$E309,$C500+$B500-Input!$E309,$E500*$D$337/Input!$F$14/24)</f>
        <v>0.289741907925961</v>
      </c>
      <c r="G500" s="22">
        <f t="shared" si="12"/>
        <v>0.62340000000000007</v>
      </c>
      <c r="H500" s="6"/>
    </row>
    <row r="501" spans="1:8" x14ac:dyDescent="0.2">
      <c r="A501" s="5" t="s">
        <v>24</v>
      </c>
      <c r="B501" s="24">
        <f t="shared" si="9"/>
        <v>0.56945495495495491</v>
      </c>
      <c r="C501" s="24">
        <f t="shared" si="10"/>
        <v>0.3370504504504504</v>
      </c>
      <c r="D501" s="24">
        <f t="shared" si="11"/>
        <v>9.3494594594594596E-2</v>
      </c>
      <c r="E501" s="17">
        <f>C501*24*Input!$F$14/$D$13</f>
        <v>1.0986277008170962</v>
      </c>
      <c r="F501" s="22">
        <f>IF(Input!$E310,$C501+$B501-Input!$E310,$E501*$D$337/Input!$F$14/24)</f>
        <v>0.32790540540540525</v>
      </c>
      <c r="G501" s="22">
        <f t="shared" si="12"/>
        <v>0.57860000000000011</v>
      </c>
      <c r="H501" s="6"/>
    </row>
    <row r="502" spans="1:8" x14ac:dyDescent="0.2">
      <c r="A502" s="5" t="s">
        <v>25</v>
      </c>
      <c r="B502" s="24">
        <f t="shared" si="9"/>
        <v>0.56945495495495491</v>
      </c>
      <c r="C502" s="24">
        <f t="shared" si="10"/>
        <v>0.3370504504504504</v>
      </c>
      <c r="D502" s="24">
        <f t="shared" si="11"/>
        <v>9.3494594594594596E-2</v>
      </c>
      <c r="E502" s="17">
        <f>C502*24*Input!$F$14/$D$13</f>
        <v>1.0986277008170962</v>
      </c>
      <c r="F502" s="22">
        <f>IF(Input!$E311,$C502+$B502-Input!$E311,$E502*$D$337/Input!$F$14/24)</f>
        <v>0.32790540540540525</v>
      </c>
      <c r="G502" s="22">
        <f t="shared" si="12"/>
        <v>0.57860000000000011</v>
      </c>
      <c r="H502" s="6"/>
    </row>
    <row r="503" spans="1:8" x14ac:dyDescent="0.2">
      <c r="A503" s="5" t="s">
        <v>30</v>
      </c>
      <c r="B503" s="24">
        <f t="shared" si="9"/>
        <v>5.9589041095890409E-2</v>
      </c>
      <c r="C503" s="24">
        <f t="shared" si="10"/>
        <v>0.30679223744292239</v>
      </c>
      <c r="D503" s="24">
        <f t="shared" si="11"/>
        <v>0.63361872146118725</v>
      </c>
      <c r="E503" s="17">
        <f>C503*24*Input!$F$14/$D$13</f>
        <v>1</v>
      </c>
      <c r="F503" s="22">
        <f>IF(Input!$E312,$C503+$B503-Input!$E312,$E503*$D$337/Input!$F$14/24)</f>
        <v>0.34674657534246572</v>
      </c>
      <c r="G503" s="22">
        <f t="shared" si="12"/>
        <v>1.9634703196347081E-2</v>
      </c>
      <c r="H503" s="6"/>
    </row>
    <row r="504" spans="1:8" x14ac:dyDescent="0.2">
      <c r="A504" s="5" t="s">
        <v>26</v>
      </c>
      <c r="B504" s="24">
        <f t="shared" si="9"/>
        <v>0.56945495495495491</v>
      </c>
      <c r="C504" s="24">
        <f t="shared" si="10"/>
        <v>0.3370504504504504</v>
      </c>
      <c r="D504" s="24">
        <f t="shared" si="11"/>
        <v>9.3494594594594596E-2</v>
      </c>
      <c r="E504" s="17">
        <f>C504*24*Input!$F$14/$D$13</f>
        <v>1.0986277008170962</v>
      </c>
      <c r="F504" s="22">
        <f>IF(Input!$E313,$C504+$B504-Input!$E313,$E504*$D$337/Input!$F$14/24)</f>
        <v>0.32790540540540525</v>
      </c>
      <c r="G504" s="22">
        <f t="shared" si="12"/>
        <v>0.57860000000000011</v>
      </c>
      <c r="H504" s="6"/>
    </row>
    <row r="505" spans="1:8" x14ac:dyDescent="0.2">
      <c r="A505" s="5" t="s">
        <v>27</v>
      </c>
      <c r="B505" s="24">
        <f t="shared" si="9"/>
        <v>0.56945495495495491</v>
      </c>
      <c r="C505" s="24">
        <f t="shared" si="10"/>
        <v>0.3370504504504504</v>
      </c>
      <c r="D505" s="24">
        <f t="shared" si="11"/>
        <v>9.3494594594594596E-2</v>
      </c>
      <c r="E505" s="17">
        <f>C505*24*Input!$F$14/$D$13</f>
        <v>1.0986277008170962</v>
      </c>
      <c r="F505" s="22">
        <f>IF(Input!$E314,$C505+$B505-Input!$E314,$E505*$D$337/Input!$F$14/24)</f>
        <v>0.32790540540540525</v>
      </c>
      <c r="G505" s="22">
        <f t="shared" si="12"/>
        <v>0.57860000000000011</v>
      </c>
      <c r="H505" s="6"/>
    </row>
    <row r="506" spans="1:8" x14ac:dyDescent="0.2">
      <c r="A506" s="5" t="s">
        <v>28</v>
      </c>
      <c r="B506" s="24">
        <f t="shared" si="9"/>
        <v>0.56945495495495491</v>
      </c>
      <c r="C506" s="24">
        <f t="shared" si="10"/>
        <v>0.3370504504504504</v>
      </c>
      <c r="D506" s="24">
        <f t="shared" si="11"/>
        <v>9.3494594594594596E-2</v>
      </c>
      <c r="E506" s="17">
        <f>C506*24*Input!$F$14/$D$13</f>
        <v>1.0986277008170962</v>
      </c>
      <c r="F506" s="22">
        <f>IF(Input!$E315,$C506+$B506-Input!$E315,$E506*$D$337/Input!$F$14/24)</f>
        <v>0.32790540540540525</v>
      </c>
      <c r="G506" s="22">
        <f t="shared" si="12"/>
        <v>0.57860000000000011</v>
      </c>
      <c r="H506" s="6"/>
    </row>
    <row r="508" spans="1:8" ht="16.5" x14ac:dyDescent="0.25">
      <c r="A508" s="3" t="s">
        <v>591</v>
      </c>
    </row>
    <row r="509" spans="1:8" x14ac:dyDescent="0.2">
      <c r="A509" s="10" t="s">
        <v>238</v>
      </c>
    </row>
    <row r="510" spans="1:8" x14ac:dyDescent="0.2">
      <c r="A510" s="11" t="s">
        <v>592</v>
      </c>
    </row>
    <row r="511" spans="1:8" x14ac:dyDescent="0.2">
      <c r="A511" s="11" t="s">
        <v>593</v>
      </c>
    </row>
    <row r="512" spans="1:8" x14ac:dyDescent="0.2">
      <c r="A512" s="11" t="s">
        <v>594</v>
      </c>
    </row>
    <row r="513" spans="1:5" x14ac:dyDescent="0.2">
      <c r="A513" s="10" t="s">
        <v>281</v>
      </c>
    </row>
    <row r="515" spans="1:5" x14ac:dyDescent="0.2">
      <c r="B515" s="4" t="s">
        <v>209</v>
      </c>
      <c r="C515" s="4" t="s">
        <v>210</v>
      </c>
      <c r="D515" s="4" t="s">
        <v>206</v>
      </c>
    </row>
    <row r="516" spans="1:5" x14ac:dyDescent="0.2">
      <c r="A516" s="5" t="s">
        <v>21</v>
      </c>
      <c r="B516" s="24">
        <f>$G$498</f>
        <v>0.72293333333333332</v>
      </c>
      <c r="C516" s="24">
        <f>$F$498</f>
        <v>0.20299382720164749</v>
      </c>
      <c r="D516" s="24">
        <f>$D$498</f>
        <v>7.4072839465019205E-2</v>
      </c>
      <c r="E516" s="6"/>
    </row>
    <row r="517" spans="1:5" x14ac:dyDescent="0.2">
      <c r="A517" s="5" t="s">
        <v>22</v>
      </c>
      <c r="B517" s="24">
        <f>$G$499</f>
        <v>0.62340000000000007</v>
      </c>
      <c r="C517" s="24">
        <f>$F$499</f>
        <v>0.289741907925961</v>
      </c>
      <c r="D517" s="24">
        <f>$D$499</f>
        <v>8.6858092074038926E-2</v>
      </c>
      <c r="E517" s="6"/>
    </row>
    <row r="518" spans="1:5" x14ac:dyDescent="0.2">
      <c r="A518" s="5" t="s">
        <v>23</v>
      </c>
      <c r="B518" s="24">
        <f>$G$500</f>
        <v>0.62340000000000007</v>
      </c>
      <c r="C518" s="24">
        <f>$F$500</f>
        <v>0.289741907925961</v>
      </c>
      <c r="D518" s="24">
        <f>$D$500</f>
        <v>8.6858092074038926E-2</v>
      </c>
      <c r="E518" s="6"/>
    </row>
    <row r="519" spans="1:5" x14ac:dyDescent="0.2">
      <c r="A519" s="5" t="s">
        <v>24</v>
      </c>
      <c r="B519" s="24">
        <f>$G$501</f>
        <v>0.57860000000000011</v>
      </c>
      <c r="C519" s="24">
        <f>$F$501</f>
        <v>0.32790540540540525</v>
      </c>
      <c r="D519" s="24">
        <f>$D$501</f>
        <v>9.3494594594594596E-2</v>
      </c>
      <c r="E519" s="6"/>
    </row>
    <row r="520" spans="1:5" x14ac:dyDescent="0.2">
      <c r="A520" s="5" t="s">
        <v>25</v>
      </c>
      <c r="B520" s="24">
        <f>$G$502</f>
        <v>0.57860000000000011</v>
      </c>
      <c r="C520" s="24">
        <f>$F$502</f>
        <v>0.32790540540540525</v>
      </c>
      <c r="D520" s="24">
        <f>$D$502</f>
        <v>9.3494594594594596E-2</v>
      </c>
      <c r="E520" s="6"/>
    </row>
    <row r="521" spans="1:5" x14ac:dyDescent="0.2">
      <c r="A521" s="5" t="s">
        <v>30</v>
      </c>
      <c r="B521" s="24">
        <f>$G$503</f>
        <v>1.9634703196347081E-2</v>
      </c>
      <c r="C521" s="24">
        <f>$F$503</f>
        <v>0.34674657534246572</v>
      </c>
      <c r="D521" s="24">
        <f>$D$503</f>
        <v>0.63361872146118725</v>
      </c>
      <c r="E521" s="6"/>
    </row>
    <row r="522" spans="1:5" x14ac:dyDescent="0.2">
      <c r="A522" s="5" t="s">
        <v>26</v>
      </c>
      <c r="B522" s="24">
        <f>$G$504</f>
        <v>0.57860000000000011</v>
      </c>
      <c r="C522" s="24">
        <f>$F$504</f>
        <v>0.32790540540540525</v>
      </c>
      <c r="D522" s="24">
        <f>$D$504</f>
        <v>9.3494594594594596E-2</v>
      </c>
      <c r="E522" s="6"/>
    </row>
    <row r="523" spans="1:5" x14ac:dyDescent="0.2">
      <c r="A523" s="5" t="s">
        <v>27</v>
      </c>
      <c r="B523" s="24">
        <f>$G$505</f>
        <v>0.57860000000000011</v>
      </c>
      <c r="C523" s="24">
        <f>$F$505</f>
        <v>0.32790540540540525</v>
      </c>
      <c r="D523" s="24">
        <f>$D$505</f>
        <v>9.3494594594594596E-2</v>
      </c>
      <c r="E523" s="6"/>
    </row>
    <row r="524" spans="1:5" x14ac:dyDescent="0.2">
      <c r="A524" s="5" t="s">
        <v>28</v>
      </c>
      <c r="B524" s="24">
        <f>$G$506</f>
        <v>0.57860000000000011</v>
      </c>
      <c r="C524" s="24">
        <f>$F$506</f>
        <v>0.32790540540540525</v>
      </c>
      <c r="D524" s="24">
        <f>$D$506</f>
        <v>9.3494594594594596E-2</v>
      </c>
      <c r="E524" s="6"/>
    </row>
    <row r="526" spans="1:5" ht="16.5" x14ac:dyDescent="0.25">
      <c r="A526" s="3" t="s">
        <v>595</v>
      </c>
    </row>
    <row r="527" spans="1:5" x14ac:dyDescent="0.2">
      <c r="A527" s="10" t="s">
        <v>238</v>
      </c>
    </row>
    <row r="528" spans="1:5" x14ac:dyDescent="0.2">
      <c r="A528" s="11" t="s">
        <v>596</v>
      </c>
    </row>
    <row r="529" spans="1:38" x14ac:dyDescent="0.2">
      <c r="A529" s="10" t="s">
        <v>502</v>
      </c>
    </row>
    <row r="531" spans="1:38" x14ac:dyDescent="0.2">
      <c r="B531" s="12" t="s">
        <v>21</v>
      </c>
      <c r="C531" s="4" t="s">
        <v>209</v>
      </c>
      <c r="D531" s="4" t="s">
        <v>210</v>
      </c>
      <c r="E531" s="4" t="s">
        <v>206</v>
      </c>
      <c r="F531" s="12" t="s">
        <v>22</v>
      </c>
      <c r="G531" s="4" t="s">
        <v>209</v>
      </c>
      <c r="H531" s="4" t="s">
        <v>210</v>
      </c>
      <c r="I531" s="4" t="s">
        <v>206</v>
      </c>
      <c r="J531" s="12" t="s">
        <v>23</v>
      </c>
      <c r="K531" s="4" t="s">
        <v>209</v>
      </c>
      <c r="L531" s="4" t="s">
        <v>210</v>
      </c>
      <c r="M531" s="4" t="s">
        <v>206</v>
      </c>
      <c r="N531" s="12" t="s">
        <v>24</v>
      </c>
      <c r="O531" s="4" t="s">
        <v>209</v>
      </c>
      <c r="P531" s="4" t="s">
        <v>210</v>
      </c>
      <c r="Q531" s="4" t="s">
        <v>206</v>
      </c>
      <c r="R531" s="12" t="s">
        <v>25</v>
      </c>
      <c r="S531" s="4" t="s">
        <v>209</v>
      </c>
      <c r="T531" s="4" t="s">
        <v>210</v>
      </c>
      <c r="U531" s="4" t="s">
        <v>206</v>
      </c>
      <c r="V531" s="12" t="s">
        <v>30</v>
      </c>
      <c r="W531" s="4" t="s">
        <v>209</v>
      </c>
      <c r="X531" s="4" t="s">
        <v>210</v>
      </c>
      <c r="Y531" s="4" t="s">
        <v>206</v>
      </c>
      <c r="Z531" s="12" t="s">
        <v>26</v>
      </c>
      <c r="AA531" s="4" t="s">
        <v>209</v>
      </c>
      <c r="AB531" s="4" t="s">
        <v>210</v>
      </c>
      <c r="AC531" s="4" t="s">
        <v>206</v>
      </c>
      <c r="AD531" s="12" t="s">
        <v>27</v>
      </c>
      <c r="AE531" s="4" t="s">
        <v>209</v>
      </c>
      <c r="AF531" s="4" t="s">
        <v>210</v>
      </c>
      <c r="AG531" s="4" t="s">
        <v>206</v>
      </c>
      <c r="AH531" s="12" t="s">
        <v>28</v>
      </c>
      <c r="AI531" s="4" t="s">
        <v>209</v>
      </c>
      <c r="AJ531" s="4" t="s">
        <v>210</v>
      </c>
      <c r="AK531" s="4" t="s">
        <v>206</v>
      </c>
    </row>
    <row r="532" spans="1:38" x14ac:dyDescent="0.2">
      <c r="A532" s="5" t="s">
        <v>503</v>
      </c>
      <c r="C532" s="24">
        <f>B$516</f>
        <v>0.72293333333333332</v>
      </c>
      <c r="D532" s="24">
        <f>C$516</f>
        <v>0.20299382720164749</v>
      </c>
      <c r="E532" s="24">
        <f>D$516</f>
        <v>7.4072839465019205E-2</v>
      </c>
      <c r="G532" s="24">
        <f>B$517</f>
        <v>0.62340000000000007</v>
      </c>
      <c r="H532" s="24">
        <f>C$517</f>
        <v>0.289741907925961</v>
      </c>
      <c r="I532" s="24">
        <f>D$517</f>
        <v>8.6858092074038926E-2</v>
      </c>
      <c r="K532" s="24">
        <f>B$518</f>
        <v>0.62340000000000007</v>
      </c>
      <c r="L532" s="24">
        <f>C$518</f>
        <v>0.289741907925961</v>
      </c>
      <c r="M532" s="24">
        <f>D$518</f>
        <v>8.6858092074038926E-2</v>
      </c>
      <c r="O532" s="24">
        <f>B$519</f>
        <v>0.57860000000000011</v>
      </c>
      <c r="P532" s="24">
        <f>C$519</f>
        <v>0.32790540540540525</v>
      </c>
      <c r="Q532" s="24">
        <f>D$519</f>
        <v>9.3494594594594596E-2</v>
      </c>
      <c r="S532" s="24">
        <f>B$520</f>
        <v>0.57860000000000011</v>
      </c>
      <c r="T532" s="24">
        <f>C$520</f>
        <v>0.32790540540540525</v>
      </c>
      <c r="U532" s="24">
        <f>D$520</f>
        <v>9.3494594594594596E-2</v>
      </c>
      <c r="W532" s="24">
        <f>B$521</f>
        <v>1.9634703196347081E-2</v>
      </c>
      <c r="X532" s="24">
        <f>C$521</f>
        <v>0.34674657534246572</v>
      </c>
      <c r="Y532" s="24">
        <f>D$521</f>
        <v>0.63361872146118725</v>
      </c>
      <c r="AA532" s="24">
        <f>B$522</f>
        <v>0.57860000000000011</v>
      </c>
      <c r="AB532" s="24">
        <f>C$522</f>
        <v>0.32790540540540525</v>
      </c>
      <c r="AC532" s="24">
        <f>D$522</f>
        <v>9.3494594594594596E-2</v>
      </c>
      <c r="AE532" s="24">
        <f>B$523</f>
        <v>0.57860000000000011</v>
      </c>
      <c r="AF532" s="24">
        <f>C$523</f>
        <v>0.32790540540540525</v>
      </c>
      <c r="AG532" s="24">
        <f>D$523</f>
        <v>9.3494594594594596E-2</v>
      </c>
      <c r="AI532" s="24">
        <f>B$524</f>
        <v>0.57860000000000011</v>
      </c>
      <c r="AJ532" s="24">
        <f>C$524</f>
        <v>0.32790540540540525</v>
      </c>
      <c r="AK532" s="24">
        <f>D$524</f>
        <v>9.3494594594594596E-2</v>
      </c>
      <c r="AL532" s="6"/>
    </row>
    <row r="534" spans="1:38" ht="16.5" x14ac:dyDescent="0.25">
      <c r="A534" s="3" t="s">
        <v>597</v>
      </c>
    </row>
    <row r="535" spans="1:38" x14ac:dyDescent="0.2">
      <c r="A535" s="10" t="s">
        <v>238</v>
      </c>
    </row>
    <row r="536" spans="1:38" x14ac:dyDescent="0.2">
      <c r="A536" s="11" t="s">
        <v>598</v>
      </c>
    </row>
    <row r="537" spans="1:38" x14ac:dyDescent="0.2">
      <c r="A537" s="11" t="s">
        <v>599</v>
      </c>
    </row>
    <row r="538" spans="1:38" x14ac:dyDescent="0.2">
      <c r="A538" s="11" t="s">
        <v>600</v>
      </c>
    </row>
    <row r="539" spans="1:38" x14ac:dyDescent="0.2">
      <c r="A539" s="11" t="s">
        <v>439</v>
      </c>
    </row>
    <row r="540" spans="1:38" x14ac:dyDescent="0.2">
      <c r="A540" s="10" t="s">
        <v>508</v>
      </c>
    </row>
    <row r="542" spans="1:38" x14ac:dyDescent="0.2">
      <c r="B542" s="12" t="s">
        <v>21</v>
      </c>
      <c r="C542" s="4" t="s">
        <v>209</v>
      </c>
      <c r="D542" s="4" t="s">
        <v>210</v>
      </c>
      <c r="E542" s="4" t="s">
        <v>206</v>
      </c>
      <c r="F542" s="12" t="s">
        <v>22</v>
      </c>
      <c r="G542" s="4" t="s">
        <v>209</v>
      </c>
      <c r="H542" s="4" t="s">
        <v>210</v>
      </c>
      <c r="I542" s="4" t="s">
        <v>206</v>
      </c>
      <c r="J542" s="12" t="s">
        <v>23</v>
      </c>
      <c r="K542" s="4" t="s">
        <v>209</v>
      </c>
      <c r="L542" s="4" t="s">
        <v>210</v>
      </c>
      <c r="M542" s="4" t="s">
        <v>206</v>
      </c>
      <c r="N542" s="12" t="s">
        <v>24</v>
      </c>
      <c r="O542" s="4" t="s">
        <v>209</v>
      </c>
      <c r="P542" s="4" t="s">
        <v>210</v>
      </c>
      <c r="Q542" s="4" t="s">
        <v>206</v>
      </c>
      <c r="R542" s="12" t="s">
        <v>25</v>
      </c>
      <c r="S542" s="4" t="s">
        <v>209</v>
      </c>
      <c r="T542" s="4" t="s">
        <v>210</v>
      </c>
      <c r="U542" s="4" t="s">
        <v>206</v>
      </c>
      <c r="V542" s="12" t="s">
        <v>30</v>
      </c>
      <c r="W542" s="4" t="s">
        <v>209</v>
      </c>
      <c r="X542" s="4" t="s">
        <v>210</v>
      </c>
      <c r="Y542" s="4" t="s">
        <v>206</v>
      </c>
      <c r="Z542" s="12" t="s">
        <v>26</v>
      </c>
      <c r="AA542" s="4" t="s">
        <v>209</v>
      </c>
      <c r="AB542" s="4" t="s">
        <v>210</v>
      </c>
      <c r="AC542" s="4" t="s">
        <v>206</v>
      </c>
      <c r="AD542" s="12" t="s">
        <v>27</v>
      </c>
      <c r="AE542" s="4" t="s">
        <v>209</v>
      </c>
      <c r="AF542" s="4" t="s">
        <v>210</v>
      </c>
      <c r="AG542" s="4" t="s">
        <v>206</v>
      </c>
      <c r="AH542" s="12" t="s">
        <v>28</v>
      </c>
      <c r="AI542" s="4" t="s">
        <v>209</v>
      </c>
      <c r="AJ542" s="4" t="s">
        <v>210</v>
      </c>
      <c r="AK542" s="4" t="s">
        <v>206</v>
      </c>
    </row>
    <row r="543" spans="1:38" x14ac:dyDescent="0.2">
      <c r="A543" s="5" t="s">
        <v>96</v>
      </c>
      <c r="C543" s="17">
        <f>IF(C$337&gt;0,$B476*C$532*24*Input!$F$14/C$337,0)</f>
        <v>34.461062250189272</v>
      </c>
      <c r="D543" s="17">
        <f>IF(D$337&gt;0,$B476*D$532*24*Input!$F$14/D$337,0)</f>
        <v>0.54793040765934109</v>
      </c>
      <c r="E543" s="17">
        <f>IF(E$337&gt;0,$B476*E$532*24*Input!$F$14/E$337,0)</f>
        <v>0.10941723688145012</v>
      </c>
      <c r="G543" s="17">
        <f>IF(C$337&gt;0,$B476*G$532*24*Input!$F$14/C$337,0)</f>
        <v>29.716469301136101</v>
      </c>
      <c r="H543" s="17">
        <f>IF(D$337&gt;0,$B476*H$532*24*Input!$F$14/D$337,0)</f>
        <v>0.78208487378368208</v>
      </c>
      <c r="I543" s="17">
        <f>IF(E$337&gt;0,$B476*I$532*24*Input!$F$14/E$337,0)</f>
        <v>0.12830306633545577</v>
      </c>
      <c r="K543" s="17">
        <f>IF(C$337&gt;0,$B476*K$532*24*Input!$F$14/C$337,0)</f>
        <v>29.716469301136101</v>
      </c>
      <c r="L543" s="17">
        <f>IF(D$337&gt;0,$B476*L$532*24*Input!$F$14/D$337,0)</f>
        <v>0.78208487378368208</v>
      </c>
      <c r="M543" s="17">
        <f>IF(E$337&gt;0,$B476*M$532*24*Input!$F$14/E$337,0)</f>
        <v>0.12830306633545577</v>
      </c>
      <c r="O543" s="17">
        <f>IF(C$337&gt;0,$B476*O$532*24*Input!$F$14/C$337,0)</f>
        <v>27.580925790242784</v>
      </c>
      <c r="P543" s="17">
        <f>IF(D$337&gt;0,$B476*P$532*24*Input!$F$14/D$337,0)</f>
        <v>0.88509756643490212</v>
      </c>
      <c r="Q543" s="17">
        <f>IF(E$337&gt;0,$B476*Q$532*24*Input!$F$14/E$337,0)</f>
        <v>0.13810622459967895</v>
      </c>
      <c r="S543" s="17">
        <f>IF(C$337&gt;0,$B476*S$532*24*Input!$F$14/C$337,0)</f>
        <v>27.580925790242784</v>
      </c>
      <c r="T543" s="17">
        <f>IF(D$337&gt;0,$B476*T$532*24*Input!$F$14/D$337,0)</f>
        <v>0.88509756643490212</v>
      </c>
      <c r="U543" s="17">
        <f>IF(E$337&gt;0,$B476*U$532*24*Input!$F$14/E$337,0)</f>
        <v>0.13810622459967895</v>
      </c>
      <c r="W543" s="17">
        <f>IF(C$337&gt;0,$B476*W$532*24*Input!$F$14/C$337,0)</f>
        <v>0.93595453123382555</v>
      </c>
      <c r="X543" s="17">
        <f>IF(D$337&gt;0,$B476*X$532*24*Input!$F$14/D$337,0)</f>
        <v>0.93595453123382311</v>
      </c>
      <c r="Y543" s="17">
        <f>IF(E$337&gt;0,$B476*Y$532*24*Input!$F$14/E$337,0)</f>
        <v>0.93595453123382322</v>
      </c>
      <c r="AA543" s="17">
        <f>IF(C$337&gt;0,$B476*AA$532*24*Input!$F$14/C$337,0)</f>
        <v>27.580925790242784</v>
      </c>
      <c r="AB543" s="17">
        <f>IF(D$337&gt;0,$B476*AB$532*24*Input!$F$14/D$337,0)</f>
        <v>0.88509756643490212</v>
      </c>
      <c r="AC543" s="17">
        <f>IF(E$337&gt;0,$B476*AC$532*24*Input!$F$14/E$337,0)</f>
        <v>0.13810622459967895</v>
      </c>
      <c r="AE543" s="17">
        <f>IF(C$337&gt;0,$B476*AE$532*24*Input!$F$14/C$337,0)</f>
        <v>27.580925790242784</v>
      </c>
      <c r="AF543" s="17">
        <f>IF(D$337&gt;0,$B476*AF$532*24*Input!$F$14/D$337,0)</f>
        <v>0.88509756643490212</v>
      </c>
      <c r="AG543" s="17">
        <f>IF(E$337&gt;0,$B476*AG$532*24*Input!$F$14/E$337,0)</f>
        <v>0.13810622459967895</v>
      </c>
      <c r="AI543" s="17">
        <f>IF(C$337&gt;0,$B476*AI$532*24*Input!$F$14/C$337,0)</f>
        <v>27.580925790242784</v>
      </c>
      <c r="AJ543" s="17">
        <f>IF(D$337&gt;0,$B476*AJ$532*24*Input!$F$14/D$337,0)</f>
        <v>0.88509756643490212</v>
      </c>
      <c r="AK543" s="17">
        <f>IF(E$337&gt;0,$B476*AK$532*24*Input!$F$14/E$337,0)</f>
        <v>0.13810622459967895</v>
      </c>
      <c r="AL543" s="6"/>
    </row>
    <row r="544" spans="1:38" x14ac:dyDescent="0.2">
      <c r="A544" s="5" t="s">
        <v>97</v>
      </c>
      <c r="C544" s="17">
        <f>IF(C$337&gt;0,$B477*C$532*24*Input!$F$14/C$337,0)</f>
        <v>34.461062250189272</v>
      </c>
      <c r="D544" s="17">
        <f>IF(D$337&gt;0,$B477*D$532*24*Input!$F$14/D$337,0)</f>
        <v>0.54793040765934109</v>
      </c>
      <c r="E544" s="17">
        <f>IF(E$337&gt;0,$B477*E$532*24*Input!$F$14/E$337,0)</f>
        <v>0.10941723688145012</v>
      </c>
      <c r="G544" s="17">
        <f>IF(C$337&gt;0,$B477*G$532*24*Input!$F$14/C$337,0)</f>
        <v>29.716469301136101</v>
      </c>
      <c r="H544" s="17">
        <f>IF(D$337&gt;0,$B477*H$532*24*Input!$F$14/D$337,0)</f>
        <v>0.78208487378368208</v>
      </c>
      <c r="I544" s="17">
        <f>IF(E$337&gt;0,$B477*I$532*24*Input!$F$14/E$337,0)</f>
        <v>0.12830306633545577</v>
      </c>
      <c r="K544" s="17">
        <f>IF(C$337&gt;0,$B477*K$532*24*Input!$F$14/C$337,0)</f>
        <v>29.716469301136101</v>
      </c>
      <c r="L544" s="17">
        <f>IF(D$337&gt;0,$B477*L$532*24*Input!$F$14/D$337,0)</f>
        <v>0.78208487378368208</v>
      </c>
      <c r="M544" s="17">
        <f>IF(E$337&gt;0,$B477*M$532*24*Input!$F$14/E$337,0)</f>
        <v>0.12830306633545577</v>
      </c>
      <c r="O544" s="17">
        <f>IF(C$337&gt;0,$B477*O$532*24*Input!$F$14/C$337,0)</f>
        <v>27.580925790242784</v>
      </c>
      <c r="P544" s="17">
        <f>IF(D$337&gt;0,$B477*P$532*24*Input!$F$14/D$337,0)</f>
        <v>0.88509756643490212</v>
      </c>
      <c r="Q544" s="17">
        <f>IF(E$337&gt;0,$B477*Q$532*24*Input!$F$14/E$337,0)</f>
        <v>0.13810622459967895</v>
      </c>
      <c r="S544" s="17">
        <f>IF(C$337&gt;0,$B477*S$532*24*Input!$F$14/C$337,0)</f>
        <v>27.580925790242784</v>
      </c>
      <c r="T544" s="17">
        <f>IF(D$337&gt;0,$B477*T$532*24*Input!$F$14/D$337,0)</f>
        <v>0.88509756643490212</v>
      </c>
      <c r="U544" s="17">
        <f>IF(E$337&gt;0,$B477*U$532*24*Input!$F$14/E$337,0)</f>
        <v>0.13810622459967895</v>
      </c>
      <c r="W544" s="17">
        <f>IF(C$337&gt;0,$B477*W$532*24*Input!$F$14/C$337,0)</f>
        <v>0.93595453123382555</v>
      </c>
      <c r="X544" s="17">
        <f>IF(D$337&gt;0,$B477*X$532*24*Input!$F$14/D$337,0)</f>
        <v>0.93595453123382311</v>
      </c>
      <c r="Y544" s="17">
        <f>IF(E$337&gt;0,$B477*Y$532*24*Input!$F$14/E$337,0)</f>
        <v>0.93595453123382322</v>
      </c>
      <c r="AA544" s="17">
        <f>IF(C$337&gt;0,$B477*AA$532*24*Input!$F$14/C$337,0)</f>
        <v>27.580925790242784</v>
      </c>
      <c r="AB544" s="17">
        <f>IF(D$337&gt;0,$B477*AB$532*24*Input!$F$14/D$337,0)</f>
        <v>0.88509756643490212</v>
      </c>
      <c r="AC544" s="17">
        <f>IF(E$337&gt;0,$B477*AC$532*24*Input!$F$14/E$337,0)</f>
        <v>0.13810622459967895</v>
      </c>
      <c r="AE544" s="17">
        <f>IF(C$337&gt;0,$B477*AE$532*24*Input!$F$14/C$337,0)</f>
        <v>27.580925790242784</v>
      </c>
      <c r="AF544" s="17">
        <f>IF(D$337&gt;0,$B477*AF$532*24*Input!$F$14/D$337,0)</f>
        <v>0.88509756643490212</v>
      </c>
      <c r="AG544" s="17">
        <f>IF(E$337&gt;0,$B477*AG$532*24*Input!$F$14/E$337,0)</f>
        <v>0.13810622459967895</v>
      </c>
      <c r="AI544" s="17">
        <f>IF(C$337&gt;0,$B477*AI$532*24*Input!$F$14/C$337,0)</f>
        <v>27.580925790242784</v>
      </c>
      <c r="AJ544" s="17">
        <f>IF(D$337&gt;0,$B477*AJ$532*24*Input!$F$14/D$337,0)</f>
        <v>0.88509756643490212</v>
      </c>
      <c r="AK544" s="17">
        <f>IF(E$337&gt;0,$B477*AK$532*24*Input!$F$14/E$337,0)</f>
        <v>0.13810622459967895</v>
      </c>
      <c r="AL544" s="6"/>
    </row>
    <row r="545" spans="1:38" x14ac:dyDescent="0.2">
      <c r="A545" s="5" t="s">
        <v>98</v>
      </c>
      <c r="C545" s="17">
        <f>IF(C$337&gt;0,$B478*C$532*24*Input!$F$14/C$337,0)</f>
        <v>34.461062250189272</v>
      </c>
      <c r="D545" s="17">
        <f>IF(D$337&gt;0,$B478*D$532*24*Input!$F$14/D$337,0)</f>
        <v>0.54793040765934109</v>
      </c>
      <c r="E545" s="17">
        <f>IF(E$337&gt;0,$B478*E$532*24*Input!$F$14/E$337,0)</f>
        <v>0.10941723688145012</v>
      </c>
      <c r="G545" s="17">
        <f>IF(C$337&gt;0,$B478*G$532*24*Input!$F$14/C$337,0)</f>
        <v>29.716469301136101</v>
      </c>
      <c r="H545" s="17">
        <f>IF(D$337&gt;0,$B478*H$532*24*Input!$F$14/D$337,0)</f>
        <v>0.78208487378368208</v>
      </c>
      <c r="I545" s="17">
        <f>IF(E$337&gt;0,$B478*I$532*24*Input!$F$14/E$337,0)</f>
        <v>0.12830306633545577</v>
      </c>
      <c r="K545" s="17">
        <f>IF(C$337&gt;0,$B478*K$532*24*Input!$F$14/C$337,0)</f>
        <v>29.716469301136101</v>
      </c>
      <c r="L545" s="17">
        <f>IF(D$337&gt;0,$B478*L$532*24*Input!$F$14/D$337,0)</f>
        <v>0.78208487378368208</v>
      </c>
      <c r="M545" s="17">
        <f>IF(E$337&gt;0,$B478*M$532*24*Input!$F$14/E$337,0)</f>
        <v>0.12830306633545577</v>
      </c>
      <c r="O545" s="17">
        <f>IF(C$337&gt;0,$B478*O$532*24*Input!$F$14/C$337,0)</f>
        <v>27.580925790242784</v>
      </c>
      <c r="P545" s="17">
        <f>IF(D$337&gt;0,$B478*P$532*24*Input!$F$14/D$337,0)</f>
        <v>0.88509756643490212</v>
      </c>
      <c r="Q545" s="17">
        <f>IF(E$337&gt;0,$B478*Q$532*24*Input!$F$14/E$337,0)</f>
        <v>0.13810622459967895</v>
      </c>
      <c r="S545" s="17">
        <f>IF(C$337&gt;0,$B478*S$532*24*Input!$F$14/C$337,0)</f>
        <v>27.580925790242784</v>
      </c>
      <c r="T545" s="17">
        <f>IF(D$337&gt;0,$B478*T$532*24*Input!$F$14/D$337,0)</f>
        <v>0.88509756643490212</v>
      </c>
      <c r="U545" s="17">
        <f>IF(E$337&gt;0,$B478*U$532*24*Input!$F$14/E$337,0)</f>
        <v>0.13810622459967895</v>
      </c>
      <c r="W545" s="17">
        <f>IF(C$337&gt;0,$B478*W$532*24*Input!$F$14/C$337,0)</f>
        <v>0.93595453123382555</v>
      </c>
      <c r="X545" s="17">
        <f>IF(D$337&gt;0,$B478*X$532*24*Input!$F$14/D$337,0)</f>
        <v>0.93595453123382311</v>
      </c>
      <c r="Y545" s="17">
        <f>IF(E$337&gt;0,$B478*Y$532*24*Input!$F$14/E$337,0)</f>
        <v>0.93595453123382322</v>
      </c>
      <c r="AA545" s="17">
        <f>IF(C$337&gt;0,$B478*AA$532*24*Input!$F$14/C$337,0)</f>
        <v>27.580925790242784</v>
      </c>
      <c r="AB545" s="17">
        <f>IF(D$337&gt;0,$B478*AB$532*24*Input!$F$14/D$337,0)</f>
        <v>0.88509756643490212</v>
      </c>
      <c r="AC545" s="17">
        <f>IF(E$337&gt;0,$B478*AC$532*24*Input!$F$14/E$337,0)</f>
        <v>0.13810622459967895</v>
      </c>
      <c r="AE545" s="17">
        <f>IF(C$337&gt;0,$B478*AE$532*24*Input!$F$14/C$337,0)</f>
        <v>27.580925790242784</v>
      </c>
      <c r="AF545" s="17">
        <f>IF(D$337&gt;0,$B478*AF$532*24*Input!$F$14/D$337,0)</f>
        <v>0.88509756643490212</v>
      </c>
      <c r="AG545" s="17">
        <f>IF(E$337&gt;0,$B478*AG$532*24*Input!$F$14/E$337,0)</f>
        <v>0.13810622459967895</v>
      </c>
      <c r="AI545" s="17">
        <f>IF(C$337&gt;0,$B478*AI$532*24*Input!$F$14/C$337,0)</f>
        <v>27.580925790242784</v>
      </c>
      <c r="AJ545" s="17">
        <f>IF(D$337&gt;0,$B478*AJ$532*24*Input!$F$14/D$337,0)</f>
        <v>0.88509756643490212</v>
      </c>
      <c r="AK545" s="17">
        <f>IF(E$337&gt;0,$B478*AK$532*24*Input!$F$14/E$337,0)</f>
        <v>0.13810622459967895</v>
      </c>
      <c r="AL545" s="6"/>
    </row>
    <row r="546" spans="1:38" x14ac:dyDescent="0.2">
      <c r="A546" s="5" t="s">
        <v>99</v>
      </c>
      <c r="C546" s="17">
        <f>IF(C$337&gt;0,$B479*C$532*24*Input!$F$14/C$337,0)</f>
        <v>34.461062250189272</v>
      </c>
      <c r="D546" s="17">
        <f>IF(D$337&gt;0,$B479*D$532*24*Input!$F$14/D$337,0)</f>
        <v>0.54793040765934109</v>
      </c>
      <c r="E546" s="17">
        <f>IF(E$337&gt;0,$B479*E$532*24*Input!$F$14/E$337,0)</f>
        <v>0.10941723688145012</v>
      </c>
      <c r="G546" s="17">
        <f>IF(C$337&gt;0,$B479*G$532*24*Input!$F$14/C$337,0)</f>
        <v>29.716469301136101</v>
      </c>
      <c r="H546" s="17">
        <f>IF(D$337&gt;0,$B479*H$532*24*Input!$F$14/D$337,0)</f>
        <v>0.78208487378368208</v>
      </c>
      <c r="I546" s="17">
        <f>IF(E$337&gt;0,$B479*I$532*24*Input!$F$14/E$337,0)</f>
        <v>0.12830306633545577</v>
      </c>
      <c r="K546" s="17">
        <f>IF(C$337&gt;0,$B479*K$532*24*Input!$F$14/C$337,0)</f>
        <v>29.716469301136101</v>
      </c>
      <c r="L546" s="17">
        <f>IF(D$337&gt;0,$B479*L$532*24*Input!$F$14/D$337,0)</f>
        <v>0.78208487378368208</v>
      </c>
      <c r="M546" s="17">
        <f>IF(E$337&gt;0,$B479*M$532*24*Input!$F$14/E$337,0)</f>
        <v>0.12830306633545577</v>
      </c>
      <c r="O546" s="17">
        <f>IF(C$337&gt;0,$B479*O$532*24*Input!$F$14/C$337,0)</f>
        <v>27.580925790242784</v>
      </c>
      <c r="P546" s="17">
        <f>IF(D$337&gt;0,$B479*P$532*24*Input!$F$14/D$337,0)</f>
        <v>0.88509756643490212</v>
      </c>
      <c r="Q546" s="17">
        <f>IF(E$337&gt;0,$B479*Q$532*24*Input!$F$14/E$337,0)</f>
        <v>0.13810622459967895</v>
      </c>
      <c r="S546" s="17">
        <f>IF(C$337&gt;0,$B479*S$532*24*Input!$F$14/C$337,0)</f>
        <v>27.580925790242784</v>
      </c>
      <c r="T546" s="17">
        <f>IF(D$337&gt;0,$B479*T$532*24*Input!$F$14/D$337,0)</f>
        <v>0.88509756643490212</v>
      </c>
      <c r="U546" s="17">
        <f>IF(E$337&gt;0,$B479*U$532*24*Input!$F$14/E$337,0)</f>
        <v>0.13810622459967895</v>
      </c>
      <c r="W546" s="17">
        <f>IF(C$337&gt;0,$B479*W$532*24*Input!$F$14/C$337,0)</f>
        <v>0.93595453123382555</v>
      </c>
      <c r="X546" s="17">
        <f>IF(D$337&gt;0,$B479*X$532*24*Input!$F$14/D$337,0)</f>
        <v>0.93595453123382311</v>
      </c>
      <c r="Y546" s="17">
        <f>IF(E$337&gt;0,$B479*Y$532*24*Input!$F$14/E$337,0)</f>
        <v>0.93595453123382322</v>
      </c>
      <c r="AA546" s="17">
        <f>IF(C$337&gt;0,$B479*AA$532*24*Input!$F$14/C$337,0)</f>
        <v>27.580925790242784</v>
      </c>
      <c r="AB546" s="17">
        <f>IF(D$337&gt;0,$B479*AB$532*24*Input!$F$14/D$337,0)</f>
        <v>0.88509756643490212</v>
      </c>
      <c r="AC546" s="17">
        <f>IF(E$337&gt;0,$B479*AC$532*24*Input!$F$14/E$337,0)</f>
        <v>0.13810622459967895</v>
      </c>
      <c r="AE546" s="17">
        <f>IF(C$337&gt;0,$B479*AE$532*24*Input!$F$14/C$337,0)</f>
        <v>27.580925790242784</v>
      </c>
      <c r="AF546" s="17">
        <f>IF(D$337&gt;0,$B479*AF$532*24*Input!$F$14/D$337,0)</f>
        <v>0.88509756643490212</v>
      </c>
      <c r="AG546" s="17">
        <f>IF(E$337&gt;0,$B479*AG$532*24*Input!$F$14/E$337,0)</f>
        <v>0.13810622459967895</v>
      </c>
      <c r="AI546" s="17">
        <f>IF(C$337&gt;0,$B479*AI$532*24*Input!$F$14/C$337,0)</f>
        <v>27.580925790242784</v>
      </c>
      <c r="AJ546" s="17">
        <f>IF(D$337&gt;0,$B479*AJ$532*24*Input!$F$14/D$337,0)</f>
        <v>0.88509756643490212</v>
      </c>
      <c r="AK546" s="17">
        <f>IF(E$337&gt;0,$B479*AK$532*24*Input!$F$14/E$337,0)</f>
        <v>0.13810622459967895</v>
      </c>
      <c r="AL546" s="6"/>
    </row>
    <row r="547" spans="1:38" x14ac:dyDescent="0.2">
      <c r="A547" s="5" t="s">
        <v>100</v>
      </c>
      <c r="C547" s="17">
        <f>IF(C$337&gt;0,$B480*C$532*24*Input!$F$14/C$337,0)</f>
        <v>34.461062250189272</v>
      </c>
      <c r="D547" s="17">
        <f>IF(D$337&gt;0,$B480*D$532*24*Input!$F$14/D$337,0)</f>
        <v>0.54793040765934109</v>
      </c>
      <c r="E547" s="17">
        <f>IF(E$337&gt;0,$B480*E$532*24*Input!$F$14/E$337,0)</f>
        <v>0.10941723688145012</v>
      </c>
      <c r="G547" s="17">
        <f>IF(C$337&gt;0,$B480*G$532*24*Input!$F$14/C$337,0)</f>
        <v>29.716469301136101</v>
      </c>
      <c r="H547" s="17">
        <f>IF(D$337&gt;0,$B480*H$532*24*Input!$F$14/D$337,0)</f>
        <v>0.78208487378368208</v>
      </c>
      <c r="I547" s="17">
        <f>IF(E$337&gt;0,$B480*I$532*24*Input!$F$14/E$337,0)</f>
        <v>0.12830306633545577</v>
      </c>
      <c r="K547" s="17">
        <f>IF(C$337&gt;0,$B480*K$532*24*Input!$F$14/C$337,0)</f>
        <v>29.716469301136101</v>
      </c>
      <c r="L547" s="17">
        <f>IF(D$337&gt;0,$B480*L$532*24*Input!$F$14/D$337,0)</f>
        <v>0.78208487378368208</v>
      </c>
      <c r="M547" s="17">
        <f>IF(E$337&gt;0,$B480*M$532*24*Input!$F$14/E$337,0)</f>
        <v>0.12830306633545577</v>
      </c>
      <c r="O547" s="17">
        <f>IF(C$337&gt;0,$B480*O$532*24*Input!$F$14/C$337,0)</f>
        <v>27.580925790242784</v>
      </c>
      <c r="P547" s="17">
        <f>IF(D$337&gt;0,$B480*P$532*24*Input!$F$14/D$337,0)</f>
        <v>0.88509756643490212</v>
      </c>
      <c r="Q547" s="17">
        <f>IF(E$337&gt;0,$B480*Q$532*24*Input!$F$14/E$337,0)</f>
        <v>0.13810622459967895</v>
      </c>
      <c r="S547" s="17">
        <f>IF(C$337&gt;0,$B480*S$532*24*Input!$F$14/C$337,0)</f>
        <v>27.580925790242784</v>
      </c>
      <c r="T547" s="17">
        <f>IF(D$337&gt;0,$B480*T$532*24*Input!$F$14/D$337,0)</f>
        <v>0.88509756643490212</v>
      </c>
      <c r="U547" s="17">
        <f>IF(E$337&gt;0,$B480*U$532*24*Input!$F$14/E$337,0)</f>
        <v>0.13810622459967895</v>
      </c>
      <c r="W547" s="17">
        <f>IF(C$337&gt;0,$B480*W$532*24*Input!$F$14/C$337,0)</f>
        <v>0.93595453123382555</v>
      </c>
      <c r="X547" s="17">
        <f>IF(D$337&gt;0,$B480*X$532*24*Input!$F$14/D$337,0)</f>
        <v>0.93595453123382311</v>
      </c>
      <c r="Y547" s="17">
        <f>IF(E$337&gt;0,$B480*Y$532*24*Input!$F$14/E$337,0)</f>
        <v>0.93595453123382322</v>
      </c>
      <c r="AA547" s="17">
        <f>IF(C$337&gt;0,$B480*AA$532*24*Input!$F$14/C$337,0)</f>
        <v>27.580925790242784</v>
      </c>
      <c r="AB547" s="17">
        <f>IF(D$337&gt;0,$B480*AB$532*24*Input!$F$14/D$337,0)</f>
        <v>0.88509756643490212</v>
      </c>
      <c r="AC547" s="17">
        <f>IF(E$337&gt;0,$B480*AC$532*24*Input!$F$14/E$337,0)</f>
        <v>0.13810622459967895</v>
      </c>
      <c r="AE547" s="17">
        <f>IF(C$337&gt;0,$B480*AE$532*24*Input!$F$14/C$337,0)</f>
        <v>27.580925790242784</v>
      </c>
      <c r="AF547" s="17">
        <f>IF(D$337&gt;0,$B480*AF$532*24*Input!$F$14/D$337,0)</f>
        <v>0.88509756643490212</v>
      </c>
      <c r="AG547" s="17">
        <f>IF(E$337&gt;0,$B480*AG$532*24*Input!$F$14/E$337,0)</f>
        <v>0.13810622459967895</v>
      </c>
      <c r="AI547" s="17">
        <f>IF(C$337&gt;0,$B480*AI$532*24*Input!$F$14/C$337,0)</f>
        <v>27.580925790242784</v>
      </c>
      <c r="AJ547" s="17">
        <f>IF(D$337&gt;0,$B480*AJ$532*24*Input!$F$14/D$337,0)</f>
        <v>0.88509756643490212</v>
      </c>
      <c r="AK547" s="17">
        <f>IF(E$337&gt;0,$B480*AK$532*24*Input!$F$14/E$337,0)</f>
        <v>0.13810622459967895</v>
      </c>
      <c r="AL547" s="6"/>
    </row>
    <row r="549" spans="1:38" ht="16.5" x14ac:dyDescent="0.25">
      <c r="A549" s="3" t="s">
        <v>601</v>
      </c>
    </row>
    <row r="550" spans="1:38" x14ac:dyDescent="0.2">
      <c r="A550" s="10" t="s">
        <v>238</v>
      </c>
    </row>
    <row r="551" spans="1:38" x14ac:dyDescent="0.2">
      <c r="A551" s="11" t="s">
        <v>602</v>
      </c>
    </row>
    <row r="552" spans="1:38" x14ac:dyDescent="0.2">
      <c r="A552" s="11" t="s">
        <v>603</v>
      </c>
    </row>
    <row r="553" spans="1:38" x14ac:dyDescent="0.2">
      <c r="A553" s="10" t="s">
        <v>251</v>
      </c>
    </row>
    <row r="555" spans="1:38" x14ac:dyDescent="0.2">
      <c r="B555" s="4" t="s">
        <v>21</v>
      </c>
      <c r="C555" s="4" t="s">
        <v>22</v>
      </c>
      <c r="D555" s="4" t="s">
        <v>23</v>
      </c>
      <c r="E555" s="4" t="s">
        <v>24</v>
      </c>
      <c r="F555" s="4" t="s">
        <v>25</v>
      </c>
      <c r="G555" s="4" t="s">
        <v>30</v>
      </c>
      <c r="H555" s="4" t="s">
        <v>26</v>
      </c>
      <c r="I555" s="4" t="s">
        <v>27</v>
      </c>
      <c r="J555" s="4" t="s">
        <v>28</v>
      </c>
    </row>
    <row r="556" spans="1:38" x14ac:dyDescent="0.2">
      <c r="A556" s="5" t="s">
        <v>96</v>
      </c>
      <c r="B556" s="17">
        <f>SUMPRODUCT($C543:$E543,$B362:$D362)</f>
        <v>0.93595453123382244</v>
      </c>
      <c r="C556" s="17">
        <f>SUMPRODUCT($G543:$I543,$B362:$D362)</f>
        <v>0.93595453123382244</v>
      </c>
      <c r="D556" s="17">
        <f>SUMPRODUCT($K543:$M543,$B362:$D362)</f>
        <v>0.93595453123382244</v>
      </c>
      <c r="E556" s="17">
        <f>SUMPRODUCT($O543:$Q543,$B362:$D362)</f>
        <v>0.93595453123382266</v>
      </c>
      <c r="F556" s="17">
        <f>SUMPRODUCT($S543:$U543,$B362:$D362)</f>
        <v>0.93595453123382266</v>
      </c>
      <c r="G556" s="17">
        <f>SUMPRODUCT($W543:$Y543,$B362:$D362)</f>
        <v>0.93595453123382333</v>
      </c>
      <c r="H556" s="17">
        <f>SUMPRODUCT($AA543:$AC543,$B362:$D362)</f>
        <v>0.93595453123382266</v>
      </c>
      <c r="I556" s="17">
        <f>SUMPRODUCT($AE543:$AG543,$B362:$D362)</f>
        <v>0.93595453123382266</v>
      </c>
      <c r="J556" s="17">
        <f>SUMPRODUCT($AI543:$AK543,$B362:$D362)</f>
        <v>0.93595453123382266</v>
      </c>
      <c r="K556" s="6"/>
    </row>
    <row r="557" spans="1:38" x14ac:dyDescent="0.2">
      <c r="A557" s="5" t="s">
        <v>97</v>
      </c>
      <c r="B557" s="17">
        <f>SUMPRODUCT($C544:$E544,$B363:$D363)</f>
        <v>1.3962736349780487</v>
      </c>
      <c r="C557" s="17">
        <f>SUMPRODUCT($G544:$I544,$B363:$D363)</f>
        <v>1.26147237258569</v>
      </c>
      <c r="D557" s="17">
        <f>SUMPRODUCT($K544:$M544,$B363:$D363)</f>
        <v>1.26147237258569</v>
      </c>
      <c r="E557" s="17">
        <f>SUMPRODUCT($O544:$Q544,$B363:$D363)</f>
        <v>1.2017232971589689</v>
      </c>
      <c r="F557" s="17">
        <f>SUMPRODUCT($S544:$U544,$B363:$D363)</f>
        <v>1.2017232971589689</v>
      </c>
      <c r="G557" s="17">
        <f>SUMPRODUCT($W544:$Y544,$B363:$D363)</f>
        <v>0.93595453123382333</v>
      </c>
      <c r="H557" s="17">
        <f>SUMPRODUCT($AA544:$AC544,$B363:$D363)</f>
        <v>1.2017232971589689</v>
      </c>
      <c r="I557" s="17">
        <f>SUMPRODUCT($AE544:$AG544,$B363:$D363)</f>
        <v>1.2017232971589689</v>
      </c>
      <c r="J557" s="17">
        <f>SUMPRODUCT($AI544:$AK544,$B363:$D363)</f>
        <v>1.2017232971589689</v>
      </c>
      <c r="K557" s="6"/>
    </row>
    <row r="558" spans="1:38" x14ac:dyDescent="0.2">
      <c r="A558" s="5" t="s">
        <v>98</v>
      </c>
      <c r="B558" s="17">
        <f>SUMPRODUCT($C545:$E545,$B364:$D364)</f>
        <v>2.5521153706761628</v>
      </c>
      <c r="C558" s="17">
        <f>SUMPRODUCT($G545:$I545,$B364:$D364)</f>
        <v>2.2808450192584866</v>
      </c>
      <c r="D558" s="17">
        <f>SUMPRODUCT($K545:$M545,$B364:$D364)</f>
        <v>2.2808450192584866</v>
      </c>
      <c r="E558" s="17">
        <f>SUMPRODUCT($O545:$Q545,$B364:$D364)</f>
        <v>2.1593111197567687</v>
      </c>
      <c r="F558" s="17">
        <f>SUMPRODUCT($S545:$U545,$B364:$D364)</f>
        <v>2.1593111197567687</v>
      </c>
      <c r="G558" s="17">
        <f>SUMPRODUCT($W545:$Y545,$B364:$D364)</f>
        <v>0.93595453123382333</v>
      </c>
      <c r="H558" s="17">
        <f>SUMPRODUCT($AA545:$AC545,$B364:$D364)</f>
        <v>2.1593111197567687</v>
      </c>
      <c r="I558" s="17">
        <f>SUMPRODUCT($AE545:$AG545,$B364:$D364)</f>
        <v>2.1593111197567687</v>
      </c>
      <c r="J558" s="17">
        <f>SUMPRODUCT($AI545:$AK545,$B364:$D364)</f>
        <v>2.1593111197567687</v>
      </c>
      <c r="K558" s="6"/>
    </row>
    <row r="559" spans="1:38" x14ac:dyDescent="0.2">
      <c r="A559" s="5" t="s">
        <v>99</v>
      </c>
      <c r="B559" s="17">
        <f>SUMPRODUCT($C546:$E546,$B365:$D365)</f>
        <v>0.64262266012870273</v>
      </c>
      <c r="C559" s="17">
        <f>SUMPRODUCT($G546:$I546,$B365:$D365)</f>
        <v>0.74197615739224887</v>
      </c>
      <c r="D559" s="17">
        <f>SUMPRODUCT($K546:$M546,$B365:$D365)</f>
        <v>0.74197615739224887</v>
      </c>
      <c r="E559" s="17">
        <f>SUMPRODUCT($O546:$Q546,$B365:$D365)</f>
        <v>0.78592708451479609</v>
      </c>
      <c r="F559" s="17">
        <f>SUMPRODUCT($S546:$U546,$B365:$D365)</f>
        <v>0.78592708451479609</v>
      </c>
      <c r="G559" s="17">
        <f>SUMPRODUCT($W546:$Y546,$B365:$D365)</f>
        <v>0.93595453123382311</v>
      </c>
      <c r="H559" s="17">
        <f>SUMPRODUCT($AA546:$AC546,$B365:$D365)</f>
        <v>0.78592708451479609</v>
      </c>
      <c r="I559" s="17">
        <f>SUMPRODUCT($AE546:$AG546,$B365:$D365)</f>
        <v>0.78592708451479609</v>
      </c>
      <c r="J559" s="17">
        <f>SUMPRODUCT($AI546:$AK546,$B365:$D365)</f>
        <v>0.78592708451479609</v>
      </c>
      <c r="K559" s="6"/>
    </row>
    <row r="560" spans="1:38" x14ac:dyDescent="0.2">
      <c r="A560" s="5" t="s">
        <v>100</v>
      </c>
      <c r="B560" s="17">
        <f>SUMPRODUCT($C547:$E547,$B366:$D366)</f>
        <v>34.461062250189272</v>
      </c>
      <c r="C560" s="17">
        <f>SUMPRODUCT($G547:$I547,$B366:$D366)</f>
        <v>29.716469301136101</v>
      </c>
      <c r="D560" s="17">
        <f>SUMPRODUCT($K547:$M547,$B366:$D366)</f>
        <v>29.716469301136101</v>
      </c>
      <c r="E560" s="17">
        <f>SUMPRODUCT($O547:$Q547,$B366:$D366)</f>
        <v>27.580925790242784</v>
      </c>
      <c r="F560" s="17">
        <f>SUMPRODUCT($S547:$U547,$B366:$D366)</f>
        <v>27.580925790242784</v>
      </c>
      <c r="G560" s="17">
        <f>SUMPRODUCT($W547:$Y547,$B366:$D366)</f>
        <v>0.93595453123382555</v>
      </c>
      <c r="H560" s="17">
        <f>SUMPRODUCT($AA547:$AC547,$B366:$D366)</f>
        <v>27.580925790242784</v>
      </c>
      <c r="I560" s="17">
        <f>SUMPRODUCT($AE547:$AG547,$B366:$D366)</f>
        <v>27.580925790242784</v>
      </c>
      <c r="J560" s="17">
        <f>SUMPRODUCT($AI547:$AK547,$B366:$D366)</f>
        <v>27.580925790242784</v>
      </c>
      <c r="K560" s="6"/>
    </row>
    <row r="562" spans="1:11" ht="16.5" x14ac:dyDescent="0.25">
      <c r="A562" s="3" t="s">
        <v>604</v>
      </c>
    </row>
    <row r="563" spans="1:11" x14ac:dyDescent="0.2">
      <c r="A563" s="10" t="s">
        <v>238</v>
      </c>
    </row>
    <row r="564" spans="1:11" x14ac:dyDescent="0.2">
      <c r="A564" s="11" t="s">
        <v>602</v>
      </c>
    </row>
    <row r="565" spans="1:11" x14ac:dyDescent="0.2">
      <c r="A565" s="11" t="s">
        <v>605</v>
      </c>
    </row>
    <row r="566" spans="1:11" x14ac:dyDescent="0.2">
      <c r="A566" s="10" t="s">
        <v>251</v>
      </c>
    </row>
    <row r="568" spans="1:11" x14ac:dyDescent="0.2">
      <c r="B568" s="4" t="s">
        <v>21</v>
      </c>
      <c r="C568" s="4" t="s">
        <v>22</v>
      </c>
      <c r="D568" s="4" t="s">
        <v>23</v>
      </c>
      <c r="E568" s="4" t="s">
        <v>24</v>
      </c>
      <c r="F568" s="4" t="s">
        <v>25</v>
      </c>
      <c r="G568" s="4" t="s">
        <v>30</v>
      </c>
      <c r="H568" s="4" t="s">
        <v>26</v>
      </c>
      <c r="I568" s="4" t="s">
        <v>27</v>
      </c>
      <c r="J568" s="4" t="s">
        <v>28</v>
      </c>
    </row>
    <row r="569" spans="1:11" x14ac:dyDescent="0.2">
      <c r="A569" s="5" t="s">
        <v>100</v>
      </c>
      <c r="B569" s="17">
        <f>SUMPRODUCT($C$547:$E$547,$B371:$D371)</f>
        <v>0.54793040765934109</v>
      </c>
      <c r="C569" s="17">
        <f>SUMPRODUCT($G$547:$I$547,$B371:$D371)</f>
        <v>0.78208487378368208</v>
      </c>
      <c r="D569" s="17">
        <f>SUMPRODUCT($K$547:$M$547,$B371:$D371)</f>
        <v>0.78208487378368208</v>
      </c>
      <c r="E569" s="17">
        <f>SUMPRODUCT($O$547:$Q$547,$B371:$D371)</f>
        <v>0.88509756643490212</v>
      </c>
      <c r="F569" s="17">
        <f>SUMPRODUCT($S$547:$U$547,$B371:$D371)</f>
        <v>0.88509756643490212</v>
      </c>
      <c r="G569" s="17">
        <f>SUMPRODUCT($W$547:$Y$547,$B371:$D371)</f>
        <v>0.93595453123382311</v>
      </c>
      <c r="H569" s="17">
        <f>SUMPRODUCT($AA$547:$AC$547,$B371:$D371)</f>
        <v>0.88509756643490212</v>
      </c>
      <c r="I569" s="17">
        <f>SUMPRODUCT($AE$547:$AG$547,$B371:$D371)</f>
        <v>0.88509756643490212</v>
      </c>
      <c r="J569" s="17">
        <f>SUMPRODUCT($AI$547:$AK$547,$B371:$D371)</f>
        <v>0.88509756643490212</v>
      </c>
      <c r="K569" s="6"/>
    </row>
    <row r="571" spans="1:11" ht="16.5" x14ac:dyDescent="0.25">
      <c r="A571" s="3" t="s">
        <v>606</v>
      </c>
    </row>
    <row r="572" spans="1:11" x14ac:dyDescent="0.2">
      <c r="A572" s="10" t="s">
        <v>238</v>
      </c>
    </row>
    <row r="573" spans="1:11" x14ac:dyDescent="0.2">
      <c r="A573" s="11" t="s">
        <v>602</v>
      </c>
    </row>
    <row r="574" spans="1:11" x14ac:dyDescent="0.2">
      <c r="A574" s="11" t="s">
        <v>607</v>
      </c>
    </row>
    <row r="575" spans="1:11" x14ac:dyDescent="0.2">
      <c r="A575" s="10" t="s">
        <v>251</v>
      </c>
    </row>
    <row r="577" spans="1:11" x14ac:dyDescent="0.2">
      <c r="B577" s="4" t="s">
        <v>21</v>
      </c>
      <c r="C577" s="4" t="s">
        <v>22</v>
      </c>
      <c r="D577" s="4" t="s">
        <v>23</v>
      </c>
      <c r="E577" s="4" t="s">
        <v>24</v>
      </c>
      <c r="F577" s="4" t="s">
        <v>25</v>
      </c>
      <c r="G577" s="4" t="s">
        <v>30</v>
      </c>
      <c r="H577" s="4" t="s">
        <v>26</v>
      </c>
      <c r="I577" s="4" t="s">
        <v>27</v>
      </c>
      <c r="J577" s="4" t="s">
        <v>28</v>
      </c>
    </row>
    <row r="578" spans="1:11" x14ac:dyDescent="0.2">
      <c r="A578" s="5" t="s">
        <v>100</v>
      </c>
      <c r="B578" s="17">
        <f>SUMPRODUCT($C$547:$E$547,$B376:$D376)</f>
        <v>0.10941723688145012</v>
      </c>
      <c r="C578" s="17">
        <f>SUMPRODUCT($G$547:$I$547,$B376:$D376)</f>
        <v>0.12830306633545577</v>
      </c>
      <c r="D578" s="17">
        <f>SUMPRODUCT($K$547:$M$547,$B376:$D376)</f>
        <v>0.12830306633545577</v>
      </c>
      <c r="E578" s="17">
        <f>SUMPRODUCT($O$547:$Q$547,$B376:$D376)</f>
        <v>0.13810622459967895</v>
      </c>
      <c r="F578" s="17">
        <f>SUMPRODUCT($S$547:$U$547,$B376:$D376)</f>
        <v>0.13810622459967895</v>
      </c>
      <c r="G578" s="17">
        <f>SUMPRODUCT($W$547:$Y$547,$B376:$D376)</f>
        <v>0.93595453123382322</v>
      </c>
      <c r="H578" s="17">
        <f>SUMPRODUCT($AA$547:$AC$547,$B376:$D376)</f>
        <v>0.13810622459967895</v>
      </c>
      <c r="I578" s="17">
        <f>SUMPRODUCT($AE$547:$AG$547,$B376:$D376)</f>
        <v>0.13810622459967895</v>
      </c>
      <c r="J578" s="17">
        <f>SUMPRODUCT($AI$547:$AK$547,$B376:$D376)</f>
        <v>0.13810622459967895</v>
      </c>
      <c r="K578" s="6"/>
    </row>
    <row r="580" spans="1:11" ht="16.5" x14ac:dyDescent="0.25">
      <c r="A580" s="3" t="s">
        <v>608</v>
      </c>
    </row>
    <row r="581" spans="1:11" x14ac:dyDescent="0.2">
      <c r="A581" s="10" t="s">
        <v>238</v>
      </c>
    </row>
    <row r="582" spans="1:11" x14ac:dyDescent="0.2">
      <c r="A582" s="11" t="s">
        <v>609</v>
      </c>
    </row>
    <row r="583" spans="1:11" x14ac:dyDescent="0.2">
      <c r="A583" s="11" t="s">
        <v>610</v>
      </c>
    </row>
    <row r="584" spans="1:11" x14ac:dyDescent="0.2">
      <c r="A584" s="10" t="s">
        <v>256</v>
      </c>
    </row>
    <row r="586" spans="1:11" x14ac:dyDescent="0.2">
      <c r="B586" s="4" t="s">
        <v>21</v>
      </c>
      <c r="C586" s="4" t="s">
        <v>22</v>
      </c>
      <c r="D586" s="4" t="s">
        <v>23</v>
      </c>
      <c r="E586" s="4" t="s">
        <v>24</v>
      </c>
      <c r="F586" s="4" t="s">
        <v>25</v>
      </c>
      <c r="G586" s="4" t="s">
        <v>30</v>
      </c>
      <c r="H586" s="4" t="s">
        <v>26</v>
      </c>
      <c r="I586" s="4" t="s">
        <v>27</v>
      </c>
      <c r="J586" s="4" t="s">
        <v>28</v>
      </c>
    </row>
    <row r="587" spans="1:11" x14ac:dyDescent="0.2">
      <c r="A587" s="5" t="s">
        <v>54</v>
      </c>
      <c r="B587" s="20">
        <f>$B$274</f>
        <v>2.3242668596677816</v>
      </c>
      <c r="C587" s="20">
        <f>$C$274</f>
        <v>2.2623588745348342</v>
      </c>
      <c r="D587" s="20">
        <f>$D$274</f>
        <v>2.2623588745348342</v>
      </c>
      <c r="E587" s="20">
        <f>$E$274</f>
        <v>2.2212351691348813</v>
      </c>
      <c r="F587" s="20">
        <f>$F$274</f>
        <v>2.2212351691348813</v>
      </c>
      <c r="G587" s="20">
        <f>$G$274</f>
        <v>1.6289471332614678</v>
      </c>
      <c r="H587" s="20">
        <f>$H$274</f>
        <v>2.2212351691348813</v>
      </c>
      <c r="I587" s="20">
        <f>$I$274</f>
        <v>2.2212351691348813</v>
      </c>
      <c r="J587" s="20">
        <f>$J$274</f>
        <v>2.2212351691348813</v>
      </c>
      <c r="K587" s="6"/>
    </row>
    <row r="588" spans="1:11" x14ac:dyDescent="0.2">
      <c r="A588" s="5" t="s">
        <v>94</v>
      </c>
      <c r="B588" s="20">
        <f>$B$275</f>
        <v>0.19431577845543863</v>
      </c>
      <c r="C588" s="20">
        <f>$C$275</f>
        <v>0.23196411542960882</v>
      </c>
      <c r="D588" s="20">
        <f>$D$275</f>
        <v>0.23196411542960882</v>
      </c>
      <c r="E588" s="20">
        <f>$E$275</f>
        <v>0.25526423073941784</v>
      </c>
      <c r="F588" s="20">
        <f>$F$275</f>
        <v>0.25526423073941784</v>
      </c>
      <c r="G588" s="20">
        <f>$G$275</f>
        <v>1</v>
      </c>
      <c r="H588" s="20">
        <f>$H$275</f>
        <v>0.25526423073941784</v>
      </c>
      <c r="I588" s="20">
        <f>$I$275</f>
        <v>0.25526423073941784</v>
      </c>
      <c r="J588" s="20">
        <f>$J$275</f>
        <v>0.25526423073941784</v>
      </c>
      <c r="K588" s="6"/>
    </row>
    <row r="589" spans="1:11" x14ac:dyDescent="0.2">
      <c r="A589" s="5" t="s">
        <v>56</v>
      </c>
      <c r="B589" s="20">
        <f>$B$276</f>
        <v>1.9207614686191239</v>
      </c>
      <c r="C589" s="20">
        <f>$C$276</f>
        <v>1.9307800673895876</v>
      </c>
      <c r="D589" s="20">
        <f>$D$276</f>
        <v>1.9307800673895876</v>
      </c>
      <c r="E589" s="20">
        <f>$E$276</f>
        <v>1.9402388386836029</v>
      </c>
      <c r="F589" s="20">
        <f>$F$276</f>
        <v>1.9402388386836029</v>
      </c>
      <c r="G589" s="20">
        <f>$G$276</f>
        <v>1.4050745355374978</v>
      </c>
      <c r="H589" s="20">
        <f>$H$276</f>
        <v>1.9402388386836029</v>
      </c>
      <c r="I589" s="20">
        <f>$I$276</f>
        <v>1.9402388386836029</v>
      </c>
      <c r="J589" s="20">
        <f>$J$276</f>
        <v>1.9402388386836029</v>
      </c>
      <c r="K589" s="6"/>
    </row>
    <row r="590" spans="1:11" x14ac:dyDescent="0.2">
      <c r="A590" s="5" t="s">
        <v>95</v>
      </c>
      <c r="B590" s="20">
        <f>$B$277</f>
        <v>0.1602743196513467</v>
      </c>
      <c r="C590" s="20">
        <f>$C$277</f>
        <v>0.19229984751805984</v>
      </c>
      <c r="D590" s="20">
        <f>$D$277</f>
        <v>0.19229984751805984</v>
      </c>
      <c r="E590" s="20">
        <f>$E$277</f>
        <v>0.21143111474964441</v>
      </c>
      <c r="F590" s="20">
        <f>$F$277</f>
        <v>0.21143111474964441</v>
      </c>
      <c r="G590" s="20">
        <f>$G$277</f>
        <v>0.99999999999999989</v>
      </c>
      <c r="H590" s="20">
        <f>$H$277</f>
        <v>0.21143111474964441</v>
      </c>
      <c r="I590" s="20">
        <f>$I$277</f>
        <v>0.21143111474964441</v>
      </c>
      <c r="J590" s="20">
        <f>$J$277</f>
        <v>0.21143111474964441</v>
      </c>
      <c r="K590" s="6"/>
    </row>
    <row r="591" spans="1:11" x14ac:dyDescent="0.2">
      <c r="A591" s="5" t="s">
        <v>57</v>
      </c>
      <c r="B591" s="20">
        <f>$B$278</f>
        <v>1.8481035304598512</v>
      </c>
      <c r="C591" s="20">
        <f>$C$278</f>
        <v>1.8507730009429781</v>
      </c>
      <c r="D591" s="20">
        <f>$D$278</f>
        <v>1.8507730009429781</v>
      </c>
      <c r="E591" s="20">
        <f>$E$278</f>
        <v>1.8553040303385901</v>
      </c>
      <c r="F591" s="20">
        <f>$F$278</f>
        <v>1.8553040303385901</v>
      </c>
      <c r="G591" s="20">
        <f>$G$278</f>
        <v>1.2601652354744535</v>
      </c>
      <c r="H591" s="20">
        <f>$H$278</f>
        <v>1.8553040303385901</v>
      </c>
      <c r="I591" s="20">
        <f>$I$278</f>
        <v>1.8553040303385901</v>
      </c>
      <c r="J591" s="20">
        <f>$J$278</f>
        <v>1.8553040303385901</v>
      </c>
      <c r="K591" s="6"/>
    </row>
    <row r="592" spans="1:11" x14ac:dyDescent="0.2">
      <c r="A592" s="5" t="s">
        <v>58</v>
      </c>
      <c r="B592" s="20">
        <f>$B$279</f>
        <v>1.868271821685084</v>
      </c>
      <c r="C592" s="20">
        <f>$C$279</f>
        <v>1.8728035789650739</v>
      </c>
      <c r="D592" s="20">
        <f>$D$279</f>
        <v>1.8728035789650739</v>
      </c>
      <c r="E592" s="20">
        <f>$E$279</f>
        <v>1.8787437287082802</v>
      </c>
      <c r="F592" s="20">
        <f>$F$279</f>
        <v>1.8787437287082802</v>
      </c>
      <c r="G592" s="20">
        <f>$G$279</f>
        <v>1.2626980236684715</v>
      </c>
      <c r="H592" s="20">
        <f>$H$279</f>
        <v>1.8787437287082802</v>
      </c>
      <c r="I592" s="20">
        <f>$I$279</f>
        <v>1.8787437287082802</v>
      </c>
      <c r="J592" s="20">
        <f>$J$279</f>
        <v>1.8787437287082802</v>
      </c>
      <c r="K592" s="6"/>
    </row>
    <row r="593" spans="1:11" x14ac:dyDescent="0.2">
      <c r="A593" s="5" t="s">
        <v>72</v>
      </c>
      <c r="B593" s="20">
        <f>$B$280</f>
        <v>1.9773565805016153</v>
      </c>
      <c r="C593" s="20">
        <f>$C$280</f>
        <v>1.9885580226661916</v>
      </c>
      <c r="D593" s="20">
        <f>$D$280</f>
        <v>1.9885580226661916</v>
      </c>
      <c r="E593" s="20">
        <f>$E$280</f>
        <v>1.9993734678367225</v>
      </c>
      <c r="F593" s="20">
        <f>$F$280</f>
        <v>1.9993734678367225</v>
      </c>
      <c r="G593" s="20">
        <f>$G$280</f>
        <v>1.3470261558342949</v>
      </c>
      <c r="H593" s="20">
        <f>$H$280</f>
        <v>1.9993734678367225</v>
      </c>
      <c r="I593" s="20">
        <f>$I$280</f>
        <v>1.9993734678367225</v>
      </c>
      <c r="J593" s="20">
        <f>$J$280</f>
        <v>1.9993734678367225</v>
      </c>
      <c r="K593" s="6"/>
    </row>
    <row r="594" spans="1:11" x14ac:dyDescent="0.2">
      <c r="A594" s="5" t="s">
        <v>59</v>
      </c>
      <c r="B594" s="20">
        <f>$B$281</f>
        <v>11.55789700868932</v>
      </c>
      <c r="C594" s="20">
        <f>$C$281</f>
        <v>10.098587373175816</v>
      </c>
      <c r="D594" s="20">
        <f>$D$281</f>
        <v>10.098587373175816</v>
      </c>
      <c r="E594" s="20">
        <f>$E$281</f>
        <v>9.1033915083244832</v>
      </c>
      <c r="F594" s="20">
        <f>$F$281</f>
        <v>9.1033915083244832</v>
      </c>
      <c r="G594" s="20">
        <f>$G$281</f>
        <v>0.95259926352636171</v>
      </c>
      <c r="H594" s="20">
        <f>$H$281</f>
        <v>9.1033915083244832</v>
      </c>
      <c r="I594" s="20">
        <f>$I$281</f>
        <v>9.1033915083244832</v>
      </c>
      <c r="J594" s="20">
        <f>$J$281</f>
        <v>9.1033915083244832</v>
      </c>
      <c r="K594" s="6"/>
    </row>
    <row r="595" spans="1:11" x14ac:dyDescent="0.2">
      <c r="A595" s="5" t="s">
        <v>60</v>
      </c>
      <c r="B595" s="20">
        <f>$B$282</f>
        <v>13.772343133072591</v>
      </c>
      <c r="C595" s="20">
        <f>$C$282</f>
        <v>12.033435698391244</v>
      </c>
      <c r="D595" s="20">
        <f>$D$282</f>
        <v>12.033435698391244</v>
      </c>
      <c r="E595" s="20">
        <f>$E$282</f>
        <v>10.847564347829545</v>
      </c>
      <c r="F595" s="20">
        <f>$F$282</f>
        <v>10.847564347829545</v>
      </c>
      <c r="G595" s="20">
        <f>$G$282</f>
        <v>1.1351134134292709</v>
      </c>
      <c r="H595" s="20">
        <f>$H$282</f>
        <v>10.847564347829545</v>
      </c>
      <c r="I595" s="20">
        <f>$I$282</f>
        <v>10.847564347829545</v>
      </c>
      <c r="J595" s="20">
        <f>$J$282</f>
        <v>10.847564347829545</v>
      </c>
      <c r="K595" s="6"/>
    </row>
    <row r="596" spans="1:11" x14ac:dyDescent="0.2">
      <c r="A596" s="5" t="s">
        <v>73</v>
      </c>
      <c r="B596" s="20">
        <f>$B$283</f>
        <v>12.934468841023802</v>
      </c>
      <c r="C596" s="20">
        <f>$C$283</f>
        <v>11.301352107437701</v>
      </c>
      <c r="D596" s="20">
        <f>$D$283</f>
        <v>11.301352107437701</v>
      </c>
      <c r="E596" s="20">
        <f>$E$283</f>
        <v>10.187626150634509</v>
      </c>
      <c r="F596" s="20">
        <f>$F$283</f>
        <v>10.187626150634509</v>
      </c>
      <c r="G596" s="20">
        <f>$G$283</f>
        <v>1.0660560033369946</v>
      </c>
      <c r="H596" s="20">
        <f>$H$283</f>
        <v>10.187626150634509</v>
      </c>
      <c r="I596" s="20">
        <f>$I$283</f>
        <v>10.187626150634509</v>
      </c>
      <c r="J596" s="20">
        <f>$J$283</f>
        <v>10.187626150634509</v>
      </c>
      <c r="K596" s="6"/>
    </row>
    <row r="597" spans="1:11" x14ac:dyDescent="0.2">
      <c r="A597" s="5" t="s">
        <v>74</v>
      </c>
      <c r="B597" s="20">
        <f>$B$284</f>
        <v>12.133010649099116</v>
      </c>
      <c r="C597" s="20">
        <f>$C$284</f>
        <v>10.601086689687905</v>
      </c>
      <c r="D597" s="20">
        <f>$D$284</f>
        <v>10.601086689687905</v>
      </c>
      <c r="E597" s="20">
        <f>$E$284</f>
        <v>9.556370508439473</v>
      </c>
      <c r="F597" s="20">
        <f>$F$284</f>
        <v>9.556370508439473</v>
      </c>
      <c r="G597" s="20">
        <f>$G$284</f>
        <v>1</v>
      </c>
      <c r="H597" s="20">
        <f>$H$284</f>
        <v>9.556370508439473</v>
      </c>
      <c r="I597" s="20">
        <f>$I$284</f>
        <v>9.556370508439473</v>
      </c>
      <c r="J597" s="20">
        <f>$J$284</f>
        <v>9.556370508439473</v>
      </c>
      <c r="K597" s="6"/>
    </row>
    <row r="598" spans="1:11" x14ac:dyDescent="0.2">
      <c r="A598" s="5" t="s">
        <v>64</v>
      </c>
      <c r="B598" s="20">
        <f>$B$285</f>
        <v>-12.133010649099116</v>
      </c>
      <c r="C598" s="20">
        <f>$C$285</f>
        <v>-10.601086689687905</v>
      </c>
      <c r="D598" s="20">
        <f>$D$285</f>
        <v>-10.601086689687905</v>
      </c>
      <c r="E598" s="20">
        <f>$E$285</f>
        <v>-9.556370508439473</v>
      </c>
      <c r="F598" s="20">
        <f>$F$285</f>
        <v>-9.556370508439473</v>
      </c>
      <c r="G598" s="20">
        <f>$G$285</f>
        <v>-1</v>
      </c>
      <c r="H598" s="20">
        <f>$H$285</f>
        <v>-9.556370508439473</v>
      </c>
      <c r="I598" s="20">
        <f>$I$285</f>
        <v>-9.556370508439473</v>
      </c>
      <c r="J598" s="20">
        <f>$J$285</f>
        <v>-9.556370508439473</v>
      </c>
      <c r="K598" s="6"/>
    </row>
    <row r="599" spans="1:11" x14ac:dyDescent="0.2">
      <c r="A599" s="5" t="s">
        <v>66</v>
      </c>
      <c r="B599" s="20">
        <f>$B$286</f>
        <v>-12.133010649099116</v>
      </c>
      <c r="C599" s="20">
        <f>$C$286</f>
        <v>-10.601086689687905</v>
      </c>
      <c r="D599" s="20">
        <f>$D$286</f>
        <v>-10.601086689687905</v>
      </c>
      <c r="E599" s="20">
        <f>$E$286</f>
        <v>-9.556370508439473</v>
      </c>
      <c r="F599" s="20">
        <f>$F$286</f>
        <v>-9.556370508439473</v>
      </c>
      <c r="G599" s="20">
        <f>$G$286</f>
        <v>-1</v>
      </c>
      <c r="H599" s="20">
        <f>$H$286</f>
        <v>-9.556370508439473</v>
      </c>
      <c r="I599" s="20">
        <f>$I$286</f>
        <v>-9.556370508439473</v>
      </c>
      <c r="J599" s="20">
        <f>$J$286</f>
        <v>-9.556370508439473</v>
      </c>
      <c r="K599" s="6"/>
    </row>
    <row r="600" spans="1:11" x14ac:dyDescent="0.2">
      <c r="A600" s="5" t="s">
        <v>76</v>
      </c>
      <c r="B600" s="20">
        <f>$B$287</f>
        <v>-12.133010649099116</v>
      </c>
      <c r="C600" s="20">
        <f>$C$287</f>
        <v>-10.601086689687905</v>
      </c>
      <c r="D600" s="20">
        <f>$D$287</f>
        <v>-10.601086689687905</v>
      </c>
      <c r="E600" s="20">
        <f>$E$287</f>
        <v>-9.556370508439473</v>
      </c>
      <c r="F600" s="20">
        <f>$F$287</f>
        <v>-9.556370508439473</v>
      </c>
      <c r="G600" s="20">
        <f>$G$287</f>
        <v>-1</v>
      </c>
      <c r="H600" s="20">
        <f>$H$287</f>
        <v>-9.556370508439473</v>
      </c>
      <c r="I600" s="20">
        <f>$I$287</f>
        <v>-9.556370508439473</v>
      </c>
      <c r="J600" s="20">
        <f>$J$287</f>
        <v>-9.556370508439473</v>
      </c>
      <c r="K600" s="6"/>
    </row>
    <row r="601" spans="1:11" x14ac:dyDescent="0.2">
      <c r="A601" s="5" t="s">
        <v>78</v>
      </c>
      <c r="B601" s="20">
        <f>$B$288</f>
        <v>-12.133010649099116</v>
      </c>
      <c r="C601" s="20">
        <f>$C$288</f>
        <v>-10.601086689687905</v>
      </c>
      <c r="D601" s="20">
        <f>$D$288</f>
        <v>-10.601086689687905</v>
      </c>
      <c r="E601" s="20">
        <f>$E$288</f>
        <v>-9.556370508439473</v>
      </c>
      <c r="F601" s="20">
        <f>$F$288</f>
        <v>-9.556370508439473</v>
      </c>
      <c r="G601" s="20">
        <f>$G$288</f>
        <v>-1</v>
      </c>
      <c r="H601" s="20">
        <f>$H$288</f>
        <v>-9.556370508439473</v>
      </c>
      <c r="I601" s="20">
        <f>$I$288</f>
        <v>-9.556370508439473</v>
      </c>
      <c r="J601" s="20">
        <f>$J$288</f>
        <v>-9.556370508439473</v>
      </c>
      <c r="K601" s="6"/>
    </row>
    <row r="602" spans="1:11" x14ac:dyDescent="0.2">
      <c r="A602" s="5" t="s">
        <v>96</v>
      </c>
      <c r="B602" s="20">
        <f>$B$556</f>
        <v>0.93595453123382244</v>
      </c>
      <c r="C602" s="20">
        <f>$C$556</f>
        <v>0.93595453123382244</v>
      </c>
      <c r="D602" s="20">
        <f>$D$556</f>
        <v>0.93595453123382244</v>
      </c>
      <c r="E602" s="20">
        <f>$E$556</f>
        <v>0.93595453123382266</v>
      </c>
      <c r="F602" s="20">
        <f>$F$556</f>
        <v>0.93595453123382266</v>
      </c>
      <c r="G602" s="20">
        <f>$G$556</f>
        <v>0.93595453123382333</v>
      </c>
      <c r="H602" s="20">
        <f>$H$556</f>
        <v>0.93595453123382266</v>
      </c>
      <c r="I602" s="20">
        <f>$I$556</f>
        <v>0.93595453123382266</v>
      </c>
      <c r="J602" s="20">
        <f>$J$556</f>
        <v>0.93595453123382266</v>
      </c>
      <c r="K602" s="6"/>
    </row>
    <row r="603" spans="1:11" x14ac:dyDescent="0.2">
      <c r="A603" s="5" t="s">
        <v>97</v>
      </c>
      <c r="B603" s="20">
        <f>$B$557</f>
        <v>1.3962736349780487</v>
      </c>
      <c r="C603" s="20">
        <f>$C$557</f>
        <v>1.26147237258569</v>
      </c>
      <c r="D603" s="20">
        <f>$D$557</f>
        <v>1.26147237258569</v>
      </c>
      <c r="E603" s="20">
        <f>$E$557</f>
        <v>1.2017232971589689</v>
      </c>
      <c r="F603" s="20">
        <f>$F$557</f>
        <v>1.2017232971589689</v>
      </c>
      <c r="G603" s="20">
        <f>$G$557</f>
        <v>0.93595453123382333</v>
      </c>
      <c r="H603" s="20">
        <f>$H$557</f>
        <v>1.2017232971589689</v>
      </c>
      <c r="I603" s="20">
        <f>$I$557</f>
        <v>1.2017232971589689</v>
      </c>
      <c r="J603" s="20">
        <f>$J$557</f>
        <v>1.2017232971589689</v>
      </c>
      <c r="K603" s="6"/>
    </row>
    <row r="604" spans="1:11" x14ac:dyDescent="0.2">
      <c r="A604" s="5" t="s">
        <v>98</v>
      </c>
      <c r="B604" s="20">
        <f>$B$558</f>
        <v>2.5521153706761628</v>
      </c>
      <c r="C604" s="20">
        <f>$C$558</f>
        <v>2.2808450192584866</v>
      </c>
      <c r="D604" s="20">
        <f>$D$558</f>
        <v>2.2808450192584866</v>
      </c>
      <c r="E604" s="20">
        <f>$E$558</f>
        <v>2.1593111197567687</v>
      </c>
      <c r="F604" s="20">
        <f>$F$558</f>
        <v>2.1593111197567687</v>
      </c>
      <c r="G604" s="20">
        <f>$G$558</f>
        <v>0.93595453123382333</v>
      </c>
      <c r="H604" s="20">
        <f>$H$558</f>
        <v>2.1593111197567687</v>
      </c>
      <c r="I604" s="20">
        <f>$I$558</f>
        <v>2.1593111197567687</v>
      </c>
      <c r="J604" s="20">
        <f>$J$558</f>
        <v>2.1593111197567687</v>
      </c>
      <c r="K604" s="6"/>
    </row>
    <row r="605" spans="1:11" x14ac:dyDescent="0.2">
      <c r="A605" s="5" t="s">
        <v>99</v>
      </c>
      <c r="B605" s="20">
        <f>$B$559</f>
        <v>0.64262266012870273</v>
      </c>
      <c r="C605" s="20">
        <f>$C$559</f>
        <v>0.74197615739224887</v>
      </c>
      <c r="D605" s="20">
        <f>$D$559</f>
        <v>0.74197615739224887</v>
      </c>
      <c r="E605" s="20">
        <f>$E$559</f>
        <v>0.78592708451479609</v>
      </c>
      <c r="F605" s="20">
        <f>$F$559</f>
        <v>0.78592708451479609</v>
      </c>
      <c r="G605" s="20">
        <f>$G$559</f>
        <v>0.93595453123382311</v>
      </c>
      <c r="H605" s="20">
        <f>$H$559</f>
        <v>0.78592708451479609</v>
      </c>
      <c r="I605" s="20">
        <f>$I$559</f>
        <v>0.78592708451479609</v>
      </c>
      <c r="J605" s="20">
        <f>$J$559</f>
        <v>0.78592708451479609</v>
      </c>
      <c r="K605" s="6"/>
    </row>
    <row r="606" spans="1:11" x14ac:dyDescent="0.2">
      <c r="A606" s="5" t="s">
        <v>100</v>
      </c>
      <c r="B606" s="20">
        <f>$B$560</f>
        <v>34.461062250189272</v>
      </c>
      <c r="C606" s="20">
        <f>$C$560</f>
        <v>29.716469301136101</v>
      </c>
      <c r="D606" s="20">
        <f>$D$560</f>
        <v>29.716469301136101</v>
      </c>
      <c r="E606" s="20">
        <f>$E$560</f>
        <v>27.580925790242784</v>
      </c>
      <c r="F606" s="20">
        <f>$F$560</f>
        <v>27.580925790242784</v>
      </c>
      <c r="G606" s="20">
        <f>$G$560</f>
        <v>0.93595453123382555</v>
      </c>
      <c r="H606" s="20">
        <f>$H$560</f>
        <v>27.580925790242784</v>
      </c>
      <c r="I606" s="20">
        <f>$I$560</f>
        <v>27.580925790242784</v>
      </c>
      <c r="J606" s="20">
        <f>$J$560</f>
        <v>27.580925790242784</v>
      </c>
      <c r="K606" s="6"/>
    </row>
    <row r="608" spans="1:11" ht="16.5" x14ac:dyDescent="0.25">
      <c r="A608" s="3" t="s">
        <v>611</v>
      </c>
    </row>
    <row r="609" spans="1:11" x14ac:dyDescent="0.2">
      <c r="A609" s="10" t="s">
        <v>238</v>
      </c>
    </row>
    <row r="610" spans="1:11" x14ac:dyDescent="0.2">
      <c r="A610" s="11" t="s">
        <v>612</v>
      </c>
    </row>
    <row r="611" spans="1:11" x14ac:dyDescent="0.2">
      <c r="A611" s="11" t="s">
        <v>613</v>
      </c>
    </row>
    <row r="612" spans="1:11" x14ac:dyDescent="0.2">
      <c r="A612" s="10" t="s">
        <v>256</v>
      </c>
    </row>
    <row r="614" spans="1:11" x14ac:dyDescent="0.2">
      <c r="B614" s="4" t="s">
        <v>21</v>
      </c>
      <c r="C614" s="4" t="s">
        <v>22</v>
      </c>
      <c r="D614" s="4" t="s">
        <v>23</v>
      </c>
      <c r="E614" s="4" t="s">
        <v>24</v>
      </c>
      <c r="F614" s="4" t="s">
        <v>25</v>
      </c>
      <c r="G614" s="4" t="s">
        <v>30</v>
      </c>
      <c r="H614" s="4" t="s">
        <v>26</v>
      </c>
      <c r="I614" s="4" t="s">
        <v>27</v>
      </c>
      <c r="J614" s="4" t="s">
        <v>28</v>
      </c>
    </row>
    <row r="615" spans="1:11" x14ac:dyDescent="0.2">
      <c r="A615" s="5" t="s">
        <v>54</v>
      </c>
      <c r="B615" s="20">
        <f>$B$297</f>
        <v>0.19043114638535993</v>
      </c>
      <c r="C615" s="20">
        <f>$C$297</f>
        <v>0.2233002834232593</v>
      </c>
      <c r="D615" s="20">
        <f>$D$297</f>
        <v>0.2233002834232593</v>
      </c>
      <c r="E615" s="20">
        <f>$E$297</f>
        <v>0.24036182436196701</v>
      </c>
      <c r="F615" s="20">
        <f>$F$297</f>
        <v>0.24036182436196701</v>
      </c>
      <c r="G615" s="20">
        <f>$G$297</f>
        <v>1.6289471332614678</v>
      </c>
      <c r="H615" s="20">
        <f>$H$297</f>
        <v>0.24036182436196701</v>
      </c>
      <c r="I615" s="20">
        <f>$I$297</f>
        <v>0.24036182436196701</v>
      </c>
      <c r="J615" s="20">
        <f>$J$297</f>
        <v>0.24036182436196701</v>
      </c>
      <c r="K615" s="6"/>
    </row>
    <row r="616" spans="1:11" x14ac:dyDescent="0.2">
      <c r="A616" s="5" t="s">
        <v>56</v>
      </c>
      <c r="B616" s="20">
        <f>$B$298</f>
        <v>0.16425944654419569</v>
      </c>
      <c r="C616" s="20">
        <f>$C$298</f>
        <v>0.19261124907604119</v>
      </c>
      <c r="D616" s="20">
        <f>$D$298</f>
        <v>0.19261124907604119</v>
      </c>
      <c r="E616" s="20">
        <f>$E$298</f>
        <v>0.20732795548136854</v>
      </c>
      <c r="F616" s="20">
        <f>$F$298</f>
        <v>0.20732795548136854</v>
      </c>
      <c r="G616" s="20">
        <f>$G$298</f>
        <v>1.4050745355374978</v>
      </c>
      <c r="H616" s="20">
        <f>$H$298</f>
        <v>0.20732795548136854</v>
      </c>
      <c r="I616" s="20">
        <f>$I$298</f>
        <v>0.20732795548136854</v>
      </c>
      <c r="J616" s="20">
        <f>$J$298</f>
        <v>0.20732795548136854</v>
      </c>
      <c r="K616" s="6"/>
    </row>
    <row r="617" spans="1:11" x14ac:dyDescent="0.2">
      <c r="A617" s="5" t="s">
        <v>57</v>
      </c>
      <c r="B617" s="20">
        <f>$B$299</f>
        <v>0.14731890650490378</v>
      </c>
      <c r="C617" s="20">
        <f>$C$299</f>
        <v>0.1727467076713386</v>
      </c>
      <c r="D617" s="20">
        <f>$D$299</f>
        <v>0.1727467076713386</v>
      </c>
      <c r="E617" s="20">
        <f>$E$299</f>
        <v>0.18594563863451583</v>
      </c>
      <c r="F617" s="20">
        <f>$F$299</f>
        <v>0.18594563863451583</v>
      </c>
      <c r="G617" s="20">
        <f>$G$299</f>
        <v>1.2601652354744535</v>
      </c>
      <c r="H617" s="20">
        <f>$H$299</f>
        <v>0.18594563863451583</v>
      </c>
      <c r="I617" s="20">
        <f>$I$299</f>
        <v>0.18594563863451583</v>
      </c>
      <c r="J617" s="20">
        <f>$J$299</f>
        <v>0.18594563863451583</v>
      </c>
      <c r="K617" s="6"/>
    </row>
    <row r="618" spans="1:11" x14ac:dyDescent="0.2">
      <c r="A618" s="5" t="s">
        <v>58</v>
      </c>
      <c r="B618" s="20">
        <f>$B$300</f>
        <v>0.14761500068100664</v>
      </c>
      <c r="C618" s="20">
        <f>$C$300</f>
        <v>0.17309390882355949</v>
      </c>
      <c r="D618" s="20">
        <f>$D$300</f>
        <v>0.17309390882355949</v>
      </c>
      <c r="E618" s="20">
        <f>$E$300</f>
        <v>0.18631936813046193</v>
      </c>
      <c r="F618" s="20">
        <f>$F$300</f>
        <v>0.18631936813046193</v>
      </c>
      <c r="G618" s="20">
        <f>$G$300</f>
        <v>1.2626980236684715</v>
      </c>
      <c r="H618" s="20">
        <f>$H$300</f>
        <v>0.18631936813046193</v>
      </c>
      <c r="I618" s="20">
        <f>$I$300</f>
        <v>0.18631936813046193</v>
      </c>
      <c r="J618" s="20">
        <f>$J$300</f>
        <v>0.18631936813046193</v>
      </c>
      <c r="K618" s="6"/>
    </row>
    <row r="619" spans="1:11" x14ac:dyDescent="0.2">
      <c r="A619" s="5" t="s">
        <v>72</v>
      </c>
      <c r="B619" s="20">
        <f>$B$301</f>
        <v>0.15747333343654624</v>
      </c>
      <c r="C619" s="20">
        <f>$C$301</f>
        <v>0.18465382714667911</v>
      </c>
      <c r="D619" s="20">
        <f>$D$301</f>
        <v>0.18465382714667911</v>
      </c>
      <c r="E619" s="20">
        <f>$E$301</f>
        <v>0.19876253665234717</v>
      </c>
      <c r="F619" s="20">
        <f>$F$301</f>
        <v>0.19876253665234717</v>
      </c>
      <c r="G619" s="20">
        <f>$G$301</f>
        <v>1.3470261558342949</v>
      </c>
      <c r="H619" s="20">
        <f>$H$301</f>
        <v>0.19876253665234717</v>
      </c>
      <c r="I619" s="20">
        <f>$I$301</f>
        <v>0.19876253665234717</v>
      </c>
      <c r="J619" s="20">
        <f>$J$301</f>
        <v>0.19876253665234717</v>
      </c>
      <c r="K619" s="6"/>
    </row>
    <row r="620" spans="1:11" x14ac:dyDescent="0.2">
      <c r="A620" s="5" t="s">
        <v>59</v>
      </c>
      <c r="B620" s="20">
        <f>$B$302</f>
        <v>0.63011219900173143</v>
      </c>
      <c r="C620" s="20">
        <f>$C$302</f>
        <v>0.8738590429446299</v>
      </c>
      <c r="D620" s="20">
        <f>$D$302</f>
        <v>0.8738590429446299</v>
      </c>
      <c r="E620" s="20">
        <f>$E$302</f>
        <v>1.0465519386880255</v>
      </c>
      <c r="F620" s="20">
        <f>$F$302</f>
        <v>1.0465519386880255</v>
      </c>
      <c r="G620" s="20">
        <f>$G$302</f>
        <v>0.95259926352636193</v>
      </c>
      <c r="H620" s="20">
        <f>$H$302</f>
        <v>1.0465519386880255</v>
      </c>
      <c r="I620" s="20">
        <f>$I$302</f>
        <v>1.0465519386880255</v>
      </c>
      <c r="J620" s="20">
        <f>$J$302</f>
        <v>1.0465519386880255</v>
      </c>
      <c r="K620" s="6"/>
    </row>
    <row r="621" spans="1:11" x14ac:dyDescent="0.2">
      <c r="A621" s="5" t="s">
        <v>60</v>
      </c>
      <c r="B621" s="20">
        <f>$B$303</f>
        <v>0.75083913712524719</v>
      </c>
      <c r="C621" s="20">
        <f>$C$303</f>
        <v>1.0412868863880498</v>
      </c>
      <c r="D621" s="20">
        <f>$D$303</f>
        <v>1.0412868863880498</v>
      </c>
      <c r="E621" s="20">
        <f>$E$303</f>
        <v>1.2470670395624457</v>
      </c>
      <c r="F621" s="20">
        <f>$F$303</f>
        <v>1.2470670395624457</v>
      </c>
      <c r="G621" s="20">
        <f>$G$303</f>
        <v>1.1351134134292711</v>
      </c>
      <c r="H621" s="20">
        <f>$H$303</f>
        <v>1.2470670395624457</v>
      </c>
      <c r="I621" s="20">
        <f>$I$303</f>
        <v>1.2470670395624457</v>
      </c>
      <c r="J621" s="20">
        <f>$J$303</f>
        <v>1.2470670395624457</v>
      </c>
      <c r="K621" s="6"/>
    </row>
    <row r="622" spans="1:11" x14ac:dyDescent="0.2">
      <c r="A622" s="5" t="s">
        <v>73</v>
      </c>
      <c r="B622" s="20">
        <f>$B$304</f>
        <v>0.70515999564709053</v>
      </c>
      <c r="C622" s="20">
        <f>$C$304</f>
        <v>0.97793764332011068</v>
      </c>
      <c r="D622" s="20">
        <f>$D$304</f>
        <v>0.97793764332011068</v>
      </c>
      <c r="E622" s="20">
        <f>$E$304</f>
        <v>1.1711986558883849</v>
      </c>
      <c r="F622" s="20">
        <f>$F$304</f>
        <v>1.1711986558883849</v>
      </c>
      <c r="G622" s="20">
        <f>$G$304</f>
        <v>1.0660560033369948</v>
      </c>
      <c r="H622" s="20">
        <f>$H$304</f>
        <v>1.1711986558883849</v>
      </c>
      <c r="I622" s="20">
        <f>$I$304</f>
        <v>1.1711986558883849</v>
      </c>
      <c r="J622" s="20">
        <f>$J$304</f>
        <v>1.1711986558883849</v>
      </c>
      <c r="K622" s="6"/>
    </row>
    <row r="623" spans="1:11" x14ac:dyDescent="0.2">
      <c r="A623" s="5" t="s">
        <v>74</v>
      </c>
      <c r="B623" s="20">
        <f>$B$305</f>
        <v>0.66146618323969975</v>
      </c>
      <c r="C623" s="20">
        <f>$C$305</f>
        <v>0.91734171587510083</v>
      </c>
      <c r="D623" s="20">
        <f>$D$305</f>
        <v>0.91734171587510083</v>
      </c>
      <c r="E623" s="20">
        <f>$E$305</f>
        <v>1.0986277008170962</v>
      </c>
      <c r="F623" s="20">
        <f>$F$305</f>
        <v>1.0986277008170962</v>
      </c>
      <c r="G623" s="20">
        <f>$G$305</f>
        <v>1</v>
      </c>
      <c r="H623" s="20">
        <f>$H$305</f>
        <v>1.0986277008170962</v>
      </c>
      <c r="I623" s="20">
        <f>$I$305</f>
        <v>1.0986277008170962</v>
      </c>
      <c r="J623" s="20">
        <f>$J$305</f>
        <v>1.0986277008170962</v>
      </c>
      <c r="K623" s="6"/>
    </row>
    <row r="624" spans="1:11" x14ac:dyDescent="0.2">
      <c r="A624" s="5" t="s">
        <v>64</v>
      </c>
      <c r="B624" s="20">
        <f>$B$306</f>
        <v>-0.66146618323969975</v>
      </c>
      <c r="C624" s="20">
        <f>$C$306</f>
        <v>-0.91734171587510083</v>
      </c>
      <c r="D624" s="20">
        <f>$D$306</f>
        <v>-0.91734171587510083</v>
      </c>
      <c r="E624" s="20">
        <f>$E$306</f>
        <v>-1.0986277008170962</v>
      </c>
      <c r="F624" s="20">
        <f>$F$306</f>
        <v>-1.0986277008170962</v>
      </c>
      <c r="G624" s="20">
        <f>$G$306</f>
        <v>-1</v>
      </c>
      <c r="H624" s="20">
        <f>$H$306</f>
        <v>-1.0986277008170962</v>
      </c>
      <c r="I624" s="20">
        <f>$I$306</f>
        <v>-1.0986277008170962</v>
      </c>
      <c r="J624" s="20">
        <f>$J$306</f>
        <v>-1.0986277008170962</v>
      </c>
      <c r="K624" s="6"/>
    </row>
    <row r="625" spans="1:11" x14ac:dyDescent="0.2">
      <c r="A625" s="5" t="s">
        <v>66</v>
      </c>
      <c r="B625" s="20">
        <f>$B$307</f>
        <v>-0.66146618323969975</v>
      </c>
      <c r="C625" s="20">
        <f>$C$307</f>
        <v>-0.91734171587510083</v>
      </c>
      <c r="D625" s="20">
        <f>$D$307</f>
        <v>-0.91734171587510083</v>
      </c>
      <c r="E625" s="20">
        <f>$E$307</f>
        <v>-1.0986277008170962</v>
      </c>
      <c r="F625" s="20">
        <f>$F$307</f>
        <v>-1.0986277008170962</v>
      </c>
      <c r="G625" s="20">
        <f>$G$307</f>
        <v>-1</v>
      </c>
      <c r="H625" s="20">
        <f>$H$307</f>
        <v>-1.0986277008170962</v>
      </c>
      <c r="I625" s="20">
        <f>$I$307</f>
        <v>-1.0986277008170962</v>
      </c>
      <c r="J625" s="20">
        <f>$J$307</f>
        <v>-1.0986277008170962</v>
      </c>
      <c r="K625" s="6"/>
    </row>
    <row r="626" spans="1:11" x14ac:dyDescent="0.2">
      <c r="A626" s="5" t="s">
        <v>76</v>
      </c>
      <c r="B626" s="20">
        <f>$B$308</f>
        <v>-0.66146618323969975</v>
      </c>
      <c r="C626" s="20">
        <f>$C$308</f>
        <v>-0.91734171587510083</v>
      </c>
      <c r="D626" s="20">
        <f>$D$308</f>
        <v>-0.91734171587510083</v>
      </c>
      <c r="E626" s="20">
        <f>$E$308</f>
        <v>-1.0986277008170962</v>
      </c>
      <c r="F626" s="20">
        <f>$F$308</f>
        <v>-1.0986277008170962</v>
      </c>
      <c r="G626" s="20">
        <f>$G$308</f>
        <v>-1</v>
      </c>
      <c r="H626" s="20">
        <f>$H$308</f>
        <v>-1.0986277008170962</v>
      </c>
      <c r="I626" s="20">
        <f>$I$308</f>
        <v>-1.0986277008170962</v>
      </c>
      <c r="J626" s="20">
        <f>$J$308</f>
        <v>-1.0986277008170962</v>
      </c>
      <c r="K626" s="6"/>
    </row>
    <row r="627" spans="1:11" x14ac:dyDescent="0.2">
      <c r="A627" s="5" t="s">
        <v>78</v>
      </c>
      <c r="B627" s="20">
        <f>$B$309</f>
        <v>-0.66146618323969975</v>
      </c>
      <c r="C627" s="20">
        <f>$C$309</f>
        <v>-0.91734171587510083</v>
      </c>
      <c r="D627" s="20">
        <f>$D$309</f>
        <v>-0.91734171587510083</v>
      </c>
      <c r="E627" s="20">
        <f>$E$309</f>
        <v>-1.0986277008170962</v>
      </c>
      <c r="F627" s="20">
        <f>$F$309</f>
        <v>-1.0986277008170962</v>
      </c>
      <c r="G627" s="20">
        <f>$G$309</f>
        <v>-1</v>
      </c>
      <c r="H627" s="20">
        <f>$H$309</f>
        <v>-1.0986277008170962</v>
      </c>
      <c r="I627" s="20">
        <f>$I$309</f>
        <v>-1.0986277008170962</v>
      </c>
      <c r="J627" s="20">
        <f>$J$309</f>
        <v>-1.0986277008170962</v>
      </c>
      <c r="K627" s="6"/>
    </row>
    <row r="628" spans="1:11" x14ac:dyDescent="0.2">
      <c r="A628" s="5" t="s">
        <v>100</v>
      </c>
      <c r="B628" s="20">
        <f>$B$569</f>
        <v>0.54793040765934109</v>
      </c>
      <c r="C628" s="20">
        <f>$C$569</f>
        <v>0.78208487378368208</v>
      </c>
      <c r="D628" s="20">
        <f>$D$569</f>
        <v>0.78208487378368208</v>
      </c>
      <c r="E628" s="20">
        <f>$E$569</f>
        <v>0.88509756643490212</v>
      </c>
      <c r="F628" s="20">
        <f>$F$569</f>
        <v>0.88509756643490212</v>
      </c>
      <c r="G628" s="20">
        <f>$G$569</f>
        <v>0.93595453123382311</v>
      </c>
      <c r="H628" s="20">
        <f>$H$569</f>
        <v>0.88509756643490212</v>
      </c>
      <c r="I628" s="20">
        <f>$I$569</f>
        <v>0.88509756643490212</v>
      </c>
      <c r="J628" s="20">
        <f>$J$569</f>
        <v>0.88509756643490212</v>
      </c>
      <c r="K628" s="6"/>
    </row>
    <row r="630" spans="1:11" ht="16.5" x14ac:dyDescent="0.25">
      <c r="A630" s="3" t="s">
        <v>614</v>
      </c>
    </row>
    <row r="631" spans="1:11" x14ac:dyDescent="0.2">
      <c r="A631" s="10" t="s">
        <v>238</v>
      </c>
    </row>
    <row r="632" spans="1:11" x14ac:dyDescent="0.2">
      <c r="A632" s="11" t="s">
        <v>615</v>
      </c>
    </row>
    <row r="633" spans="1:11" x14ac:dyDescent="0.2">
      <c r="A633" s="11" t="s">
        <v>616</v>
      </c>
    </row>
    <row r="634" spans="1:11" x14ac:dyDescent="0.2">
      <c r="A634" s="10" t="s">
        <v>256</v>
      </c>
    </row>
    <row r="636" spans="1:11" x14ac:dyDescent="0.2">
      <c r="B636" s="4" t="s">
        <v>21</v>
      </c>
      <c r="C636" s="4" t="s">
        <v>22</v>
      </c>
      <c r="D636" s="4" t="s">
        <v>23</v>
      </c>
      <c r="E636" s="4" t="s">
        <v>24</v>
      </c>
      <c r="F636" s="4" t="s">
        <v>25</v>
      </c>
      <c r="G636" s="4" t="s">
        <v>30</v>
      </c>
      <c r="H636" s="4" t="s">
        <v>26</v>
      </c>
      <c r="I636" s="4" t="s">
        <v>27</v>
      </c>
      <c r="J636" s="4" t="s">
        <v>28</v>
      </c>
    </row>
    <row r="637" spans="1:11" x14ac:dyDescent="0.2">
      <c r="A637" s="5" t="s">
        <v>59</v>
      </c>
      <c r="B637" s="20">
        <f>$B$318</f>
        <v>0.11136307992756496</v>
      </c>
      <c r="C637" s="20">
        <f>$C$318</f>
        <v>0.13058476926032991</v>
      </c>
      <c r="D637" s="20">
        <f>$D$318</f>
        <v>0.13058476926032991</v>
      </c>
      <c r="E637" s="20">
        <f>$E$318</f>
        <v>0.14056226392603866</v>
      </c>
      <c r="F637" s="20">
        <f>$F$318</f>
        <v>0.14056226392603866</v>
      </c>
      <c r="G637" s="20">
        <f>$G$318</f>
        <v>0.95259926352636182</v>
      </c>
      <c r="H637" s="20">
        <f>$H$318</f>
        <v>0.14056226392603866</v>
      </c>
      <c r="I637" s="20">
        <f>$I$318</f>
        <v>0.14056226392603866</v>
      </c>
      <c r="J637" s="20">
        <f>$J$318</f>
        <v>0.14056226392603866</v>
      </c>
      <c r="K637" s="6"/>
    </row>
    <row r="638" spans="1:11" x14ac:dyDescent="0.2">
      <c r="A638" s="5" t="s">
        <v>60</v>
      </c>
      <c r="B638" s="20">
        <f>$B$319</f>
        <v>0.13269979373973848</v>
      </c>
      <c r="C638" s="20">
        <f>$C$319</f>
        <v>0.15560428067963211</v>
      </c>
      <c r="D638" s="20">
        <f>$D$319</f>
        <v>0.15560428067963211</v>
      </c>
      <c r="E638" s="20">
        <f>$E$319</f>
        <v>0.16749342279962448</v>
      </c>
      <c r="F638" s="20">
        <f>$F$319</f>
        <v>0.16749342279962448</v>
      </c>
      <c r="G638" s="20">
        <f>$G$319</f>
        <v>1.1351134134292709</v>
      </c>
      <c r="H638" s="20">
        <f>$H$319</f>
        <v>0.16749342279962448</v>
      </c>
      <c r="I638" s="20">
        <f>$I$319</f>
        <v>0.16749342279962448</v>
      </c>
      <c r="J638" s="20">
        <f>$J$319</f>
        <v>0.16749342279962448</v>
      </c>
      <c r="K638" s="6"/>
    </row>
    <row r="639" spans="1:11" x14ac:dyDescent="0.2">
      <c r="A639" s="5" t="s">
        <v>73</v>
      </c>
      <c r="B639" s="20">
        <f>$B$320</f>
        <v>0.12462667614018456</v>
      </c>
      <c r="C639" s="20">
        <f>$C$320</f>
        <v>0.14613771240911583</v>
      </c>
      <c r="D639" s="20">
        <f>$D$320</f>
        <v>0.14613771240911583</v>
      </c>
      <c r="E639" s="20">
        <f>$E$320</f>
        <v>0.15730354939209526</v>
      </c>
      <c r="F639" s="20">
        <f>$F$320</f>
        <v>0.15730354939209526</v>
      </c>
      <c r="G639" s="20">
        <f>$G$320</f>
        <v>1.066056003336995</v>
      </c>
      <c r="H639" s="20">
        <f>$H$320</f>
        <v>0.15730354939209526</v>
      </c>
      <c r="I639" s="20">
        <f>$I$320</f>
        <v>0.15730354939209526</v>
      </c>
      <c r="J639" s="20">
        <f>$J$320</f>
        <v>0.15730354939209526</v>
      </c>
      <c r="K639" s="6"/>
    </row>
    <row r="640" spans="1:11" x14ac:dyDescent="0.2">
      <c r="A640" s="5" t="s">
        <v>74</v>
      </c>
      <c r="B640" s="20">
        <f>$B$321</f>
        <v>0.11690443630548027</v>
      </c>
      <c r="C640" s="20">
        <f>$C$321</f>
        <v>0.13708258473445292</v>
      </c>
      <c r="D640" s="20">
        <f>$D$321</f>
        <v>0.13708258473445292</v>
      </c>
      <c r="E640" s="20">
        <f>$E$321</f>
        <v>0.14755655322018713</v>
      </c>
      <c r="F640" s="20">
        <f>$F$321</f>
        <v>0.14755655322018713</v>
      </c>
      <c r="G640" s="20">
        <f>$G$321</f>
        <v>1</v>
      </c>
      <c r="H640" s="20">
        <f>$H$321</f>
        <v>0.14755655322018713</v>
      </c>
      <c r="I640" s="20">
        <f>$I$321</f>
        <v>0.14755655322018713</v>
      </c>
      <c r="J640" s="20">
        <f>$J$321</f>
        <v>0.14755655322018713</v>
      </c>
      <c r="K640" s="6"/>
    </row>
    <row r="641" spans="1:11" x14ac:dyDescent="0.2">
      <c r="A641" s="5" t="s">
        <v>64</v>
      </c>
      <c r="B641" s="20">
        <f>$B$322</f>
        <v>-0.11690443630548027</v>
      </c>
      <c r="C641" s="20">
        <f>$C$322</f>
        <v>-0.13708258473445292</v>
      </c>
      <c r="D641" s="20">
        <f>$D$322</f>
        <v>-0.13708258473445292</v>
      </c>
      <c r="E641" s="20">
        <f>$E$322</f>
        <v>-0.14755655322018713</v>
      </c>
      <c r="F641" s="20">
        <f>$F$322</f>
        <v>-0.14755655322018713</v>
      </c>
      <c r="G641" s="20">
        <f>$G$322</f>
        <v>-1</v>
      </c>
      <c r="H641" s="20">
        <f>$H$322</f>
        <v>-0.14755655322018713</v>
      </c>
      <c r="I641" s="20">
        <f>$I$322</f>
        <v>-0.14755655322018713</v>
      </c>
      <c r="J641" s="20">
        <f>$J$322</f>
        <v>-0.14755655322018713</v>
      </c>
      <c r="K641" s="6"/>
    </row>
    <row r="642" spans="1:11" x14ac:dyDescent="0.2">
      <c r="A642" s="5" t="s">
        <v>66</v>
      </c>
      <c r="B642" s="20">
        <f>$B$323</f>
        <v>-0.11690443630548027</v>
      </c>
      <c r="C642" s="20">
        <f>$C$323</f>
        <v>-0.13708258473445292</v>
      </c>
      <c r="D642" s="20">
        <f>$D$323</f>
        <v>-0.13708258473445292</v>
      </c>
      <c r="E642" s="20">
        <f>$E$323</f>
        <v>-0.14755655322018713</v>
      </c>
      <c r="F642" s="20">
        <f>$F$323</f>
        <v>-0.14755655322018713</v>
      </c>
      <c r="G642" s="20">
        <f>$G$323</f>
        <v>-1</v>
      </c>
      <c r="H642" s="20">
        <f>$H$323</f>
        <v>-0.14755655322018713</v>
      </c>
      <c r="I642" s="20">
        <f>$I$323</f>
        <v>-0.14755655322018713</v>
      </c>
      <c r="J642" s="20">
        <f>$J$323</f>
        <v>-0.14755655322018713</v>
      </c>
      <c r="K642" s="6"/>
    </row>
    <row r="643" spans="1:11" x14ac:dyDescent="0.2">
      <c r="A643" s="5" t="s">
        <v>76</v>
      </c>
      <c r="B643" s="20">
        <f>$B$324</f>
        <v>-0.11690443630548027</v>
      </c>
      <c r="C643" s="20">
        <f>$C$324</f>
        <v>-0.13708258473445292</v>
      </c>
      <c r="D643" s="20">
        <f>$D$324</f>
        <v>-0.13708258473445292</v>
      </c>
      <c r="E643" s="20">
        <f>$E$324</f>
        <v>-0.14755655322018713</v>
      </c>
      <c r="F643" s="20">
        <f>$F$324</f>
        <v>-0.14755655322018713</v>
      </c>
      <c r="G643" s="20">
        <f>$G$324</f>
        <v>-1</v>
      </c>
      <c r="H643" s="20">
        <f>$H$324</f>
        <v>-0.14755655322018713</v>
      </c>
      <c r="I643" s="20">
        <f>$I$324</f>
        <v>-0.14755655322018713</v>
      </c>
      <c r="J643" s="20">
        <f>$J$324</f>
        <v>-0.14755655322018713</v>
      </c>
      <c r="K643" s="6"/>
    </row>
    <row r="644" spans="1:11" x14ac:dyDescent="0.2">
      <c r="A644" s="5" t="s">
        <v>78</v>
      </c>
      <c r="B644" s="20">
        <f>$B$325</f>
        <v>-0.11690443630548027</v>
      </c>
      <c r="C644" s="20">
        <f>$C$325</f>
        <v>-0.13708258473445292</v>
      </c>
      <c r="D644" s="20">
        <f>$D$325</f>
        <v>-0.13708258473445292</v>
      </c>
      <c r="E644" s="20">
        <f>$E$325</f>
        <v>-0.14755655322018713</v>
      </c>
      <c r="F644" s="20">
        <f>$F$325</f>
        <v>-0.14755655322018713</v>
      </c>
      <c r="G644" s="20">
        <f>$G$325</f>
        <v>-1</v>
      </c>
      <c r="H644" s="20">
        <f>$H$325</f>
        <v>-0.14755655322018713</v>
      </c>
      <c r="I644" s="20">
        <f>$I$325</f>
        <v>-0.14755655322018713</v>
      </c>
      <c r="J644" s="20">
        <f>$J$325</f>
        <v>-0.14755655322018713</v>
      </c>
      <c r="K644" s="6"/>
    </row>
    <row r="645" spans="1:11" x14ac:dyDescent="0.2">
      <c r="A645" s="5" t="s">
        <v>100</v>
      </c>
      <c r="B645" s="20">
        <f>$B$578</f>
        <v>0.10941723688145012</v>
      </c>
      <c r="C645" s="20">
        <f>$C$578</f>
        <v>0.12830306633545577</v>
      </c>
      <c r="D645" s="20">
        <f>$D$578</f>
        <v>0.12830306633545577</v>
      </c>
      <c r="E645" s="20">
        <f>$E$578</f>
        <v>0.13810622459967895</v>
      </c>
      <c r="F645" s="20">
        <f>$F$578</f>
        <v>0.13810622459967895</v>
      </c>
      <c r="G645" s="20">
        <f>$G$578</f>
        <v>0.93595453123382322</v>
      </c>
      <c r="H645" s="20">
        <f>$H$578</f>
        <v>0.13810622459967895</v>
      </c>
      <c r="I645" s="20">
        <f>$I$578</f>
        <v>0.13810622459967895</v>
      </c>
      <c r="J645" s="20">
        <f>$J$578</f>
        <v>0.13810622459967895</v>
      </c>
      <c r="K645" s="6"/>
    </row>
  </sheetData>
  <sheetProtection sheet="1" objects="1"/>
  <hyperlinks>
    <hyperlink ref="A5" location="'Input'!B300" display="'Input'!B300"/>
    <hyperlink ref="A6" location="'Input'!F14" display="'Input'!F14"/>
    <hyperlink ref="A7" location="'Multi'!B13" display="'Multi'!B13"/>
    <hyperlink ref="A17" location="'Input'!B263" display="'Input'!B263"/>
    <hyperlink ref="A18" location="'Multi'!B26" display="'Multi'!B26"/>
    <hyperlink ref="A19" location="'Multi'!C13" display="'Multi'!C13"/>
    <hyperlink ref="A20" location="'Input'!F14" display="'Input'!F14"/>
    <hyperlink ref="A36" location="'Multi'!C26" display="'Multi'!C26"/>
    <hyperlink ref="A59" location="'Input'!B274" display="'Input'!B274"/>
    <hyperlink ref="A60" location="'Multi'!B68" display="'Multi'!B68"/>
    <hyperlink ref="A61" location="'Multi'!C13" display="'Multi'!C13"/>
    <hyperlink ref="A62" location="'Input'!F14" display="'Input'!F14"/>
    <hyperlink ref="A76" location="'Multi'!C68" display="'Multi'!C68"/>
    <hyperlink ref="A109" location="'Loads'!B298" display="'Loads'!B298"/>
    <hyperlink ref="A110" location="'Loads'!C298" display="'Loads'!C298"/>
    <hyperlink ref="A111" location="'Loads'!D298" display="'Loads'!D298"/>
    <hyperlink ref="A146" location="'Multi'!B115" display="'Multi'!B115"/>
    <hyperlink ref="A147" location="'Loads'!B298" display="'Loads'!B298"/>
    <hyperlink ref="A148" location="'Multi'!B41" display="'Multi'!B41"/>
    <hyperlink ref="A149" location="'Loads'!C298" display="'Loads'!C298"/>
    <hyperlink ref="A150" location="'Multi'!B81" display="'Multi'!B81"/>
    <hyperlink ref="A151" location="'Multi'!C13" display="'Multi'!C13"/>
    <hyperlink ref="A152" location="'Multi'!B159" display="'Multi'!B159"/>
    <hyperlink ref="A153" location="'Input'!F14" display="'Input'!F14"/>
    <hyperlink ref="A167" location="'Multi'!B115" display="'Multi'!B115"/>
    <hyperlink ref="A168" location="'Loads'!B298" display="'Loads'!B298"/>
    <hyperlink ref="A169" location="'Multi'!B41" display="'Multi'!B41"/>
    <hyperlink ref="A170" location="'Loads'!C298" display="'Loads'!C298"/>
    <hyperlink ref="A171" location="'Multi'!B81" display="'Multi'!B81"/>
    <hyperlink ref="A172" location="'Loads'!D298" display="'Loads'!D298"/>
    <hyperlink ref="A173" location="'Multi'!B98" display="'Multi'!B98"/>
    <hyperlink ref="A174" location="'Multi'!C13" display="'Multi'!C13"/>
    <hyperlink ref="A175" location="'Multi'!B182" display="'Multi'!B182"/>
    <hyperlink ref="A176" location="'Input'!F14" display="'Input'!F14"/>
    <hyperlink ref="A189" location="'Multi'!E159" display="'Multi'!E159"/>
    <hyperlink ref="A190" location="'Multi'!E182" display="'Multi'!E182"/>
    <hyperlink ref="A191" location="'Multi'!B197" display="'Multi'!B197"/>
    <hyperlink ref="A192" location="'Loads'!B45" display="'Loads'!B45"/>
    <hyperlink ref="A215" location="'Input'!B307" display="'Input'!B307"/>
    <hyperlink ref="A216" location="'Multi'!B224" display="'Multi'!B224"/>
    <hyperlink ref="A217" location="'Input'!B300" display="'Input'!B300"/>
    <hyperlink ref="A218" location="'Multi'!B13" display="'Multi'!B13"/>
    <hyperlink ref="A236" location="'Multi'!C224" display="'Multi'!C224"/>
    <hyperlink ref="A244" location="'Multi'!C13" display="'Multi'!C13"/>
    <hyperlink ref="A245" location="'Multi'!C197" display="'Multi'!C197"/>
    <hyperlink ref="A246" location="'Multi'!B240" display="'Multi'!B240"/>
    <hyperlink ref="A247" location="'Input'!F14" display="'Input'!F14"/>
    <hyperlink ref="A269" location="'Multi'!B251" display="'Multi'!B251"/>
    <hyperlink ref="A270" location="'Multi'!B41" display="'Multi'!B41"/>
    <hyperlink ref="A292" location="'Multi'!B251" display="'Multi'!B251"/>
    <hyperlink ref="A293" location="'Multi'!B81" display="'Multi'!B81"/>
    <hyperlink ref="A313" location="'Multi'!B251" display="'Multi'!B251"/>
    <hyperlink ref="A314" location="'Multi'!B98" display="'Multi'!B98"/>
    <hyperlink ref="A329" location="'Input'!B293" display="'Input'!B293"/>
    <hyperlink ref="A330" location="'Input'!F14" display="'Input'!F14"/>
    <hyperlink ref="A331" location="'Multi'!B337" display="'Multi'!B337"/>
    <hyperlink ref="A341" location="'Input'!B283" display="'Input'!B283"/>
    <hyperlink ref="A342" location="'Multi'!B350" display="'Multi'!B350"/>
    <hyperlink ref="A343" location="'Multi'!C337" display="'Multi'!C337"/>
    <hyperlink ref="A344" location="'Input'!F14" display="'Input'!F14"/>
    <hyperlink ref="A357" location="'Multi'!C350" display="'Multi'!C350"/>
    <hyperlink ref="A380" location="'Multi'!B115" display="'Multi'!B115"/>
    <hyperlink ref="A381" location="'Loads'!B298" display="'Loads'!B298"/>
    <hyperlink ref="A382" location="'Multi'!B362" display="'Multi'!B362"/>
    <hyperlink ref="A383" location="'Multi'!C337" display="'Multi'!C337"/>
    <hyperlink ref="A384" location="'Multi'!B391" display="'Multi'!B391"/>
    <hyperlink ref="A385" location="'Input'!F14" display="'Input'!F14"/>
    <hyperlink ref="A398" location="'Multi'!B115" display="'Multi'!B115"/>
    <hyperlink ref="A399" location="'Loads'!B298" display="'Loads'!B298"/>
    <hyperlink ref="A400" location="'Multi'!B362" display="'Multi'!B362"/>
    <hyperlink ref="A401" location="'Loads'!C298" display="'Loads'!C298"/>
    <hyperlink ref="A402" location="'Multi'!B371" display="'Multi'!B371"/>
    <hyperlink ref="A403" location="'Loads'!D298" display="'Loads'!D298"/>
    <hyperlink ref="A404" location="'Multi'!B376" display="'Multi'!B376"/>
    <hyperlink ref="A405" location="'Multi'!C337" display="'Multi'!C337"/>
    <hyperlink ref="A406" location="'Multi'!B413" display="'Multi'!B413"/>
    <hyperlink ref="A407" location="'Input'!F14" display="'Input'!F14"/>
    <hyperlink ref="A417" location="'Multi'!E391" display="'Multi'!E391"/>
    <hyperlink ref="A418" location="'Multi'!E413" display="'Multi'!E413"/>
    <hyperlink ref="A419" location="'Multi'!B427" display="'Multi'!B427"/>
    <hyperlink ref="A420" location="'Multi'!B115" display="'Multi'!B115"/>
    <hyperlink ref="A421" location="'Input'!F14" display="'Input'!F14"/>
    <hyperlink ref="A422" location="'Loads'!B45" display="'Loads'!B45"/>
    <hyperlink ref="A444" location="'Multi'!B436" display="'Multi'!B436"/>
    <hyperlink ref="A445" location="'Multi'!C427" display="'Multi'!C427"/>
    <hyperlink ref="A453" location="'Multi'!B436" display="'Multi'!B436"/>
    <hyperlink ref="A454" location="'Multi'!D427" display="'Multi'!D427"/>
    <hyperlink ref="A462" location="'Multi'!B449" display="'Multi'!B449"/>
    <hyperlink ref="A463" location="'Multi'!B458" display="'Multi'!B458"/>
    <hyperlink ref="A471" location="'Multi'!B436" display="'Multi'!B436"/>
    <hyperlink ref="A472" location="'Multi'!B467" display="'Multi'!B467"/>
    <hyperlink ref="A484" location="'Multi'!C224" display="'Multi'!C224"/>
    <hyperlink ref="A485" location="'Multi'!C498" display="'Multi'!C498"/>
    <hyperlink ref="A486" location="'Input'!F14" display="'Input'!F14"/>
    <hyperlink ref="A487" location="'Multi'!C13" display="'Multi'!C13"/>
    <hyperlink ref="A488" location="'Input'!E307" display="'Input'!E307"/>
    <hyperlink ref="A489" location="'Multi'!B498" display="'Multi'!B498"/>
    <hyperlink ref="A490" location="'Multi'!E498" display="'Multi'!E498"/>
    <hyperlink ref="A491" location="'Multi'!C337" display="'Multi'!C337"/>
    <hyperlink ref="A492" location="'Multi'!F498" display="'Multi'!F498"/>
    <hyperlink ref="A493" location="'Multi'!D498" display="'Multi'!D498"/>
    <hyperlink ref="A510" location="'Multi'!D498" display="'Multi'!D498"/>
    <hyperlink ref="A511" location="'Multi'!F498" display="'Multi'!F498"/>
    <hyperlink ref="A512" location="'Multi'!G498" display="'Multi'!G498"/>
    <hyperlink ref="A528" location="'Multi'!B516" display="'Multi'!B516"/>
    <hyperlink ref="A536" location="'Multi'!C337" display="'Multi'!C337"/>
    <hyperlink ref="A537" location="'Multi'!B476" display="'Multi'!B476"/>
    <hyperlink ref="A538" location="'Multi'!B532" display="'Multi'!B532"/>
    <hyperlink ref="A539" location="'Input'!F14" display="'Input'!F14"/>
    <hyperlink ref="A551" location="'Multi'!B543" display="'Multi'!B543"/>
    <hyperlink ref="A552" location="'Multi'!B362" display="'Multi'!B362"/>
    <hyperlink ref="A564" location="'Multi'!B543" display="'Multi'!B543"/>
    <hyperlink ref="A565" location="'Multi'!B371" display="'Multi'!B371"/>
    <hyperlink ref="A573" location="'Multi'!B543" display="'Multi'!B543"/>
    <hyperlink ref="A574" location="'Multi'!B376" display="'Multi'!B376"/>
    <hyperlink ref="A582" location="'Multi'!B274" display="'Multi'!B274"/>
    <hyperlink ref="A583" location="'Multi'!B556" display="'Multi'!B556"/>
    <hyperlink ref="A610" location="'Multi'!B297" display="'Multi'!B297"/>
    <hyperlink ref="A611" location="'Multi'!B569" display="'Multi'!B569"/>
    <hyperlink ref="A632" location="'Multi'!B318" display="'Multi'!B318"/>
    <hyperlink ref="A633" location="'Multi'!B578" display="'Multi'!B578"/>
  </hyperlinks>
  <pageMargins left="0.75" right="0.75" top="1" bottom="1" header="0.5" footer="0.5"/>
  <pageSetup paperSize="9" scale="33" fitToHeight="0" orientation="landscape" blackAndWhite="1" r:id="rId1"/>
  <headerFooter alignWithMargins="0">
    <oddHeader>&amp;L&amp;A&amp;Cr6140&amp;R&amp;P of &amp;N</oddHeader>
    <oddFooter>&amp;F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41"/>
  <sheetViews>
    <sheetView showGridLines="0" workbookViewId="0">
      <pane xSplit="1" ySplit="1" topLeftCell="B104" activePane="bottomRight" state="frozen"/>
      <selection pane="topRight"/>
      <selection pane="bottomLeft"/>
      <selection pane="bottomRight" activeCell="B141" sqref="B141:G141"/>
    </sheetView>
  </sheetViews>
  <sheetFormatPr defaultRowHeight="12.75" x14ac:dyDescent="0.2"/>
  <cols>
    <col min="1" max="1" width="50.7109375" customWidth="1"/>
    <col min="2" max="251" width="16.7109375" customWidth="1"/>
  </cols>
  <sheetData>
    <row r="1" spans="1:11" ht="19.5" x14ac:dyDescent="0.3">
      <c r="A1" s="15" t="str">
        <f>"r6140: Forecast simultaneous maximum load"&amp;" for "&amp;Input!B7&amp;" in "&amp;Input!C7&amp;" ("&amp;Input!D7&amp;")"</f>
        <v>r6140: Forecast simultaneous maximum load for Electricity North West  in 2013/14 (April 2013 Indicative)</v>
      </c>
    </row>
    <row r="3" spans="1:11" ht="16.5" x14ac:dyDescent="0.25">
      <c r="A3" s="3" t="s">
        <v>617</v>
      </c>
    </row>
    <row r="4" spans="1:11" x14ac:dyDescent="0.2">
      <c r="A4" s="10" t="s">
        <v>238</v>
      </c>
    </row>
    <row r="5" spans="1:11" x14ac:dyDescent="0.2">
      <c r="A5" s="11" t="s">
        <v>455</v>
      </c>
    </row>
    <row r="6" spans="1:11" x14ac:dyDescent="0.2">
      <c r="A6" s="11" t="s">
        <v>618</v>
      </c>
    </row>
    <row r="7" spans="1:11" x14ac:dyDescent="0.2">
      <c r="A7" s="11" t="s">
        <v>619</v>
      </c>
    </row>
    <row r="8" spans="1:11" x14ac:dyDescent="0.2">
      <c r="A8" s="11" t="s">
        <v>439</v>
      </c>
    </row>
    <row r="9" spans="1:11" x14ac:dyDescent="0.2">
      <c r="A9" s="10" t="s">
        <v>620</v>
      </c>
    </row>
    <row r="11" spans="1:11" x14ac:dyDescent="0.2">
      <c r="B11" s="4" t="s">
        <v>21</v>
      </c>
      <c r="C11" s="4" t="s">
        <v>22</v>
      </c>
      <c r="D11" s="4" t="s">
        <v>23</v>
      </c>
      <c r="E11" s="4" t="s">
        <v>24</v>
      </c>
      <c r="F11" s="4" t="s">
        <v>25</v>
      </c>
      <c r="G11" s="4" t="s">
        <v>30</v>
      </c>
      <c r="H11" s="4" t="s">
        <v>26</v>
      </c>
      <c r="I11" s="4" t="s">
        <v>27</v>
      </c>
      <c r="J11" s="4" t="s">
        <v>28</v>
      </c>
    </row>
    <row r="12" spans="1:11" x14ac:dyDescent="0.2">
      <c r="A12" s="5" t="s">
        <v>94</v>
      </c>
      <c r="B12" s="25">
        <f>(Loads!$B$300*Multi!B$588)*LAFs!B$243/(24*Input!$F$14)*1000</f>
        <v>711.0913047721823</v>
      </c>
      <c r="C12" s="25">
        <f>(Loads!$B$300*Multi!C$588)*LAFs!C$243/(24*Input!$F$14)*1000</f>
        <v>840.45938830250896</v>
      </c>
      <c r="D12" s="25">
        <f>(Loads!$B$300*Multi!D$588)*LAFs!D$243/(24*Input!$F$14)*1000</f>
        <v>836.31919427146215</v>
      </c>
      <c r="E12" s="25">
        <f>(Loads!$B$300*Multi!E$588)*LAFs!E$243/(24*Input!$F$14)*1000</f>
        <v>914.91663119507075</v>
      </c>
      <c r="F12" s="25">
        <f>(Loads!$B$300*Multi!F$588)*LAFs!F$243/(24*Input!$F$14)*1000</f>
        <v>909.57145126598573</v>
      </c>
      <c r="G12" s="25">
        <f>(Loads!$B$300*Multi!G$588)*LAFs!G$243/(24*Input!$F$14)*1000</f>
        <v>0</v>
      </c>
      <c r="H12" s="25">
        <f>(Loads!$B$300*Multi!H$588)*LAFs!H$243/(24*Input!$F$14)*1000</f>
        <v>899.06629494722529</v>
      </c>
      <c r="I12" s="25">
        <f>(Loads!$B$300*Multi!I$588)*LAFs!I$243/(24*Input!$F$14)*1000</f>
        <v>887.95616012373307</v>
      </c>
      <c r="J12" s="25">
        <f>(Loads!$B$300*Multi!J$588)*LAFs!J$243/(24*Input!$F$14)*1000</f>
        <v>847.66776810359988</v>
      </c>
      <c r="K12" s="6"/>
    </row>
    <row r="13" spans="1:11" x14ac:dyDescent="0.2">
      <c r="A13" s="5" t="s">
        <v>95</v>
      </c>
      <c r="B13" s="25">
        <f>(Loads!$B$303*Multi!B$590)*LAFs!B$246/(24*Input!$F$14)*1000</f>
        <v>600.07549356108711</v>
      </c>
      <c r="C13" s="25">
        <f>(Loads!$B$303*Multi!C$590)*LAFs!C$246/(24*Input!$F$14)*1000</f>
        <v>712.85223416473013</v>
      </c>
      <c r="D13" s="25">
        <f>(Loads!$B$303*Multi!D$590)*LAFs!D$246/(24*Input!$F$14)*1000</f>
        <v>709.34064680431266</v>
      </c>
      <c r="E13" s="25">
        <f>(Loads!$B$303*Multi!E$590)*LAFs!E$246/(24*Input!$F$14)*1000</f>
        <v>775.32735412574471</v>
      </c>
      <c r="F13" s="25">
        <f>(Loads!$B$303*Multi!F$590)*LAFs!F$246/(24*Input!$F$14)*1000</f>
        <v>770.79769090787283</v>
      </c>
      <c r="G13" s="25">
        <f>(Loads!$B$303*Multi!G$590)*LAFs!G$246/(24*Input!$F$14)*1000</f>
        <v>0</v>
      </c>
      <c r="H13" s="25">
        <f>(Loads!$B$303*Multi!H$590)*LAFs!H$246/(24*Input!$F$14)*1000</f>
        <v>761.8953114171178</v>
      </c>
      <c r="I13" s="25">
        <f>(Loads!$B$303*Multi!I$590)*LAFs!I$246/(24*Input!$F$14)*1000</f>
        <v>752.48025528743847</v>
      </c>
      <c r="J13" s="25">
        <f>(Loads!$B$303*Multi!J$590)*LAFs!J$246/(24*Input!$F$14)*1000</f>
        <v>718.3386829059757</v>
      </c>
      <c r="K13" s="6"/>
    </row>
    <row r="14" spans="1:11" x14ac:dyDescent="0.2">
      <c r="A14" s="5" t="s">
        <v>96</v>
      </c>
      <c r="B14" s="25">
        <f>(Loads!$B$311*Multi!B$602)*LAFs!B$254/(24*Input!$F$14)*1000</f>
        <v>5080.2569425592346</v>
      </c>
      <c r="C14" s="25">
        <f>(Loads!$B$311*Multi!C$602)*LAFs!C$254/(24*Input!$F$14)*1000</f>
        <v>5029.9573688705304</v>
      </c>
      <c r="D14" s="25">
        <f>(Loads!$B$311*Multi!D$602)*LAFs!D$254/(24*Input!$F$14)*1000</f>
        <v>5005.1792537529409</v>
      </c>
      <c r="E14" s="25">
        <f>(Loads!$B$311*Multi!E$602)*LAFs!E$254/(24*Input!$F$14)*1000</f>
        <v>4975.7658595095372</v>
      </c>
      <c r="F14" s="25">
        <f>(Loads!$B$311*Multi!F$602)*LAFs!F$254/(24*Input!$F$14)*1000</f>
        <v>4946.6961466010098</v>
      </c>
      <c r="G14" s="25">
        <f>(Loads!$B$311*Multi!G$602)*LAFs!G$254/(24*Input!$F$14)*1000</f>
        <v>0</v>
      </c>
      <c r="H14" s="25">
        <f>(Loads!$B$311*Multi!H$602)*LAFs!H$254/(24*Input!$F$14)*1000</f>
        <v>4889.5639485651946</v>
      </c>
      <c r="I14" s="25">
        <f>(Loads!$B$311*Multi!I$602)*LAFs!I$254/(24*Input!$F$14)*1000</f>
        <v>4829.1415803795026</v>
      </c>
      <c r="J14" s="25">
        <f>(Loads!$B$311*Multi!J$602)*LAFs!J$254/(24*Input!$F$14)*1000</f>
        <v>4610.0335231934996</v>
      </c>
      <c r="K14" s="6"/>
    </row>
    <row r="15" spans="1:11" x14ac:dyDescent="0.2">
      <c r="A15" s="5" t="s">
        <v>97</v>
      </c>
      <c r="B15" s="25">
        <f>(Loads!$B$312*Multi!B$603)*LAFs!B$255/(24*Input!$F$14)*1000</f>
        <v>2367.762604371881</v>
      </c>
      <c r="C15" s="25">
        <f>(Loads!$B$312*Multi!C$603)*LAFs!C$255/(24*Input!$F$14)*1000</f>
        <v>2117.990409965345</v>
      </c>
      <c r="D15" s="25">
        <f>(Loads!$B$312*Multi!D$603)*LAFs!D$255/(24*Input!$F$14)*1000</f>
        <v>2107.5569596699497</v>
      </c>
      <c r="E15" s="25">
        <f>(Loads!$B$312*Multi!E$603)*LAFs!E$255/(24*Input!$F$14)*1000</f>
        <v>1995.9348361494024</v>
      </c>
      <c r="F15" s="25">
        <f>(Loads!$B$312*Multi!F$603)*LAFs!F$255/(24*Input!$F$14)*1000</f>
        <v>1984.274067875891</v>
      </c>
      <c r="G15" s="25">
        <f>(Loads!$B$312*Multi!G$603)*LAFs!G$255/(24*Input!$F$14)*1000</f>
        <v>0</v>
      </c>
      <c r="H15" s="25">
        <f>(Loads!$B$312*Multi!H$603)*LAFs!H$255/(24*Input!$F$14)*1000</f>
        <v>1961.3565617984018</v>
      </c>
      <c r="I15" s="25">
        <f>(Loads!$B$312*Multi!I$603)*LAFs!I$255/(24*Input!$F$14)*1000</f>
        <v>1937.1192658826421</v>
      </c>
      <c r="J15" s="25">
        <f>(Loads!$B$312*Multi!J$603)*LAFs!J$255/(24*Input!$F$14)*1000</f>
        <v>1849.2281921130123</v>
      </c>
      <c r="K15" s="6"/>
    </row>
    <row r="16" spans="1:11" x14ac:dyDescent="0.2">
      <c r="A16" s="5" t="s">
        <v>98</v>
      </c>
      <c r="B16" s="25">
        <f>(Loads!$B$313*Multi!B$604)*LAFs!B$256/(24*Input!$F$14)*1000</f>
        <v>0.44777473321957795</v>
      </c>
      <c r="C16" s="25">
        <f>(Loads!$B$313*Multi!C$604)*LAFs!C$256/(24*Input!$F$14)*1000</f>
        <v>0.39621752731726528</v>
      </c>
      <c r="D16" s="25">
        <f>(Loads!$B$313*Multi!D$604)*LAFs!D$256/(24*Input!$F$14)*1000</f>
        <v>0.39426571683786987</v>
      </c>
      <c r="E16" s="25">
        <f>(Loads!$B$313*Multi!E$604)*LAFs!E$256/(24*Input!$F$14)*1000</f>
        <v>0.37106394695747741</v>
      </c>
      <c r="F16" s="25">
        <f>(Loads!$B$313*Multi!F$604)*LAFs!F$256/(24*Input!$F$14)*1000</f>
        <v>0.36889609527126038</v>
      </c>
      <c r="G16" s="25">
        <f>(Loads!$B$313*Multi!G$604)*LAFs!G$256/(24*Input!$F$14)*1000</f>
        <v>0</v>
      </c>
      <c r="H16" s="25">
        <f>(Loads!$B$313*Multi!H$604)*LAFs!H$256/(24*Input!$F$14)*1000</f>
        <v>0.36463550514300713</v>
      </c>
      <c r="I16" s="25">
        <f>(Loads!$B$313*Multi!I$604)*LAFs!I$256/(24*Input!$F$14)*1000</f>
        <v>0.36012955308325506</v>
      </c>
      <c r="J16" s="25">
        <f>(Loads!$B$313*Multi!J$604)*LAFs!J$256/(24*Input!$F$14)*1000</f>
        <v>0.34378973670016727</v>
      </c>
      <c r="K16" s="6"/>
    </row>
    <row r="17" spans="1:11" x14ac:dyDescent="0.2">
      <c r="A17" s="5" t="s">
        <v>99</v>
      </c>
      <c r="B17" s="25">
        <f>(Loads!$B$314*Multi!B$605)*LAFs!B$257/(24*Input!$F$14)*1000</f>
        <v>0</v>
      </c>
      <c r="C17" s="25">
        <f>(Loads!$B$314*Multi!C$605)*LAFs!C$257/(24*Input!$F$14)*1000</f>
        <v>0</v>
      </c>
      <c r="D17" s="25">
        <f>(Loads!$B$314*Multi!D$605)*LAFs!D$257/(24*Input!$F$14)*1000</f>
        <v>0</v>
      </c>
      <c r="E17" s="25">
        <f>(Loads!$B$314*Multi!E$605)*LAFs!E$257/(24*Input!$F$14)*1000</f>
        <v>0</v>
      </c>
      <c r="F17" s="25">
        <f>(Loads!$B$314*Multi!F$605)*LAFs!F$257/(24*Input!$F$14)*1000</f>
        <v>0</v>
      </c>
      <c r="G17" s="25">
        <f>(Loads!$B$314*Multi!G$605)*LAFs!G$257/(24*Input!$F$14)*1000</f>
        <v>0</v>
      </c>
      <c r="H17" s="25">
        <f>(Loads!$B$314*Multi!H$605)*LAFs!H$257/(24*Input!$F$14)*1000</f>
        <v>0</v>
      </c>
      <c r="I17" s="25">
        <f>(Loads!$B$314*Multi!I$605)*LAFs!I$257/(24*Input!$F$14)*1000</f>
        <v>0</v>
      </c>
      <c r="J17" s="25">
        <f>(Loads!$B$314*Multi!J$605)*LAFs!J$257/(24*Input!$F$14)*1000</f>
        <v>0</v>
      </c>
      <c r="K17" s="6"/>
    </row>
    <row r="19" spans="1:11" ht="16.5" x14ac:dyDescent="0.25">
      <c r="A19" s="3" t="s">
        <v>621</v>
      </c>
    </row>
    <row r="20" spans="1:11" x14ac:dyDescent="0.2">
      <c r="A20" s="10" t="s">
        <v>238</v>
      </c>
    </row>
    <row r="21" spans="1:11" x14ac:dyDescent="0.2">
      <c r="A21" s="11" t="s">
        <v>455</v>
      </c>
    </row>
    <row r="22" spans="1:11" x14ac:dyDescent="0.2">
      <c r="A22" s="11" t="s">
        <v>618</v>
      </c>
    </row>
    <row r="23" spans="1:11" x14ac:dyDescent="0.2">
      <c r="A23" s="11" t="s">
        <v>622</v>
      </c>
    </row>
    <row r="24" spans="1:11" x14ac:dyDescent="0.2">
      <c r="A24" s="11" t="s">
        <v>623</v>
      </c>
    </row>
    <row r="25" spans="1:11" x14ac:dyDescent="0.2">
      <c r="A25" s="11" t="s">
        <v>624</v>
      </c>
    </row>
    <row r="26" spans="1:11" x14ac:dyDescent="0.2">
      <c r="A26" s="11" t="s">
        <v>535</v>
      </c>
    </row>
    <row r="27" spans="1:11" x14ac:dyDescent="0.2">
      <c r="A27" s="10" t="s">
        <v>625</v>
      </c>
    </row>
    <row r="29" spans="1:11" x14ac:dyDescent="0.2">
      <c r="B29" s="4" t="s">
        <v>21</v>
      </c>
      <c r="C29" s="4" t="s">
        <v>22</v>
      </c>
      <c r="D29" s="4" t="s">
        <v>23</v>
      </c>
      <c r="E29" s="4" t="s">
        <v>24</v>
      </c>
      <c r="F29" s="4" t="s">
        <v>25</v>
      </c>
      <c r="G29" s="4" t="s">
        <v>30</v>
      </c>
      <c r="H29" s="4" t="s">
        <v>26</v>
      </c>
      <c r="I29" s="4" t="s">
        <v>27</v>
      </c>
      <c r="J29" s="4" t="s">
        <v>28</v>
      </c>
    </row>
    <row r="30" spans="1:11" x14ac:dyDescent="0.2">
      <c r="A30" s="5" t="s">
        <v>54</v>
      </c>
      <c r="B30" s="25">
        <f>(Loads!$B$299*Multi!B$587+Loads!$C$299*Multi!B$615)*LAFs!B$242/(24*Input!$F$14)*1000</f>
        <v>210082.65675461304</v>
      </c>
      <c r="C30" s="25">
        <f>(Loads!$B$299*Multi!C$587+Loads!$C$299*Multi!C$615)*LAFs!C$242/(24*Input!$F$14)*1000</f>
        <v>205067.31220813718</v>
      </c>
      <c r="D30" s="25">
        <f>(Loads!$B$299*Multi!D$587+Loads!$C$299*Multi!D$615)*LAFs!D$242/(24*Input!$F$14)*1000</f>
        <v>204057.12840415625</v>
      </c>
      <c r="E30" s="25">
        <f>(Loads!$B$299*Multi!E$587+Loads!$C$299*Multi!E$615)*LAFs!E$242/(24*Input!$F$14)*1000</f>
        <v>200604.9934791667</v>
      </c>
      <c r="F30" s="25">
        <f>(Loads!$B$299*Multi!F$587+Loads!$C$299*Multi!F$615)*LAFs!F$242/(24*Input!$F$14)*1000</f>
        <v>199433.0071492008</v>
      </c>
      <c r="G30" s="25">
        <f>(Loads!$B$299*Multi!G$587+Loads!$C$299*Multi!G$615)*LAFs!G$242/(24*Input!$F$14)*1000</f>
        <v>0</v>
      </c>
      <c r="H30" s="25">
        <f>(Loads!$B$299*Multi!H$587+Loads!$C$299*Multi!H$615)*LAFs!H$242/(24*Input!$F$14)*1000</f>
        <v>197129.64229280961</v>
      </c>
      <c r="I30" s="25">
        <f>(Loads!$B$299*Multi!I$587+Loads!$C$299*Multi!I$615)*LAFs!I$242/(24*Input!$F$14)*1000</f>
        <v>194693.62960287943</v>
      </c>
      <c r="J30" s="25">
        <f>(Loads!$B$299*Multi!J$587+Loads!$C$299*Multi!J$615)*LAFs!J$242/(24*Input!$F$14)*1000</f>
        <v>185859.98034685041</v>
      </c>
      <c r="K30" s="6"/>
    </row>
    <row r="31" spans="1:11" x14ac:dyDescent="0.2">
      <c r="A31" s="5" t="s">
        <v>56</v>
      </c>
      <c r="B31" s="25">
        <f>(Loads!$B$302*Multi!B$589+Loads!$C$302*Multi!B$616)*LAFs!B$245/(24*Input!$F$14)*1000</f>
        <v>144910.6196704063</v>
      </c>
      <c r="C31" s="25">
        <f>(Loads!$B$302*Multi!C$589+Loads!$C$302*Multi!C$616)*LAFs!C$245/(24*Input!$F$14)*1000</f>
        <v>144997.95358518534</v>
      </c>
      <c r="D31" s="25">
        <f>(Loads!$B$302*Multi!D$589+Loads!$C$302*Multi!D$616)*LAFs!D$245/(24*Input!$F$14)*1000</f>
        <v>144283.67795176079</v>
      </c>
      <c r="E31" s="25">
        <f>(Loads!$B$302*Multi!E$589+Loads!$C$302*Multi!E$616)*LAFs!E$245/(24*Input!$F$14)*1000</f>
        <v>144521.87399495739</v>
      </c>
      <c r="F31" s="25">
        <f>(Loads!$B$302*Multi!F$589+Loads!$C$302*Multi!F$616)*LAFs!F$245/(24*Input!$F$14)*1000</f>
        <v>143677.53977492845</v>
      </c>
      <c r="G31" s="25">
        <f>(Loads!$B$302*Multi!G$589+Loads!$C$302*Multi!G$616)*LAFs!G$245/(24*Input!$F$14)*1000</f>
        <v>0</v>
      </c>
      <c r="H31" s="25">
        <f>(Loads!$B$302*Multi!H$589+Loads!$C$302*Multi!H$616)*LAFs!H$245/(24*Input!$F$14)*1000</f>
        <v>142018.12641852885</v>
      </c>
      <c r="I31" s="25">
        <f>(Loads!$B$302*Multi!I$589+Loads!$C$302*Multi!I$616)*LAFs!I$245/(24*Input!$F$14)*1000</f>
        <v>140263.14957115159</v>
      </c>
      <c r="J31" s="25">
        <f>(Loads!$B$302*Multi!J$589+Loads!$C$302*Multi!J$616)*LAFs!J$245/(24*Input!$F$14)*1000</f>
        <v>133899.12282109933</v>
      </c>
      <c r="K31" s="6"/>
    </row>
    <row r="32" spans="1:11" x14ac:dyDescent="0.2">
      <c r="A32" s="5" t="s">
        <v>57</v>
      </c>
      <c r="B32" s="25">
        <f>(Loads!$B$304*Multi!B$591+Loads!$C$304*Multi!B$617)*LAFs!B$247/(24*Input!$F$14)*1000</f>
        <v>244041.64324162249</v>
      </c>
      <c r="C32" s="25">
        <f>(Loads!$B$304*Multi!C$591+Loads!$C$304*Multi!C$617)*LAFs!C$247/(24*Input!$F$14)*1000</f>
        <v>242771.83156644474</v>
      </c>
      <c r="D32" s="25">
        <f>(Loads!$B$304*Multi!D$591+Loads!$C$304*Multi!D$617)*LAFs!D$247/(24*Input!$F$14)*1000</f>
        <v>241575.91121390069</v>
      </c>
      <c r="E32" s="25">
        <f>(Loads!$B$304*Multi!E$591+Loads!$C$304*Multi!E$617)*LAFs!E$247/(24*Input!$F$14)*1000</f>
        <v>241143.90536654671</v>
      </c>
      <c r="F32" s="25">
        <f>(Loads!$B$304*Multi!F$591+Loads!$C$304*Multi!F$617)*LAFs!F$247/(24*Input!$F$14)*1000</f>
        <v>239735.08021348022</v>
      </c>
      <c r="G32" s="25">
        <f>(Loads!$B$304*Multi!G$591+Loads!$C$304*Multi!G$617)*LAFs!G$247/(24*Input!$F$14)*1000</f>
        <v>0</v>
      </c>
      <c r="H32" s="25">
        <f>(Loads!$B$304*Multi!H$591+Loads!$C$304*Multi!H$617)*LAFs!H$247/(24*Input!$F$14)*1000</f>
        <v>236966.24386837747</v>
      </c>
      <c r="I32" s="25">
        <f>(Loads!$B$304*Multi!I$591+Loads!$C$304*Multi!I$617)*LAFs!I$247/(24*Input!$F$14)*1000</f>
        <v>234037.95378255149</v>
      </c>
      <c r="J32" s="25">
        <f>(Loads!$B$304*Multi!J$591+Loads!$C$304*Multi!J$617)*LAFs!J$247/(24*Input!$F$14)*1000</f>
        <v>223419.17185049379</v>
      </c>
      <c r="K32" s="6"/>
    </row>
    <row r="33" spans="1:11" x14ac:dyDescent="0.2">
      <c r="A33" s="5" t="s">
        <v>58</v>
      </c>
      <c r="B33" s="25">
        <f>(Loads!$B$305*Multi!B$592+Loads!$C$305*Multi!B$618)*LAFs!B$248/(24*Input!$F$14)*1000</f>
        <v>7904.1437760117624</v>
      </c>
      <c r="C33" s="25">
        <f>(Loads!$B$305*Multi!C$592+Loads!$C$305*Multi!C$618)*LAFs!C$248/(24*Input!$F$14)*1000</f>
        <v>7872.9659393292332</v>
      </c>
      <c r="D33" s="25">
        <f>(Loads!$B$305*Multi!D$592+Loads!$C$305*Multi!D$618)*LAFs!D$248/(24*Input!$F$14)*1000</f>
        <v>7834.1828558842635</v>
      </c>
      <c r="E33" s="25">
        <f>(Loads!$B$305*Multi!E$592+Loads!$C$305*Multi!E$618)*LAFs!E$248/(24*Input!$F$14)*1000</f>
        <v>7826.8730835225351</v>
      </c>
      <c r="F33" s="25">
        <f>(Loads!$B$305*Multi!F$592+Loads!$C$305*Multi!F$618)*LAFs!F$248/(24*Input!$F$14)*1000</f>
        <v>7781.1464637551198</v>
      </c>
      <c r="G33" s="25">
        <f>(Loads!$B$305*Multi!G$592+Loads!$C$305*Multi!G$618)*LAFs!G$248/(24*Input!$F$14)*1000</f>
        <v>0</v>
      </c>
      <c r="H33" s="25">
        <f>(Loads!$B$305*Multi!H$592+Loads!$C$305*Multi!H$618)*LAFs!H$248/(24*Input!$F$14)*1000</f>
        <v>7691.2775921814318</v>
      </c>
      <c r="I33" s="25">
        <f>(Loads!$B$305*Multi!I$592+Loads!$C$305*Multi!I$618)*LAFs!I$248/(24*Input!$F$14)*1000</f>
        <v>7596.2332873350833</v>
      </c>
      <c r="J33" s="25">
        <f>(Loads!$B$305*Multi!J$592+Loads!$C$305*Multi!J$618)*LAFs!J$248/(24*Input!$F$14)*1000</f>
        <v>0</v>
      </c>
      <c r="K33" s="6"/>
    </row>
    <row r="34" spans="1:11" x14ac:dyDescent="0.2">
      <c r="A34" s="5" t="s">
        <v>72</v>
      </c>
      <c r="B34" s="25">
        <f>(Loads!$B$306*Multi!B$593+Loads!$C$306*Multi!B$619)*LAFs!B$249/(24*Input!$F$14)*1000</f>
        <v>2074.6934314797099</v>
      </c>
      <c r="C34" s="25">
        <f>(Loads!$B$306*Multi!C$593+Loads!$C$306*Multi!C$619)*LAFs!C$249/(24*Input!$F$14)*1000</f>
        <v>2073.7079091356882</v>
      </c>
      <c r="D34" s="25">
        <f>(Loads!$B$306*Multi!D$593+Loads!$C$306*Multi!D$619)*LAFs!D$249/(24*Input!$F$14)*1000</f>
        <v>2063.4925992384683</v>
      </c>
      <c r="E34" s="25">
        <f>(Loads!$B$306*Multi!E$593+Loads!$C$306*Multi!E$619)*LAFs!E$249/(24*Input!$F$14)*1000</f>
        <v>2066.4285807094216</v>
      </c>
      <c r="F34" s="25">
        <f>(Loads!$B$306*Multi!F$593+Loads!$C$306*Multi!F$619)*LAFs!F$249/(24*Input!$F$14)*1000</f>
        <v>2054.3559697218307</v>
      </c>
      <c r="G34" s="25">
        <f>(Loads!$B$306*Multi!G$593+Loads!$C$306*Multi!G$619)*LAFs!G$249/(24*Input!$F$14)*1000</f>
        <v>0</v>
      </c>
      <c r="H34" s="25">
        <f>(Loads!$B$306*Multi!H$593+Loads!$C$306*Multi!H$619)*LAFs!H$249/(24*Input!$F$14)*1000</f>
        <v>2030.6290480311065</v>
      </c>
      <c r="I34" s="25">
        <f>(Loads!$B$306*Multi!I$593+Loads!$C$306*Multi!I$619)*LAFs!I$249/(24*Input!$F$14)*1000</f>
        <v>0</v>
      </c>
      <c r="J34" s="25">
        <f>(Loads!$B$306*Multi!J$593+Loads!$C$306*Multi!J$619)*LAFs!J$249/(24*Input!$F$14)*1000</f>
        <v>0</v>
      </c>
      <c r="K34" s="6"/>
    </row>
    <row r="36" spans="1:11" ht="16.5" x14ac:dyDescent="0.25">
      <c r="A36" s="3" t="s">
        <v>626</v>
      </c>
    </row>
    <row r="37" spans="1:11" x14ac:dyDescent="0.2">
      <c r="A37" s="10" t="s">
        <v>238</v>
      </c>
    </row>
    <row r="38" spans="1:11" x14ac:dyDescent="0.2">
      <c r="A38" s="11" t="s">
        <v>455</v>
      </c>
    </row>
    <row r="39" spans="1:11" x14ac:dyDescent="0.2">
      <c r="A39" s="11" t="s">
        <v>618</v>
      </c>
    </row>
    <row r="40" spans="1:11" x14ac:dyDescent="0.2">
      <c r="A40" s="11" t="s">
        <v>622</v>
      </c>
    </row>
    <row r="41" spans="1:11" x14ac:dyDescent="0.2">
      <c r="A41" s="11" t="s">
        <v>623</v>
      </c>
    </row>
    <row r="42" spans="1:11" x14ac:dyDescent="0.2">
      <c r="A42" s="11" t="s">
        <v>627</v>
      </c>
    </row>
    <row r="43" spans="1:11" x14ac:dyDescent="0.2">
      <c r="A43" s="11" t="s">
        <v>628</v>
      </c>
    </row>
    <row r="44" spans="1:11" x14ac:dyDescent="0.2">
      <c r="A44" s="11" t="s">
        <v>629</v>
      </c>
    </row>
    <row r="45" spans="1:11" x14ac:dyDescent="0.2">
      <c r="A45" s="11" t="s">
        <v>468</v>
      </c>
    </row>
    <row r="46" spans="1:11" x14ac:dyDescent="0.2">
      <c r="A46" s="10" t="s">
        <v>630</v>
      </c>
    </row>
    <row r="48" spans="1:11" x14ac:dyDescent="0.2">
      <c r="B48" s="4" t="s">
        <v>21</v>
      </c>
      <c r="C48" s="4" t="s">
        <v>22</v>
      </c>
      <c r="D48" s="4" t="s">
        <v>23</v>
      </c>
      <c r="E48" s="4" t="s">
        <v>24</v>
      </c>
      <c r="F48" s="4" t="s">
        <v>25</v>
      </c>
      <c r="G48" s="4" t="s">
        <v>30</v>
      </c>
      <c r="H48" s="4" t="s">
        <v>26</v>
      </c>
      <c r="I48" s="4" t="s">
        <v>27</v>
      </c>
      <c r="J48" s="4" t="s">
        <v>28</v>
      </c>
    </row>
    <row r="49" spans="1:11" x14ac:dyDescent="0.2">
      <c r="A49" s="5" t="s">
        <v>59</v>
      </c>
      <c r="B49" s="25">
        <f>(Loads!$B$307*Multi!B$594+Loads!$C$307*Multi!B$620+Loads!$D$307*Multi!B$637)*LAFs!B$250/(24*Input!$F$14)*1000</f>
        <v>231956.43072050702</v>
      </c>
      <c r="C49" s="25">
        <f>(Loads!$B$307*Multi!C$594+Loads!$C$307*Multi!C$620+Loads!$D$307*Multi!C$637)*LAFs!C$250/(24*Input!$F$14)*1000</f>
        <v>230630.87004775723</v>
      </c>
      <c r="D49" s="25">
        <f>(Loads!$B$307*Multi!D$594+Loads!$C$307*Multi!D$620+Loads!$D$307*Multi!D$637)*LAFs!D$250/(24*Input!$F$14)*1000</f>
        <v>229494.75738742342</v>
      </c>
      <c r="E49" s="25">
        <f>(Loads!$B$307*Multi!E$594+Loads!$C$307*Multi!E$620+Loads!$D$307*Multi!E$637)*LAFs!E$250/(24*Input!$F$14)*1000</f>
        <v>229016.14058346415</v>
      </c>
      <c r="F49" s="25">
        <f>(Loads!$B$307*Multi!F$594+Loads!$C$307*Multi!F$620+Loads!$D$307*Multi!F$637)*LAFs!F$250/(24*Input!$F$14)*1000</f>
        <v>227678.16897343413</v>
      </c>
      <c r="G49" s="25">
        <f>(Loads!$B$307*Multi!G$594+Loads!$C$307*Multi!G$620+Loads!$D$307*Multi!G$637)*LAFs!G$250/(24*Input!$F$14)*1000</f>
        <v>0</v>
      </c>
      <c r="H49" s="25">
        <f>(Loads!$B$307*Multi!H$594+Loads!$C$307*Multi!H$620+Loads!$D$307*Multi!H$637)*LAFs!H$250/(24*Input!$F$14)*1000</f>
        <v>225048.58473120004</v>
      </c>
      <c r="I49" s="25">
        <f>(Loads!$B$307*Multi!I$594+Loads!$C$307*Multi!I$620+Loads!$D$307*Multi!I$637)*LAFs!I$250/(24*Input!$F$14)*1000</f>
        <v>222267.56609859015</v>
      </c>
      <c r="J49" s="25">
        <f>(Loads!$B$307*Multi!J$594+Loads!$C$307*Multi!J$620+Loads!$D$307*Multi!J$637)*LAFs!J$250/(24*Input!$F$14)*1000</f>
        <v>212182.83079466136</v>
      </c>
      <c r="K49" s="6"/>
    </row>
    <row r="50" spans="1:11" x14ac:dyDescent="0.2">
      <c r="A50" s="5" t="s">
        <v>60</v>
      </c>
      <c r="B50" s="25">
        <f>(Loads!$B$308*Multi!B$595+Loads!$C$308*Multi!B$621+Loads!$D$308*Multi!B$638)*LAFs!B$251/(24*Input!$F$14)*1000</f>
        <v>214260.9718192592</v>
      </c>
      <c r="C50" s="25">
        <f>(Loads!$B$308*Multi!C$595+Loads!$C$308*Multi!C$621+Loads!$D$308*Multi!C$638)*LAFs!C$251/(24*Input!$F$14)*1000</f>
        <v>213611.47430846686</v>
      </c>
      <c r="D50" s="25">
        <f>(Loads!$B$308*Multi!D$595+Loads!$C$308*Multi!D$621+Loads!$D$308*Multi!D$638)*LAFs!D$251/(24*Input!$F$14)*1000</f>
        <v>212559.20103601139</v>
      </c>
      <c r="E50" s="25">
        <f>(Loads!$B$308*Multi!E$595+Loads!$C$308*Multi!E$621+Loads!$D$308*Multi!E$638)*LAFs!E$251/(24*Input!$F$14)*1000</f>
        <v>212495.51091767792</v>
      </c>
      <c r="F50" s="25">
        <f>(Loads!$B$308*Multi!F$595+Loads!$C$308*Multi!F$621+Loads!$D$308*Multi!F$638)*LAFs!F$251/(24*Input!$F$14)*1000</f>
        <v>211254.05710511116</v>
      </c>
      <c r="G50" s="25">
        <f>(Loads!$B$308*Multi!G$595+Loads!$C$308*Multi!G$621+Loads!$D$308*Multi!G$638)*LAFs!G$251/(24*Input!$F$14)*1000</f>
        <v>0</v>
      </c>
      <c r="H50" s="25">
        <f>(Loads!$B$308*Multi!H$595+Loads!$C$308*Multi!H$621+Loads!$D$308*Multi!H$638)*LAFs!H$251/(24*Input!$F$14)*1000</f>
        <v>208814.16424152951</v>
      </c>
      <c r="I50" s="25">
        <f>(Loads!$B$308*Multi!I$595+Loads!$C$308*Multi!I$621+Loads!$D$308*Multi!I$638)*LAFs!I$251/(24*Input!$F$14)*1000</f>
        <v>206233.76107124446</v>
      </c>
      <c r="J50" s="25">
        <f>(Loads!$B$308*Multi!J$595+Loads!$C$308*Multi!J$621+Loads!$D$308*Multi!J$638)*LAFs!J$251/(24*Input!$F$14)*1000</f>
        <v>0</v>
      </c>
      <c r="K50" s="6"/>
    </row>
    <row r="51" spans="1:11" x14ac:dyDescent="0.2">
      <c r="A51" s="5" t="s">
        <v>73</v>
      </c>
      <c r="B51" s="25">
        <f>(Loads!$B$309*Multi!B$596+Loads!$C$309*Multi!B$622+Loads!$D$309*Multi!B$639)*LAFs!B$252/(24*Input!$F$14)*1000</f>
        <v>737914.62492294121</v>
      </c>
      <c r="C51" s="25">
        <f>(Loads!$B$309*Multi!C$596+Loads!$C$309*Multi!C$622+Loads!$D$309*Multi!C$639)*LAFs!C$252/(24*Input!$F$14)*1000</f>
        <v>732624.59178167954</v>
      </c>
      <c r="D51" s="25">
        <f>(Loads!$B$309*Multi!D$596+Loads!$C$309*Multi!D$622+Loads!$D$309*Multi!D$639)*LAFs!D$252/(24*Input!$F$14)*1000</f>
        <v>729015.603644824</v>
      </c>
      <c r="E51" s="25">
        <f>(Loads!$B$309*Multi!E$596+Loads!$C$309*Multi!E$622+Loads!$D$309*Multi!E$639)*LAFs!E$252/(24*Input!$F$14)*1000</f>
        <v>726486.76320867019</v>
      </c>
      <c r="F51" s="25">
        <f>(Loads!$B$309*Multi!F$596+Loads!$C$309*Multi!F$622+Loads!$D$309*Multi!F$639)*LAFs!F$252/(24*Input!$F$14)*1000</f>
        <v>722242.43937298167</v>
      </c>
      <c r="G51" s="25">
        <f>(Loads!$B$309*Multi!G$596+Loads!$C$309*Multi!G$622+Loads!$D$309*Multi!G$639)*LAFs!G$252/(24*Input!$F$14)*1000</f>
        <v>0</v>
      </c>
      <c r="H51" s="25">
        <f>(Loads!$B$309*Multi!H$596+Loads!$C$309*Multi!H$622+Loads!$D$309*Multi!H$639)*LAFs!H$252/(24*Input!$F$14)*1000</f>
        <v>713900.85200774996</v>
      </c>
      <c r="I51" s="25">
        <f>(Loads!$B$309*Multi!I$596+Loads!$C$309*Multi!I$622+Loads!$D$309*Multi!I$639)*LAFs!I$252/(24*Input!$F$14)*1000</f>
        <v>0</v>
      </c>
      <c r="J51" s="25">
        <f>(Loads!$B$309*Multi!J$596+Loads!$C$309*Multi!J$622+Loads!$D$309*Multi!J$639)*LAFs!J$252/(24*Input!$F$14)*1000</f>
        <v>0</v>
      </c>
      <c r="K51" s="6"/>
    </row>
    <row r="52" spans="1:11" x14ac:dyDescent="0.2">
      <c r="A52" s="5" t="s">
        <v>74</v>
      </c>
      <c r="B52" s="25">
        <f>(Loads!$B$310*Multi!B$597+Loads!$C$310*Multi!B$623+Loads!$D$310*Multi!B$640)*LAFs!B$253/(24*Input!$F$14)*1000</f>
        <v>0</v>
      </c>
      <c r="C52" s="25">
        <f>(Loads!$B$310*Multi!C$597+Loads!$C$310*Multi!C$623+Loads!$D$310*Multi!C$640)*LAFs!C$253/(24*Input!$F$14)*1000</f>
        <v>0</v>
      </c>
      <c r="D52" s="25">
        <f>(Loads!$B$310*Multi!D$597+Loads!$C$310*Multi!D$623+Loads!$D$310*Multi!D$640)*LAFs!D$253/(24*Input!$F$14)*1000</f>
        <v>0</v>
      </c>
      <c r="E52" s="25">
        <f>(Loads!$B$310*Multi!E$597+Loads!$C$310*Multi!E$623+Loads!$D$310*Multi!E$640)*LAFs!E$253/(24*Input!$F$14)*1000</f>
        <v>0</v>
      </c>
      <c r="F52" s="25">
        <f>(Loads!$B$310*Multi!F$597+Loads!$C$310*Multi!F$623+Loads!$D$310*Multi!F$640)*LAFs!F$253/(24*Input!$F$14)*1000</f>
        <v>0</v>
      </c>
      <c r="G52" s="25">
        <f>(Loads!$B$310*Multi!G$597+Loads!$C$310*Multi!G$623+Loads!$D$310*Multi!G$640)*LAFs!G$253/(24*Input!$F$14)*1000</f>
        <v>0</v>
      </c>
      <c r="H52" s="25">
        <f>(Loads!$B$310*Multi!H$597+Loads!$C$310*Multi!H$623+Loads!$D$310*Multi!H$640)*LAFs!H$253/(24*Input!$F$14)*1000</f>
        <v>0</v>
      </c>
      <c r="I52" s="25">
        <f>(Loads!$B$310*Multi!I$597+Loads!$C$310*Multi!I$623+Loads!$D$310*Multi!I$640)*LAFs!I$253/(24*Input!$F$14)*1000</f>
        <v>0</v>
      </c>
      <c r="J52" s="25">
        <f>(Loads!$B$310*Multi!J$597+Loads!$C$310*Multi!J$623+Loads!$D$310*Multi!J$640)*LAFs!J$253/(24*Input!$F$14)*1000</f>
        <v>0</v>
      </c>
      <c r="K52" s="6"/>
    </row>
    <row r="53" spans="1:11" x14ac:dyDescent="0.2">
      <c r="A53" s="5" t="s">
        <v>64</v>
      </c>
      <c r="B53" s="25">
        <f>(Loads!$B$319*Multi!B$598+Loads!$C$319*Multi!B$624+Loads!$D$319*Multi!B$641)*LAFs!B$262/(24*Input!$F$14)*1000</f>
        <v>-66.441535125812024</v>
      </c>
      <c r="C53" s="25">
        <f>(Loads!$B$319*Multi!C$598+Loads!$C$319*Multi!C$624+Loads!$D$319*Multi!C$641)*LAFs!C$262/(24*Input!$F$14)*1000</f>
        <v>-61.262100679353253</v>
      </c>
      <c r="D53" s="25">
        <f>(Loads!$B$319*Multi!D$598+Loads!$C$319*Multi!D$624+Loads!$D$319*Multi!D$641)*LAFs!D$262/(24*Input!$F$14)*1000</f>
        <v>-60.960316932164332</v>
      </c>
      <c r="E53" s="25">
        <f>(Loads!$B$319*Multi!E$598+Loads!$C$319*Multi!E$624+Loads!$D$319*Multi!E$641)*LAFs!E$262/(24*Input!$F$14)*1000</f>
        <v>-57.570098285471815</v>
      </c>
      <c r="F53" s="25">
        <f>(Loads!$B$319*Multi!F$598+Loads!$C$319*Multi!F$624+Loads!$D$319*Multi!F$641)*LAFs!F$262/(24*Input!$F$14)*1000</f>
        <v>-57.233758860240236</v>
      </c>
      <c r="G53" s="25">
        <f>(Loads!$B$319*Multi!G$598+Loads!$C$319*Multi!G$624+Loads!$D$319*Multi!G$641)*LAFs!G$262/(24*Input!$F$14)*1000</f>
        <v>0</v>
      </c>
      <c r="H53" s="25">
        <f>(Loads!$B$319*Multi!H$598+Loads!$C$319*Multi!H$624+Loads!$D$319*Multi!H$641)*LAFs!H$262/(24*Input!$F$14)*1000</f>
        <v>-56.57273373384669</v>
      </c>
      <c r="I53" s="25">
        <f>(Loads!$B$319*Multi!I$598+Loads!$C$319*Multi!I$624+Loads!$D$319*Multi!I$641)*LAFs!I$262/(24*Input!$F$14)*1000</f>
        <v>-55.873641016603337</v>
      </c>
      <c r="J53" s="25">
        <f>(Loads!$B$319*Multi!J$598+Loads!$C$319*Multi!J$624+Loads!$D$319*Multi!J$641)*LAFs!J$262/(24*Input!$F$14)*1000</f>
        <v>0</v>
      </c>
      <c r="K53" s="6"/>
    </row>
    <row r="54" spans="1:11" x14ac:dyDescent="0.2">
      <c r="A54" s="5" t="s">
        <v>66</v>
      </c>
      <c r="B54" s="25">
        <f>(Loads!$B$321*Multi!B$599+Loads!$C$321*Multi!B$625+Loads!$D$321*Multi!B$642)*LAFs!B$264/(24*Input!$F$14)*1000</f>
        <v>-292.80561573041291</v>
      </c>
      <c r="C54" s="25">
        <f>(Loads!$B$321*Multi!C$599+Loads!$C$321*Multi!C$625+Loads!$D$321*Multi!C$642)*LAFs!C$264/(24*Input!$F$14)*1000</f>
        <v>-259.84949011925107</v>
      </c>
      <c r="D54" s="25">
        <f>(Loads!$B$321*Multi!D$599+Loads!$C$321*Multi!D$625+Loads!$D$321*Multi!D$642)*LAFs!D$264/(24*Input!$F$14)*1000</f>
        <v>-258.56944336989523</v>
      </c>
      <c r="E54" s="25">
        <f>(Loads!$B$321*Multi!E$599+Loads!$C$321*Multi!E$625+Loads!$D$321*Multi!E$642)*LAFs!E$264/(24*Input!$F$14)*1000</f>
        <v>-236.84155440303664</v>
      </c>
      <c r="F54" s="25">
        <f>(Loads!$B$321*Multi!F$599+Loads!$C$321*Multi!F$625+Loads!$D$321*Multi!F$642)*LAFs!F$264/(24*Input!$F$14)*1000</f>
        <v>-235.45786469863725</v>
      </c>
      <c r="G54" s="25">
        <f>(Loads!$B$321*Multi!G$599+Loads!$C$321*Multi!G$625+Loads!$D$321*Multi!G$642)*LAFs!G$264/(24*Input!$F$14)*1000</f>
        <v>0</v>
      </c>
      <c r="H54" s="25">
        <f>(Loads!$B$321*Multi!H$599+Loads!$C$321*Multi!H$625+Loads!$D$321*Multi!H$642)*LAFs!H$264/(24*Input!$F$14)*1000</f>
        <v>-232.73842834023139</v>
      </c>
      <c r="I54" s="25">
        <f>(Loads!$B$321*Multi!I$599+Loads!$C$321*Multi!I$625+Loads!$D$321*Multi!I$642)*LAFs!I$264/(24*Input!$F$14)*1000</f>
        <v>0</v>
      </c>
      <c r="J54" s="25">
        <f>(Loads!$B$321*Multi!J$599+Loads!$C$321*Multi!J$625+Loads!$D$321*Multi!J$642)*LAFs!J$264/(24*Input!$F$14)*1000</f>
        <v>0</v>
      </c>
      <c r="K54" s="6"/>
    </row>
    <row r="55" spans="1:11" x14ac:dyDescent="0.2">
      <c r="A55" s="5" t="s">
        <v>76</v>
      </c>
      <c r="B55" s="25">
        <f>(Loads!$B$323*Multi!B$600+Loads!$C$323*Multi!B$626+Loads!$D$323*Multi!B$643)*LAFs!B$266/(24*Input!$F$14)*1000</f>
        <v>-60075.688622414928</v>
      </c>
      <c r="C55" s="25">
        <f>(Loads!$B$323*Multi!C$600+Loads!$C$323*Multi!C$626+Loads!$D$323*Multi!C$643)*LAFs!C$266/(24*Input!$F$14)*1000</f>
        <v>-59385.871771069462</v>
      </c>
      <c r="D55" s="25">
        <f>(Loads!$B$323*Multi!D$600+Loads!$C$323*Multi!D$626+Loads!$D$323*Multi!D$643)*LAFs!D$266/(24*Input!$F$14)*1000</f>
        <v>-59093.33053081789</v>
      </c>
      <c r="E55" s="25">
        <f>(Loads!$B$323*Multi!E$600+Loads!$C$323*Multi!E$626+Loads!$D$323*Multi!E$643)*LAFs!E$266/(24*Input!$F$14)*1000</f>
        <v>-58657.707000134091</v>
      </c>
      <c r="F55" s="25">
        <f>(Loads!$B$323*Multi!F$600+Loads!$C$323*Multi!F$626+Loads!$D$323*Multi!F$643)*LAFs!F$266/(24*Input!$F$14)*1000</f>
        <v>-58315.013483093389</v>
      </c>
      <c r="G55" s="25">
        <f>(Loads!$B$323*Multi!G$600+Loads!$C$323*Multi!G$626+Loads!$D$323*Multi!G$643)*LAFs!G$266/(24*Input!$F$14)*1000</f>
        <v>0</v>
      </c>
      <c r="H55" s="25">
        <f>(Loads!$B$323*Multi!H$600+Loads!$C$323*Multi!H$626+Loads!$D$323*Multi!H$643)*LAFs!H$266/(24*Input!$F$14)*1000</f>
        <v>0</v>
      </c>
      <c r="I55" s="25">
        <f>(Loads!$B$323*Multi!I$600+Loads!$C$323*Multi!I$626+Loads!$D$323*Multi!I$643)*LAFs!I$266/(24*Input!$F$14)*1000</f>
        <v>0</v>
      </c>
      <c r="J55" s="25">
        <f>(Loads!$B$323*Multi!J$600+Loads!$C$323*Multi!J$626+Loads!$D$323*Multi!J$643)*LAFs!J$266/(24*Input!$F$14)*1000</f>
        <v>0</v>
      </c>
      <c r="K55" s="6"/>
    </row>
    <row r="56" spans="1:11" x14ac:dyDescent="0.2">
      <c r="A56" s="5" t="s">
        <v>78</v>
      </c>
      <c r="B56" s="25">
        <f>(Loads!$B$325*Multi!B$601+Loads!$C$325*Multi!B$627+Loads!$D$325*Multi!B$644)*LAFs!B$268/(24*Input!$F$14)*1000</f>
        <v>0</v>
      </c>
      <c r="C56" s="25">
        <f>(Loads!$B$325*Multi!C$601+Loads!$C$325*Multi!C$627+Loads!$D$325*Multi!C$644)*LAFs!C$268/(24*Input!$F$14)*1000</f>
        <v>0</v>
      </c>
      <c r="D56" s="25">
        <f>(Loads!$B$325*Multi!D$601+Loads!$C$325*Multi!D$627+Loads!$D$325*Multi!D$644)*LAFs!D$268/(24*Input!$F$14)*1000</f>
        <v>0</v>
      </c>
      <c r="E56" s="25">
        <f>(Loads!$B$325*Multi!E$601+Loads!$C$325*Multi!E$627+Loads!$D$325*Multi!E$644)*LAFs!E$268/(24*Input!$F$14)*1000</f>
        <v>0</v>
      </c>
      <c r="F56" s="25">
        <f>(Loads!$B$325*Multi!F$601+Loads!$C$325*Multi!F$627+Loads!$D$325*Multi!F$644)*LAFs!F$268/(24*Input!$F$14)*1000</f>
        <v>0</v>
      </c>
      <c r="G56" s="25">
        <f>(Loads!$B$325*Multi!G$601+Loads!$C$325*Multi!G$627+Loads!$D$325*Multi!G$644)*LAFs!G$268/(24*Input!$F$14)*1000</f>
        <v>0</v>
      </c>
      <c r="H56" s="25">
        <f>(Loads!$B$325*Multi!H$601+Loads!$C$325*Multi!H$627+Loads!$D$325*Multi!H$644)*LAFs!H$268/(24*Input!$F$14)*1000</f>
        <v>0</v>
      </c>
      <c r="I56" s="25">
        <f>(Loads!$B$325*Multi!I$601+Loads!$C$325*Multi!I$627+Loads!$D$325*Multi!I$644)*LAFs!I$268/(24*Input!$F$14)*1000</f>
        <v>0</v>
      </c>
      <c r="J56" s="25">
        <f>(Loads!$B$325*Multi!J$601+Loads!$C$325*Multi!J$627+Loads!$D$325*Multi!J$644)*LAFs!J$268/(24*Input!$F$14)*1000</f>
        <v>0</v>
      </c>
      <c r="K56" s="6"/>
    </row>
    <row r="57" spans="1:11" x14ac:dyDescent="0.2">
      <c r="A57" s="5" t="s">
        <v>100</v>
      </c>
      <c r="B57" s="25">
        <f>(Loads!$B$315*Multi!B$606+Loads!$C$315*Multi!B$628+Loads!$D$315*Multi!B$645)*LAFs!B$258/(24*Input!$F$14)*1000</f>
        <v>46419.981285459755</v>
      </c>
      <c r="C57" s="25">
        <f>(Loads!$B$315*Multi!C$606+Loads!$C$315*Multi!C$628+Loads!$D$315*Multi!C$645)*LAFs!C$258/(24*Input!$F$14)*1000</f>
        <v>41925.537150503274</v>
      </c>
      <c r="D57" s="25">
        <f>(Loads!$B$315*Multi!D$606+Loads!$C$315*Multi!D$628+Loads!$D$315*Multi!D$645)*LAFs!D$258/(24*Input!$F$14)*1000</f>
        <v>41719.007410845617</v>
      </c>
      <c r="E57" s="25">
        <f>(Loads!$B$315*Multi!E$606+Loads!$C$315*Multi!E$628+Loads!$D$315*Multi!E$645)*LAFs!E$258/(24*Input!$F$14)*1000</f>
        <v>39705.383790342945</v>
      </c>
      <c r="F57" s="25">
        <f>(Loads!$B$315*Multi!F$606+Loads!$C$315*Multi!F$628+Loads!$D$315*Multi!F$645)*LAFs!F$258/(24*Input!$F$14)*1000</f>
        <v>39473.414654274726</v>
      </c>
      <c r="G57" s="25">
        <f>(Loads!$B$315*Multi!G$606+Loads!$C$315*Multi!G$628+Loads!$D$315*Multi!G$645)*LAFs!G$258/(24*Input!$F$14)*1000</f>
        <v>0</v>
      </c>
      <c r="H57" s="25">
        <f>(Loads!$B$315*Multi!H$606+Loads!$C$315*Multi!H$628+Loads!$D$315*Multi!H$645)*LAFs!H$258/(24*Input!$F$14)*1000</f>
        <v>39017.513811299461</v>
      </c>
      <c r="I57" s="25">
        <f>(Loads!$B$315*Multi!I$606+Loads!$C$315*Multi!I$628+Loads!$D$315*Multi!I$645)*LAFs!I$258/(24*Input!$F$14)*1000</f>
        <v>38535.358222376548</v>
      </c>
      <c r="J57" s="25">
        <f>(Loads!$B$315*Multi!J$606+Loads!$C$315*Multi!J$628+Loads!$D$315*Multi!J$645)*LAFs!J$258/(24*Input!$F$14)*1000</f>
        <v>36786.929990871264</v>
      </c>
      <c r="K57" s="6"/>
    </row>
    <row r="59" spans="1:11" ht="16.5" x14ac:dyDescent="0.25">
      <c r="A59" s="3" t="s">
        <v>631</v>
      </c>
    </row>
    <row r="60" spans="1:11" x14ac:dyDescent="0.2">
      <c r="A60" s="10" t="s">
        <v>238</v>
      </c>
    </row>
    <row r="61" spans="1:11" x14ac:dyDescent="0.2">
      <c r="A61" s="11" t="s">
        <v>461</v>
      </c>
    </row>
    <row r="62" spans="1:11" x14ac:dyDescent="0.2">
      <c r="A62" s="11" t="s">
        <v>632</v>
      </c>
    </row>
    <row r="63" spans="1:11" x14ac:dyDescent="0.2">
      <c r="A63" s="11" t="s">
        <v>619</v>
      </c>
    </row>
    <row r="64" spans="1:11" x14ac:dyDescent="0.2">
      <c r="A64" s="11" t="s">
        <v>439</v>
      </c>
    </row>
    <row r="65" spans="1:11" x14ac:dyDescent="0.2">
      <c r="A65" s="10" t="s">
        <v>633</v>
      </c>
    </row>
    <row r="67" spans="1:11" x14ac:dyDescent="0.2">
      <c r="B67" s="4" t="s">
        <v>21</v>
      </c>
      <c r="C67" s="4" t="s">
        <v>22</v>
      </c>
      <c r="D67" s="4" t="s">
        <v>23</v>
      </c>
      <c r="E67" s="4" t="s">
        <v>24</v>
      </c>
      <c r="F67" s="4" t="s">
        <v>25</v>
      </c>
      <c r="G67" s="4" t="s">
        <v>30</v>
      </c>
      <c r="H67" s="4" t="s">
        <v>26</v>
      </c>
      <c r="I67" s="4" t="s">
        <v>27</v>
      </c>
      <c r="J67" s="4" t="s">
        <v>28</v>
      </c>
    </row>
    <row r="68" spans="1:11" x14ac:dyDescent="0.2">
      <c r="A68" s="5" t="s">
        <v>53</v>
      </c>
      <c r="B68" s="25">
        <f>Multi!$B115*Loads!$B45*LAFs!B241/(24*Input!$F$14)*1000</f>
        <v>2040306.4745290354</v>
      </c>
      <c r="C68" s="25">
        <f>Multi!$B115*Loads!$B45*LAFs!C241/(24*Input!$F$14)*1000</f>
        <v>2020105.4203257773</v>
      </c>
      <c r="D68" s="25">
        <f>Multi!$B115*Loads!$B45*LAFs!D241/(24*Input!$F$14)*1000</f>
        <v>2010154.1620975719</v>
      </c>
      <c r="E68" s="25">
        <f>Multi!$B115*Loads!$B45*LAFs!E241/(24*Input!$F$14)*1000</f>
        <v>1998341.3070803483</v>
      </c>
      <c r="F68" s="25">
        <f>Multi!$B115*Loads!$B45*LAFs!F241/(24*Input!$F$14)*1000</f>
        <v>1986666.4795803654</v>
      </c>
      <c r="G68" s="25">
        <f>Multi!$B115*Loads!$B45*LAFs!G241/(24*Input!$F$14)*1000</f>
        <v>0</v>
      </c>
      <c r="H68" s="25">
        <f>Multi!$B115*Loads!$B45*LAFs!H241/(24*Input!$F$14)*1000</f>
        <v>1963721.3421838647</v>
      </c>
      <c r="I68" s="25">
        <f>Multi!$B115*Loads!$B45*LAFs!I241/(24*Input!$F$14)*1000</f>
        <v>1939454.8236968012</v>
      </c>
      <c r="J68" s="25">
        <f>Multi!$B115*Loads!$B45*LAFs!J241/(24*Input!$F$14)*1000</f>
        <v>1851457.7808793422</v>
      </c>
      <c r="K68" s="6"/>
    </row>
    <row r="69" spans="1:11" x14ac:dyDescent="0.2">
      <c r="A69" s="5" t="s">
        <v>54</v>
      </c>
      <c r="B69" s="25">
        <f>Multi!$B116*Loads!$B46*LAFs!B242/(24*Input!$F$14)*1000</f>
        <v>214361.64014740192</v>
      </c>
      <c r="C69" s="25">
        <f>Multi!$B116*Loads!$B46*LAFs!C242/(24*Input!$F$14)*1000</f>
        <v>212239.24767069495</v>
      </c>
      <c r="D69" s="25">
        <f>Multi!$B116*Loads!$B46*LAFs!D242/(24*Input!$F$14)*1000</f>
        <v>211193.7341353714</v>
      </c>
      <c r="E69" s="25">
        <f>Multi!$B116*Loads!$B46*LAFs!E242/(24*Input!$F$14)*1000</f>
        <v>209952.63481626048</v>
      </c>
      <c r="F69" s="25">
        <f>Multi!$B116*Loads!$B46*LAFs!F242/(24*Input!$F$14)*1000</f>
        <v>208726.03714450044</v>
      </c>
      <c r="G69" s="25">
        <f>Multi!$B116*Loads!$B46*LAFs!G242/(24*Input!$F$14)*1000</f>
        <v>0</v>
      </c>
      <c r="H69" s="25">
        <f>Multi!$B116*Loads!$B46*LAFs!H242/(24*Input!$F$14)*1000</f>
        <v>206315.34181655623</v>
      </c>
      <c r="I69" s="25">
        <f>Multi!$B116*Loads!$B46*LAFs!I242/(24*Input!$F$14)*1000</f>
        <v>203765.8176306102</v>
      </c>
      <c r="J69" s="25">
        <f>Multi!$B116*Loads!$B46*LAFs!J242/(24*Input!$F$14)*1000</f>
        <v>194520.54459836835</v>
      </c>
      <c r="K69" s="6"/>
    </row>
    <row r="70" spans="1:11" x14ac:dyDescent="0.2">
      <c r="A70" s="5" t="s">
        <v>94</v>
      </c>
      <c r="B70" s="25">
        <f>Multi!$B117*Loads!$B47*LAFs!B243/(24*Input!$F$14)*1000</f>
        <v>0</v>
      </c>
      <c r="C70" s="25">
        <f>Multi!$B117*Loads!$B47*LAFs!C243/(24*Input!$F$14)*1000</f>
        <v>0</v>
      </c>
      <c r="D70" s="25">
        <f>Multi!$B117*Loads!$B47*LAFs!D243/(24*Input!$F$14)*1000</f>
        <v>0</v>
      </c>
      <c r="E70" s="25">
        <f>Multi!$B117*Loads!$B47*LAFs!E243/(24*Input!$F$14)*1000</f>
        <v>0</v>
      </c>
      <c r="F70" s="25">
        <f>Multi!$B117*Loads!$B47*LAFs!F243/(24*Input!$F$14)*1000</f>
        <v>0</v>
      </c>
      <c r="G70" s="25">
        <f>Multi!$B117*Loads!$B47*LAFs!G243/(24*Input!$F$14)*1000</f>
        <v>0</v>
      </c>
      <c r="H70" s="25">
        <f>Multi!$B117*Loads!$B47*LAFs!H243/(24*Input!$F$14)*1000</f>
        <v>0</v>
      </c>
      <c r="I70" s="25">
        <f>Multi!$B117*Loads!$B47*LAFs!I243/(24*Input!$F$14)*1000</f>
        <v>0</v>
      </c>
      <c r="J70" s="25">
        <f>Multi!$B117*Loads!$B47*LAFs!J243/(24*Input!$F$14)*1000</f>
        <v>0</v>
      </c>
      <c r="K70" s="6"/>
    </row>
    <row r="71" spans="1:11" x14ac:dyDescent="0.2">
      <c r="A71" s="5" t="s">
        <v>55</v>
      </c>
      <c r="B71" s="25">
        <f>Multi!$B118*Loads!$B48*LAFs!B244/(24*Input!$F$14)*1000</f>
        <v>407657.2580291109</v>
      </c>
      <c r="C71" s="25">
        <f>Multi!$B118*Loads!$B48*LAFs!C244/(24*Input!$F$14)*1000</f>
        <v>403621.04755357513</v>
      </c>
      <c r="D71" s="25">
        <f>Multi!$B118*Loads!$B48*LAFs!D244/(24*Input!$F$14)*1000</f>
        <v>401632.76653114374</v>
      </c>
      <c r="E71" s="25">
        <f>Multi!$B118*Loads!$B48*LAFs!E244/(24*Input!$F$14)*1000</f>
        <v>399272.53479834564</v>
      </c>
      <c r="F71" s="25">
        <f>Multi!$B118*Loads!$B48*LAFs!F244/(24*Input!$F$14)*1000</f>
        <v>396939.88123574579</v>
      </c>
      <c r="G71" s="25">
        <f>Multi!$B118*Loads!$B48*LAFs!G244/(24*Input!$F$14)*1000</f>
        <v>0</v>
      </c>
      <c r="H71" s="25">
        <f>Multi!$B118*Loads!$B48*LAFs!H244/(24*Input!$F$14)*1000</f>
        <v>392355.39752561197</v>
      </c>
      <c r="I71" s="25">
        <f>Multi!$B118*Loads!$B48*LAFs!I244/(24*Input!$F$14)*1000</f>
        <v>387506.89926721563</v>
      </c>
      <c r="J71" s="25">
        <f>Multi!$B118*Loads!$B48*LAFs!J244/(24*Input!$F$14)*1000</f>
        <v>369924.91654184292</v>
      </c>
      <c r="K71" s="6"/>
    </row>
    <row r="72" spans="1:11" x14ac:dyDescent="0.2">
      <c r="A72" s="5" t="s">
        <v>56</v>
      </c>
      <c r="B72" s="25">
        <f>Multi!$B119*Loads!$B49*LAFs!B245/(24*Input!$F$14)*1000</f>
        <v>141270.60754157326</v>
      </c>
      <c r="C72" s="25">
        <f>Multi!$B119*Loads!$B49*LAFs!C245/(24*Input!$F$14)*1000</f>
        <v>139871.88865502301</v>
      </c>
      <c r="D72" s="25">
        <f>Multi!$B119*Loads!$B49*LAFs!D245/(24*Input!$F$14)*1000</f>
        <v>139182.86457297858</v>
      </c>
      <c r="E72" s="25">
        <f>Multi!$B119*Loads!$B49*LAFs!E245/(24*Input!$F$14)*1000</f>
        <v>138364.94372338225</v>
      </c>
      <c r="F72" s="25">
        <f>Multi!$B119*Loads!$B49*LAFs!F245/(24*Input!$F$14)*1000</f>
        <v>137556.57988468674</v>
      </c>
      <c r="G72" s="25">
        <f>Multi!$B119*Loads!$B49*LAFs!G245/(24*Input!$F$14)*1000</f>
        <v>0</v>
      </c>
      <c r="H72" s="25">
        <f>Multi!$B119*Loads!$B49*LAFs!H245/(24*Input!$F$14)*1000</f>
        <v>135967.86096397814</v>
      </c>
      <c r="I72" s="25">
        <f>Multi!$B119*Loads!$B49*LAFs!I245/(24*Input!$F$14)*1000</f>
        <v>134287.64975434719</v>
      </c>
      <c r="J72" s="25">
        <f>Multi!$B119*Loads!$B49*LAFs!J245/(24*Input!$F$14)*1000</f>
        <v>128194.74368563814</v>
      </c>
      <c r="K72" s="6"/>
    </row>
    <row r="73" spans="1:11" x14ac:dyDescent="0.2">
      <c r="A73" s="5" t="s">
        <v>95</v>
      </c>
      <c r="B73" s="25">
        <f>Multi!$B120*Loads!$B50*LAFs!B246/(24*Input!$F$14)*1000</f>
        <v>0</v>
      </c>
      <c r="C73" s="25">
        <f>Multi!$B120*Loads!$B50*LAFs!C246/(24*Input!$F$14)*1000</f>
        <v>0</v>
      </c>
      <c r="D73" s="25">
        <f>Multi!$B120*Loads!$B50*LAFs!D246/(24*Input!$F$14)*1000</f>
        <v>0</v>
      </c>
      <c r="E73" s="25">
        <f>Multi!$B120*Loads!$B50*LAFs!E246/(24*Input!$F$14)*1000</f>
        <v>0</v>
      </c>
      <c r="F73" s="25">
        <f>Multi!$B120*Loads!$B50*LAFs!F246/(24*Input!$F$14)*1000</f>
        <v>0</v>
      </c>
      <c r="G73" s="25">
        <f>Multi!$B120*Loads!$B50*LAFs!G246/(24*Input!$F$14)*1000</f>
        <v>0</v>
      </c>
      <c r="H73" s="25">
        <f>Multi!$B120*Loads!$B50*LAFs!H246/(24*Input!$F$14)*1000</f>
        <v>0</v>
      </c>
      <c r="I73" s="25">
        <f>Multi!$B120*Loads!$B50*LAFs!I246/(24*Input!$F$14)*1000</f>
        <v>0</v>
      </c>
      <c r="J73" s="25">
        <f>Multi!$B120*Loads!$B50*LAFs!J246/(24*Input!$F$14)*1000</f>
        <v>0</v>
      </c>
      <c r="K73" s="6"/>
    </row>
    <row r="74" spans="1:11" x14ac:dyDescent="0.2">
      <c r="A74" s="5" t="s">
        <v>57</v>
      </c>
      <c r="B74" s="25">
        <f>Multi!$B121*Loads!$B51*LAFs!B247/(24*Input!$F$14)*1000</f>
        <v>244232.96593395306</v>
      </c>
      <c r="C74" s="25">
        <f>Multi!$B121*Loads!$B51*LAFs!C247/(24*Input!$F$14)*1000</f>
        <v>241814.81775638918</v>
      </c>
      <c r="D74" s="25">
        <f>Multi!$B121*Loads!$B51*LAFs!D247/(24*Input!$F$14)*1000</f>
        <v>240623.61175758924</v>
      </c>
      <c r="E74" s="25">
        <f>Multi!$B121*Loads!$B51*LAFs!E247/(24*Input!$F$14)*1000</f>
        <v>239209.56506753486</v>
      </c>
      <c r="F74" s="25">
        <f>Multi!$B121*Loads!$B51*LAFs!F247/(24*Input!$F$14)*1000</f>
        <v>237812.04083150253</v>
      </c>
      <c r="G74" s="25">
        <f>Multi!$B121*Loads!$B51*LAFs!G247/(24*Input!$F$14)*1000</f>
        <v>0</v>
      </c>
      <c r="H74" s="25">
        <f>Multi!$B121*Loads!$B51*LAFs!H247/(24*Input!$F$14)*1000</f>
        <v>235065.4147583764</v>
      </c>
      <c r="I74" s="25">
        <f>Multi!$B121*Loads!$B51*LAFs!I247/(24*Input!$F$14)*1000</f>
        <v>232160.6140056588</v>
      </c>
      <c r="J74" s="25">
        <f>Multi!$B121*Loads!$B51*LAFs!J247/(24*Input!$F$14)*1000</f>
        <v>221627.01082935848</v>
      </c>
      <c r="K74" s="6"/>
    </row>
    <row r="75" spans="1:11" x14ac:dyDescent="0.2">
      <c r="A75" s="5" t="s">
        <v>58</v>
      </c>
      <c r="B75" s="25">
        <f>Multi!$B122*Loads!$B52*LAFs!B248/(24*Input!$F$14)*1000</f>
        <v>7880.3375423456273</v>
      </c>
      <c r="C75" s="25">
        <f>Multi!$B122*Loads!$B52*LAFs!C248/(24*Input!$F$14)*1000</f>
        <v>7802.3143983620075</v>
      </c>
      <c r="D75" s="25">
        <f>Multi!$B122*Loads!$B52*LAFs!D248/(24*Input!$F$14)*1000</f>
        <v>7763.8793520646586</v>
      </c>
      <c r="E75" s="25">
        <f>Multi!$B122*Loads!$B52*LAFs!E248/(24*Input!$F$14)*1000</f>
        <v>7718.2542040603585</v>
      </c>
      <c r="F75" s="25">
        <f>Multi!$B122*Loads!$B52*LAFs!F248/(24*Input!$F$14)*1000</f>
        <v>7673.1621639197938</v>
      </c>
      <c r="G75" s="25">
        <f>Multi!$B122*Loads!$B52*LAFs!G248/(24*Input!$F$14)*1000</f>
        <v>0</v>
      </c>
      <c r="H75" s="25">
        <f>Multi!$B122*Loads!$B52*LAFs!H248/(24*Input!$F$14)*1000</f>
        <v>7584.5404642402555</v>
      </c>
      <c r="I75" s="25">
        <f>Multi!$B122*Loads!$B52*LAFs!I248/(24*Input!$F$14)*1000</f>
        <v>7490.8151543209369</v>
      </c>
      <c r="J75" s="25">
        <f>Multi!$B122*Loads!$B52*LAFs!J248/(24*Input!$F$14)*1000</f>
        <v>0</v>
      </c>
      <c r="K75" s="6"/>
    </row>
    <row r="76" spans="1:11" x14ac:dyDescent="0.2">
      <c r="A76" s="5" t="s">
        <v>72</v>
      </c>
      <c r="B76" s="25">
        <f>Multi!$B123*Loads!$B53*LAFs!B249/(24*Input!$F$14)*1000</f>
        <v>2047.0895483548741</v>
      </c>
      <c r="C76" s="25">
        <f>Multi!$B123*Loads!$B53*LAFs!C249/(24*Input!$F$14)*1000</f>
        <v>2026.8213350048256</v>
      </c>
      <c r="D76" s="25">
        <f>Multi!$B123*Loads!$B53*LAFs!D249/(24*Input!$F$14)*1000</f>
        <v>2016.8369934530776</v>
      </c>
      <c r="E76" s="25">
        <f>Multi!$B123*Loads!$B53*LAFs!E249/(24*Input!$F$14)*1000</f>
        <v>2004.9848661654007</v>
      </c>
      <c r="F76" s="25">
        <f>Multi!$B123*Loads!$B53*LAFs!F249/(24*Input!$F$14)*1000</f>
        <v>1993.2712252725164</v>
      </c>
      <c r="G76" s="25">
        <f>Multi!$B123*Loads!$B53*LAFs!G249/(24*Input!$F$14)*1000</f>
        <v>0</v>
      </c>
      <c r="H76" s="25">
        <f>Multi!$B123*Loads!$B53*LAFs!H249/(24*Input!$F$14)*1000</f>
        <v>1970.2498059238442</v>
      </c>
      <c r="I76" s="25">
        <f>Multi!$B123*Loads!$B53*LAFs!I249/(24*Input!$F$14)*1000</f>
        <v>0</v>
      </c>
      <c r="J76" s="25">
        <f>Multi!$B123*Loads!$B53*LAFs!J249/(24*Input!$F$14)*1000</f>
        <v>0</v>
      </c>
      <c r="K76" s="6"/>
    </row>
    <row r="77" spans="1:11" x14ac:dyDescent="0.2">
      <c r="A77" s="5" t="s">
        <v>59</v>
      </c>
      <c r="B77" s="25">
        <f>Multi!$B124*Loads!$B54*LAFs!B250/(24*Input!$F$14)*1000</f>
        <v>232697.85598795826</v>
      </c>
      <c r="C77" s="25">
        <f>Multi!$B124*Loads!$B54*LAFs!C250/(24*Input!$F$14)*1000</f>
        <v>230393.91681976063</v>
      </c>
      <c r="D77" s="25">
        <f>Multi!$B124*Loads!$B54*LAFs!D250/(24*Input!$F$14)*1000</f>
        <v>229258.97141670765</v>
      </c>
      <c r="E77" s="25">
        <f>Multi!$B124*Loads!$B54*LAFs!E250/(24*Input!$F$14)*1000</f>
        <v>227911.71007635482</v>
      </c>
      <c r="F77" s="25">
        <f>Multi!$B124*Loads!$B54*LAFs!F250/(24*Input!$F$14)*1000</f>
        <v>226580.19083540241</v>
      </c>
      <c r="G77" s="25">
        <f>Multi!$B124*Loads!$B54*LAFs!G250/(24*Input!$F$14)*1000</f>
        <v>0</v>
      </c>
      <c r="H77" s="25">
        <f>Multi!$B124*Loads!$B54*LAFs!H250/(24*Input!$F$14)*1000</f>
        <v>223963.28776511861</v>
      </c>
      <c r="I77" s="25">
        <f>Multi!$B124*Loads!$B54*LAFs!I250/(24*Input!$F$14)*1000</f>
        <v>221195.68059691845</v>
      </c>
      <c r="J77" s="25">
        <f>Multi!$B124*Loads!$B54*LAFs!J250/(24*Input!$F$14)*1000</f>
        <v>211159.57893644122</v>
      </c>
      <c r="K77" s="6"/>
    </row>
    <row r="78" spans="1:11" x14ac:dyDescent="0.2">
      <c r="A78" s="5" t="s">
        <v>60</v>
      </c>
      <c r="B78" s="25">
        <f>Multi!$B125*Loads!$B55*LAFs!B251/(24*Input!$F$14)*1000</f>
        <v>213078.47341094085</v>
      </c>
      <c r="C78" s="25">
        <f>Multi!$B125*Loads!$B55*LAFs!C251/(24*Input!$F$14)*1000</f>
        <v>210968.785555387</v>
      </c>
      <c r="D78" s="25">
        <f>Multi!$B125*Loads!$B55*LAFs!D251/(24*Input!$F$14)*1000</f>
        <v>209929.53045412895</v>
      </c>
      <c r="E78" s="25">
        <f>Multi!$B125*Loads!$B55*LAFs!E251/(24*Input!$F$14)*1000</f>
        <v>208695.86034372271</v>
      </c>
      <c r="F78" s="25">
        <f>Multi!$B125*Loads!$B55*LAFs!F251/(24*Input!$F$14)*1000</f>
        <v>207476.60507394437</v>
      </c>
      <c r="G78" s="25">
        <f>Multi!$B125*Loads!$B55*LAFs!G251/(24*Input!$F$14)*1000</f>
        <v>0</v>
      </c>
      <c r="H78" s="25">
        <f>Multi!$B125*Loads!$B55*LAFs!H251/(24*Input!$F$14)*1000</f>
        <v>205080.34014527514</v>
      </c>
      <c r="I78" s="25">
        <f>Multi!$B125*Loads!$B55*LAFs!I251/(24*Input!$F$14)*1000</f>
        <v>202546.07738682593</v>
      </c>
      <c r="J78" s="25">
        <f>Multi!$B125*Loads!$B55*LAFs!J251/(24*Input!$F$14)*1000</f>
        <v>0</v>
      </c>
      <c r="K78" s="6"/>
    </row>
    <row r="79" spans="1:11" x14ac:dyDescent="0.2">
      <c r="A79" s="5" t="s">
        <v>73</v>
      </c>
      <c r="B79" s="25">
        <f>Multi!$B126*Loads!$B56*LAFs!B252/(24*Input!$F$14)*1000</f>
        <v>738570.97929797356</v>
      </c>
      <c r="C79" s="25">
        <f>Multi!$B126*Loads!$B56*LAFs!C252/(24*Input!$F$14)*1000</f>
        <v>731258.39534452837</v>
      </c>
      <c r="D79" s="25">
        <f>Multi!$B126*Loads!$B56*LAFs!D252/(24*Input!$F$14)*1000</f>
        <v>727656.13723938295</v>
      </c>
      <c r="E79" s="25">
        <f>Multi!$B126*Loads!$B56*LAFs!E252/(24*Input!$F$14)*1000</f>
        <v>723379.99931241293</v>
      </c>
      <c r="F79" s="25">
        <f>Multi!$B126*Loads!$B56*LAFs!F252/(24*Input!$F$14)*1000</f>
        <v>719153.8259960796</v>
      </c>
      <c r="G79" s="25">
        <f>Multi!$B126*Loads!$B56*LAFs!G252/(24*Input!$F$14)*1000</f>
        <v>0</v>
      </c>
      <c r="H79" s="25">
        <f>Multi!$B126*Loads!$B56*LAFs!H252/(24*Input!$F$14)*1000</f>
        <v>710847.91077764542</v>
      </c>
      <c r="I79" s="25">
        <f>Multi!$B126*Loads!$B56*LAFs!I252/(24*Input!$F$14)*1000</f>
        <v>0</v>
      </c>
      <c r="J79" s="25">
        <f>Multi!$B126*Loads!$B56*LAFs!J252/(24*Input!$F$14)*1000</f>
        <v>0</v>
      </c>
      <c r="K79" s="6"/>
    </row>
    <row r="80" spans="1:11" x14ac:dyDescent="0.2">
      <c r="A80" s="5" t="s">
        <v>74</v>
      </c>
      <c r="B80" s="25">
        <f>Multi!$B127*Loads!$B57*LAFs!B253/(24*Input!$F$14)*1000</f>
        <v>0</v>
      </c>
      <c r="C80" s="25">
        <f>Multi!$B127*Loads!$B57*LAFs!C253/(24*Input!$F$14)*1000</f>
        <v>0</v>
      </c>
      <c r="D80" s="25">
        <f>Multi!$B127*Loads!$B57*LAFs!D253/(24*Input!$F$14)*1000</f>
        <v>0</v>
      </c>
      <c r="E80" s="25">
        <f>Multi!$B127*Loads!$B57*LAFs!E253/(24*Input!$F$14)*1000</f>
        <v>0</v>
      </c>
      <c r="F80" s="25">
        <f>Multi!$B127*Loads!$B57*LAFs!F253/(24*Input!$F$14)*1000</f>
        <v>0</v>
      </c>
      <c r="G80" s="25">
        <f>Multi!$B127*Loads!$B57*LAFs!G253/(24*Input!$F$14)*1000</f>
        <v>0</v>
      </c>
      <c r="H80" s="25">
        <f>Multi!$B127*Loads!$B57*LAFs!H253/(24*Input!$F$14)*1000</f>
        <v>0</v>
      </c>
      <c r="I80" s="25">
        <f>Multi!$B127*Loads!$B57*LAFs!I253/(24*Input!$F$14)*1000</f>
        <v>0</v>
      </c>
      <c r="J80" s="25">
        <f>Multi!$B127*Loads!$B57*LAFs!J253/(24*Input!$F$14)*1000</f>
        <v>0</v>
      </c>
      <c r="K80" s="6"/>
    </row>
    <row r="81" spans="1:11" x14ac:dyDescent="0.2">
      <c r="A81" s="5" t="s">
        <v>96</v>
      </c>
      <c r="B81" s="25">
        <f>Multi!$B128*Loads!$B58*LAFs!B254/(24*Input!$F$14)*1000</f>
        <v>5427.8886132023799</v>
      </c>
      <c r="C81" s="25">
        <f>Multi!$B128*Loads!$B58*LAFs!C254/(24*Input!$F$14)*1000</f>
        <v>5374.1471417845332</v>
      </c>
      <c r="D81" s="25">
        <f>Multi!$B128*Loads!$B58*LAFs!D254/(24*Input!$F$14)*1000</f>
        <v>5347.6735105442158</v>
      </c>
      <c r="E81" s="25">
        <f>Multi!$B128*Loads!$B58*LAFs!E254/(24*Input!$F$14)*1000</f>
        <v>5316.2474174362187</v>
      </c>
      <c r="F81" s="25">
        <f>Multi!$B128*Loads!$B58*LAFs!F254/(24*Input!$F$14)*1000</f>
        <v>5285.1885230792404</v>
      </c>
      <c r="G81" s="25">
        <f>Multi!$B128*Loads!$B58*LAFs!G254/(24*Input!$F$14)*1000</f>
        <v>0</v>
      </c>
      <c r="H81" s="25">
        <f>Multi!$B128*Loads!$B58*LAFs!H254/(24*Input!$F$14)*1000</f>
        <v>5224.1468846991138</v>
      </c>
      <c r="I81" s="25">
        <f>Multi!$B128*Loads!$B58*LAFs!I254/(24*Input!$F$14)*1000</f>
        <v>5159.5899365041614</v>
      </c>
      <c r="J81" s="25">
        <f>Multi!$B128*Loads!$B58*LAFs!J254/(24*Input!$F$14)*1000</f>
        <v>4925.4887597117777</v>
      </c>
      <c r="K81" s="6"/>
    </row>
    <row r="82" spans="1:11" x14ac:dyDescent="0.2">
      <c r="A82" s="5" t="s">
        <v>97</v>
      </c>
      <c r="B82" s="25">
        <f>Multi!$B129*Loads!$B59*LAFs!B255/(24*Input!$F$14)*1000</f>
        <v>3575.0403976159369</v>
      </c>
      <c r="C82" s="25">
        <f>Multi!$B129*Loads!$B59*LAFs!C255/(24*Input!$F$14)*1000</f>
        <v>3539.6439580355814</v>
      </c>
      <c r="D82" s="25">
        <f>Multi!$B129*Loads!$B59*LAFs!D255/(24*Input!$F$14)*1000</f>
        <v>3522.2072882915636</v>
      </c>
      <c r="E82" s="25">
        <f>Multi!$B129*Loads!$B59*LAFs!E255/(24*Input!$F$14)*1000</f>
        <v>3501.508714609145</v>
      </c>
      <c r="F82" s="25">
        <f>Multi!$B129*Loads!$B59*LAFs!F255/(24*Input!$F$14)*1000</f>
        <v>3481.0519937837753</v>
      </c>
      <c r="G82" s="25">
        <f>Multi!$B129*Loads!$B59*LAFs!G255/(24*Input!$F$14)*1000</f>
        <v>0</v>
      </c>
      <c r="H82" s="25">
        <f>Multi!$B129*Loads!$B59*LAFs!H255/(24*Input!$F$14)*1000</f>
        <v>3440.8473509296796</v>
      </c>
      <c r="I82" s="25">
        <f>Multi!$B129*Loads!$B59*LAFs!I255/(24*Input!$F$14)*1000</f>
        <v>3398.3273741596358</v>
      </c>
      <c r="J82" s="25">
        <f>Multi!$B129*Loads!$B59*LAFs!J255/(24*Input!$F$14)*1000</f>
        <v>3244.1382918474924</v>
      </c>
      <c r="K82" s="6"/>
    </row>
    <row r="83" spans="1:11" x14ac:dyDescent="0.2">
      <c r="A83" s="5" t="s">
        <v>98</v>
      </c>
      <c r="B83" s="25">
        <f>Multi!$B130*Loads!$B60*LAFs!B256/(24*Input!$F$14)*1000</f>
        <v>0.67999487691977156</v>
      </c>
      <c r="C83" s="25">
        <f>Multi!$B130*Loads!$B60*LAFs!C256/(24*Input!$F$14)*1000</f>
        <v>0.6732622543760115</v>
      </c>
      <c r="D83" s="25">
        <f>Multi!$B130*Loads!$B60*LAFs!D256/(24*Input!$F$14)*1000</f>
        <v>0.66994569154657302</v>
      </c>
      <c r="E83" s="25">
        <f>Multi!$B130*Loads!$B60*LAFs!E256/(24*Input!$F$14)*1000</f>
        <v>0.66600869433865972</v>
      </c>
      <c r="F83" s="25">
        <f>Multi!$B130*Loads!$B60*LAFs!F256/(24*Input!$F$14)*1000</f>
        <v>0.66211769904554196</v>
      </c>
      <c r="G83" s="25">
        <f>Multi!$B130*Loads!$B60*LAFs!G256/(24*Input!$F$14)*1000</f>
        <v>0</v>
      </c>
      <c r="H83" s="25">
        <f>Multi!$B130*Loads!$B60*LAFs!H256/(24*Input!$F$14)*1000</f>
        <v>0.65447052639054049</v>
      </c>
      <c r="I83" s="25">
        <f>Multi!$B130*Loads!$B60*LAFs!I256/(24*Input!$F$14)*1000</f>
        <v>0.64638296285149377</v>
      </c>
      <c r="J83" s="25">
        <f>Multi!$B130*Loads!$B60*LAFs!J256/(24*Input!$F$14)*1000</f>
        <v>0.6170552422139487</v>
      </c>
      <c r="K83" s="6"/>
    </row>
    <row r="84" spans="1:11" x14ac:dyDescent="0.2">
      <c r="A84" s="5" t="s">
        <v>99</v>
      </c>
      <c r="B84" s="25">
        <f>Multi!$B131*Loads!$B61*LAFs!B257/(24*Input!$F$14)*1000</f>
        <v>0</v>
      </c>
      <c r="C84" s="25">
        <f>Multi!$B131*Loads!$B61*LAFs!C257/(24*Input!$F$14)*1000</f>
        <v>0</v>
      </c>
      <c r="D84" s="25">
        <f>Multi!$B131*Loads!$B61*LAFs!D257/(24*Input!$F$14)*1000</f>
        <v>0</v>
      </c>
      <c r="E84" s="25">
        <f>Multi!$B131*Loads!$B61*LAFs!E257/(24*Input!$F$14)*1000</f>
        <v>0</v>
      </c>
      <c r="F84" s="25">
        <f>Multi!$B131*Loads!$B61*LAFs!F257/(24*Input!$F$14)*1000</f>
        <v>0</v>
      </c>
      <c r="G84" s="25">
        <f>Multi!$B131*Loads!$B61*LAFs!G257/(24*Input!$F$14)*1000</f>
        <v>0</v>
      </c>
      <c r="H84" s="25">
        <f>Multi!$B131*Loads!$B61*LAFs!H257/(24*Input!$F$14)*1000</f>
        <v>0</v>
      </c>
      <c r="I84" s="25">
        <f>Multi!$B131*Loads!$B61*LAFs!I257/(24*Input!$F$14)*1000</f>
        <v>0</v>
      </c>
      <c r="J84" s="25">
        <f>Multi!$B131*Loads!$B61*LAFs!J257/(24*Input!$F$14)*1000</f>
        <v>0</v>
      </c>
      <c r="K84" s="6"/>
    </row>
    <row r="85" spans="1:11" x14ac:dyDescent="0.2">
      <c r="A85" s="5" t="s">
        <v>100</v>
      </c>
      <c r="B85" s="25">
        <f>Multi!$B132*Loads!$B62*LAFs!B258/(24*Input!$F$14)*1000</f>
        <v>55526.568785918287</v>
      </c>
      <c r="C85" s="25">
        <f>Multi!$B132*Loads!$B62*LAFs!C258/(24*Input!$F$14)*1000</f>
        <v>54976.800778136916</v>
      </c>
      <c r="D85" s="25">
        <f>Multi!$B132*Loads!$B62*LAFs!D258/(24*Input!$F$14)*1000</f>
        <v>54705.979099426891</v>
      </c>
      <c r="E85" s="25">
        <f>Multi!$B132*Loads!$B62*LAFs!E258/(24*Input!$F$14)*1000</f>
        <v>54384.494403445926</v>
      </c>
      <c r="F85" s="25">
        <f>Multi!$B132*Loads!$B62*LAFs!F258/(24*Input!$F$14)*1000</f>
        <v>54066.766101186266</v>
      </c>
      <c r="G85" s="25">
        <f>Multi!$B132*Loads!$B62*LAFs!G258/(24*Input!$F$14)*1000</f>
        <v>0</v>
      </c>
      <c r="H85" s="25">
        <f>Multi!$B132*Loads!$B62*LAFs!H258/(24*Input!$F$14)*1000</f>
        <v>53442.318369507499</v>
      </c>
      <c r="I85" s="25">
        <f>Multi!$B132*Loads!$B62*LAFs!I258/(24*Input!$F$14)*1000</f>
        <v>52781.909492317769</v>
      </c>
      <c r="J85" s="25">
        <f>Multi!$B132*Loads!$B62*LAFs!J258/(24*Input!$F$14)*1000</f>
        <v>50387.086012630025</v>
      </c>
      <c r="K85" s="6"/>
    </row>
    <row r="86" spans="1:11" x14ac:dyDescent="0.2">
      <c r="A86" s="5" t="s">
        <v>61</v>
      </c>
      <c r="B86" s="25">
        <f>Multi!$B133*Loads!$B63*LAFs!B259/(24*Input!$F$14)*1000</f>
        <v>-110.57271861943195</v>
      </c>
      <c r="C86" s="25">
        <f>Multi!$B133*Loads!$B63*LAFs!C259/(24*Input!$F$14)*1000</f>
        <v>-109.47793922716036</v>
      </c>
      <c r="D86" s="25">
        <f>Multi!$B133*Loads!$B63*LAFs!D259/(24*Input!$F$14)*1000</f>
        <v>-108.93863903392312</v>
      </c>
      <c r="E86" s="25">
        <f>Multi!$B133*Loads!$B63*LAFs!E259/(24*Input!$F$14)*1000</f>
        <v>-108.298451145379</v>
      </c>
      <c r="F86" s="25">
        <f>Multi!$B133*Loads!$B63*LAFs!F259/(24*Input!$F$14)*1000</f>
        <v>-107.66574354375069</v>
      </c>
      <c r="G86" s="25">
        <f>Multi!$B133*Loads!$B63*LAFs!G259/(24*Input!$F$14)*1000</f>
        <v>0</v>
      </c>
      <c r="H86" s="25">
        <f>Multi!$B133*Loads!$B63*LAFs!H259/(24*Input!$F$14)*1000</f>
        <v>-106.42225083679688</v>
      </c>
      <c r="I86" s="25">
        <f>Multi!$B133*Loads!$B63*LAFs!I259/(24*Input!$F$14)*1000</f>
        <v>-105.10714697664633</v>
      </c>
      <c r="J86" s="25">
        <f>Multi!$B133*Loads!$B63*LAFs!J259/(24*Input!$F$14)*1000</f>
        <v>0</v>
      </c>
      <c r="K86" s="6"/>
    </row>
    <row r="87" spans="1:11" x14ac:dyDescent="0.2">
      <c r="A87" s="5" t="s">
        <v>62</v>
      </c>
      <c r="B87" s="25">
        <f>Multi!$B134*Loads!$B64*LAFs!B260/(24*Input!$F$14)*1000</f>
        <v>0</v>
      </c>
      <c r="C87" s="25">
        <f>Multi!$B134*Loads!$B64*LAFs!C260/(24*Input!$F$14)*1000</f>
        <v>0</v>
      </c>
      <c r="D87" s="25">
        <f>Multi!$B134*Loads!$B64*LAFs!D260/(24*Input!$F$14)*1000</f>
        <v>0</v>
      </c>
      <c r="E87" s="25">
        <f>Multi!$B134*Loads!$B64*LAFs!E260/(24*Input!$F$14)*1000</f>
        <v>0</v>
      </c>
      <c r="F87" s="25">
        <f>Multi!$B134*Loads!$B64*LAFs!F260/(24*Input!$F$14)*1000</f>
        <v>0</v>
      </c>
      <c r="G87" s="25">
        <f>Multi!$B134*Loads!$B64*LAFs!G260/(24*Input!$F$14)*1000</f>
        <v>0</v>
      </c>
      <c r="H87" s="25">
        <f>Multi!$B134*Loads!$B64*LAFs!H260/(24*Input!$F$14)*1000</f>
        <v>0</v>
      </c>
      <c r="I87" s="25">
        <f>Multi!$B134*Loads!$B64*LAFs!I260/(24*Input!$F$14)*1000</f>
        <v>0</v>
      </c>
      <c r="J87" s="25">
        <f>Multi!$B134*Loads!$B64*LAFs!J260/(24*Input!$F$14)*1000</f>
        <v>0</v>
      </c>
      <c r="K87" s="6"/>
    </row>
    <row r="88" spans="1:11" x14ac:dyDescent="0.2">
      <c r="A88" s="5" t="s">
        <v>63</v>
      </c>
      <c r="B88" s="25">
        <f>Multi!$B135*Loads!$B65*LAFs!B261/(24*Input!$F$14)*1000</f>
        <v>-491.59829192607998</v>
      </c>
      <c r="C88" s="25">
        <f>Multi!$B135*Loads!$B65*LAFs!C261/(24*Input!$F$14)*1000</f>
        <v>-486.73098210502957</v>
      </c>
      <c r="D88" s="25">
        <f>Multi!$B135*Loads!$B65*LAFs!D261/(24*Input!$F$14)*1000</f>
        <v>-484.3332925380098</v>
      </c>
      <c r="E88" s="25">
        <f>Multi!$B135*Loads!$B65*LAFs!E261/(24*Input!$F$14)*1000</f>
        <v>-481.4870635906758</v>
      </c>
      <c r="F88" s="25">
        <f>Multi!$B135*Loads!$B65*LAFs!F261/(24*Input!$F$14)*1000</f>
        <v>-478.67409145674776</v>
      </c>
      <c r="G88" s="25">
        <f>Multi!$B135*Loads!$B65*LAFs!G261/(24*Input!$F$14)*1000</f>
        <v>0</v>
      </c>
      <c r="H88" s="25">
        <f>Multi!$B135*Loads!$B65*LAFs!H261/(24*Input!$F$14)*1000</f>
        <v>-473.14561301836375</v>
      </c>
      <c r="I88" s="25">
        <f>Multi!$B135*Loads!$B65*LAFs!I261/(24*Input!$F$14)*1000</f>
        <v>-467.29875658372612</v>
      </c>
      <c r="J88" s="25">
        <f>Multi!$B135*Loads!$B65*LAFs!J261/(24*Input!$F$14)*1000</f>
        <v>0</v>
      </c>
      <c r="K88" s="6"/>
    </row>
    <row r="89" spans="1:11" x14ac:dyDescent="0.2">
      <c r="A89" s="5" t="s">
        <v>64</v>
      </c>
      <c r="B89" s="25">
        <f>Multi!$B136*Loads!$B66*LAFs!B262/(24*Input!$F$14)*1000</f>
        <v>-29.052051590207089</v>
      </c>
      <c r="C89" s="25">
        <f>Multi!$B136*Loads!$B66*LAFs!C262/(24*Input!$F$14)*1000</f>
        <v>-28.764407515056526</v>
      </c>
      <c r="D89" s="25">
        <f>Multi!$B136*Loads!$B66*LAFs!D262/(24*Input!$F$14)*1000</f>
        <v>-28.622710926312408</v>
      </c>
      <c r="E89" s="25">
        <f>Multi!$B136*Loads!$B66*LAFs!E262/(24*Input!$F$14)*1000</f>
        <v>-28.454506944375218</v>
      </c>
      <c r="F89" s="25">
        <f>Multi!$B136*Loads!$B66*LAFs!F262/(24*Input!$F$14)*1000</f>
        <v>-28.288268344894934</v>
      </c>
      <c r="G89" s="25">
        <f>Multi!$B136*Loads!$B66*LAFs!G262/(24*Input!$F$14)*1000</f>
        <v>0</v>
      </c>
      <c r="H89" s="25">
        <f>Multi!$B136*Loads!$B66*LAFs!H262/(24*Input!$F$14)*1000</f>
        <v>-27.961551097408172</v>
      </c>
      <c r="I89" s="25">
        <f>Multi!$B136*Loads!$B66*LAFs!I262/(24*Input!$F$14)*1000</f>
        <v>-27.616018621869859</v>
      </c>
      <c r="J89" s="25">
        <f>Multi!$B136*Loads!$B66*LAFs!J262/(24*Input!$F$14)*1000</f>
        <v>0</v>
      </c>
      <c r="K89" s="6"/>
    </row>
    <row r="90" spans="1:11" x14ac:dyDescent="0.2">
      <c r="A90" s="5" t="s">
        <v>65</v>
      </c>
      <c r="B90" s="25">
        <f>Multi!$B137*Loads!$B67*LAFs!B263/(24*Input!$F$14)*1000</f>
        <v>-19.551169097402948</v>
      </c>
      <c r="C90" s="25">
        <f>Multi!$B137*Loads!$B67*LAFs!C263/(24*Input!$F$14)*1000</f>
        <v>-19.357593165745492</v>
      </c>
      <c r="D90" s="25">
        <f>Multi!$B137*Loads!$B67*LAFs!D263/(24*Input!$F$14)*1000</f>
        <v>-19.262235563943793</v>
      </c>
      <c r="E90" s="25">
        <f>Multi!$B137*Loads!$B67*LAFs!E263/(24*Input!$F$14)*1000</f>
        <v>-19.149039272676735</v>
      </c>
      <c r="F90" s="25">
        <f>Multi!$B137*Loads!$B67*LAFs!F263/(24*Input!$F$14)*1000</f>
        <v>-19.037165625514071</v>
      </c>
      <c r="G90" s="25">
        <f>Multi!$B137*Loads!$B67*LAFs!G263/(24*Input!$F$14)*1000</f>
        <v>0</v>
      </c>
      <c r="H90" s="25">
        <f>Multi!$B137*Loads!$B67*LAFs!H263/(24*Input!$F$14)*1000</f>
        <v>-18.817294607702546</v>
      </c>
      <c r="I90" s="25">
        <f>Multi!$B137*Loads!$B67*LAFs!I263/(24*Input!$F$14)*1000</f>
        <v>0</v>
      </c>
      <c r="J90" s="25">
        <f>Multi!$B137*Loads!$B67*LAFs!J263/(24*Input!$F$14)*1000</f>
        <v>0</v>
      </c>
      <c r="K90" s="6"/>
    </row>
    <row r="91" spans="1:11" x14ac:dyDescent="0.2">
      <c r="A91" s="5" t="s">
        <v>66</v>
      </c>
      <c r="B91" s="25">
        <f>Multi!$B138*Loads!$B68*LAFs!B264/(24*Input!$F$14)*1000</f>
        <v>-56.493546313939092</v>
      </c>
      <c r="C91" s="25">
        <f>Multi!$B138*Loads!$B68*LAFs!C264/(24*Input!$F$14)*1000</f>
        <v>-55.934204271226811</v>
      </c>
      <c r="D91" s="25">
        <f>Multi!$B138*Loads!$B68*LAFs!D264/(24*Input!$F$14)*1000</f>
        <v>-55.65866631915182</v>
      </c>
      <c r="E91" s="25">
        <f>Multi!$B138*Loads!$B68*LAFs!E264/(24*Input!$F$14)*1000</f>
        <v>-55.331583069480011</v>
      </c>
      <c r="F91" s="25">
        <f>Multi!$B138*Loads!$B68*LAFs!F264/(24*Input!$F$14)*1000</f>
        <v>-55.008321629930954</v>
      </c>
      <c r="G91" s="25">
        <f>Multi!$B138*Loads!$B68*LAFs!G264/(24*Input!$F$14)*1000</f>
        <v>0</v>
      </c>
      <c r="H91" s="25">
        <f>Multi!$B138*Loads!$B68*LAFs!H264/(24*Input!$F$14)*1000</f>
        <v>-54.372999339691127</v>
      </c>
      <c r="I91" s="25">
        <f>Multi!$B138*Loads!$B68*LAFs!I264/(24*Input!$F$14)*1000</f>
        <v>0</v>
      </c>
      <c r="J91" s="25">
        <f>Multi!$B138*Loads!$B68*LAFs!J264/(24*Input!$F$14)*1000</f>
        <v>0</v>
      </c>
      <c r="K91" s="6"/>
    </row>
    <row r="92" spans="1:11" x14ac:dyDescent="0.2">
      <c r="A92" s="5" t="s">
        <v>75</v>
      </c>
      <c r="B92" s="25">
        <f>Multi!$B139*Loads!$B69*LAFs!B265/(24*Input!$F$14)*1000</f>
        <v>-13504.906995897984</v>
      </c>
      <c r="C92" s="25">
        <f>Multi!$B139*Loads!$B69*LAFs!C265/(24*Input!$F$14)*1000</f>
        <v>-13371.19504544355</v>
      </c>
      <c r="D92" s="25">
        <f>Multi!$B139*Loads!$B69*LAFs!D265/(24*Input!$F$14)*1000</f>
        <v>-13305.327089554665</v>
      </c>
      <c r="E92" s="25">
        <f>Multi!$B139*Loads!$B69*LAFs!E265/(24*Input!$F$14)*1000</f>
        <v>-13227.137116452483</v>
      </c>
      <c r="F92" s="25">
        <f>Multi!$B139*Loads!$B69*LAFs!F265/(24*Input!$F$14)*1000</f>
        <v>-13149.8607554995</v>
      </c>
      <c r="G92" s="25">
        <f>Multi!$B139*Loads!$B69*LAFs!G265/(24*Input!$F$14)*1000</f>
        <v>0</v>
      </c>
      <c r="H92" s="25">
        <f>Multi!$B139*Loads!$B69*LAFs!H265/(24*Input!$F$14)*1000</f>
        <v>0</v>
      </c>
      <c r="I92" s="25">
        <f>Multi!$B139*Loads!$B69*LAFs!I265/(24*Input!$F$14)*1000</f>
        <v>0</v>
      </c>
      <c r="J92" s="25">
        <f>Multi!$B139*Loads!$B69*LAFs!J265/(24*Input!$F$14)*1000</f>
        <v>0</v>
      </c>
      <c r="K92" s="6"/>
    </row>
    <row r="93" spans="1:11" x14ac:dyDescent="0.2">
      <c r="A93" s="5" t="s">
        <v>76</v>
      </c>
      <c r="B93" s="25">
        <f>Multi!$B140*Loads!$B70*LAFs!B266/(24*Input!$F$14)*1000</f>
        <v>-64928.792801792923</v>
      </c>
      <c r="C93" s="25">
        <f>Multi!$B140*Loads!$B70*LAFs!C266/(24*Input!$F$14)*1000</f>
        <v>-64285.933467121708</v>
      </c>
      <c r="D93" s="25">
        <f>Multi!$B140*Loads!$B70*LAFs!D266/(24*Input!$F$14)*1000</f>
        <v>-63969.253991914207</v>
      </c>
      <c r="E93" s="25">
        <f>Multi!$B140*Loads!$B70*LAFs!E266/(24*Input!$F$14)*1000</f>
        <v>-63593.332812725683</v>
      </c>
      <c r="F93" s="25">
        <f>Multi!$B140*Loads!$B70*LAFs!F266/(24*Input!$F$14)*1000</f>
        <v>-63221.804091327103</v>
      </c>
      <c r="G93" s="25">
        <f>Multi!$B140*Loads!$B70*LAFs!G266/(24*Input!$F$14)*1000</f>
        <v>0</v>
      </c>
      <c r="H93" s="25">
        <f>Multi!$B140*Loads!$B70*LAFs!H266/(24*Input!$F$14)*1000</f>
        <v>0</v>
      </c>
      <c r="I93" s="25">
        <f>Multi!$B140*Loads!$B70*LAFs!I266/(24*Input!$F$14)*1000</f>
        <v>0</v>
      </c>
      <c r="J93" s="25">
        <f>Multi!$B140*Loads!$B70*LAFs!J266/(24*Input!$F$14)*1000</f>
        <v>0</v>
      </c>
      <c r="K93" s="6"/>
    </row>
    <row r="94" spans="1:11" x14ac:dyDescent="0.2">
      <c r="A94" s="5" t="s">
        <v>77</v>
      </c>
      <c r="B94" s="25">
        <f>Multi!$B141*Loads!$B71*LAFs!B267/(24*Input!$F$14)*1000</f>
        <v>0</v>
      </c>
      <c r="C94" s="25">
        <f>Multi!$B141*Loads!$B71*LAFs!C267/(24*Input!$F$14)*1000</f>
        <v>0</v>
      </c>
      <c r="D94" s="25">
        <f>Multi!$B141*Loads!$B71*LAFs!D267/(24*Input!$F$14)*1000</f>
        <v>0</v>
      </c>
      <c r="E94" s="25">
        <f>Multi!$B141*Loads!$B71*LAFs!E267/(24*Input!$F$14)*1000</f>
        <v>0</v>
      </c>
      <c r="F94" s="25">
        <f>Multi!$B141*Loads!$B71*LAFs!F267/(24*Input!$F$14)*1000</f>
        <v>0</v>
      </c>
      <c r="G94" s="25">
        <f>Multi!$B141*Loads!$B71*LAFs!G267/(24*Input!$F$14)*1000</f>
        <v>0</v>
      </c>
      <c r="H94" s="25">
        <f>Multi!$B141*Loads!$B71*LAFs!H267/(24*Input!$F$14)*1000</f>
        <v>0</v>
      </c>
      <c r="I94" s="25">
        <f>Multi!$B141*Loads!$B71*LAFs!I267/(24*Input!$F$14)*1000</f>
        <v>0</v>
      </c>
      <c r="J94" s="25">
        <f>Multi!$B141*Loads!$B71*LAFs!J267/(24*Input!$F$14)*1000</f>
        <v>0</v>
      </c>
      <c r="K94" s="6"/>
    </row>
    <row r="95" spans="1:11" x14ac:dyDescent="0.2">
      <c r="A95" s="5" t="s">
        <v>78</v>
      </c>
      <c r="B95" s="25">
        <f>Multi!$B142*Loads!$B72*LAFs!B268/(24*Input!$F$14)*1000</f>
        <v>0</v>
      </c>
      <c r="C95" s="25">
        <f>Multi!$B142*Loads!$B72*LAFs!C268/(24*Input!$F$14)*1000</f>
        <v>0</v>
      </c>
      <c r="D95" s="25">
        <f>Multi!$B142*Loads!$B72*LAFs!D268/(24*Input!$F$14)*1000</f>
        <v>0</v>
      </c>
      <c r="E95" s="25">
        <f>Multi!$B142*Loads!$B72*LAFs!E268/(24*Input!$F$14)*1000</f>
        <v>0</v>
      </c>
      <c r="F95" s="25">
        <f>Multi!$B142*Loads!$B72*LAFs!F268/(24*Input!$F$14)*1000</f>
        <v>0</v>
      </c>
      <c r="G95" s="25">
        <f>Multi!$B142*Loads!$B72*LAFs!G268/(24*Input!$F$14)*1000</f>
        <v>0</v>
      </c>
      <c r="H95" s="25">
        <f>Multi!$B142*Loads!$B72*LAFs!H268/(24*Input!$F$14)*1000</f>
        <v>0</v>
      </c>
      <c r="I95" s="25">
        <f>Multi!$B142*Loads!$B72*LAFs!I268/(24*Input!$F$14)*1000</f>
        <v>0</v>
      </c>
      <c r="J95" s="25">
        <f>Multi!$B142*Loads!$B72*LAFs!J268/(24*Input!$F$14)*1000</f>
        <v>0</v>
      </c>
      <c r="K95" s="6"/>
    </row>
    <row r="97" spans="1:11" ht="16.5" x14ac:dyDescent="0.25">
      <c r="A97" s="3" t="s">
        <v>634</v>
      </c>
    </row>
    <row r="98" spans="1:11" x14ac:dyDescent="0.2">
      <c r="A98" s="10" t="s">
        <v>238</v>
      </c>
    </row>
    <row r="99" spans="1:11" x14ac:dyDescent="0.2">
      <c r="A99" s="11" t="s">
        <v>635</v>
      </c>
    </row>
    <row r="100" spans="1:11" x14ac:dyDescent="0.2">
      <c r="A100" s="11" t="s">
        <v>636</v>
      </c>
    </row>
    <row r="101" spans="1:11" x14ac:dyDescent="0.2">
      <c r="A101" s="11" t="s">
        <v>637</v>
      </c>
    </row>
    <row r="102" spans="1:11" x14ac:dyDescent="0.2">
      <c r="A102" s="11" t="s">
        <v>638</v>
      </c>
    </row>
    <row r="103" spans="1:11" x14ac:dyDescent="0.2">
      <c r="A103" s="10" t="s">
        <v>639</v>
      </c>
    </row>
    <row r="105" spans="1:11" x14ac:dyDescent="0.2">
      <c r="B105" s="4" t="s">
        <v>21</v>
      </c>
      <c r="C105" s="4" t="s">
        <v>22</v>
      </c>
      <c r="D105" s="4" t="s">
        <v>23</v>
      </c>
      <c r="E105" s="4" t="s">
        <v>24</v>
      </c>
      <c r="F105" s="4" t="s">
        <v>25</v>
      </c>
      <c r="G105" s="4" t="s">
        <v>30</v>
      </c>
      <c r="H105" s="4" t="s">
        <v>26</v>
      </c>
      <c r="I105" s="4" t="s">
        <v>27</v>
      </c>
      <c r="J105" s="4" t="s">
        <v>28</v>
      </c>
    </row>
    <row r="106" spans="1:11" x14ac:dyDescent="0.2">
      <c r="A106" s="5" t="s">
        <v>53</v>
      </c>
      <c r="B106" s="27">
        <f t="shared" ref="B106:J106" si="0">B68</f>
        <v>2040306.4745290354</v>
      </c>
      <c r="C106" s="27">
        <f t="shared" si="0"/>
        <v>2020105.4203257773</v>
      </c>
      <c r="D106" s="27">
        <f t="shared" si="0"/>
        <v>2010154.1620975719</v>
      </c>
      <c r="E106" s="27">
        <f t="shared" si="0"/>
        <v>1998341.3070803483</v>
      </c>
      <c r="F106" s="27">
        <f t="shared" si="0"/>
        <v>1986666.4795803654</v>
      </c>
      <c r="G106" s="27">
        <f t="shared" si="0"/>
        <v>0</v>
      </c>
      <c r="H106" s="27">
        <f t="shared" si="0"/>
        <v>1963721.3421838647</v>
      </c>
      <c r="I106" s="27">
        <f t="shared" si="0"/>
        <v>1939454.8236968012</v>
      </c>
      <c r="J106" s="27">
        <f t="shared" si="0"/>
        <v>1851457.7808793422</v>
      </c>
      <c r="K106" s="6"/>
    </row>
    <row r="107" spans="1:11" x14ac:dyDescent="0.2">
      <c r="A107" s="5" t="s">
        <v>54</v>
      </c>
      <c r="B107" s="27">
        <f t="shared" ref="B107:J107" si="1">B$30</f>
        <v>210082.65675461304</v>
      </c>
      <c r="C107" s="27">
        <f t="shared" si="1"/>
        <v>205067.31220813718</v>
      </c>
      <c r="D107" s="27">
        <f t="shared" si="1"/>
        <v>204057.12840415625</v>
      </c>
      <c r="E107" s="27">
        <f t="shared" si="1"/>
        <v>200604.9934791667</v>
      </c>
      <c r="F107" s="27">
        <f t="shared" si="1"/>
        <v>199433.0071492008</v>
      </c>
      <c r="G107" s="27">
        <f t="shared" si="1"/>
        <v>0</v>
      </c>
      <c r="H107" s="27">
        <f t="shared" si="1"/>
        <v>197129.64229280961</v>
      </c>
      <c r="I107" s="27">
        <f t="shared" si="1"/>
        <v>194693.62960287943</v>
      </c>
      <c r="J107" s="27">
        <f t="shared" si="1"/>
        <v>185859.98034685041</v>
      </c>
      <c r="K107" s="6"/>
    </row>
    <row r="108" spans="1:11" x14ac:dyDescent="0.2">
      <c r="A108" s="5" t="s">
        <v>94</v>
      </c>
      <c r="B108" s="27">
        <f t="shared" ref="B108:J108" si="2">B$12</f>
        <v>711.0913047721823</v>
      </c>
      <c r="C108" s="27">
        <f t="shared" si="2"/>
        <v>840.45938830250896</v>
      </c>
      <c r="D108" s="27">
        <f t="shared" si="2"/>
        <v>836.31919427146215</v>
      </c>
      <c r="E108" s="27">
        <f t="shared" si="2"/>
        <v>914.91663119507075</v>
      </c>
      <c r="F108" s="27">
        <f t="shared" si="2"/>
        <v>909.57145126598573</v>
      </c>
      <c r="G108" s="27">
        <f t="shared" si="2"/>
        <v>0</v>
      </c>
      <c r="H108" s="27">
        <f t="shared" si="2"/>
        <v>899.06629494722529</v>
      </c>
      <c r="I108" s="27">
        <f t="shared" si="2"/>
        <v>887.95616012373307</v>
      </c>
      <c r="J108" s="27">
        <f t="shared" si="2"/>
        <v>847.66776810359988</v>
      </c>
      <c r="K108" s="6"/>
    </row>
    <row r="109" spans="1:11" x14ac:dyDescent="0.2">
      <c r="A109" s="5" t="s">
        <v>55</v>
      </c>
      <c r="B109" s="27">
        <f t="shared" ref="B109:J109" si="3">B71</f>
        <v>407657.2580291109</v>
      </c>
      <c r="C109" s="27">
        <f t="shared" si="3"/>
        <v>403621.04755357513</v>
      </c>
      <c r="D109" s="27">
        <f t="shared" si="3"/>
        <v>401632.76653114374</v>
      </c>
      <c r="E109" s="27">
        <f t="shared" si="3"/>
        <v>399272.53479834564</v>
      </c>
      <c r="F109" s="27">
        <f t="shared" si="3"/>
        <v>396939.88123574579</v>
      </c>
      <c r="G109" s="27">
        <f t="shared" si="3"/>
        <v>0</v>
      </c>
      <c r="H109" s="27">
        <f t="shared" si="3"/>
        <v>392355.39752561197</v>
      </c>
      <c r="I109" s="27">
        <f t="shared" si="3"/>
        <v>387506.89926721563</v>
      </c>
      <c r="J109" s="27">
        <f t="shared" si="3"/>
        <v>369924.91654184292</v>
      </c>
      <c r="K109" s="6"/>
    </row>
    <row r="110" spans="1:11" x14ac:dyDescent="0.2">
      <c r="A110" s="5" t="s">
        <v>56</v>
      </c>
      <c r="B110" s="27">
        <f t="shared" ref="B110:J110" si="4">B$31</f>
        <v>144910.6196704063</v>
      </c>
      <c r="C110" s="27">
        <f t="shared" si="4"/>
        <v>144997.95358518534</v>
      </c>
      <c r="D110" s="27">
        <f t="shared" si="4"/>
        <v>144283.67795176079</v>
      </c>
      <c r="E110" s="27">
        <f t="shared" si="4"/>
        <v>144521.87399495739</v>
      </c>
      <c r="F110" s="27">
        <f t="shared" si="4"/>
        <v>143677.53977492845</v>
      </c>
      <c r="G110" s="27">
        <f t="shared" si="4"/>
        <v>0</v>
      </c>
      <c r="H110" s="27">
        <f t="shared" si="4"/>
        <v>142018.12641852885</v>
      </c>
      <c r="I110" s="27">
        <f t="shared" si="4"/>
        <v>140263.14957115159</v>
      </c>
      <c r="J110" s="27">
        <f t="shared" si="4"/>
        <v>133899.12282109933</v>
      </c>
      <c r="K110" s="6"/>
    </row>
    <row r="111" spans="1:11" x14ac:dyDescent="0.2">
      <c r="A111" s="5" t="s">
        <v>95</v>
      </c>
      <c r="B111" s="27">
        <f t="shared" ref="B111:J111" si="5">B$13</f>
        <v>600.07549356108711</v>
      </c>
      <c r="C111" s="27">
        <f t="shared" si="5"/>
        <v>712.85223416473013</v>
      </c>
      <c r="D111" s="27">
        <f t="shared" si="5"/>
        <v>709.34064680431266</v>
      </c>
      <c r="E111" s="27">
        <f t="shared" si="5"/>
        <v>775.32735412574471</v>
      </c>
      <c r="F111" s="27">
        <f t="shared" si="5"/>
        <v>770.79769090787283</v>
      </c>
      <c r="G111" s="27">
        <f t="shared" si="5"/>
        <v>0</v>
      </c>
      <c r="H111" s="27">
        <f t="shared" si="5"/>
        <v>761.8953114171178</v>
      </c>
      <c r="I111" s="27">
        <f t="shared" si="5"/>
        <v>752.48025528743847</v>
      </c>
      <c r="J111" s="27">
        <f t="shared" si="5"/>
        <v>718.3386829059757</v>
      </c>
      <c r="K111" s="6"/>
    </row>
    <row r="112" spans="1:11" x14ac:dyDescent="0.2">
      <c r="A112" s="5" t="s">
        <v>57</v>
      </c>
      <c r="B112" s="27">
        <f t="shared" ref="B112:J112" si="6">B$32</f>
        <v>244041.64324162249</v>
      </c>
      <c r="C112" s="27">
        <f t="shared" si="6"/>
        <v>242771.83156644474</v>
      </c>
      <c r="D112" s="27">
        <f t="shared" si="6"/>
        <v>241575.91121390069</v>
      </c>
      <c r="E112" s="27">
        <f t="shared" si="6"/>
        <v>241143.90536654671</v>
      </c>
      <c r="F112" s="27">
        <f t="shared" si="6"/>
        <v>239735.08021348022</v>
      </c>
      <c r="G112" s="27">
        <f t="shared" si="6"/>
        <v>0</v>
      </c>
      <c r="H112" s="27">
        <f t="shared" si="6"/>
        <v>236966.24386837747</v>
      </c>
      <c r="I112" s="27">
        <f t="shared" si="6"/>
        <v>234037.95378255149</v>
      </c>
      <c r="J112" s="27">
        <f t="shared" si="6"/>
        <v>223419.17185049379</v>
      </c>
      <c r="K112" s="6"/>
    </row>
    <row r="113" spans="1:11" x14ac:dyDescent="0.2">
      <c r="A113" s="5" t="s">
        <v>58</v>
      </c>
      <c r="B113" s="27">
        <f t="shared" ref="B113:J113" si="7">B$33</f>
        <v>7904.1437760117624</v>
      </c>
      <c r="C113" s="27">
        <f t="shared" si="7"/>
        <v>7872.9659393292332</v>
      </c>
      <c r="D113" s="27">
        <f t="shared" si="7"/>
        <v>7834.1828558842635</v>
      </c>
      <c r="E113" s="27">
        <f t="shared" si="7"/>
        <v>7826.8730835225351</v>
      </c>
      <c r="F113" s="27">
        <f t="shared" si="7"/>
        <v>7781.1464637551198</v>
      </c>
      <c r="G113" s="27">
        <f t="shared" si="7"/>
        <v>0</v>
      </c>
      <c r="H113" s="27">
        <f t="shared" si="7"/>
        <v>7691.2775921814318</v>
      </c>
      <c r="I113" s="27">
        <f t="shared" si="7"/>
        <v>7596.2332873350833</v>
      </c>
      <c r="J113" s="27">
        <f t="shared" si="7"/>
        <v>0</v>
      </c>
      <c r="K113" s="6"/>
    </row>
    <row r="114" spans="1:11" x14ac:dyDescent="0.2">
      <c r="A114" s="5" t="s">
        <v>72</v>
      </c>
      <c r="B114" s="27">
        <f t="shared" ref="B114:J114" si="8">B$34</f>
        <v>2074.6934314797099</v>
      </c>
      <c r="C114" s="27">
        <f t="shared" si="8"/>
        <v>2073.7079091356882</v>
      </c>
      <c r="D114" s="27">
        <f t="shared" si="8"/>
        <v>2063.4925992384683</v>
      </c>
      <c r="E114" s="27">
        <f t="shared" si="8"/>
        <v>2066.4285807094216</v>
      </c>
      <c r="F114" s="27">
        <f t="shared" si="8"/>
        <v>2054.3559697218307</v>
      </c>
      <c r="G114" s="27">
        <f t="shared" si="8"/>
        <v>0</v>
      </c>
      <c r="H114" s="27">
        <f t="shared" si="8"/>
        <v>2030.6290480311065</v>
      </c>
      <c r="I114" s="27">
        <f t="shared" si="8"/>
        <v>0</v>
      </c>
      <c r="J114" s="27">
        <f t="shared" si="8"/>
        <v>0</v>
      </c>
      <c r="K114" s="6"/>
    </row>
    <row r="115" spans="1:11" x14ac:dyDescent="0.2">
      <c r="A115" s="5" t="s">
        <v>59</v>
      </c>
      <c r="B115" s="27">
        <f t="shared" ref="B115:J115" si="9">B$49</f>
        <v>231956.43072050702</v>
      </c>
      <c r="C115" s="27">
        <f t="shared" si="9"/>
        <v>230630.87004775723</v>
      </c>
      <c r="D115" s="27">
        <f t="shared" si="9"/>
        <v>229494.75738742342</v>
      </c>
      <c r="E115" s="27">
        <f t="shared" si="9"/>
        <v>229016.14058346415</v>
      </c>
      <c r="F115" s="27">
        <f t="shared" si="9"/>
        <v>227678.16897343413</v>
      </c>
      <c r="G115" s="27">
        <f t="shared" si="9"/>
        <v>0</v>
      </c>
      <c r="H115" s="27">
        <f t="shared" si="9"/>
        <v>225048.58473120004</v>
      </c>
      <c r="I115" s="27">
        <f t="shared" si="9"/>
        <v>222267.56609859015</v>
      </c>
      <c r="J115" s="27">
        <f t="shared" si="9"/>
        <v>212182.83079466136</v>
      </c>
      <c r="K115" s="6"/>
    </row>
    <row r="116" spans="1:11" x14ac:dyDescent="0.2">
      <c r="A116" s="5" t="s">
        <v>60</v>
      </c>
      <c r="B116" s="27">
        <f t="shared" ref="B116:J116" si="10">B$50</f>
        <v>214260.9718192592</v>
      </c>
      <c r="C116" s="27">
        <f t="shared" si="10"/>
        <v>213611.47430846686</v>
      </c>
      <c r="D116" s="27">
        <f t="shared" si="10"/>
        <v>212559.20103601139</v>
      </c>
      <c r="E116" s="27">
        <f t="shared" si="10"/>
        <v>212495.51091767792</v>
      </c>
      <c r="F116" s="27">
        <f t="shared" si="10"/>
        <v>211254.05710511116</v>
      </c>
      <c r="G116" s="27">
        <f t="shared" si="10"/>
        <v>0</v>
      </c>
      <c r="H116" s="27">
        <f t="shared" si="10"/>
        <v>208814.16424152951</v>
      </c>
      <c r="I116" s="27">
        <f t="shared" si="10"/>
        <v>206233.76107124446</v>
      </c>
      <c r="J116" s="27">
        <f t="shared" si="10"/>
        <v>0</v>
      </c>
      <c r="K116" s="6"/>
    </row>
    <row r="117" spans="1:11" x14ac:dyDescent="0.2">
      <c r="A117" s="5" t="s">
        <v>73</v>
      </c>
      <c r="B117" s="27">
        <f t="shared" ref="B117:J117" si="11">B$51</f>
        <v>737914.62492294121</v>
      </c>
      <c r="C117" s="27">
        <f t="shared" si="11"/>
        <v>732624.59178167954</v>
      </c>
      <c r="D117" s="27">
        <f t="shared" si="11"/>
        <v>729015.603644824</v>
      </c>
      <c r="E117" s="27">
        <f t="shared" si="11"/>
        <v>726486.76320867019</v>
      </c>
      <c r="F117" s="27">
        <f t="shared" si="11"/>
        <v>722242.43937298167</v>
      </c>
      <c r="G117" s="27">
        <f t="shared" si="11"/>
        <v>0</v>
      </c>
      <c r="H117" s="27">
        <f t="shared" si="11"/>
        <v>713900.85200774996</v>
      </c>
      <c r="I117" s="27">
        <f t="shared" si="11"/>
        <v>0</v>
      </c>
      <c r="J117" s="27">
        <f t="shared" si="11"/>
        <v>0</v>
      </c>
      <c r="K117" s="6"/>
    </row>
    <row r="118" spans="1:11" x14ac:dyDescent="0.2">
      <c r="A118" s="5" t="s">
        <v>74</v>
      </c>
      <c r="B118" s="27">
        <f t="shared" ref="B118:J118" si="12">B$52</f>
        <v>0</v>
      </c>
      <c r="C118" s="27">
        <f t="shared" si="12"/>
        <v>0</v>
      </c>
      <c r="D118" s="27">
        <f t="shared" si="12"/>
        <v>0</v>
      </c>
      <c r="E118" s="27">
        <f t="shared" si="12"/>
        <v>0</v>
      </c>
      <c r="F118" s="27">
        <f t="shared" si="12"/>
        <v>0</v>
      </c>
      <c r="G118" s="27">
        <f t="shared" si="12"/>
        <v>0</v>
      </c>
      <c r="H118" s="27">
        <f t="shared" si="12"/>
        <v>0</v>
      </c>
      <c r="I118" s="27">
        <f t="shared" si="12"/>
        <v>0</v>
      </c>
      <c r="J118" s="27">
        <f t="shared" si="12"/>
        <v>0</v>
      </c>
      <c r="K118" s="6"/>
    </row>
    <row r="119" spans="1:11" x14ac:dyDescent="0.2">
      <c r="A119" s="5" t="s">
        <v>96</v>
      </c>
      <c r="B119" s="27">
        <f t="shared" ref="B119:J119" si="13">B$14</f>
        <v>5080.2569425592346</v>
      </c>
      <c r="C119" s="27">
        <f t="shared" si="13"/>
        <v>5029.9573688705304</v>
      </c>
      <c r="D119" s="27">
        <f t="shared" si="13"/>
        <v>5005.1792537529409</v>
      </c>
      <c r="E119" s="27">
        <f t="shared" si="13"/>
        <v>4975.7658595095372</v>
      </c>
      <c r="F119" s="27">
        <f t="shared" si="13"/>
        <v>4946.6961466010098</v>
      </c>
      <c r="G119" s="27">
        <f t="shared" si="13"/>
        <v>0</v>
      </c>
      <c r="H119" s="27">
        <f t="shared" si="13"/>
        <v>4889.5639485651946</v>
      </c>
      <c r="I119" s="27">
        <f t="shared" si="13"/>
        <v>4829.1415803795026</v>
      </c>
      <c r="J119" s="27">
        <f t="shared" si="13"/>
        <v>4610.0335231934996</v>
      </c>
      <c r="K119" s="6"/>
    </row>
    <row r="120" spans="1:11" x14ac:dyDescent="0.2">
      <c r="A120" s="5" t="s">
        <v>97</v>
      </c>
      <c r="B120" s="27">
        <f t="shared" ref="B120:J120" si="14">B$15</f>
        <v>2367.762604371881</v>
      </c>
      <c r="C120" s="27">
        <f t="shared" si="14"/>
        <v>2117.990409965345</v>
      </c>
      <c r="D120" s="27">
        <f t="shared" si="14"/>
        <v>2107.5569596699497</v>
      </c>
      <c r="E120" s="27">
        <f t="shared" si="14"/>
        <v>1995.9348361494024</v>
      </c>
      <c r="F120" s="27">
        <f t="shared" si="14"/>
        <v>1984.274067875891</v>
      </c>
      <c r="G120" s="27">
        <f t="shared" si="14"/>
        <v>0</v>
      </c>
      <c r="H120" s="27">
        <f t="shared" si="14"/>
        <v>1961.3565617984018</v>
      </c>
      <c r="I120" s="27">
        <f t="shared" si="14"/>
        <v>1937.1192658826421</v>
      </c>
      <c r="J120" s="27">
        <f t="shared" si="14"/>
        <v>1849.2281921130123</v>
      </c>
      <c r="K120" s="6"/>
    </row>
    <row r="121" spans="1:11" x14ac:dyDescent="0.2">
      <c r="A121" s="5" t="s">
        <v>98</v>
      </c>
      <c r="B121" s="27">
        <f t="shared" ref="B121:J121" si="15">B$16</f>
        <v>0.44777473321957795</v>
      </c>
      <c r="C121" s="27">
        <f t="shared" si="15"/>
        <v>0.39621752731726528</v>
      </c>
      <c r="D121" s="27">
        <f t="shared" si="15"/>
        <v>0.39426571683786987</v>
      </c>
      <c r="E121" s="27">
        <f t="shared" si="15"/>
        <v>0.37106394695747741</v>
      </c>
      <c r="F121" s="27">
        <f t="shared" si="15"/>
        <v>0.36889609527126038</v>
      </c>
      <c r="G121" s="27">
        <f t="shared" si="15"/>
        <v>0</v>
      </c>
      <c r="H121" s="27">
        <f t="shared" si="15"/>
        <v>0.36463550514300713</v>
      </c>
      <c r="I121" s="27">
        <f t="shared" si="15"/>
        <v>0.36012955308325506</v>
      </c>
      <c r="J121" s="27">
        <f t="shared" si="15"/>
        <v>0.34378973670016727</v>
      </c>
      <c r="K121" s="6"/>
    </row>
    <row r="122" spans="1:11" x14ac:dyDescent="0.2">
      <c r="A122" s="5" t="s">
        <v>99</v>
      </c>
      <c r="B122" s="27">
        <f t="shared" ref="B122:J122" si="16">B$17</f>
        <v>0</v>
      </c>
      <c r="C122" s="27">
        <f t="shared" si="16"/>
        <v>0</v>
      </c>
      <c r="D122" s="27">
        <f t="shared" si="16"/>
        <v>0</v>
      </c>
      <c r="E122" s="27">
        <f t="shared" si="16"/>
        <v>0</v>
      </c>
      <c r="F122" s="27">
        <f t="shared" si="16"/>
        <v>0</v>
      </c>
      <c r="G122" s="27">
        <f t="shared" si="16"/>
        <v>0</v>
      </c>
      <c r="H122" s="27">
        <f t="shared" si="16"/>
        <v>0</v>
      </c>
      <c r="I122" s="27">
        <f t="shared" si="16"/>
        <v>0</v>
      </c>
      <c r="J122" s="27">
        <f t="shared" si="16"/>
        <v>0</v>
      </c>
      <c r="K122" s="6"/>
    </row>
    <row r="123" spans="1:11" x14ac:dyDescent="0.2">
      <c r="A123" s="5" t="s">
        <v>100</v>
      </c>
      <c r="B123" s="27">
        <f t="shared" ref="B123:J123" si="17">B$57</f>
        <v>46419.981285459755</v>
      </c>
      <c r="C123" s="27">
        <f t="shared" si="17"/>
        <v>41925.537150503274</v>
      </c>
      <c r="D123" s="27">
        <f t="shared" si="17"/>
        <v>41719.007410845617</v>
      </c>
      <c r="E123" s="27">
        <f t="shared" si="17"/>
        <v>39705.383790342945</v>
      </c>
      <c r="F123" s="27">
        <f t="shared" si="17"/>
        <v>39473.414654274726</v>
      </c>
      <c r="G123" s="27">
        <f t="shared" si="17"/>
        <v>0</v>
      </c>
      <c r="H123" s="27">
        <f t="shared" si="17"/>
        <v>39017.513811299461</v>
      </c>
      <c r="I123" s="27">
        <f t="shared" si="17"/>
        <v>38535.358222376548</v>
      </c>
      <c r="J123" s="27">
        <f t="shared" si="17"/>
        <v>36786.929990871264</v>
      </c>
      <c r="K123" s="6"/>
    </row>
    <row r="124" spans="1:11" x14ac:dyDescent="0.2">
      <c r="A124" s="5" t="s">
        <v>61</v>
      </c>
      <c r="B124" s="27">
        <f t="shared" ref="B124:J124" si="18">B86</f>
        <v>-110.57271861943195</v>
      </c>
      <c r="C124" s="27">
        <f t="shared" si="18"/>
        <v>-109.47793922716036</v>
      </c>
      <c r="D124" s="27">
        <f t="shared" si="18"/>
        <v>-108.93863903392312</v>
      </c>
      <c r="E124" s="27">
        <f t="shared" si="18"/>
        <v>-108.298451145379</v>
      </c>
      <c r="F124" s="27">
        <f t="shared" si="18"/>
        <v>-107.66574354375069</v>
      </c>
      <c r="G124" s="27">
        <f t="shared" si="18"/>
        <v>0</v>
      </c>
      <c r="H124" s="27">
        <f t="shared" si="18"/>
        <v>-106.42225083679688</v>
      </c>
      <c r="I124" s="27">
        <f t="shared" si="18"/>
        <v>-105.10714697664633</v>
      </c>
      <c r="J124" s="27">
        <f t="shared" si="18"/>
        <v>0</v>
      </c>
      <c r="K124" s="6"/>
    </row>
    <row r="125" spans="1:11" x14ac:dyDescent="0.2">
      <c r="A125" s="5" t="s">
        <v>62</v>
      </c>
      <c r="B125" s="27">
        <f t="shared" ref="B125:J125" si="19">B87</f>
        <v>0</v>
      </c>
      <c r="C125" s="27">
        <f t="shared" si="19"/>
        <v>0</v>
      </c>
      <c r="D125" s="27">
        <f t="shared" si="19"/>
        <v>0</v>
      </c>
      <c r="E125" s="27">
        <f t="shared" si="19"/>
        <v>0</v>
      </c>
      <c r="F125" s="27">
        <f t="shared" si="19"/>
        <v>0</v>
      </c>
      <c r="G125" s="27">
        <f t="shared" si="19"/>
        <v>0</v>
      </c>
      <c r="H125" s="27">
        <f t="shared" si="19"/>
        <v>0</v>
      </c>
      <c r="I125" s="27">
        <f t="shared" si="19"/>
        <v>0</v>
      </c>
      <c r="J125" s="27">
        <f t="shared" si="19"/>
        <v>0</v>
      </c>
      <c r="K125" s="6"/>
    </row>
    <row r="126" spans="1:11" x14ac:dyDescent="0.2">
      <c r="A126" s="5" t="s">
        <v>63</v>
      </c>
      <c r="B126" s="27">
        <f t="shared" ref="B126:J126" si="20">B88</f>
        <v>-491.59829192607998</v>
      </c>
      <c r="C126" s="27">
        <f t="shared" si="20"/>
        <v>-486.73098210502957</v>
      </c>
      <c r="D126" s="27">
        <f t="shared" si="20"/>
        <v>-484.3332925380098</v>
      </c>
      <c r="E126" s="27">
        <f t="shared" si="20"/>
        <v>-481.4870635906758</v>
      </c>
      <c r="F126" s="27">
        <f t="shared" si="20"/>
        <v>-478.67409145674776</v>
      </c>
      <c r="G126" s="27">
        <f t="shared" si="20"/>
        <v>0</v>
      </c>
      <c r="H126" s="27">
        <f t="shared" si="20"/>
        <v>-473.14561301836375</v>
      </c>
      <c r="I126" s="27">
        <f t="shared" si="20"/>
        <v>-467.29875658372612</v>
      </c>
      <c r="J126" s="27">
        <f t="shared" si="20"/>
        <v>0</v>
      </c>
      <c r="K126" s="6"/>
    </row>
    <row r="127" spans="1:11" x14ac:dyDescent="0.2">
      <c r="A127" s="5" t="s">
        <v>64</v>
      </c>
      <c r="B127" s="27">
        <f t="shared" ref="B127:J127" si="21">B$53</f>
        <v>-66.441535125812024</v>
      </c>
      <c r="C127" s="27">
        <f t="shared" si="21"/>
        <v>-61.262100679353253</v>
      </c>
      <c r="D127" s="27">
        <f t="shared" si="21"/>
        <v>-60.960316932164332</v>
      </c>
      <c r="E127" s="27">
        <f t="shared" si="21"/>
        <v>-57.570098285471815</v>
      </c>
      <c r="F127" s="27">
        <f t="shared" si="21"/>
        <v>-57.233758860240236</v>
      </c>
      <c r="G127" s="27">
        <f t="shared" si="21"/>
        <v>0</v>
      </c>
      <c r="H127" s="27">
        <f t="shared" si="21"/>
        <v>-56.57273373384669</v>
      </c>
      <c r="I127" s="27">
        <f t="shared" si="21"/>
        <v>-55.873641016603337</v>
      </c>
      <c r="J127" s="27">
        <f t="shared" si="21"/>
        <v>0</v>
      </c>
      <c r="K127" s="6"/>
    </row>
    <row r="128" spans="1:11" x14ac:dyDescent="0.2">
      <c r="A128" s="5" t="s">
        <v>65</v>
      </c>
      <c r="B128" s="27">
        <f t="shared" ref="B128:J128" si="22">B90</f>
        <v>-19.551169097402948</v>
      </c>
      <c r="C128" s="27">
        <f t="shared" si="22"/>
        <v>-19.357593165745492</v>
      </c>
      <c r="D128" s="27">
        <f t="shared" si="22"/>
        <v>-19.262235563943793</v>
      </c>
      <c r="E128" s="27">
        <f t="shared" si="22"/>
        <v>-19.149039272676735</v>
      </c>
      <c r="F128" s="27">
        <f t="shared" si="22"/>
        <v>-19.037165625514071</v>
      </c>
      <c r="G128" s="27">
        <f t="shared" si="22"/>
        <v>0</v>
      </c>
      <c r="H128" s="27">
        <f t="shared" si="22"/>
        <v>-18.817294607702546</v>
      </c>
      <c r="I128" s="27">
        <f t="shared" si="22"/>
        <v>0</v>
      </c>
      <c r="J128" s="27">
        <f t="shared" si="22"/>
        <v>0</v>
      </c>
      <c r="K128" s="6"/>
    </row>
    <row r="129" spans="1:11" x14ac:dyDescent="0.2">
      <c r="A129" s="5" t="s">
        <v>66</v>
      </c>
      <c r="B129" s="27">
        <f t="shared" ref="B129:J129" si="23">B$54</f>
        <v>-292.80561573041291</v>
      </c>
      <c r="C129" s="27">
        <f t="shared" si="23"/>
        <v>-259.84949011925107</v>
      </c>
      <c r="D129" s="27">
        <f t="shared" si="23"/>
        <v>-258.56944336989523</v>
      </c>
      <c r="E129" s="27">
        <f t="shared" si="23"/>
        <v>-236.84155440303664</v>
      </c>
      <c r="F129" s="27">
        <f t="shared" si="23"/>
        <v>-235.45786469863725</v>
      </c>
      <c r="G129" s="27">
        <f t="shared" si="23"/>
        <v>0</v>
      </c>
      <c r="H129" s="27">
        <f t="shared" si="23"/>
        <v>-232.73842834023139</v>
      </c>
      <c r="I129" s="27">
        <f t="shared" si="23"/>
        <v>0</v>
      </c>
      <c r="J129" s="27">
        <f t="shared" si="23"/>
        <v>0</v>
      </c>
      <c r="K129" s="6"/>
    </row>
    <row r="130" spans="1:11" x14ac:dyDescent="0.2">
      <c r="A130" s="5" t="s">
        <v>75</v>
      </c>
      <c r="B130" s="27">
        <f t="shared" ref="B130:J130" si="24">B92</f>
        <v>-13504.906995897984</v>
      </c>
      <c r="C130" s="27">
        <f t="shared" si="24"/>
        <v>-13371.19504544355</v>
      </c>
      <c r="D130" s="27">
        <f t="shared" si="24"/>
        <v>-13305.327089554665</v>
      </c>
      <c r="E130" s="27">
        <f t="shared" si="24"/>
        <v>-13227.137116452483</v>
      </c>
      <c r="F130" s="27">
        <f t="shared" si="24"/>
        <v>-13149.8607554995</v>
      </c>
      <c r="G130" s="27">
        <f t="shared" si="24"/>
        <v>0</v>
      </c>
      <c r="H130" s="27">
        <f t="shared" si="24"/>
        <v>0</v>
      </c>
      <c r="I130" s="27">
        <f t="shared" si="24"/>
        <v>0</v>
      </c>
      <c r="J130" s="27">
        <f t="shared" si="24"/>
        <v>0</v>
      </c>
      <c r="K130" s="6"/>
    </row>
    <row r="131" spans="1:11" x14ac:dyDescent="0.2">
      <c r="A131" s="5" t="s">
        <v>76</v>
      </c>
      <c r="B131" s="27">
        <f t="shared" ref="B131:J131" si="25">B$55</f>
        <v>-60075.688622414928</v>
      </c>
      <c r="C131" s="27">
        <f t="shared" si="25"/>
        <v>-59385.871771069462</v>
      </c>
      <c r="D131" s="27">
        <f t="shared" si="25"/>
        <v>-59093.33053081789</v>
      </c>
      <c r="E131" s="27">
        <f t="shared" si="25"/>
        <v>-58657.707000134091</v>
      </c>
      <c r="F131" s="27">
        <f t="shared" si="25"/>
        <v>-58315.013483093389</v>
      </c>
      <c r="G131" s="27">
        <f t="shared" si="25"/>
        <v>0</v>
      </c>
      <c r="H131" s="27">
        <f t="shared" si="25"/>
        <v>0</v>
      </c>
      <c r="I131" s="27">
        <f t="shared" si="25"/>
        <v>0</v>
      </c>
      <c r="J131" s="27">
        <f t="shared" si="25"/>
        <v>0</v>
      </c>
      <c r="K131" s="6"/>
    </row>
    <row r="132" spans="1:11" x14ac:dyDescent="0.2">
      <c r="A132" s="5" t="s">
        <v>77</v>
      </c>
      <c r="B132" s="27">
        <f t="shared" ref="B132:J132" si="26">B94</f>
        <v>0</v>
      </c>
      <c r="C132" s="27">
        <f t="shared" si="26"/>
        <v>0</v>
      </c>
      <c r="D132" s="27">
        <f t="shared" si="26"/>
        <v>0</v>
      </c>
      <c r="E132" s="27">
        <f t="shared" si="26"/>
        <v>0</v>
      </c>
      <c r="F132" s="27">
        <f t="shared" si="26"/>
        <v>0</v>
      </c>
      <c r="G132" s="27">
        <f t="shared" si="26"/>
        <v>0</v>
      </c>
      <c r="H132" s="27">
        <f t="shared" si="26"/>
        <v>0</v>
      </c>
      <c r="I132" s="27">
        <f t="shared" si="26"/>
        <v>0</v>
      </c>
      <c r="J132" s="27">
        <f t="shared" si="26"/>
        <v>0</v>
      </c>
      <c r="K132" s="6"/>
    </row>
    <row r="133" spans="1:11" x14ac:dyDescent="0.2">
      <c r="A133" s="5" t="s">
        <v>78</v>
      </c>
      <c r="B133" s="27">
        <f t="shared" ref="B133:J133" si="27">B$56</f>
        <v>0</v>
      </c>
      <c r="C133" s="27">
        <f t="shared" si="27"/>
        <v>0</v>
      </c>
      <c r="D133" s="27">
        <f t="shared" si="27"/>
        <v>0</v>
      </c>
      <c r="E133" s="27">
        <f t="shared" si="27"/>
        <v>0</v>
      </c>
      <c r="F133" s="27">
        <f t="shared" si="27"/>
        <v>0</v>
      </c>
      <c r="G133" s="27">
        <f t="shared" si="27"/>
        <v>0</v>
      </c>
      <c r="H133" s="27">
        <f t="shared" si="27"/>
        <v>0</v>
      </c>
      <c r="I133" s="27">
        <f t="shared" si="27"/>
        <v>0</v>
      </c>
      <c r="J133" s="27">
        <f t="shared" si="27"/>
        <v>0</v>
      </c>
      <c r="K133" s="6"/>
    </row>
    <row r="135" spans="1:11" ht="16.5" x14ac:dyDescent="0.25">
      <c r="A135" s="3" t="s">
        <v>640</v>
      </c>
    </row>
    <row r="136" spans="1:11" x14ac:dyDescent="0.2">
      <c r="A136" s="10" t="s">
        <v>238</v>
      </c>
    </row>
    <row r="137" spans="1:11" x14ac:dyDescent="0.2">
      <c r="A137" s="11" t="s">
        <v>641</v>
      </c>
    </row>
    <row r="138" spans="1:11" x14ac:dyDescent="0.2">
      <c r="A138" s="10" t="s">
        <v>642</v>
      </c>
    </row>
    <row r="140" spans="1:11" x14ac:dyDescent="0.2">
      <c r="B140" s="4" t="s">
        <v>21</v>
      </c>
      <c r="C140" s="4" t="s">
        <v>22</v>
      </c>
      <c r="D140" s="4" t="s">
        <v>23</v>
      </c>
      <c r="E140" s="4" t="s">
        <v>24</v>
      </c>
      <c r="F140" s="4" t="s">
        <v>25</v>
      </c>
      <c r="G140" s="4" t="s">
        <v>30</v>
      </c>
      <c r="H140" s="4" t="s">
        <v>26</v>
      </c>
      <c r="I140" s="4" t="s">
        <v>27</v>
      </c>
      <c r="J140" s="4" t="s">
        <v>28</v>
      </c>
    </row>
    <row r="141" spans="1:11" ht="25.5" x14ac:dyDescent="0.2">
      <c r="A141" s="5" t="s">
        <v>643</v>
      </c>
      <c r="B141" s="25">
        <f t="shared" ref="B141:J141" si="28">SUM(B$106:B$133)</f>
        <v>4221727.5673516318</v>
      </c>
      <c r="C141" s="25">
        <f t="shared" si="28"/>
        <v>4180310.6230730116</v>
      </c>
      <c r="D141" s="25">
        <f t="shared" si="28"/>
        <v>4159717.9599051657</v>
      </c>
      <c r="E141" s="25">
        <f t="shared" si="28"/>
        <v>4137355.840305394</v>
      </c>
      <c r="F141" s="25">
        <f t="shared" si="28"/>
        <v>4113184.3358829669</v>
      </c>
      <c r="G141" s="25">
        <f t="shared" si="28"/>
        <v>0</v>
      </c>
      <c r="H141" s="25">
        <f t="shared" si="28"/>
        <v>4136318.3241528808</v>
      </c>
      <c r="I141" s="25">
        <f t="shared" si="28"/>
        <v>3378368.1524467953</v>
      </c>
      <c r="J141" s="25">
        <f t="shared" si="28"/>
        <v>3021556.3451812132</v>
      </c>
      <c r="K141" s="6"/>
    </row>
  </sheetData>
  <sheetProtection sheet="1" objects="1"/>
  <hyperlinks>
    <hyperlink ref="A5" location="'Loads'!B298" display="'Loads'!B298"/>
    <hyperlink ref="A6" location="'Multi'!B587" display="'Multi'!B587"/>
    <hyperlink ref="A7" location="'LAFs'!B241" display="'LAFs'!B241"/>
    <hyperlink ref="A8" location="'Input'!F14" display="'Input'!F14"/>
    <hyperlink ref="A21" location="'Loads'!B298" display="'Loads'!B298"/>
    <hyperlink ref="A22" location="'Multi'!B587" display="'Multi'!B587"/>
    <hyperlink ref="A23" location="'Loads'!C298" display="'Loads'!C298"/>
    <hyperlink ref="A24" location="'Multi'!B615" display="'Multi'!B615"/>
    <hyperlink ref="A25" location="'LAFs'!B241" display="'LAFs'!B241"/>
    <hyperlink ref="A26" location="'Input'!F14" display="'Input'!F14"/>
    <hyperlink ref="A38" location="'Loads'!B298" display="'Loads'!B298"/>
    <hyperlink ref="A39" location="'Multi'!B587" display="'Multi'!B587"/>
    <hyperlink ref="A40" location="'Loads'!C298" display="'Loads'!C298"/>
    <hyperlink ref="A41" location="'Multi'!B615" display="'Multi'!B615"/>
    <hyperlink ref="A42" location="'Loads'!D298" display="'Loads'!D298"/>
    <hyperlink ref="A43" location="'Multi'!B637" display="'Multi'!B637"/>
    <hyperlink ref="A44" location="'LAFs'!B241" display="'LAFs'!B241"/>
    <hyperlink ref="A45" location="'Input'!F14" display="'Input'!F14"/>
    <hyperlink ref="A61" location="'Multi'!B115" display="'Multi'!B115"/>
    <hyperlink ref="A62" location="'Loads'!B45" display="'Loads'!B45"/>
    <hyperlink ref="A63" location="'LAFs'!B241" display="'LAFs'!B241"/>
    <hyperlink ref="A64" location="'Input'!F14" display="'Input'!F14"/>
    <hyperlink ref="A99" location="'SMD'!B12" display="'SMD'!B12"/>
    <hyperlink ref="A100" location="'SMD'!B30" display="'SMD'!B30"/>
    <hyperlink ref="A101" location="'SMD'!B49" display="'SMD'!B49"/>
    <hyperlink ref="A102" location="'SMD'!B68" display="'SMD'!B68"/>
    <hyperlink ref="A137" location="'SMD'!B106" display="'SMD'!B106"/>
  </hyperlinks>
  <pageMargins left="0.75" right="0.75" top="1" bottom="1" header="0.5" footer="0.5"/>
  <pageSetup paperSize="9" scale="40" fitToHeight="0" orientation="portrait" blackAndWhite="1" r:id="rId1"/>
  <headerFooter alignWithMargins="0">
    <oddHeader>&amp;L&amp;A&amp;Cr6140&amp;R&amp;P of &amp;N</oddHeader>
    <oddFooter>&amp;F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24"/>
  <sheetViews>
    <sheetView showGridLines="0" workbookViewId="0">
      <pane xSplit="1" ySplit="1" topLeftCell="B174" activePane="bottomRight" state="frozen"/>
      <selection pane="topRight"/>
      <selection pane="bottomLeft"/>
      <selection pane="bottomRight" activeCell="B196" sqref="B196:B201"/>
    </sheetView>
  </sheetViews>
  <sheetFormatPr defaultRowHeight="12.75" x14ac:dyDescent="0.2"/>
  <cols>
    <col min="1" max="1" width="50.7109375" customWidth="1"/>
    <col min="2" max="251" width="16.7109375" customWidth="1"/>
  </cols>
  <sheetData>
    <row r="1" spans="1:12" ht="19.5" x14ac:dyDescent="0.3">
      <c r="A1" s="15" t="str">
        <f>"r6140: Forecast aggregate maximum load"&amp;" for "&amp;Input!B7&amp;" in "&amp;Input!C7&amp;" ("&amp;Input!D7&amp;")"</f>
        <v>r6140: Forecast aggregate maximum load for Electricity North West  in 2013/14 (April 2013 Indicative)</v>
      </c>
    </row>
    <row r="3" spans="1:12" ht="16.5" x14ac:dyDescent="0.25">
      <c r="A3" s="3" t="s">
        <v>644</v>
      </c>
    </row>
    <row r="4" spans="1:12" x14ac:dyDescent="0.2">
      <c r="A4" s="10" t="s">
        <v>238</v>
      </c>
    </row>
    <row r="5" spans="1:12" x14ac:dyDescent="0.2">
      <c r="A5" s="11" t="s">
        <v>645</v>
      </c>
    </row>
    <row r="6" spans="1:12" x14ac:dyDescent="0.2">
      <c r="A6" s="11" t="s">
        <v>646</v>
      </c>
    </row>
    <row r="7" spans="1:12" x14ac:dyDescent="0.2">
      <c r="A7" s="11" t="s">
        <v>647</v>
      </c>
    </row>
    <row r="8" spans="1:12" x14ac:dyDescent="0.2">
      <c r="A8" s="18" t="s">
        <v>241</v>
      </c>
      <c r="B8" s="10" t="s">
        <v>242</v>
      </c>
      <c r="C8" s="10"/>
      <c r="D8" s="10"/>
      <c r="E8" s="10"/>
      <c r="F8" s="10"/>
      <c r="G8" s="10"/>
      <c r="H8" s="10"/>
      <c r="I8" s="10"/>
      <c r="J8" s="18" t="s">
        <v>242</v>
      </c>
      <c r="K8" s="18" t="s">
        <v>371</v>
      </c>
    </row>
    <row r="9" spans="1:12" x14ac:dyDescent="0.2">
      <c r="A9" s="18" t="s">
        <v>244</v>
      </c>
      <c r="B9" s="10" t="s">
        <v>245</v>
      </c>
      <c r="C9" s="10"/>
      <c r="D9" s="10"/>
      <c r="E9" s="10"/>
      <c r="F9" s="10"/>
      <c r="G9" s="10"/>
      <c r="H9" s="10"/>
      <c r="I9" s="10"/>
      <c r="J9" s="18" t="s">
        <v>245</v>
      </c>
      <c r="K9" s="18" t="s">
        <v>648</v>
      </c>
    </row>
    <row r="11" spans="1:12" x14ac:dyDescent="0.2">
      <c r="B11" s="19" t="s">
        <v>649</v>
      </c>
      <c r="C11" s="19"/>
      <c r="D11" s="19"/>
      <c r="E11" s="19"/>
      <c r="F11" s="19"/>
      <c r="G11" s="19"/>
      <c r="H11" s="19"/>
      <c r="I11" s="19"/>
    </row>
    <row r="12" spans="1:12" ht="38.25" x14ac:dyDescent="0.2">
      <c r="B12" s="4" t="s">
        <v>21</v>
      </c>
      <c r="C12" s="4" t="s">
        <v>22</v>
      </c>
      <c r="D12" s="4" t="s">
        <v>23</v>
      </c>
      <c r="E12" s="4" t="s">
        <v>24</v>
      </c>
      <c r="F12" s="4" t="s">
        <v>25</v>
      </c>
      <c r="G12" s="4" t="s">
        <v>26</v>
      </c>
      <c r="H12" s="4" t="s">
        <v>27</v>
      </c>
      <c r="I12" s="4" t="s">
        <v>28</v>
      </c>
      <c r="J12" s="4" t="s">
        <v>650</v>
      </c>
      <c r="K12" s="4" t="s">
        <v>651</v>
      </c>
    </row>
    <row r="13" spans="1:12" x14ac:dyDescent="0.2">
      <c r="A13" s="5" t="s">
        <v>53</v>
      </c>
      <c r="B13" s="8">
        <v>0</v>
      </c>
      <c r="C13" s="8">
        <v>0</v>
      </c>
      <c r="D13" s="8">
        <v>0</v>
      </c>
      <c r="E13" s="8">
        <v>0</v>
      </c>
      <c r="F13" s="8">
        <v>0</v>
      </c>
      <c r="G13" s="8">
        <v>0</v>
      </c>
      <c r="H13" s="8">
        <v>0</v>
      </c>
      <c r="I13" s="8">
        <v>1</v>
      </c>
      <c r="J13" s="8">
        <v>0</v>
      </c>
      <c r="K13" s="17">
        <f>$C13+0.2*Input!$B$36*$J13</f>
        <v>0</v>
      </c>
      <c r="L13" s="6"/>
    </row>
    <row r="14" spans="1:12" x14ac:dyDescent="0.2">
      <c r="A14" s="5" t="s">
        <v>54</v>
      </c>
      <c r="B14" s="8">
        <v>0</v>
      </c>
      <c r="C14" s="8">
        <v>0</v>
      </c>
      <c r="D14" s="8">
        <v>0</v>
      </c>
      <c r="E14" s="8">
        <v>0</v>
      </c>
      <c r="F14" s="8">
        <v>0</v>
      </c>
      <c r="G14" s="8">
        <v>0</v>
      </c>
      <c r="H14" s="8">
        <v>0</v>
      </c>
      <c r="I14" s="8">
        <v>1</v>
      </c>
      <c r="J14" s="8">
        <v>0</v>
      </c>
      <c r="K14" s="17">
        <f>$C14+0.2*Input!$B$36*$J14</f>
        <v>0</v>
      </c>
      <c r="L14" s="6"/>
    </row>
    <row r="15" spans="1:12" x14ac:dyDescent="0.2">
      <c r="A15" s="5" t="s">
        <v>94</v>
      </c>
      <c r="B15" s="8">
        <v>0</v>
      </c>
      <c r="C15" s="8">
        <v>0</v>
      </c>
      <c r="D15" s="8">
        <v>0</v>
      </c>
      <c r="E15" s="8">
        <v>0</v>
      </c>
      <c r="F15" s="8">
        <v>0</v>
      </c>
      <c r="G15" s="8">
        <v>0</v>
      </c>
      <c r="H15" s="8">
        <v>0</v>
      </c>
      <c r="I15" s="8">
        <v>1</v>
      </c>
      <c r="J15" s="8">
        <v>0</v>
      </c>
      <c r="K15" s="17">
        <f>$C15+0.2*Input!$B$36*$J15</f>
        <v>0</v>
      </c>
      <c r="L15" s="6"/>
    </row>
    <row r="16" spans="1:12" x14ac:dyDescent="0.2">
      <c r="A16" s="5" t="s">
        <v>55</v>
      </c>
      <c r="B16" s="8">
        <v>0</v>
      </c>
      <c r="C16" s="8">
        <v>0</v>
      </c>
      <c r="D16" s="8">
        <v>0</v>
      </c>
      <c r="E16" s="8">
        <v>0</v>
      </c>
      <c r="F16" s="8">
        <v>0</v>
      </c>
      <c r="G16" s="8">
        <v>0</v>
      </c>
      <c r="H16" s="8">
        <v>0</v>
      </c>
      <c r="I16" s="8">
        <v>1</v>
      </c>
      <c r="J16" s="8">
        <v>0</v>
      </c>
      <c r="K16" s="17">
        <f>$C16+0.2*Input!$B$36*$J16</f>
        <v>0</v>
      </c>
      <c r="L16" s="6"/>
    </row>
    <row r="17" spans="1:12" x14ac:dyDescent="0.2">
      <c r="A17" s="5" t="s">
        <v>56</v>
      </c>
      <c r="B17" s="8">
        <v>0</v>
      </c>
      <c r="C17" s="8">
        <v>0</v>
      </c>
      <c r="D17" s="8">
        <v>0</v>
      </c>
      <c r="E17" s="8">
        <v>0</v>
      </c>
      <c r="F17" s="8">
        <v>0</v>
      </c>
      <c r="G17" s="8">
        <v>0</v>
      </c>
      <c r="H17" s="8">
        <v>0</v>
      </c>
      <c r="I17" s="8">
        <v>1</v>
      </c>
      <c r="J17" s="8">
        <v>0</v>
      </c>
      <c r="K17" s="17">
        <f>$C17+0.2*Input!$B$36*$J17</f>
        <v>0</v>
      </c>
      <c r="L17" s="6"/>
    </row>
    <row r="18" spans="1:12" x14ac:dyDescent="0.2">
      <c r="A18" s="5" t="s">
        <v>95</v>
      </c>
      <c r="B18" s="8">
        <v>0</v>
      </c>
      <c r="C18" s="8">
        <v>0</v>
      </c>
      <c r="D18" s="8">
        <v>0</v>
      </c>
      <c r="E18" s="8">
        <v>0</v>
      </c>
      <c r="F18" s="8">
        <v>0</v>
      </c>
      <c r="G18" s="8">
        <v>0</v>
      </c>
      <c r="H18" s="8">
        <v>0</v>
      </c>
      <c r="I18" s="8">
        <v>1</v>
      </c>
      <c r="J18" s="8">
        <v>0</v>
      </c>
      <c r="K18" s="17">
        <f>$C18+0.2*Input!$B$36*$J18</f>
        <v>0</v>
      </c>
      <c r="L18" s="6"/>
    </row>
    <row r="19" spans="1:12" x14ac:dyDescent="0.2">
      <c r="A19" s="5" t="s">
        <v>57</v>
      </c>
      <c r="B19" s="8">
        <v>0</v>
      </c>
      <c r="C19" s="8">
        <v>0</v>
      </c>
      <c r="D19" s="8">
        <v>0</v>
      </c>
      <c r="E19" s="8">
        <v>0</v>
      </c>
      <c r="F19" s="8">
        <v>0</v>
      </c>
      <c r="G19" s="8">
        <v>0</v>
      </c>
      <c r="H19" s="8">
        <v>0</v>
      </c>
      <c r="I19" s="8">
        <v>1</v>
      </c>
      <c r="J19" s="8">
        <v>0</v>
      </c>
      <c r="K19" s="17">
        <f>$C19+0.2*Input!$B$36*$J19</f>
        <v>0</v>
      </c>
      <c r="L19" s="6"/>
    </row>
    <row r="20" spans="1:12" x14ac:dyDescent="0.2">
      <c r="A20" s="5" t="s">
        <v>58</v>
      </c>
      <c r="B20" s="8">
        <v>0</v>
      </c>
      <c r="C20" s="8">
        <v>0</v>
      </c>
      <c r="D20" s="8">
        <v>0</v>
      </c>
      <c r="E20" s="8">
        <v>0</v>
      </c>
      <c r="F20" s="8">
        <v>0</v>
      </c>
      <c r="G20" s="8">
        <v>0</v>
      </c>
      <c r="H20" s="8">
        <v>1</v>
      </c>
      <c r="I20" s="8">
        <v>0</v>
      </c>
      <c r="J20" s="8">
        <v>0</v>
      </c>
      <c r="K20" s="17">
        <f>$C20+0.2*Input!$B$36*$J20</f>
        <v>0</v>
      </c>
      <c r="L20" s="6"/>
    </row>
    <row r="21" spans="1:12" x14ac:dyDescent="0.2">
      <c r="A21" s="5" t="s">
        <v>72</v>
      </c>
      <c r="B21" s="8">
        <v>0</v>
      </c>
      <c r="C21" s="8">
        <v>0</v>
      </c>
      <c r="D21" s="8">
        <v>0</v>
      </c>
      <c r="E21" s="8">
        <v>0.2</v>
      </c>
      <c r="F21" s="8">
        <v>1</v>
      </c>
      <c r="G21" s="8">
        <v>1</v>
      </c>
      <c r="H21" s="8">
        <v>0</v>
      </c>
      <c r="I21" s="8">
        <v>0</v>
      </c>
      <c r="J21" s="8">
        <v>1</v>
      </c>
      <c r="K21" s="17">
        <f>$C21+0.2*Input!$B$36*$J21</f>
        <v>0</v>
      </c>
      <c r="L21" s="6"/>
    </row>
    <row r="22" spans="1:12" x14ac:dyDescent="0.2">
      <c r="A22" s="5" t="s">
        <v>59</v>
      </c>
      <c r="B22" s="8">
        <v>0</v>
      </c>
      <c r="C22" s="8">
        <v>0</v>
      </c>
      <c r="D22" s="8">
        <v>0</v>
      </c>
      <c r="E22" s="8">
        <v>0</v>
      </c>
      <c r="F22" s="8">
        <v>0</v>
      </c>
      <c r="G22" s="8">
        <v>0.2</v>
      </c>
      <c r="H22" s="8">
        <v>1</v>
      </c>
      <c r="I22" s="8">
        <v>1</v>
      </c>
      <c r="J22" s="8">
        <v>0</v>
      </c>
      <c r="K22" s="17">
        <f>$C22+0.2*Input!$B$36*$J22</f>
        <v>0</v>
      </c>
      <c r="L22" s="6"/>
    </row>
    <row r="23" spans="1:12" x14ac:dyDescent="0.2">
      <c r="A23" s="5" t="s">
        <v>60</v>
      </c>
      <c r="B23" s="8">
        <v>0</v>
      </c>
      <c r="C23" s="8">
        <v>0</v>
      </c>
      <c r="D23" s="8">
        <v>0</v>
      </c>
      <c r="E23" s="8">
        <v>0</v>
      </c>
      <c r="F23" s="8">
        <v>0</v>
      </c>
      <c r="G23" s="8">
        <v>1</v>
      </c>
      <c r="H23" s="8">
        <v>1</v>
      </c>
      <c r="I23" s="8">
        <v>0</v>
      </c>
      <c r="J23" s="8">
        <v>0</v>
      </c>
      <c r="K23" s="17">
        <f>$C23+0.2*Input!$B$36*$J23</f>
        <v>0</v>
      </c>
      <c r="L23" s="6"/>
    </row>
    <row r="24" spans="1:12" x14ac:dyDescent="0.2">
      <c r="A24" s="5" t="s">
        <v>73</v>
      </c>
      <c r="B24" s="8">
        <v>0</v>
      </c>
      <c r="C24" s="8">
        <v>0</v>
      </c>
      <c r="D24" s="8">
        <v>0</v>
      </c>
      <c r="E24" s="8">
        <v>0.2</v>
      </c>
      <c r="F24" s="8">
        <v>1</v>
      </c>
      <c r="G24" s="8">
        <v>1</v>
      </c>
      <c r="H24" s="8">
        <v>0</v>
      </c>
      <c r="I24" s="8">
        <v>0</v>
      </c>
      <c r="J24" s="8">
        <v>1</v>
      </c>
      <c r="K24" s="17">
        <f>$C24+0.2*Input!$B$36*$J24</f>
        <v>0</v>
      </c>
      <c r="L24" s="6"/>
    </row>
    <row r="25" spans="1:12" x14ac:dyDescent="0.2">
      <c r="A25" s="5" t="s">
        <v>74</v>
      </c>
      <c r="B25" s="8">
        <v>0</v>
      </c>
      <c r="C25" s="8">
        <v>0</v>
      </c>
      <c r="D25" s="8">
        <v>0</v>
      </c>
      <c r="E25" s="8">
        <v>1</v>
      </c>
      <c r="F25" s="8">
        <v>1</v>
      </c>
      <c r="G25" s="8">
        <v>0</v>
      </c>
      <c r="H25" s="8">
        <v>0</v>
      </c>
      <c r="I25" s="8">
        <v>0</v>
      </c>
      <c r="J25" s="8">
        <v>0</v>
      </c>
      <c r="K25" s="17">
        <f>$C25+0.2*Input!$B$36*$J25</f>
        <v>0</v>
      </c>
      <c r="L25" s="6"/>
    </row>
    <row r="26" spans="1:12" x14ac:dyDescent="0.2">
      <c r="A26" s="5" t="s">
        <v>96</v>
      </c>
      <c r="B26" s="8">
        <v>0</v>
      </c>
      <c r="C26" s="8">
        <v>0</v>
      </c>
      <c r="D26" s="8">
        <v>0</v>
      </c>
      <c r="E26" s="8">
        <v>0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17">
        <f>$C26+0.2*Input!$B$36*$J26</f>
        <v>0</v>
      </c>
      <c r="L26" s="6"/>
    </row>
    <row r="27" spans="1:12" x14ac:dyDescent="0.2">
      <c r="A27" s="5" t="s">
        <v>97</v>
      </c>
      <c r="B27" s="8">
        <v>0</v>
      </c>
      <c r="C27" s="8">
        <v>0</v>
      </c>
      <c r="D27" s="8">
        <v>0</v>
      </c>
      <c r="E27" s="8">
        <v>0</v>
      </c>
      <c r="F27" s="8">
        <v>0</v>
      </c>
      <c r="G27" s="8">
        <v>0</v>
      </c>
      <c r="H27" s="8">
        <v>0</v>
      </c>
      <c r="I27" s="8">
        <v>0</v>
      </c>
      <c r="J27" s="8">
        <v>0</v>
      </c>
      <c r="K27" s="17">
        <f>$C27+0.2*Input!$B$36*$J27</f>
        <v>0</v>
      </c>
      <c r="L27" s="6"/>
    </row>
    <row r="28" spans="1:12" x14ac:dyDescent="0.2">
      <c r="A28" s="5" t="s">
        <v>98</v>
      </c>
      <c r="B28" s="8">
        <v>0</v>
      </c>
      <c r="C28" s="8">
        <v>0</v>
      </c>
      <c r="D28" s="8">
        <v>0</v>
      </c>
      <c r="E28" s="8">
        <v>0</v>
      </c>
      <c r="F28" s="8">
        <v>0</v>
      </c>
      <c r="G28" s="8">
        <v>0</v>
      </c>
      <c r="H28" s="8">
        <v>0</v>
      </c>
      <c r="I28" s="8">
        <v>0</v>
      </c>
      <c r="J28" s="8">
        <v>0</v>
      </c>
      <c r="K28" s="17">
        <f>$C28+0.2*Input!$B$36*$J28</f>
        <v>0</v>
      </c>
      <c r="L28" s="6"/>
    </row>
    <row r="29" spans="1:12" x14ac:dyDescent="0.2">
      <c r="A29" s="5" t="s">
        <v>99</v>
      </c>
      <c r="B29" s="8">
        <v>0</v>
      </c>
      <c r="C29" s="8">
        <v>0</v>
      </c>
      <c r="D29" s="8">
        <v>0</v>
      </c>
      <c r="E29" s="8">
        <v>0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17">
        <f>$C29+0.2*Input!$B$36*$J29</f>
        <v>0</v>
      </c>
      <c r="L29" s="6"/>
    </row>
    <row r="30" spans="1:12" x14ac:dyDescent="0.2">
      <c r="A30" s="5" t="s">
        <v>100</v>
      </c>
      <c r="B30" s="8">
        <v>0</v>
      </c>
      <c r="C30" s="8">
        <v>0</v>
      </c>
      <c r="D30" s="8">
        <v>0</v>
      </c>
      <c r="E30" s="8">
        <v>0</v>
      </c>
      <c r="F30" s="8">
        <v>0</v>
      </c>
      <c r="G30" s="8">
        <v>0</v>
      </c>
      <c r="H30" s="8">
        <v>0</v>
      </c>
      <c r="I30" s="8">
        <v>0</v>
      </c>
      <c r="J30" s="8">
        <v>0</v>
      </c>
      <c r="K30" s="17">
        <f>$C30+0.2*Input!$B$36*$J30</f>
        <v>0</v>
      </c>
      <c r="L30" s="6"/>
    </row>
    <row r="32" spans="1:12" ht="16.5" x14ac:dyDescent="0.25">
      <c r="A32" s="3" t="s">
        <v>652</v>
      </c>
    </row>
    <row r="33" spans="1:11" x14ac:dyDescent="0.2">
      <c r="A33" s="10" t="s">
        <v>238</v>
      </c>
    </row>
    <row r="34" spans="1:11" x14ac:dyDescent="0.2">
      <c r="A34" s="11" t="s">
        <v>653</v>
      </c>
    </row>
    <row r="35" spans="1:11" x14ac:dyDescent="0.2">
      <c r="A35" s="11" t="s">
        <v>654</v>
      </c>
    </row>
    <row r="36" spans="1:11" x14ac:dyDescent="0.2">
      <c r="A36" s="11" t="s">
        <v>655</v>
      </c>
    </row>
    <row r="37" spans="1:11" x14ac:dyDescent="0.2">
      <c r="A37" s="10" t="s">
        <v>281</v>
      </c>
    </row>
    <row r="39" spans="1:11" x14ac:dyDescent="0.2">
      <c r="B39" s="4" t="s">
        <v>21</v>
      </c>
      <c r="C39" s="4" t="s">
        <v>22</v>
      </c>
      <c r="D39" s="4" t="s">
        <v>23</v>
      </c>
      <c r="E39" s="4" t="s">
        <v>24</v>
      </c>
      <c r="F39" s="4" t="s">
        <v>25</v>
      </c>
      <c r="G39" s="4" t="s">
        <v>30</v>
      </c>
      <c r="H39" s="4" t="s">
        <v>26</v>
      </c>
      <c r="I39" s="4" t="s">
        <v>27</v>
      </c>
      <c r="J39" s="4" t="s">
        <v>28</v>
      </c>
    </row>
    <row r="40" spans="1:11" x14ac:dyDescent="0.2">
      <c r="A40" s="5" t="s">
        <v>53</v>
      </c>
      <c r="B40" s="20">
        <f t="shared" ref="B40:B57" si="0">$B13</f>
        <v>0</v>
      </c>
      <c r="C40" s="20">
        <f t="shared" ref="C40:C57" si="1">$K13</f>
        <v>0</v>
      </c>
      <c r="D40" s="20">
        <f t="shared" ref="D40:D57" si="2">$D13</f>
        <v>0</v>
      </c>
      <c r="E40" s="20">
        <f t="shared" ref="E40:E57" si="3">$E13</f>
        <v>0</v>
      </c>
      <c r="F40" s="20">
        <f t="shared" ref="F40:F57" si="4">$F13</f>
        <v>0</v>
      </c>
      <c r="G40" s="8">
        <v>0</v>
      </c>
      <c r="H40" s="20">
        <f t="shared" ref="H40:H57" si="5">$G13</f>
        <v>0</v>
      </c>
      <c r="I40" s="20">
        <f t="shared" ref="I40:I57" si="6">$H13</f>
        <v>0</v>
      </c>
      <c r="J40" s="20">
        <f t="shared" ref="J40:J57" si="7">$I13</f>
        <v>1</v>
      </c>
      <c r="K40" s="6"/>
    </row>
    <row r="41" spans="1:11" x14ac:dyDescent="0.2">
      <c r="A41" s="5" t="s">
        <v>54</v>
      </c>
      <c r="B41" s="20">
        <f t="shared" si="0"/>
        <v>0</v>
      </c>
      <c r="C41" s="20">
        <f t="shared" si="1"/>
        <v>0</v>
      </c>
      <c r="D41" s="20">
        <f t="shared" si="2"/>
        <v>0</v>
      </c>
      <c r="E41" s="20">
        <f t="shared" si="3"/>
        <v>0</v>
      </c>
      <c r="F41" s="20">
        <f t="shared" si="4"/>
        <v>0</v>
      </c>
      <c r="G41" s="8">
        <v>0</v>
      </c>
      <c r="H41" s="20">
        <f t="shared" si="5"/>
        <v>0</v>
      </c>
      <c r="I41" s="20">
        <f t="shared" si="6"/>
        <v>0</v>
      </c>
      <c r="J41" s="20">
        <f t="shared" si="7"/>
        <v>1</v>
      </c>
      <c r="K41" s="6"/>
    </row>
    <row r="42" spans="1:11" x14ac:dyDescent="0.2">
      <c r="A42" s="5" t="s">
        <v>94</v>
      </c>
      <c r="B42" s="20">
        <f t="shared" si="0"/>
        <v>0</v>
      </c>
      <c r="C42" s="20">
        <f t="shared" si="1"/>
        <v>0</v>
      </c>
      <c r="D42" s="20">
        <f t="shared" si="2"/>
        <v>0</v>
      </c>
      <c r="E42" s="20">
        <f t="shared" si="3"/>
        <v>0</v>
      </c>
      <c r="F42" s="20">
        <f t="shared" si="4"/>
        <v>0</v>
      </c>
      <c r="G42" s="8">
        <v>0</v>
      </c>
      <c r="H42" s="20">
        <f t="shared" si="5"/>
        <v>0</v>
      </c>
      <c r="I42" s="20">
        <f t="shared" si="6"/>
        <v>0</v>
      </c>
      <c r="J42" s="20">
        <f t="shared" si="7"/>
        <v>1</v>
      </c>
      <c r="K42" s="6"/>
    </row>
    <row r="43" spans="1:11" x14ac:dyDescent="0.2">
      <c r="A43" s="5" t="s">
        <v>55</v>
      </c>
      <c r="B43" s="20">
        <f t="shared" si="0"/>
        <v>0</v>
      </c>
      <c r="C43" s="20">
        <f t="shared" si="1"/>
        <v>0</v>
      </c>
      <c r="D43" s="20">
        <f t="shared" si="2"/>
        <v>0</v>
      </c>
      <c r="E43" s="20">
        <f t="shared" si="3"/>
        <v>0</v>
      </c>
      <c r="F43" s="20">
        <f t="shared" si="4"/>
        <v>0</v>
      </c>
      <c r="G43" s="8">
        <v>0</v>
      </c>
      <c r="H43" s="20">
        <f t="shared" si="5"/>
        <v>0</v>
      </c>
      <c r="I43" s="20">
        <f t="shared" si="6"/>
        <v>0</v>
      </c>
      <c r="J43" s="20">
        <f t="shared" si="7"/>
        <v>1</v>
      </c>
      <c r="K43" s="6"/>
    </row>
    <row r="44" spans="1:11" x14ac:dyDescent="0.2">
      <c r="A44" s="5" t="s">
        <v>56</v>
      </c>
      <c r="B44" s="20">
        <f t="shared" si="0"/>
        <v>0</v>
      </c>
      <c r="C44" s="20">
        <f t="shared" si="1"/>
        <v>0</v>
      </c>
      <c r="D44" s="20">
        <f t="shared" si="2"/>
        <v>0</v>
      </c>
      <c r="E44" s="20">
        <f t="shared" si="3"/>
        <v>0</v>
      </c>
      <c r="F44" s="20">
        <f t="shared" si="4"/>
        <v>0</v>
      </c>
      <c r="G44" s="8">
        <v>0</v>
      </c>
      <c r="H44" s="20">
        <f t="shared" si="5"/>
        <v>0</v>
      </c>
      <c r="I44" s="20">
        <f t="shared" si="6"/>
        <v>0</v>
      </c>
      <c r="J44" s="20">
        <f t="shared" si="7"/>
        <v>1</v>
      </c>
      <c r="K44" s="6"/>
    </row>
    <row r="45" spans="1:11" x14ac:dyDescent="0.2">
      <c r="A45" s="5" t="s">
        <v>95</v>
      </c>
      <c r="B45" s="20">
        <f t="shared" si="0"/>
        <v>0</v>
      </c>
      <c r="C45" s="20">
        <f t="shared" si="1"/>
        <v>0</v>
      </c>
      <c r="D45" s="20">
        <f t="shared" si="2"/>
        <v>0</v>
      </c>
      <c r="E45" s="20">
        <f t="shared" si="3"/>
        <v>0</v>
      </c>
      <c r="F45" s="20">
        <f t="shared" si="4"/>
        <v>0</v>
      </c>
      <c r="G45" s="8">
        <v>0</v>
      </c>
      <c r="H45" s="20">
        <f t="shared" si="5"/>
        <v>0</v>
      </c>
      <c r="I45" s="20">
        <f t="shared" si="6"/>
        <v>0</v>
      </c>
      <c r="J45" s="20">
        <f t="shared" si="7"/>
        <v>1</v>
      </c>
      <c r="K45" s="6"/>
    </row>
    <row r="46" spans="1:11" x14ac:dyDescent="0.2">
      <c r="A46" s="5" t="s">
        <v>57</v>
      </c>
      <c r="B46" s="20">
        <f t="shared" si="0"/>
        <v>0</v>
      </c>
      <c r="C46" s="20">
        <f t="shared" si="1"/>
        <v>0</v>
      </c>
      <c r="D46" s="20">
        <f t="shared" si="2"/>
        <v>0</v>
      </c>
      <c r="E46" s="20">
        <f t="shared" si="3"/>
        <v>0</v>
      </c>
      <c r="F46" s="20">
        <f t="shared" si="4"/>
        <v>0</v>
      </c>
      <c r="G46" s="8">
        <v>0</v>
      </c>
      <c r="H46" s="20">
        <f t="shared" si="5"/>
        <v>0</v>
      </c>
      <c r="I46" s="20">
        <f t="shared" si="6"/>
        <v>0</v>
      </c>
      <c r="J46" s="20">
        <f t="shared" si="7"/>
        <v>1</v>
      </c>
      <c r="K46" s="6"/>
    </row>
    <row r="47" spans="1:11" x14ac:dyDescent="0.2">
      <c r="A47" s="5" t="s">
        <v>58</v>
      </c>
      <c r="B47" s="20">
        <f t="shared" si="0"/>
        <v>0</v>
      </c>
      <c r="C47" s="20">
        <f t="shared" si="1"/>
        <v>0</v>
      </c>
      <c r="D47" s="20">
        <f t="shared" si="2"/>
        <v>0</v>
      </c>
      <c r="E47" s="20">
        <f t="shared" si="3"/>
        <v>0</v>
      </c>
      <c r="F47" s="20">
        <f t="shared" si="4"/>
        <v>0</v>
      </c>
      <c r="G47" s="8">
        <v>0</v>
      </c>
      <c r="H47" s="20">
        <f t="shared" si="5"/>
        <v>0</v>
      </c>
      <c r="I47" s="20">
        <f t="shared" si="6"/>
        <v>1</v>
      </c>
      <c r="J47" s="20">
        <f t="shared" si="7"/>
        <v>0</v>
      </c>
      <c r="K47" s="6"/>
    </row>
    <row r="48" spans="1:11" x14ac:dyDescent="0.2">
      <c r="A48" s="5" t="s">
        <v>72</v>
      </c>
      <c r="B48" s="20">
        <f t="shared" si="0"/>
        <v>0</v>
      </c>
      <c r="C48" s="20">
        <f t="shared" si="1"/>
        <v>0</v>
      </c>
      <c r="D48" s="20">
        <f t="shared" si="2"/>
        <v>0</v>
      </c>
      <c r="E48" s="20">
        <f t="shared" si="3"/>
        <v>0.2</v>
      </c>
      <c r="F48" s="20">
        <f t="shared" si="4"/>
        <v>1</v>
      </c>
      <c r="G48" s="8">
        <v>1</v>
      </c>
      <c r="H48" s="20">
        <f t="shared" si="5"/>
        <v>1</v>
      </c>
      <c r="I48" s="20">
        <f t="shared" si="6"/>
        <v>0</v>
      </c>
      <c r="J48" s="20">
        <f t="shared" si="7"/>
        <v>0</v>
      </c>
      <c r="K48" s="6"/>
    </row>
    <row r="49" spans="1:11" x14ac:dyDescent="0.2">
      <c r="A49" s="5" t="s">
        <v>59</v>
      </c>
      <c r="B49" s="20">
        <f t="shared" si="0"/>
        <v>0</v>
      </c>
      <c r="C49" s="20">
        <f t="shared" si="1"/>
        <v>0</v>
      </c>
      <c r="D49" s="20">
        <f t="shared" si="2"/>
        <v>0</v>
      </c>
      <c r="E49" s="20">
        <f t="shared" si="3"/>
        <v>0</v>
      </c>
      <c r="F49" s="20">
        <f t="shared" si="4"/>
        <v>0</v>
      </c>
      <c r="G49" s="8">
        <v>0</v>
      </c>
      <c r="H49" s="20">
        <f t="shared" si="5"/>
        <v>0.2</v>
      </c>
      <c r="I49" s="20">
        <f t="shared" si="6"/>
        <v>1</v>
      </c>
      <c r="J49" s="20">
        <f t="shared" si="7"/>
        <v>1</v>
      </c>
      <c r="K49" s="6"/>
    </row>
    <row r="50" spans="1:11" x14ac:dyDescent="0.2">
      <c r="A50" s="5" t="s">
        <v>60</v>
      </c>
      <c r="B50" s="20">
        <f t="shared" si="0"/>
        <v>0</v>
      </c>
      <c r="C50" s="20">
        <f t="shared" si="1"/>
        <v>0</v>
      </c>
      <c r="D50" s="20">
        <f t="shared" si="2"/>
        <v>0</v>
      </c>
      <c r="E50" s="20">
        <f t="shared" si="3"/>
        <v>0</v>
      </c>
      <c r="F50" s="20">
        <f t="shared" si="4"/>
        <v>0</v>
      </c>
      <c r="G50" s="8">
        <v>0</v>
      </c>
      <c r="H50" s="20">
        <f t="shared" si="5"/>
        <v>1</v>
      </c>
      <c r="I50" s="20">
        <f t="shared" si="6"/>
        <v>1</v>
      </c>
      <c r="J50" s="20">
        <f t="shared" si="7"/>
        <v>0</v>
      </c>
      <c r="K50" s="6"/>
    </row>
    <row r="51" spans="1:11" x14ac:dyDescent="0.2">
      <c r="A51" s="5" t="s">
        <v>73</v>
      </c>
      <c r="B51" s="20">
        <f t="shared" si="0"/>
        <v>0</v>
      </c>
      <c r="C51" s="20">
        <f t="shared" si="1"/>
        <v>0</v>
      </c>
      <c r="D51" s="20">
        <f t="shared" si="2"/>
        <v>0</v>
      </c>
      <c r="E51" s="20">
        <f t="shared" si="3"/>
        <v>0.2</v>
      </c>
      <c r="F51" s="20">
        <f t="shared" si="4"/>
        <v>1</v>
      </c>
      <c r="G51" s="8">
        <v>1</v>
      </c>
      <c r="H51" s="20">
        <f t="shared" si="5"/>
        <v>1</v>
      </c>
      <c r="I51" s="20">
        <f t="shared" si="6"/>
        <v>0</v>
      </c>
      <c r="J51" s="20">
        <f t="shared" si="7"/>
        <v>0</v>
      </c>
      <c r="K51" s="6"/>
    </row>
    <row r="52" spans="1:11" x14ac:dyDescent="0.2">
      <c r="A52" s="5" t="s">
        <v>74</v>
      </c>
      <c r="B52" s="20">
        <f t="shared" si="0"/>
        <v>0</v>
      </c>
      <c r="C52" s="20">
        <f t="shared" si="1"/>
        <v>0</v>
      </c>
      <c r="D52" s="20">
        <f t="shared" si="2"/>
        <v>0</v>
      </c>
      <c r="E52" s="20">
        <f t="shared" si="3"/>
        <v>1</v>
      </c>
      <c r="F52" s="20">
        <f t="shared" si="4"/>
        <v>1</v>
      </c>
      <c r="G52" s="8">
        <v>0</v>
      </c>
      <c r="H52" s="20">
        <f t="shared" si="5"/>
        <v>0</v>
      </c>
      <c r="I52" s="20">
        <f t="shared" si="6"/>
        <v>0</v>
      </c>
      <c r="J52" s="20">
        <f t="shared" si="7"/>
        <v>0</v>
      </c>
      <c r="K52" s="6"/>
    </row>
    <row r="53" spans="1:11" x14ac:dyDescent="0.2">
      <c r="A53" s="5" t="s">
        <v>96</v>
      </c>
      <c r="B53" s="20">
        <f t="shared" si="0"/>
        <v>0</v>
      </c>
      <c r="C53" s="20">
        <f t="shared" si="1"/>
        <v>0</v>
      </c>
      <c r="D53" s="20">
        <f t="shared" si="2"/>
        <v>0</v>
      </c>
      <c r="E53" s="20">
        <f t="shared" si="3"/>
        <v>0</v>
      </c>
      <c r="F53" s="20">
        <f t="shared" si="4"/>
        <v>0</v>
      </c>
      <c r="G53" s="8">
        <v>0</v>
      </c>
      <c r="H53" s="20">
        <f t="shared" si="5"/>
        <v>0</v>
      </c>
      <c r="I53" s="20">
        <f t="shared" si="6"/>
        <v>0</v>
      </c>
      <c r="J53" s="20">
        <f t="shared" si="7"/>
        <v>0</v>
      </c>
      <c r="K53" s="6"/>
    </row>
    <row r="54" spans="1:11" x14ac:dyDescent="0.2">
      <c r="A54" s="5" t="s">
        <v>97</v>
      </c>
      <c r="B54" s="20">
        <f t="shared" si="0"/>
        <v>0</v>
      </c>
      <c r="C54" s="20">
        <f t="shared" si="1"/>
        <v>0</v>
      </c>
      <c r="D54" s="20">
        <f t="shared" si="2"/>
        <v>0</v>
      </c>
      <c r="E54" s="20">
        <f t="shared" si="3"/>
        <v>0</v>
      </c>
      <c r="F54" s="20">
        <f t="shared" si="4"/>
        <v>0</v>
      </c>
      <c r="G54" s="8">
        <v>0</v>
      </c>
      <c r="H54" s="20">
        <f t="shared" si="5"/>
        <v>0</v>
      </c>
      <c r="I54" s="20">
        <f t="shared" si="6"/>
        <v>0</v>
      </c>
      <c r="J54" s="20">
        <f t="shared" si="7"/>
        <v>0</v>
      </c>
      <c r="K54" s="6"/>
    </row>
    <row r="55" spans="1:11" x14ac:dyDescent="0.2">
      <c r="A55" s="5" t="s">
        <v>98</v>
      </c>
      <c r="B55" s="20">
        <f t="shared" si="0"/>
        <v>0</v>
      </c>
      <c r="C55" s="20">
        <f t="shared" si="1"/>
        <v>0</v>
      </c>
      <c r="D55" s="20">
        <f t="shared" si="2"/>
        <v>0</v>
      </c>
      <c r="E55" s="20">
        <f t="shared" si="3"/>
        <v>0</v>
      </c>
      <c r="F55" s="20">
        <f t="shared" si="4"/>
        <v>0</v>
      </c>
      <c r="G55" s="8">
        <v>0</v>
      </c>
      <c r="H55" s="20">
        <f t="shared" si="5"/>
        <v>0</v>
      </c>
      <c r="I55" s="20">
        <f t="shared" si="6"/>
        <v>0</v>
      </c>
      <c r="J55" s="20">
        <f t="shared" si="7"/>
        <v>0</v>
      </c>
      <c r="K55" s="6"/>
    </row>
    <row r="56" spans="1:11" x14ac:dyDescent="0.2">
      <c r="A56" s="5" t="s">
        <v>99</v>
      </c>
      <c r="B56" s="20">
        <f t="shared" si="0"/>
        <v>0</v>
      </c>
      <c r="C56" s="20">
        <f t="shared" si="1"/>
        <v>0</v>
      </c>
      <c r="D56" s="20">
        <f t="shared" si="2"/>
        <v>0</v>
      </c>
      <c r="E56" s="20">
        <f t="shared" si="3"/>
        <v>0</v>
      </c>
      <c r="F56" s="20">
        <f t="shared" si="4"/>
        <v>0</v>
      </c>
      <c r="G56" s="8">
        <v>0</v>
      </c>
      <c r="H56" s="20">
        <f t="shared" si="5"/>
        <v>0</v>
      </c>
      <c r="I56" s="20">
        <f t="shared" si="6"/>
        <v>0</v>
      </c>
      <c r="J56" s="20">
        <f t="shared" si="7"/>
        <v>0</v>
      </c>
      <c r="K56" s="6"/>
    </row>
    <row r="57" spans="1:11" x14ac:dyDescent="0.2">
      <c r="A57" s="5" t="s">
        <v>100</v>
      </c>
      <c r="B57" s="20">
        <f t="shared" si="0"/>
        <v>0</v>
      </c>
      <c r="C57" s="20">
        <f t="shared" si="1"/>
        <v>0</v>
      </c>
      <c r="D57" s="20">
        <f t="shared" si="2"/>
        <v>0</v>
      </c>
      <c r="E57" s="20">
        <f t="shared" si="3"/>
        <v>0</v>
      </c>
      <c r="F57" s="20">
        <f t="shared" si="4"/>
        <v>0</v>
      </c>
      <c r="G57" s="8">
        <v>0</v>
      </c>
      <c r="H57" s="20">
        <f t="shared" si="5"/>
        <v>0</v>
      </c>
      <c r="I57" s="20">
        <f t="shared" si="6"/>
        <v>0</v>
      </c>
      <c r="J57" s="20">
        <f t="shared" si="7"/>
        <v>0</v>
      </c>
      <c r="K57" s="6"/>
    </row>
    <row r="59" spans="1:11" ht="16.5" x14ac:dyDescent="0.25">
      <c r="A59" s="3" t="s">
        <v>656</v>
      </c>
    </row>
    <row r="60" spans="1:11" x14ac:dyDescent="0.2">
      <c r="A60" s="10" t="s">
        <v>238</v>
      </c>
    </row>
    <row r="61" spans="1:11" x14ac:dyDescent="0.2">
      <c r="A61" s="11" t="s">
        <v>657</v>
      </c>
    </row>
    <row r="62" spans="1:11" x14ac:dyDescent="0.2">
      <c r="A62" s="11" t="s">
        <v>658</v>
      </c>
    </row>
    <row r="63" spans="1:11" x14ac:dyDescent="0.2">
      <c r="A63" s="11" t="s">
        <v>659</v>
      </c>
    </row>
    <row r="64" spans="1:11" x14ac:dyDescent="0.2">
      <c r="A64" s="11" t="s">
        <v>660</v>
      </c>
    </row>
    <row r="65" spans="1:11" x14ac:dyDescent="0.2">
      <c r="A65" s="10" t="s">
        <v>661</v>
      </c>
    </row>
    <row r="67" spans="1:11" x14ac:dyDescent="0.2">
      <c r="B67" s="4" t="s">
        <v>21</v>
      </c>
      <c r="C67" s="4" t="s">
        <v>22</v>
      </c>
      <c r="D67" s="4" t="s">
        <v>23</v>
      </c>
      <c r="E67" s="4" t="s">
        <v>24</v>
      </c>
      <c r="F67" s="4" t="s">
        <v>25</v>
      </c>
      <c r="G67" s="4" t="s">
        <v>30</v>
      </c>
      <c r="H67" s="4" t="s">
        <v>26</v>
      </c>
      <c r="I67" s="4" t="s">
        <v>27</v>
      </c>
      <c r="J67" s="4" t="s">
        <v>28</v>
      </c>
    </row>
    <row r="68" spans="1:11" x14ac:dyDescent="0.2">
      <c r="A68" s="5" t="s">
        <v>59</v>
      </c>
      <c r="B68" s="25">
        <f>Loads!$F$307*Input!$E$14*B$49*LAFs!B$250</f>
        <v>0</v>
      </c>
      <c r="C68" s="25">
        <f>Loads!$F$307*Input!$E$14*C$49*LAFs!C$250</f>
        <v>0</v>
      </c>
      <c r="D68" s="25">
        <f>Loads!$F$307*Input!$E$14*D$49*LAFs!D$250</f>
        <v>0</v>
      </c>
      <c r="E68" s="25">
        <f>Loads!$F$307*Input!$E$14*E$49*LAFs!E$250</f>
        <v>0</v>
      </c>
      <c r="F68" s="25">
        <f>Loads!$F$307*Input!$E$14*F$49*LAFs!F$250</f>
        <v>0</v>
      </c>
      <c r="G68" s="25">
        <f>Loads!$F$307*Input!$E$14*G$49*LAFs!G$250</f>
        <v>0</v>
      </c>
      <c r="H68" s="25">
        <f>Loads!$F$307*Input!$E$14*H$49*LAFs!H$250</f>
        <v>151585.83950920985</v>
      </c>
      <c r="I68" s="25">
        <f>Loads!$F$307*Input!$E$14*I$49*LAFs!I$250</f>
        <v>748563.15232922533</v>
      </c>
      <c r="J68" s="25">
        <f>Loads!$F$307*Input!$E$14*J$49*LAFs!J$250</f>
        <v>714599.30694223684</v>
      </c>
      <c r="K68" s="6"/>
    </row>
    <row r="69" spans="1:11" x14ac:dyDescent="0.2">
      <c r="A69" s="5" t="s">
        <v>60</v>
      </c>
      <c r="B69" s="25">
        <f>Loads!$F$308*Input!$E$14*B$50*LAFs!B$251</f>
        <v>0</v>
      </c>
      <c r="C69" s="25">
        <f>Loads!$F$308*Input!$E$14*C$50*LAFs!C$251</f>
        <v>0</v>
      </c>
      <c r="D69" s="25">
        <f>Loads!$F$308*Input!$E$14*D$50*LAFs!D$251</f>
        <v>0</v>
      </c>
      <c r="E69" s="25">
        <f>Loads!$F$308*Input!$E$14*E$50*LAFs!E$251</f>
        <v>0</v>
      </c>
      <c r="F69" s="25">
        <f>Loads!$F$308*Input!$E$14*F$50*LAFs!F$251</f>
        <v>0</v>
      </c>
      <c r="G69" s="25">
        <f>Loads!$F$308*Input!$E$14*G$50*LAFs!G$251</f>
        <v>0</v>
      </c>
      <c r="H69" s="25">
        <f>Loads!$F$308*Input!$E$14*H$50*LAFs!H$251</f>
        <v>607675.6126102506</v>
      </c>
      <c r="I69" s="25">
        <f>Loads!$F$308*Input!$E$14*I$50*LAFs!I$251</f>
        <v>600166.31321487669</v>
      </c>
      <c r="J69" s="25">
        <f>Loads!$F$308*Input!$E$14*J$50*LAFs!J$251</f>
        <v>0</v>
      </c>
      <c r="K69" s="6"/>
    </row>
    <row r="70" spans="1:11" x14ac:dyDescent="0.2">
      <c r="A70" s="5" t="s">
        <v>73</v>
      </c>
      <c r="B70" s="25">
        <f>Loads!$F$309*Input!$E$14*B$51*LAFs!B$252</f>
        <v>0</v>
      </c>
      <c r="C70" s="25">
        <f>Loads!$F$309*Input!$E$14*C$51*LAFs!C$252</f>
        <v>0</v>
      </c>
      <c r="D70" s="25">
        <f>Loads!$F$309*Input!$E$14*D$51*LAFs!D$252</f>
        <v>0</v>
      </c>
      <c r="E70" s="25">
        <f>Loads!$F$309*Input!$E$14*E$51*LAFs!E$252</f>
        <v>354768.98755351093</v>
      </c>
      <c r="F70" s="25">
        <f>Loads!$F$309*Input!$E$14*F$51*LAFs!F$252</f>
        <v>1763481.6762031873</v>
      </c>
      <c r="G70" s="25">
        <f>Loads!$F$309*Input!$E$14*G$51*LAFs!G$252</f>
        <v>0</v>
      </c>
      <c r="H70" s="25">
        <f>Loads!$F$309*Input!$E$14*H$51*LAFs!H$252</f>
        <v>1743114.2266223996</v>
      </c>
      <c r="I70" s="25">
        <f>Loads!$F$309*Input!$E$14*I$51*LAFs!I$252</f>
        <v>0</v>
      </c>
      <c r="J70" s="25">
        <f>Loads!$F$309*Input!$E$14*J$51*LAFs!J$252</f>
        <v>0</v>
      </c>
      <c r="K70" s="6"/>
    </row>
    <row r="71" spans="1:11" x14ac:dyDescent="0.2">
      <c r="A71" s="5" t="s">
        <v>74</v>
      </c>
      <c r="B71" s="25">
        <f>Loads!$F$310*Input!$E$14*B$52*LAFs!B$253</f>
        <v>0</v>
      </c>
      <c r="C71" s="25">
        <f>Loads!$F$310*Input!$E$14*C$52*LAFs!C$253</f>
        <v>0</v>
      </c>
      <c r="D71" s="25">
        <f>Loads!$F$310*Input!$E$14*D$52*LAFs!D$253</f>
        <v>0</v>
      </c>
      <c r="E71" s="25">
        <f>Loads!$F$310*Input!$E$14*E$52*LAFs!E$253</f>
        <v>0</v>
      </c>
      <c r="F71" s="25">
        <f>Loads!$F$310*Input!$E$14*F$52*LAFs!F$253</f>
        <v>0</v>
      </c>
      <c r="G71" s="25">
        <f>Loads!$F$310*Input!$E$14*G$52*LAFs!G$253</f>
        <v>0</v>
      </c>
      <c r="H71" s="25">
        <f>Loads!$F$310*Input!$E$14*H$52*LAFs!H$253</f>
        <v>0</v>
      </c>
      <c r="I71" s="25">
        <f>Loads!$F$310*Input!$E$14*I$52*LAFs!I$253</f>
        <v>0</v>
      </c>
      <c r="J71" s="25">
        <f>Loads!$F$310*Input!$E$14*J$52*LAFs!J$253</f>
        <v>0</v>
      </c>
      <c r="K71" s="6"/>
    </row>
    <row r="73" spans="1:11" ht="16.5" x14ac:dyDescent="0.25">
      <c r="A73" s="3" t="s">
        <v>662</v>
      </c>
    </row>
    <row r="74" spans="1:11" x14ac:dyDescent="0.2">
      <c r="A74" s="10" t="s">
        <v>238</v>
      </c>
    </row>
    <row r="75" spans="1:11" x14ac:dyDescent="0.2">
      <c r="A75" s="11" t="s">
        <v>461</v>
      </c>
    </row>
    <row r="76" spans="1:11" x14ac:dyDescent="0.2">
      <c r="A76" s="11" t="s">
        <v>386</v>
      </c>
    </row>
    <row r="77" spans="1:11" x14ac:dyDescent="0.2">
      <c r="A77" s="11" t="s">
        <v>659</v>
      </c>
    </row>
    <row r="78" spans="1:11" x14ac:dyDescent="0.2">
      <c r="A78" s="11" t="s">
        <v>660</v>
      </c>
    </row>
    <row r="79" spans="1:11" x14ac:dyDescent="0.2">
      <c r="A79" s="11" t="s">
        <v>552</v>
      </c>
    </row>
    <row r="80" spans="1:11" x14ac:dyDescent="0.2">
      <c r="A80" s="10" t="s">
        <v>663</v>
      </c>
    </row>
    <row r="82" spans="1:11" x14ac:dyDescent="0.2">
      <c r="B82" s="4" t="s">
        <v>21</v>
      </c>
      <c r="C82" s="4" t="s">
        <v>22</v>
      </c>
      <c r="D82" s="4" t="s">
        <v>23</v>
      </c>
      <c r="E82" s="4" t="s">
        <v>24</v>
      </c>
      <c r="F82" s="4" t="s">
        <v>25</v>
      </c>
      <c r="G82" s="4" t="s">
        <v>30</v>
      </c>
      <c r="H82" s="4" t="s">
        <v>26</v>
      </c>
      <c r="I82" s="4" t="s">
        <v>27</v>
      </c>
      <c r="J82" s="4" t="s">
        <v>28</v>
      </c>
    </row>
    <row r="83" spans="1:11" x14ac:dyDescent="0.2">
      <c r="A83" s="5" t="s">
        <v>53</v>
      </c>
      <c r="B83" s="25">
        <f>Multi!$B$115/Input!$C117*B40*LAFs!B$241/(24*Input!$F$14)*1000</f>
        <v>0</v>
      </c>
      <c r="C83" s="25">
        <f>Multi!$B$115/Input!$C117*C40*LAFs!C$241/(24*Input!$F$14)*1000</f>
        <v>0</v>
      </c>
      <c r="D83" s="25">
        <f>Multi!$B$115/Input!$C117*D40*LAFs!D$241/(24*Input!$F$14)*1000</f>
        <v>0</v>
      </c>
      <c r="E83" s="25">
        <f>Multi!$B$115/Input!$C117*E40*LAFs!E$241/(24*Input!$F$14)*1000</f>
        <v>0</v>
      </c>
      <c r="F83" s="25">
        <f>Multi!$B$115/Input!$C117*F40*LAFs!F$241/(24*Input!$F$14)*1000</f>
        <v>0</v>
      </c>
      <c r="G83" s="25">
        <f>Multi!$B$115/Input!$C117*G40*LAFs!G$241/(24*Input!$F$14)*1000</f>
        <v>0</v>
      </c>
      <c r="H83" s="25">
        <f>Multi!$B$115/Input!$C117*H40*LAFs!H$241/(24*Input!$F$14)*1000</f>
        <v>0</v>
      </c>
      <c r="I83" s="25">
        <f>Multi!$B$115/Input!$C117*I40*LAFs!I$241/(24*Input!$F$14)*1000</f>
        <v>0</v>
      </c>
      <c r="J83" s="25">
        <f>Multi!$B$115/Input!$C117*J40*LAFs!J$241/(24*Input!$F$14)*1000</f>
        <v>2039151.2368626243</v>
      </c>
      <c r="K83" s="6"/>
    </row>
    <row r="84" spans="1:11" x14ac:dyDescent="0.2">
      <c r="A84" s="5" t="s">
        <v>54</v>
      </c>
      <c r="B84" s="25">
        <f>Multi!$B$116/Input!$C118*B41*LAFs!B$242/(24*Input!$F$14)*1000</f>
        <v>0</v>
      </c>
      <c r="C84" s="25">
        <f>Multi!$B$116/Input!$C118*C41*LAFs!C$242/(24*Input!$F$14)*1000</f>
        <v>0</v>
      </c>
      <c r="D84" s="25">
        <f>Multi!$B$116/Input!$C118*D41*LAFs!D$242/(24*Input!$F$14)*1000</f>
        <v>0</v>
      </c>
      <c r="E84" s="25">
        <f>Multi!$B$116/Input!$C118*E41*LAFs!E$242/(24*Input!$F$14)*1000</f>
        <v>0</v>
      </c>
      <c r="F84" s="25">
        <f>Multi!$B$116/Input!$C118*F41*LAFs!F$242/(24*Input!$F$14)*1000</f>
        <v>0</v>
      </c>
      <c r="G84" s="25">
        <f>Multi!$B$116/Input!$C118*G41*LAFs!G$242/(24*Input!$F$14)*1000</f>
        <v>0</v>
      </c>
      <c r="H84" s="25">
        <f>Multi!$B$116/Input!$C118*H41*LAFs!H$242/(24*Input!$F$14)*1000</f>
        <v>0</v>
      </c>
      <c r="I84" s="25">
        <f>Multi!$B$116/Input!$C118*I41*LAFs!I$242/(24*Input!$F$14)*1000</f>
        <v>0</v>
      </c>
      <c r="J84" s="25">
        <f>Multi!$B$116/Input!$C118*J41*LAFs!J$242/(24*Input!$F$14)*1000</f>
        <v>641039.86145576718</v>
      </c>
      <c r="K84" s="6"/>
    </row>
    <row r="85" spans="1:11" x14ac:dyDescent="0.2">
      <c r="A85" s="5" t="s">
        <v>94</v>
      </c>
      <c r="B85" s="25">
        <f>Multi!$B$117/Input!$C119*B42*LAFs!B$243/(24*Input!$F$14)*1000</f>
        <v>0</v>
      </c>
      <c r="C85" s="25">
        <f>Multi!$B$117/Input!$C119*C42*LAFs!C$243/(24*Input!$F$14)*1000</f>
        <v>0</v>
      </c>
      <c r="D85" s="25">
        <f>Multi!$B$117/Input!$C119*D42*LAFs!D$243/(24*Input!$F$14)*1000</f>
        <v>0</v>
      </c>
      <c r="E85" s="25">
        <f>Multi!$B$117/Input!$C119*E42*LAFs!E$243/(24*Input!$F$14)*1000</f>
        <v>0</v>
      </c>
      <c r="F85" s="25">
        <f>Multi!$B$117/Input!$C119*F42*LAFs!F$243/(24*Input!$F$14)*1000</f>
        <v>0</v>
      </c>
      <c r="G85" s="25">
        <f>Multi!$B$117/Input!$C119*G42*LAFs!G$243/(24*Input!$F$14)*1000</f>
        <v>0</v>
      </c>
      <c r="H85" s="25">
        <f>Multi!$B$117/Input!$C119*H42*LAFs!H$243/(24*Input!$F$14)*1000</f>
        <v>0</v>
      </c>
      <c r="I85" s="25">
        <f>Multi!$B$117/Input!$C119*I42*LAFs!I$243/(24*Input!$F$14)*1000</f>
        <v>0</v>
      </c>
      <c r="J85" s="25">
        <f>Multi!$B$117/Input!$C119*J42*LAFs!J$243/(24*Input!$F$14)*1000</f>
        <v>22487.270960579568</v>
      </c>
      <c r="K85" s="6"/>
    </row>
    <row r="86" spans="1:11" x14ac:dyDescent="0.2">
      <c r="A86" s="5" t="s">
        <v>55</v>
      </c>
      <c r="B86" s="25">
        <f>Multi!$B$118/Input!$C120*B43*LAFs!B$244/(24*Input!$F$14)*1000</f>
        <v>0</v>
      </c>
      <c r="C86" s="25">
        <f>Multi!$B$118/Input!$C120*C43*LAFs!C$244/(24*Input!$F$14)*1000</f>
        <v>0</v>
      </c>
      <c r="D86" s="25">
        <f>Multi!$B$118/Input!$C120*D43*LAFs!D$244/(24*Input!$F$14)*1000</f>
        <v>0</v>
      </c>
      <c r="E86" s="25">
        <f>Multi!$B$118/Input!$C120*E43*LAFs!E$244/(24*Input!$F$14)*1000</f>
        <v>0</v>
      </c>
      <c r="F86" s="25">
        <f>Multi!$B$118/Input!$C120*F43*LAFs!F$244/(24*Input!$F$14)*1000</f>
        <v>0</v>
      </c>
      <c r="G86" s="25">
        <f>Multi!$B$118/Input!$C120*G43*LAFs!G$244/(24*Input!$F$14)*1000</f>
        <v>0</v>
      </c>
      <c r="H86" s="25">
        <f>Multi!$B$118/Input!$C120*H43*LAFs!H$244/(24*Input!$F$14)*1000</f>
        <v>0</v>
      </c>
      <c r="I86" s="25">
        <f>Multi!$B$118/Input!$C120*I43*LAFs!I$244/(24*Input!$F$14)*1000</f>
        <v>0</v>
      </c>
      <c r="J86" s="25">
        <f>Multi!$B$118/Input!$C120*J43*LAFs!J$244/(24*Input!$F$14)*1000</f>
        <v>569391.69700087595</v>
      </c>
      <c r="K86" s="6"/>
    </row>
    <row r="87" spans="1:11" x14ac:dyDescent="0.2">
      <c r="A87" s="5" t="s">
        <v>56</v>
      </c>
      <c r="B87" s="25">
        <f>Multi!$B$119/Input!$C121*B44*LAFs!B$245/(24*Input!$F$14)*1000</f>
        <v>0</v>
      </c>
      <c r="C87" s="25">
        <f>Multi!$B$119/Input!$C121*C44*LAFs!C$245/(24*Input!$F$14)*1000</f>
        <v>0</v>
      </c>
      <c r="D87" s="25">
        <f>Multi!$B$119/Input!$C121*D44*LAFs!D$245/(24*Input!$F$14)*1000</f>
        <v>0</v>
      </c>
      <c r="E87" s="25">
        <f>Multi!$B$119/Input!$C121*E44*LAFs!E$245/(24*Input!$F$14)*1000</f>
        <v>0</v>
      </c>
      <c r="F87" s="25">
        <f>Multi!$B$119/Input!$C121*F44*LAFs!F$245/(24*Input!$F$14)*1000</f>
        <v>0</v>
      </c>
      <c r="G87" s="25">
        <f>Multi!$B$119/Input!$C121*G44*LAFs!G$245/(24*Input!$F$14)*1000</f>
        <v>0</v>
      </c>
      <c r="H87" s="25">
        <f>Multi!$B$119/Input!$C121*H44*LAFs!H$245/(24*Input!$F$14)*1000</f>
        <v>0</v>
      </c>
      <c r="I87" s="25">
        <f>Multi!$B$119/Input!$C121*I44*LAFs!I$245/(24*Input!$F$14)*1000</f>
        <v>0</v>
      </c>
      <c r="J87" s="25">
        <f>Multi!$B$119/Input!$C121*J44*LAFs!J$245/(24*Input!$F$14)*1000</f>
        <v>186375.9589751692</v>
      </c>
      <c r="K87" s="6"/>
    </row>
    <row r="88" spans="1:11" x14ac:dyDescent="0.2">
      <c r="A88" s="5" t="s">
        <v>95</v>
      </c>
      <c r="B88" s="25">
        <f>Multi!$B$120/Input!$C122*B45*LAFs!B$246/(24*Input!$F$14)*1000</f>
        <v>0</v>
      </c>
      <c r="C88" s="25">
        <f>Multi!$B$120/Input!$C122*C45*LAFs!C$246/(24*Input!$F$14)*1000</f>
        <v>0</v>
      </c>
      <c r="D88" s="25">
        <f>Multi!$B$120/Input!$C122*D45*LAFs!D$246/(24*Input!$F$14)*1000</f>
        <v>0</v>
      </c>
      <c r="E88" s="25">
        <f>Multi!$B$120/Input!$C122*E45*LAFs!E$246/(24*Input!$F$14)*1000</f>
        <v>0</v>
      </c>
      <c r="F88" s="25">
        <f>Multi!$B$120/Input!$C122*F45*LAFs!F$246/(24*Input!$F$14)*1000</f>
        <v>0</v>
      </c>
      <c r="G88" s="25">
        <f>Multi!$B$120/Input!$C122*G45*LAFs!G$246/(24*Input!$F$14)*1000</f>
        <v>0</v>
      </c>
      <c r="H88" s="25">
        <f>Multi!$B$120/Input!$C122*H45*LAFs!H$246/(24*Input!$F$14)*1000</f>
        <v>0</v>
      </c>
      <c r="I88" s="25">
        <f>Multi!$B$120/Input!$C122*I45*LAFs!I$246/(24*Input!$F$14)*1000</f>
        <v>0</v>
      </c>
      <c r="J88" s="25">
        <f>Multi!$B$120/Input!$C122*J45*LAFs!J$246/(24*Input!$F$14)*1000</f>
        <v>22885.479770670572</v>
      </c>
      <c r="K88" s="6"/>
    </row>
    <row r="89" spans="1:11" x14ac:dyDescent="0.2">
      <c r="A89" s="5" t="s">
        <v>57</v>
      </c>
      <c r="B89" s="25">
        <f>Multi!$B$121/Input!$C123*B46*LAFs!B$247/(24*Input!$F$14)*1000</f>
        <v>0</v>
      </c>
      <c r="C89" s="25">
        <f>Multi!$B$121/Input!$C123*C46*LAFs!C$247/(24*Input!$F$14)*1000</f>
        <v>0</v>
      </c>
      <c r="D89" s="25">
        <f>Multi!$B$121/Input!$C123*D46*LAFs!D$247/(24*Input!$F$14)*1000</f>
        <v>0</v>
      </c>
      <c r="E89" s="25">
        <f>Multi!$B$121/Input!$C123*E46*LAFs!E$247/(24*Input!$F$14)*1000</f>
        <v>0</v>
      </c>
      <c r="F89" s="25">
        <f>Multi!$B$121/Input!$C123*F46*LAFs!F$247/(24*Input!$F$14)*1000</f>
        <v>0</v>
      </c>
      <c r="G89" s="25">
        <f>Multi!$B$121/Input!$C123*G46*LAFs!G$247/(24*Input!$F$14)*1000</f>
        <v>0</v>
      </c>
      <c r="H89" s="25">
        <f>Multi!$B$121/Input!$C123*H46*LAFs!H$247/(24*Input!$F$14)*1000</f>
        <v>0</v>
      </c>
      <c r="I89" s="25">
        <f>Multi!$B$121/Input!$C123*I46*LAFs!I$247/(24*Input!$F$14)*1000</f>
        <v>0</v>
      </c>
      <c r="J89" s="25">
        <f>Multi!$B$121/Input!$C123*J46*LAFs!J$247/(24*Input!$F$14)*1000</f>
        <v>276285.27239613922</v>
      </c>
      <c r="K89" s="6"/>
    </row>
    <row r="90" spans="1:11" x14ac:dyDescent="0.2">
      <c r="A90" s="5" t="s">
        <v>58</v>
      </c>
      <c r="B90" s="25">
        <f>Multi!$B$122/Input!$C124*B47*LAFs!B$248/(24*Input!$F$14)*1000</f>
        <v>0</v>
      </c>
      <c r="C90" s="25">
        <f>Multi!$B$122/Input!$C124*C47*LAFs!C$248/(24*Input!$F$14)*1000</f>
        <v>0</v>
      </c>
      <c r="D90" s="25">
        <f>Multi!$B$122/Input!$C124*D47*LAFs!D$248/(24*Input!$F$14)*1000</f>
        <v>0</v>
      </c>
      <c r="E90" s="25">
        <f>Multi!$B$122/Input!$C124*E47*LAFs!E$248/(24*Input!$F$14)*1000</f>
        <v>0</v>
      </c>
      <c r="F90" s="25">
        <f>Multi!$B$122/Input!$C124*F47*LAFs!F$248/(24*Input!$F$14)*1000</f>
        <v>0</v>
      </c>
      <c r="G90" s="25">
        <f>Multi!$B$122/Input!$C124*G47*LAFs!G$248/(24*Input!$F$14)*1000</f>
        <v>0</v>
      </c>
      <c r="H90" s="25">
        <f>Multi!$B$122/Input!$C124*H47*LAFs!H$248/(24*Input!$F$14)*1000</f>
        <v>0</v>
      </c>
      <c r="I90" s="25">
        <f>Multi!$B$122/Input!$C124*I47*LAFs!I$248/(24*Input!$F$14)*1000</f>
        <v>9597.2514042467992</v>
      </c>
      <c r="J90" s="25">
        <f>Multi!$B$122/Input!$C124*J47*LAFs!J$248/(24*Input!$F$14)*1000</f>
        <v>0</v>
      </c>
      <c r="K90" s="6"/>
    </row>
    <row r="91" spans="1:11" x14ac:dyDescent="0.2">
      <c r="A91" s="5" t="s">
        <v>72</v>
      </c>
      <c r="B91" s="25">
        <f>Multi!$B$123/Input!$C125*B48*LAFs!B$249/(24*Input!$F$14)*1000</f>
        <v>0</v>
      </c>
      <c r="C91" s="25">
        <f>Multi!$B$123/Input!$C125*C48*LAFs!C$249/(24*Input!$F$14)*1000</f>
        <v>0</v>
      </c>
      <c r="D91" s="25">
        <f>Multi!$B$123/Input!$C125*D48*LAFs!D$249/(24*Input!$F$14)*1000</f>
        <v>0</v>
      </c>
      <c r="E91" s="25">
        <f>Multi!$B$123/Input!$C125*E48*LAFs!E$249/(24*Input!$F$14)*1000</f>
        <v>631.76978553494212</v>
      </c>
      <c r="F91" s="25">
        <f>Multi!$B$123/Input!$C125*F48*LAFs!F$249/(24*Input!$F$14)*1000</f>
        <v>3140.3941140758316</v>
      </c>
      <c r="G91" s="25">
        <f>Multi!$B$123/Input!$C125*G48*LAFs!G$249/(24*Input!$F$14)*1000</f>
        <v>0</v>
      </c>
      <c r="H91" s="25">
        <f>Multi!$B$123/Input!$C125*H48*LAFs!H$249/(24*Input!$F$14)*1000</f>
        <v>3104.1239221904516</v>
      </c>
      <c r="I91" s="25">
        <f>Multi!$B$123/Input!$C125*I48*LAFs!I$249/(24*Input!$F$14)*1000</f>
        <v>0</v>
      </c>
      <c r="J91" s="25">
        <f>Multi!$B$123/Input!$C125*J48*LAFs!J$249/(24*Input!$F$14)*1000</f>
        <v>0</v>
      </c>
      <c r="K91" s="6"/>
    </row>
    <row r="92" spans="1:11" x14ac:dyDescent="0.2">
      <c r="A92" s="5" t="s">
        <v>59</v>
      </c>
      <c r="B92" s="25">
        <f>Multi!$B$124/Input!$C126*B49*LAFs!B$250/(24*Input!$F$14)*1000</f>
        <v>0</v>
      </c>
      <c r="C92" s="25">
        <f>Multi!$B$124/Input!$C126*C49*LAFs!C$250/(24*Input!$F$14)*1000</f>
        <v>0</v>
      </c>
      <c r="D92" s="25">
        <f>Multi!$B$124/Input!$C126*D49*LAFs!D$250/(24*Input!$F$14)*1000</f>
        <v>0</v>
      </c>
      <c r="E92" s="25">
        <f>Multi!$B$124/Input!$C126*E49*LAFs!E$250/(24*Input!$F$14)*1000</f>
        <v>0</v>
      </c>
      <c r="F92" s="25">
        <f>Multi!$B$124/Input!$C126*F49*LAFs!F$250/(24*Input!$F$14)*1000</f>
        <v>0</v>
      </c>
      <c r="G92" s="25">
        <f>Multi!$B$124/Input!$C126*G49*LAFs!G$250/(24*Input!$F$14)*1000</f>
        <v>0</v>
      </c>
      <c r="H92" s="25">
        <f>Multi!$B$124/Input!$C126*H49*LAFs!H$250/(24*Input!$F$14)*1000</f>
        <v>76294.459815524198</v>
      </c>
      <c r="I92" s="25">
        <f>Multi!$B$124/Input!$C126*I49*LAFs!I$250/(24*Input!$F$14)*1000</f>
        <v>376758.28777723212</v>
      </c>
      <c r="J92" s="25">
        <f>Multi!$B$124/Input!$C126*J49*LAFs!J$250/(24*Input!$F$14)*1000</f>
        <v>359663.99159859179</v>
      </c>
      <c r="K92" s="6"/>
    </row>
    <row r="93" spans="1:11" x14ac:dyDescent="0.2">
      <c r="A93" s="5" t="s">
        <v>60</v>
      </c>
      <c r="B93" s="25">
        <f>Multi!$B$125/Input!$C127*B50*LAFs!B$251/(24*Input!$F$14)*1000</f>
        <v>0</v>
      </c>
      <c r="C93" s="25">
        <f>Multi!$B$125/Input!$C127*C50*LAFs!C$251/(24*Input!$F$14)*1000</f>
        <v>0</v>
      </c>
      <c r="D93" s="25">
        <f>Multi!$B$125/Input!$C127*D50*LAFs!D$251/(24*Input!$F$14)*1000</f>
        <v>0</v>
      </c>
      <c r="E93" s="25">
        <f>Multi!$B$125/Input!$C127*E50*LAFs!E$251/(24*Input!$F$14)*1000</f>
        <v>0</v>
      </c>
      <c r="F93" s="25">
        <f>Multi!$B$125/Input!$C127*F50*LAFs!F$251/(24*Input!$F$14)*1000</f>
        <v>0</v>
      </c>
      <c r="G93" s="25">
        <f>Multi!$B$125/Input!$C127*G50*LAFs!G$251/(24*Input!$F$14)*1000</f>
        <v>0</v>
      </c>
      <c r="H93" s="25">
        <f>Multi!$B$125/Input!$C127*H50*LAFs!H$251/(24*Input!$F$14)*1000</f>
        <v>307005.7367483516</v>
      </c>
      <c r="I93" s="25">
        <f>Multi!$B$125/Input!$C127*I50*LAFs!I$251/(24*Input!$F$14)*1000</f>
        <v>303211.93962123315</v>
      </c>
      <c r="J93" s="25">
        <f>Multi!$B$125/Input!$C127*J50*LAFs!J$251/(24*Input!$F$14)*1000</f>
        <v>0</v>
      </c>
      <c r="K93" s="6"/>
    </row>
    <row r="94" spans="1:11" x14ac:dyDescent="0.2">
      <c r="A94" s="5" t="s">
        <v>73</v>
      </c>
      <c r="B94" s="25">
        <f>Multi!$B$126/Input!$C128*B51*LAFs!B$252/(24*Input!$F$14)*1000</f>
        <v>0</v>
      </c>
      <c r="C94" s="25">
        <f>Multi!$B$126/Input!$C128*C51*LAFs!C$252/(24*Input!$F$14)*1000</f>
        <v>0</v>
      </c>
      <c r="D94" s="25">
        <f>Multi!$B$126/Input!$C128*D51*LAFs!D$252/(24*Input!$F$14)*1000</f>
        <v>0</v>
      </c>
      <c r="E94" s="25">
        <f>Multi!$B$126/Input!$C128*E51*LAFs!E$252/(24*Input!$F$14)*1000</f>
        <v>181391.83839098114</v>
      </c>
      <c r="F94" s="25">
        <f>Multi!$B$126/Input!$C128*F51*LAFs!F$252/(24*Input!$F$14)*1000</f>
        <v>901660.50144689262</v>
      </c>
      <c r="G94" s="25">
        <f>Multi!$B$126/Input!$C128*G51*LAFs!G$252/(24*Input!$F$14)*1000</f>
        <v>0</v>
      </c>
      <c r="H94" s="25">
        <f>Multi!$B$126/Input!$C128*H51*LAFs!H$252/(24*Input!$F$14)*1000</f>
        <v>891246.71317224123</v>
      </c>
      <c r="I94" s="25">
        <f>Multi!$B$126/Input!$C128*I51*LAFs!I$252/(24*Input!$F$14)*1000</f>
        <v>0</v>
      </c>
      <c r="J94" s="25">
        <f>Multi!$B$126/Input!$C128*J51*LAFs!J$252/(24*Input!$F$14)*1000</f>
        <v>0</v>
      </c>
      <c r="K94" s="6"/>
    </row>
    <row r="95" spans="1:11" x14ac:dyDescent="0.2">
      <c r="A95" s="5" t="s">
        <v>74</v>
      </c>
      <c r="B95" s="25">
        <f>Multi!$B$127/Input!$C129*B52*LAFs!B$253/(24*Input!$F$14)*1000</f>
        <v>0</v>
      </c>
      <c r="C95" s="25">
        <f>Multi!$B$127/Input!$C129*C52*LAFs!C$253/(24*Input!$F$14)*1000</f>
        <v>0</v>
      </c>
      <c r="D95" s="25">
        <f>Multi!$B$127/Input!$C129*D52*LAFs!D$253/(24*Input!$F$14)*1000</f>
        <v>0</v>
      </c>
      <c r="E95" s="25">
        <f>Multi!$B$127/Input!$C129*E52*LAFs!E$253/(24*Input!$F$14)*1000</f>
        <v>0</v>
      </c>
      <c r="F95" s="25">
        <f>Multi!$B$127/Input!$C129*F52*LAFs!F$253/(24*Input!$F$14)*1000</f>
        <v>0</v>
      </c>
      <c r="G95" s="25">
        <f>Multi!$B$127/Input!$C129*G52*LAFs!G$253/(24*Input!$F$14)*1000</f>
        <v>0</v>
      </c>
      <c r="H95" s="25">
        <f>Multi!$B$127/Input!$C129*H52*LAFs!H$253/(24*Input!$F$14)*1000</f>
        <v>0</v>
      </c>
      <c r="I95" s="25">
        <f>Multi!$B$127/Input!$C129*I52*LAFs!I$253/(24*Input!$F$14)*1000</f>
        <v>0</v>
      </c>
      <c r="J95" s="25">
        <f>Multi!$B$127/Input!$C129*J52*LAFs!J$253/(24*Input!$F$14)*1000</f>
        <v>0</v>
      </c>
      <c r="K95" s="6"/>
    </row>
    <row r="96" spans="1:11" x14ac:dyDescent="0.2">
      <c r="A96" s="5" t="s">
        <v>96</v>
      </c>
      <c r="B96" s="25">
        <f>Multi!$B$128/Input!$C130*B53*LAFs!B$254/(24*Input!$F$14)*1000</f>
        <v>0</v>
      </c>
      <c r="C96" s="25">
        <f>Multi!$B$128/Input!$C130*C53*LAFs!C$254/(24*Input!$F$14)*1000</f>
        <v>0</v>
      </c>
      <c r="D96" s="25">
        <f>Multi!$B$128/Input!$C130*D53*LAFs!D$254/(24*Input!$F$14)*1000</f>
        <v>0</v>
      </c>
      <c r="E96" s="25">
        <f>Multi!$B$128/Input!$C130*E53*LAFs!E$254/(24*Input!$F$14)*1000</f>
        <v>0</v>
      </c>
      <c r="F96" s="25">
        <f>Multi!$B$128/Input!$C130*F53*LAFs!F$254/(24*Input!$F$14)*1000</f>
        <v>0</v>
      </c>
      <c r="G96" s="25">
        <f>Multi!$B$128/Input!$C130*G53*LAFs!G$254/(24*Input!$F$14)*1000</f>
        <v>0</v>
      </c>
      <c r="H96" s="25">
        <f>Multi!$B$128/Input!$C130*H53*LAFs!H$254/(24*Input!$F$14)*1000</f>
        <v>0</v>
      </c>
      <c r="I96" s="25">
        <f>Multi!$B$128/Input!$C130*I53*LAFs!I$254/(24*Input!$F$14)*1000</f>
        <v>0</v>
      </c>
      <c r="J96" s="25">
        <f>Multi!$B$128/Input!$C130*J53*LAFs!J$254/(24*Input!$F$14)*1000</f>
        <v>0</v>
      </c>
      <c r="K96" s="6"/>
    </row>
    <row r="97" spans="1:11" x14ac:dyDescent="0.2">
      <c r="A97" s="5" t="s">
        <v>97</v>
      </c>
      <c r="B97" s="25">
        <f>Multi!$B$129/Input!$C131*B54*LAFs!B$255/(24*Input!$F$14)*1000</f>
        <v>0</v>
      </c>
      <c r="C97" s="25">
        <f>Multi!$B$129/Input!$C131*C54*LAFs!C$255/(24*Input!$F$14)*1000</f>
        <v>0</v>
      </c>
      <c r="D97" s="25">
        <f>Multi!$B$129/Input!$C131*D54*LAFs!D$255/(24*Input!$F$14)*1000</f>
        <v>0</v>
      </c>
      <c r="E97" s="25">
        <f>Multi!$B$129/Input!$C131*E54*LAFs!E$255/(24*Input!$F$14)*1000</f>
        <v>0</v>
      </c>
      <c r="F97" s="25">
        <f>Multi!$B$129/Input!$C131*F54*LAFs!F$255/(24*Input!$F$14)*1000</f>
        <v>0</v>
      </c>
      <c r="G97" s="25">
        <f>Multi!$B$129/Input!$C131*G54*LAFs!G$255/(24*Input!$F$14)*1000</f>
        <v>0</v>
      </c>
      <c r="H97" s="25">
        <f>Multi!$B$129/Input!$C131*H54*LAFs!H$255/(24*Input!$F$14)*1000</f>
        <v>0</v>
      </c>
      <c r="I97" s="25">
        <f>Multi!$B$129/Input!$C131*I54*LAFs!I$255/(24*Input!$F$14)*1000</f>
        <v>0</v>
      </c>
      <c r="J97" s="25">
        <f>Multi!$B$129/Input!$C131*J54*LAFs!J$255/(24*Input!$F$14)*1000</f>
        <v>0</v>
      </c>
      <c r="K97" s="6"/>
    </row>
    <row r="98" spans="1:11" x14ac:dyDescent="0.2">
      <c r="A98" s="5" t="s">
        <v>98</v>
      </c>
      <c r="B98" s="25">
        <f>Multi!$B$130/Input!$C132*B55*LAFs!B$256/(24*Input!$F$14)*1000</f>
        <v>0</v>
      </c>
      <c r="C98" s="25">
        <f>Multi!$B$130/Input!$C132*C55*LAFs!C$256/(24*Input!$F$14)*1000</f>
        <v>0</v>
      </c>
      <c r="D98" s="25">
        <f>Multi!$B$130/Input!$C132*D55*LAFs!D$256/(24*Input!$F$14)*1000</f>
        <v>0</v>
      </c>
      <c r="E98" s="25">
        <f>Multi!$B$130/Input!$C132*E55*LAFs!E$256/(24*Input!$F$14)*1000</f>
        <v>0</v>
      </c>
      <c r="F98" s="25">
        <f>Multi!$B$130/Input!$C132*F55*LAFs!F$256/(24*Input!$F$14)*1000</f>
        <v>0</v>
      </c>
      <c r="G98" s="25">
        <f>Multi!$B$130/Input!$C132*G55*LAFs!G$256/(24*Input!$F$14)*1000</f>
        <v>0</v>
      </c>
      <c r="H98" s="25">
        <f>Multi!$B$130/Input!$C132*H55*LAFs!H$256/(24*Input!$F$14)*1000</f>
        <v>0</v>
      </c>
      <c r="I98" s="25">
        <f>Multi!$B$130/Input!$C132*I55*LAFs!I$256/(24*Input!$F$14)*1000</f>
        <v>0</v>
      </c>
      <c r="J98" s="25">
        <f>Multi!$B$130/Input!$C132*J55*LAFs!J$256/(24*Input!$F$14)*1000</f>
        <v>0</v>
      </c>
      <c r="K98" s="6"/>
    </row>
    <row r="99" spans="1:11" x14ac:dyDescent="0.2">
      <c r="A99" s="5" t="s">
        <v>99</v>
      </c>
      <c r="B99" s="25">
        <f>Multi!$B$131/Input!$C133*B56*LAFs!B$257/(24*Input!$F$14)*1000</f>
        <v>0</v>
      </c>
      <c r="C99" s="25">
        <f>Multi!$B$131/Input!$C133*C56*LAFs!C$257/(24*Input!$F$14)*1000</f>
        <v>0</v>
      </c>
      <c r="D99" s="25">
        <f>Multi!$B$131/Input!$C133*D56*LAFs!D$257/(24*Input!$F$14)*1000</f>
        <v>0</v>
      </c>
      <c r="E99" s="25">
        <f>Multi!$B$131/Input!$C133*E56*LAFs!E$257/(24*Input!$F$14)*1000</f>
        <v>0</v>
      </c>
      <c r="F99" s="25">
        <f>Multi!$B$131/Input!$C133*F56*LAFs!F$257/(24*Input!$F$14)*1000</f>
        <v>0</v>
      </c>
      <c r="G99" s="25">
        <f>Multi!$B$131/Input!$C133*G56*LAFs!G$257/(24*Input!$F$14)*1000</f>
        <v>0</v>
      </c>
      <c r="H99" s="25">
        <f>Multi!$B$131/Input!$C133*H56*LAFs!H$257/(24*Input!$F$14)*1000</f>
        <v>0</v>
      </c>
      <c r="I99" s="25">
        <f>Multi!$B$131/Input!$C133*I56*LAFs!I$257/(24*Input!$F$14)*1000</f>
        <v>0</v>
      </c>
      <c r="J99" s="25">
        <f>Multi!$B$131/Input!$C133*J56*LAFs!J$257/(24*Input!$F$14)*1000</f>
        <v>0</v>
      </c>
      <c r="K99" s="6"/>
    </row>
    <row r="100" spans="1:11" x14ac:dyDescent="0.2">
      <c r="A100" s="5" t="s">
        <v>100</v>
      </c>
      <c r="B100" s="25">
        <f>Multi!$B$132/Input!$C134*B57*LAFs!B$258/(24*Input!$F$14)*1000</f>
        <v>0</v>
      </c>
      <c r="C100" s="25">
        <f>Multi!$B$132/Input!$C134*C57*LAFs!C$258/(24*Input!$F$14)*1000</f>
        <v>0</v>
      </c>
      <c r="D100" s="25">
        <f>Multi!$B$132/Input!$C134*D57*LAFs!D$258/(24*Input!$F$14)*1000</f>
        <v>0</v>
      </c>
      <c r="E100" s="25">
        <f>Multi!$B$132/Input!$C134*E57*LAFs!E$258/(24*Input!$F$14)*1000</f>
        <v>0</v>
      </c>
      <c r="F100" s="25">
        <f>Multi!$B$132/Input!$C134*F57*LAFs!F$258/(24*Input!$F$14)*1000</f>
        <v>0</v>
      </c>
      <c r="G100" s="25">
        <f>Multi!$B$132/Input!$C134*G57*LAFs!G$258/(24*Input!$F$14)*1000</f>
        <v>0</v>
      </c>
      <c r="H100" s="25">
        <f>Multi!$B$132/Input!$C134*H57*LAFs!H$258/(24*Input!$F$14)*1000</f>
        <v>0</v>
      </c>
      <c r="I100" s="25">
        <f>Multi!$B$132/Input!$C134*I57*LAFs!I$258/(24*Input!$F$14)*1000</f>
        <v>0</v>
      </c>
      <c r="J100" s="25">
        <f>Multi!$B$132/Input!$C134*J57*LAFs!J$258/(24*Input!$F$14)*1000</f>
        <v>0</v>
      </c>
      <c r="K100" s="6"/>
    </row>
    <row r="102" spans="1:11" ht="16.5" x14ac:dyDescent="0.25">
      <c r="A102" s="3" t="s">
        <v>664</v>
      </c>
    </row>
    <row r="103" spans="1:11" x14ac:dyDescent="0.2">
      <c r="A103" s="10" t="s">
        <v>238</v>
      </c>
    </row>
    <row r="104" spans="1:11" x14ac:dyDescent="0.2">
      <c r="A104" s="11" t="s">
        <v>665</v>
      </c>
    </row>
    <row r="105" spans="1:11" x14ac:dyDescent="0.2">
      <c r="A105" s="11" t="s">
        <v>666</v>
      </c>
    </row>
    <row r="106" spans="1:11" x14ac:dyDescent="0.2">
      <c r="A106" s="10" t="s">
        <v>256</v>
      </c>
    </row>
    <row r="108" spans="1:11" x14ac:dyDescent="0.2">
      <c r="B108" s="4" t="s">
        <v>21</v>
      </c>
      <c r="C108" s="4" t="s">
        <v>22</v>
      </c>
      <c r="D108" s="4" t="s">
        <v>23</v>
      </c>
      <c r="E108" s="4" t="s">
        <v>24</v>
      </c>
      <c r="F108" s="4" t="s">
        <v>25</v>
      </c>
      <c r="G108" s="4" t="s">
        <v>30</v>
      </c>
      <c r="H108" s="4" t="s">
        <v>26</v>
      </c>
      <c r="I108" s="4" t="s">
        <v>27</v>
      </c>
      <c r="J108" s="4" t="s">
        <v>28</v>
      </c>
    </row>
    <row r="109" spans="1:11" x14ac:dyDescent="0.2">
      <c r="A109" s="5" t="s">
        <v>53</v>
      </c>
      <c r="B109" s="20">
        <f t="shared" ref="B109:J109" si="8">B$83</f>
        <v>0</v>
      </c>
      <c r="C109" s="20">
        <f t="shared" si="8"/>
        <v>0</v>
      </c>
      <c r="D109" s="20">
        <f t="shared" si="8"/>
        <v>0</v>
      </c>
      <c r="E109" s="20">
        <f t="shared" si="8"/>
        <v>0</v>
      </c>
      <c r="F109" s="20">
        <f t="shared" si="8"/>
        <v>0</v>
      </c>
      <c r="G109" s="20">
        <f t="shared" si="8"/>
        <v>0</v>
      </c>
      <c r="H109" s="20">
        <f t="shared" si="8"/>
        <v>0</v>
      </c>
      <c r="I109" s="20">
        <f t="shared" si="8"/>
        <v>0</v>
      </c>
      <c r="J109" s="20">
        <f t="shared" si="8"/>
        <v>2039151.2368626243</v>
      </c>
      <c r="K109" s="6"/>
    </row>
    <row r="110" spans="1:11" x14ac:dyDescent="0.2">
      <c r="A110" s="5" t="s">
        <v>54</v>
      </c>
      <c r="B110" s="20">
        <f t="shared" ref="B110:J110" si="9">B$84</f>
        <v>0</v>
      </c>
      <c r="C110" s="20">
        <f t="shared" si="9"/>
        <v>0</v>
      </c>
      <c r="D110" s="20">
        <f t="shared" si="9"/>
        <v>0</v>
      </c>
      <c r="E110" s="20">
        <f t="shared" si="9"/>
        <v>0</v>
      </c>
      <c r="F110" s="20">
        <f t="shared" si="9"/>
        <v>0</v>
      </c>
      <c r="G110" s="20">
        <f t="shared" si="9"/>
        <v>0</v>
      </c>
      <c r="H110" s="20">
        <f t="shared" si="9"/>
        <v>0</v>
      </c>
      <c r="I110" s="20">
        <f t="shared" si="9"/>
        <v>0</v>
      </c>
      <c r="J110" s="20">
        <f t="shared" si="9"/>
        <v>641039.86145576718</v>
      </c>
      <c r="K110" s="6"/>
    </row>
    <row r="111" spans="1:11" x14ac:dyDescent="0.2">
      <c r="A111" s="5" t="s">
        <v>55</v>
      </c>
      <c r="B111" s="20">
        <f t="shared" ref="B111:J111" si="10">B$86</f>
        <v>0</v>
      </c>
      <c r="C111" s="20">
        <f t="shared" si="10"/>
        <v>0</v>
      </c>
      <c r="D111" s="20">
        <f t="shared" si="10"/>
        <v>0</v>
      </c>
      <c r="E111" s="20">
        <f t="shared" si="10"/>
        <v>0</v>
      </c>
      <c r="F111" s="20">
        <f t="shared" si="10"/>
        <v>0</v>
      </c>
      <c r="G111" s="20">
        <f t="shared" si="10"/>
        <v>0</v>
      </c>
      <c r="H111" s="20">
        <f t="shared" si="10"/>
        <v>0</v>
      </c>
      <c r="I111" s="20">
        <f t="shared" si="10"/>
        <v>0</v>
      </c>
      <c r="J111" s="20">
        <f t="shared" si="10"/>
        <v>569391.69700087595</v>
      </c>
      <c r="K111" s="6"/>
    </row>
    <row r="112" spans="1:11" x14ac:dyDescent="0.2">
      <c r="A112" s="5" t="s">
        <v>56</v>
      </c>
      <c r="B112" s="20">
        <f t="shared" ref="B112:J112" si="11">B$87</f>
        <v>0</v>
      </c>
      <c r="C112" s="20">
        <f t="shared" si="11"/>
        <v>0</v>
      </c>
      <c r="D112" s="20">
        <f t="shared" si="11"/>
        <v>0</v>
      </c>
      <c r="E112" s="20">
        <f t="shared" si="11"/>
        <v>0</v>
      </c>
      <c r="F112" s="20">
        <f t="shared" si="11"/>
        <v>0</v>
      </c>
      <c r="G112" s="20">
        <f t="shared" si="11"/>
        <v>0</v>
      </c>
      <c r="H112" s="20">
        <f t="shared" si="11"/>
        <v>0</v>
      </c>
      <c r="I112" s="20">
        <f t="shared" si="11"/>
        <v>0</v>
      </c>
      <c r="J112" s="20">
        <f t="shared" si="11"/>
        <v>186375.9589751692</v>
      </c>
      <c r="K112" s="6"/>
    </row>
    <row r="113" spans="1:11" x14ac:dyDescent="0.2">
      <c r="A113" s="5" t="s">
        <v>57</v>
      </c>
      <c r="B113" s="20">
        <f t="shared" ref="B113:J113" si="12">B$89</f>
        <v>0</v>
      </c>
      <c r="C113" s="20">
        <f t="shared" si="12"/>
        <v>0</v>
      </c>
      <c r="D113" s="20">
        <f t="shared" si="12"/>
        <v>0</v>
      </c>
      <c r="E113" s="20">
        <f t="shared" si="12"/>
        <v>0</v>
      </c>
      <c r="F113" s="20">
        <f t="shared" si="12"/>
        <v>0</v>
      </c>
      <c r="G113" s="20">
        <f t="shared" si="12"/>
        <v>0</v>
      </c>
      <c r="H113" s="20">
        <f t="shared" si="12"/>
        <v>0</v>
      </c>
      <c r="I113" s="20">
        <f t="shared" si="12"/>
        <v>0</v>
      </c>
      <c r="J113" s="20">
        <f t="shared" si="12"/>
        <v>276285.27239613922</v>
      </c>
      <c r="K113" s="6"/>
    </row>
    <row r="114" spans="1:11" x14ac:dyDescent="0.2">
      <c r="A114" s="5" t="s">
        <v>58</v>
      </c>
      <c r="B114" s="20">
        <f t="shared" ref="B114:J114" si="13">B$90</f>
        <v>0</v>
      </c>
      <c r="C114" s="20">
        <f t="shared" si="13"/>
        <v>0</v>
      </c>
      <c r="D114" s="20">
        <f t="shared" si="13"/>
        <v>0</v>
      </c>
      <c r="E114" s="20">
        <f t="shared" si="13"/>
        <v>0</v>
      </c>
      <c r="F114" s="20">
        <f t="shared" si="13"/>
        <v>0</v>
      </c>
      <c r="G114" s="20">
        <f t="shared" si="13"/>
        <v>0</v>
      </c>
      <c r="H114" s="20">
        <f t="shared" si="13"/>
        <v>0</v>
      </c>
      <c r="I114" s="20">
        <f t="shared" si="13"/>
        <v>9597.2514042467992</v>
      </c>
      <c r="J114" s="20">
        <f t="shared" si="13"/>
        <v>0</v>
      </c>
      <c r="K114" s="6"/>
    </row>
    <row r="115" spans="1:11" x14ac:dyDescent="0.2">
      <c r="A115" s="5" t="s">
        <v>72</v>
      </c>
      <c r="B115" s="20">
        <f t="shared" ref="B115:J115" si="14">B$91</f>
        <v>0</v>
      </c>
      <c r="C115" s="20">
        <f t="shared" si="14"/>
        <v>0</v>
      </c>
      <c r="D115" s="20">
        <f t="shared" si="14"/>
        <v>0</v>
      </c>
      <c r="E115" s="20">
        <f t="shared" si="14"/>
        <v>631.76978553494212</v>
      </c>
      <c r="F115" s="20">
        <f t="shared" si="14"/>
        <v>3140.3941140758316</v>
      </c>
      <c r="G115" s="20">
        <f t="shared" si="14"/>
        <v>0</v>
      </c>
      <c r="H115" s="20">
        <f t="shared" si="14"/>
        <v>3104.1239221904516</v>
      </c>
      <c r="I115" s="20">
        <f t="shared" si="14"/>
        <v>0</v>
      </c>
      <c r="J115" s="20">
        <f t="shared" si="14"/>
        <v>0</v>
      </c>
      <c r="K115" s="6"/>
    </row>
    <row r="116" spans="1:11" x14ac:dyDescent="0.2">
      <c r="A116" s="5" t="s">
        <v>59</v>
      </c>
      <c r="B116" s="20">
        <f t="shared" ref="B116:J116" si="15">B$68</f>
        <v>0</v>
      </c>
      <c r="C116" s="20">
        <f t="shared" si="15"/>
        <v>0</v>
      </c>
      <c r="D116" s="20">
        <f t="shared" si="15"/>
        <v>0</v>
      </c>
      <c r="E116" s="20">
        <f t="shared" si="15"/>
        <v>0</v>
      </c>
      <c r="F116" s="20">
        <f t="shared" si="15"/>
        <v>0</v>
      </c>
      <c r="G116" s="20">
        <f t="shared" si="15"/>
        <v>0</v>
      </c>
      <c r="H116" s="20">
        <f t="shared" si="15"/>
        <v>151585.83950920985</v>
      </c>
      <c r="I116" s="20">
        <f t="shared" si="15"/>
        <v>748563.15232922533</v>
      </c>
      <c r="J116" s="20">
        <f t="shared" si="15"/>
        <v>714599.30694223684</v>
      </c>
      <c r="K116" s="6"/>
    </row>
    <row r="117" spans="1:11" x14ac:dyDescent="0.2">
      <c r="A117" s="5" t="s">
        <v>60</v>
      </c>
      <c r="B117" s="20">
        <f t="shared" ref="B117:J117" si="16">B$69</f>
        <v>0</v>
      </c>
      <c r="C117" s="20">
        <f t="shared" si="16"/>
        <v>0</v>
      </c>
      <c r="D117" s="20">
        <f t="shared" si="16"/>
        <v>0</v>
      </c>
      <c r="E117" s="20">
        <f t="shared" si="16"/>
        <v>0</v>
      </c>
      <c r="F117" s="20">
        <f t="shared" si="16"/>
        <v>0</v>
      </c>
      <c r="G117" s="20">
        <f t="shared" si="16"/>
        <v>0</v>
      </c>
      <c r="H117" s="20">
        <f t="shared" si="16"/>
        <v>607675.6126102506</v>
      </c>
      <c r="I117" s="20">
        <f t="shared" si="16"/>
        <v>600166.31321487669</v>
      </c>
      <c r="J117" s="20">
        <f t="shared" si="16"/>
        <v>0</v>
      </c>
      <c r="K117" s="6"/>
    </row>
    <row r="118" spans="1:11" x14ac:dyDescent="0.2">
      <c r="A118" s="5" t="s">
        <v>73</v>
      </c>
      <c r="B118" s="20">
        <f t="shared" ref="B118:J118" si="17">B$70</f>
        <v>0</v>
      </c>
      <c r="C118" s="20">
        <f t="shared" si="17"/>
        <v>0</v>
      </c>
      <c r="D118" s="20">
        <f t="shared" si="17"/>
        <v>0</v>
      </c>
      <c r="E118" s="20">
        <f t="shared" si="17"/>
        <v>354768.98755351093</v>
      </c>
      <c r="F118" s="20">
        <f t="shared" si="17"/>
        <v>1763481.6762031873</v>
      </c>
      <c r="G118" s="20">
        <f t="shared" si="17"/>
        <v>0</v>
      </c>
      <c r="H118" s="20">
        <f t="shared" si="17"/>
        <v>1743114.2266223996</v>
      </c>
      <c r="I118" s="20">
        <f t="shared" si="17"/>
        <v>0</v>
      </c>
      <c r="J118" s="20">
        <f t="shared" si="17"/>
        <v>0</v>
      </c>
      <c r="K118" s="6"/>
    </row>
    <row r="119" spans="1:11" x14ac:dyDescent="0.2">
      <c r="A119" s="5" t="s">
        <v>74</v>
      </c>
      <c r="B119" s="20">
        <f t="shared" ref="B119:J119" si="18">B$71</f>
        <v>0</v>
      </c>
      <c r="C119" s="20">
        <f t="shared" si="18"/>
        <v>0</v>
      </c>
      <c r="D119" s="20">
        <f t="shared" si="18"/>
        <v>0</v>
      </c>
      <c r="E119" s="20">
        <f t="shared" si="18"/>
        <v>0</v>
      </c>
      <c r="F119" s="20">
        <f t="shared" si="18"/>
        <v>0</v>
      </c>
      <c r="G119" s="20">
        <f t="shared" si="18"/>
        <v>0</v>
      </c>
      <c r="H119" s="20">
        <f t="shared" si="18"/>
        <v>0</v>
      </c>
      <c r="I119" s="20">
        <f t="shared" si="18"/>
        <v>0</v>
      </c>
      <c r="J119" s="20">
        <f t="shared" si="18"/>
        <v>0</v>
      </c>
      <c r="K119" s="6"/>
    </row>
    <row r="120" spans="1:11" x14ac:dyDescent="0.2">
      <c r="A120" s="5" t="s">
        <v>96</v>
      </c>
      <c r="B120" s="20">
        <f t="shared" ref="B120:J120" si="19">B$96</f>
        <v>0</v>
      </c>
      <c r="C120" s="20">
        <f t="shared" si="19"/>
        <v>0</v>
      </c>
      <c r="D120" s="20">
        <f t="shared" si="19"/>
        <v>0</v>
      </c>
      <c r="E120" s="20">
        <f t="shared" si="19"/>
        <v>0</v>
      </c>
      <c r="F120" s="20">
        <f t="shared" si="19"/>
        <v>0</v>
      </c>
      <c r="G120" s="20">
        <f t="shared" si="19"/>
        <v>0</v>
      </c>
      <c r="H120" s="20">
        <f t="shared" si="19"/>
        <v>0</v>
      </c>
      <c r="I120" s="20">
        <f t="shared" si="19"/>
        <v>0</v>
      </c>
      <c r="J120" s="20">
        <f t="shared" si="19"/>
        <v>0</v>
      </c>
      <c r="K120" s="6"/>
    </row>
    <row r="121" spans="1:11" x14ac:dyDescent="0.2">
      <c r="A121" s="5" t="s">
        <v>97</v>
      </c>
      <c r="B121" s="20">
        <f t="shared" ref="B121:J121" si="20">B$97</f>
        <v>0</v>
      </c>
      <c r="C121" s="20">
        <f t="shared" si="20"/>
        <v>0</v>
      </c>
      <c r="D121" s="20">
        <f t="shared" si="20"/>
        <v>0</v>
      </c>
      <c r="E121" s="20">
        <f t="shared" si="20"/>
        <v>0</v>
      </c>
      <c r="F121" s="20">
        <f t="shared" si="20"/>
        <v>0</v>
      </c>
      <c r="G121" s="20">
        <f t="shared" si="20"/>
        <v>0</v>
      </c>
      <c r="H121" s="20">
        <f t="shared" si="20"/>
        <v>0</v>
      </c>
      <c r="I121" s="20">
        <f t="shared" si="20"/>
        <v>0</v>
      </c>
      <c r="J121" s="20">
        <f t="shared" si="20"/>
        <v>0</v>
      </c>
      <c r="K121" s="6"/>
    </row>
    <row r="122" spans="1:11" x14ac:dyDescent="0.2">
      <c r="A122" s="5" t="s">
        <v>98</v>
      </c>
      <c r="B122" s="20">
        <f t="shared" ref="B122:J122" si="21">B$98</f>
        <v>0</v>
      </c>
      <c r="C122" s="20">
        <f t="shared" si="21"/>
        <v>0</v>
      </c>
      <c r="D122" s="20">
        <f t="shared" si="21"/>
        <v>0</v>
      </c>
      <c r="E122" s="20">
        <f t="shared" si="21"/>
        <v>0</v>
      </c>
      <c r="F122" s="20">
        <f t="shared" si="21"/>
        <v>0</v>
      </c>
      <c r="G122" s="20">
        <f t="shared" si="21"/>
        <v>0</v>
      </c>
      <c r="H122" s="20">
        <f t="shared" si="21"/>
        <v>0</v>
      </c>
      <c r="I122" s="20">
        <f t="shared" si="21"/>
        <v>0</v>
      </c>
      <c r="J122" s="20">
        <f t="shared" si="21"/>
        <v>0</v>
      </c>
      <c r="K122" s="6"/>
    </row>
    <row r="123" spans="1:11" x14ac:dyDescent="0.2">
      <c r="A123" s="5" t="s">
        <v>99</v>
      </c>
      <c r="B123" s="20">
        <f t="shared" ref="B123:J123" si="22">B$99</f>
        <v>0</v>
      </c>
      <c r="C123" s="20">
        <f t="shared" si="22"/>
        <v>0</v>
      </c>
      <c r="D123" s="20">
        <f t="shared" si="22"/>
        <v>0</v>
      </c>
      <c r="E123" s="20">
        <f t="shared" si="22"/>
        <v>0</v>
      </c>
      <c r="F123" s="20">
        <f t="shared" si="22"/>
        <v>0</v>
      </c>
      <c r="G123" s="20">
        <f t="shared" si="22"/>
        <v>0</v>
      </c>
      <c r="H123" s="20">
        <f t="shared" si="22"/>
        <v>0</v>
      </c>
      <c r="I123" s="20">
        <f t="shared" si="22"/>
        <v>0</v>
      </c>
      <c r="J123" s="20">
        <f t="shared" si="22"/>
        <v>0</v>
      </c>
      <c r="K123" s="6"/>
    </row>
    <row r="124" spans="1:11" x14ac:dyDescent="0.2">
      <c r="A124" s="5" t="s">
        <v>100</v>
      </c>
      <c r="B124" s="20">
        <f t="shared" ref="B124:J124" si="23">B$100</f>
        <v>0</v>
      </c>
      <c r="C124" s="20">
        <f t="shared" si="23"/>
        <v>0</v>
      </c>
      <c r="D124" s="20">
        <f t="shared" si="23"/>
        <v>0</v>
      </c>
      <c r="E124" s="20">
        <f t="shared" si="23"/>
        <v>0</v>
      </c>
      <c r="F124" s="20">
        <f t="shared" si="23"/>
        <v>0</v>
      </c>
      <c r="G124" s="20">
        <f t="shared" si="23"/>
        <v>0</v>
      </c>
      <c r="H124" s="20">
        <f t="shared" si="23"/>
        <v>0</v>
      </c>
      <c r="I124" s="20">
        <f t="shared" si="23"/>
        <v>0</v>
      </c>
      <c r="J124" s="20">
        <f t="shared" si="23"/>
        <v>0</v>
      </c>
      <c r="K124" s="6"/>
    </row>
    <row r="126" spans="1:11" ht="16.5" x14ac:dyDescent="0.25">
      <c r="A126" s="3" t="s">
        <v>667</v>
      </c>
    </row>
    <row r="127" spans="1:11" x14ac:dyDescent="0.2">
      <c r="A127" s="10" t="s">
        <v>238</v>
      </c>
    </row>
    <row r="128" spans="1:11" x14ac:dyDescent="0.2">
      <c r="A128" s="11" t="s">
        <v>668</v>
      </c>
    </row>
    <row r="129" spans="1:11" x14ac:dyDescent="0.2">
      <c r="A129" s="10" t="s">
        <v>642</v>
      </c>
    </row>
    <row r="131" spans="1:11" x14ac:dyDescent="0.2">
      <c r="B131" s="4" t="s">
        <v>21</v>
      </c>
      <c r="C131" s="4" t="s">
        <v>22</v>
      </c>
      <c r="D131" s="4" t="s">
        <v>23</v>
      </c>
      <c r="E131" s="4" t="s">
        <v>24</v>
      </c>
      <c r="F131" s="4" t="s">
        <v>25</v>
      </c>
      <c r="G131" s="4" t="s">
        <v>30</v>
      </c>
      <c r="H131" s="4" t="s">
        <v>26</v>
      </c>
      <c r="I131" s="4" t="s">
        <v>27</v>
      </c>
      <c r="J131" s="4" t="s">
        <v>28</v>
      </c>
    </row>
    <row r="132" spans="1:11" x14ac:dyDescent="0.2">
      <c r="A132" s="5" t="s">
        <v>669</v>
      </c>
      <c r="B132" s="25">
        <f t="shared" ref="B132:J132" si="24">SUM(B$109:B$124)</f>
        <v>0</v>
      </c>
      <c r="C132" s="25">
        <f t="shared" si="24"/>
        <v>0</v>
      </c>
      <c r="D132" s="25">
        <f t="shared" si="24"/>
        <v>0</v>
      </c>
      <c r="E132" s="25">
        <f t="shared" si="24"/>
        <v>355400.75733904587</v>
      </c>
      <c r="F132" s="25">
        <f t="shared" si="24"/>
        <v>1766622.0703172632</v>
      </c>
      <c r="G132" s="25">
        <f t="shared" si="24"/>
        <v>0</v>
      </c>
      <c r="H132" s="25">
        <f t="shared" si="24"/>
        <v>2505479.8026640508</v>
      </c>
      <c r="I132" s="25">
        <f t="shared" si="24"/>
        <v>1358326.7169483488</v>
      </c>
      <c r="J132" s="25">
        <f t="shared" si="24"/>
        <v>4426843.3336328128</v>
      </c>
      <c r="K132" s="6"/>
    </row>
    <row r="134" spans="1:11" ht="16.5" x14ac:dyDescent="0.25">
      <c r="A134" s="3" t="s">
        <v>670</v>
      </c>
    </row>
    <row r="135" spans="1:11" x14ac:dyDescent="0.2">
      <c r="A135" s="10" t="s">
        <v>238</v>
      </c>
    </row>
    <row r="136" spans="1:11" x14ac:dyDescent="0.2">
      <c r="A136" s="11" t="s">
        <v>641</v>
      </c>
    </row>
    <row r="137" spans="1:11" x14ac:dyDescent="0.2">
      <c r="A137" s="11" t="s">
        <v>671</v>
      </c>
    </row>
    <row r="138" spans="1:11" x14ac:dyDescent="0.2">
      <c r="A138" s="10" t="s">
        <v>672</v>
      </c>
    </row>
    <row r="140" spans="1:11" x14ac:dyDescent="0.2">
      <c r="B140" s="4" t="s">
        <v>21</v>
      </c>
      <c r="C140" s="4" t="s">
        <v>22</v>
      </c>
      <c r="D140" s="4" t="s">
        <v>23</v>
      </c>
      <c r="E140" s="4" t="s">
        <v>24</v>
      </c>
      <c r="F140" s="4" t="s">
        <v>25</v>
      </c>
      <c r="G140" s="4" t="s">
        <v>30</v>
      </c>
      <c r="H140" s="4" t="s">
        <v>26</v>
      </c>
      <c r="I140" s="4" t="s">
        <v>27</v>
      </c>
      <c r="J140" s="4" t="s">
        <v>28</v>
      </c>
    </row>
    <row r="141" spans="1:11" x14ac:dyDescent="0.2">
      <c r="A141" s="5" t="s">
        <v>53</v>
      </c>
      <c r="B141" s="17">
        <f>SMD!B$106*B40</f>
        <v>0</v>
      </c>
      <c r="C141" s="17">
        <f>SMD!C$106*C40</f>
        <v>0</v>
      </c>
      <c r="D141" s="17">
        <f>SMD!D$106*D40</f>
        <v>0</v>
      </c>
      <c r="E141" s="17">
        <f>SMD!E$106*E40</f>
        <v>0</v>
      </c>
      <c r="F141" s="17">
        <f>SMD!F$106*F40</f>
        <v>0</v>
      </c>
      <c r="G141" s="17">
        <f>SMD!G$106*G40</f>
        <v>0</v>
      </c>
      <c r="H141" s="17">
        <f>SMD!H$106*H40</f>
        <v>0</v>
      </c>
      <c r="I141" s="17">
        <f>SMD!I$106*I40</f>
        <v>0</v>
      </c>
      <c r="J141" s="17">
        <f>SMD!J$106*J40</f>
        <v>1851457.7808793422</v>
      </c>
      <c r="K141" s="6"/>
    </row>
    <row r="142" spans="1:11" x14ac:dyDescent="0.2">
      <c r="A142" s="5" t="s">
        <v>54</v>
      </c>
      <c r="B142" s="17">
        <f>SMD!B$107*B41</f>
        <v>0</v>
      </c>
      <c r="C142" s="17">
        <f>SMD!C$107*C41</f>
        <v>0</v>
      </c>
      <c r="D142" s="17">
        <f>SMD!D$107*D41</f>
        <v>0</v>
      </c>
      <c r="E142" s="17">
        <f>SMD!E$107*E41</f>
        <v>0</v>
      </c>
      <c r="F142" s="17">
        <f>SMD!F$107*F41</f>
        <v>0</v>
      </c>
      <c r="G142" s="17">
        <f>SMD!G$107*G41</f>
        <v>0</v>
      </c>
      <c r="H142" s="17">
        <f>SMD!H$107*H41</f>
        <v>0</v>
      </c>
      <c r="I142" s="17">
        <f>SMD!I$107*I41</f>
        <v>0</v>
      </c>
      <c r="J142" s="17">
        <f>SMD!J$107*J41</f>
        <v>185859.98034685041</v>
      </c>
      <c r="K142" s="6"/>
    </row>
    <row r="143" spans="1:11" x14ac:dyDescent="0.2">
      <c r="A143" s="5" t="s">
        <v>94</v>
      </c>
      <c r="B143" s="17">
        <f>SMD!B$108*B42</f>
        <v>0</v>
      </c>
      <c r="C143" s="17">
        <f>SMD!C$108*C42</f>
        <v>0</v>
      </c>
      <c r="D143" s="17">
        <f>SMD!D$108*D42</f>
        <v>0</v>
      </c>
      <c r="E143" s="17">
        <f>SMD!E$108*E42</f>
        <v>0</v>
      </c>
      <c r="F143" s="17">
        <f>SMD!F$108*F42</f>
        <v>0</v>
      </c>
      <c r="G143" s="17">
        <f>SMD!G$108*G42</f>
        <v>0</v>
      </c>
      <c r="H143" s="17">
        <f>SMD!H$108*H42</f>
        <v>0</v>
      </c>
      <c r="I143" s="17">
        <f>SMD!I$108*I42</f>
        <v>0</v>
      </c>
      <c r="J143" s="17">
        <f>SMD!J$108*J42</f>
        <v>847.66776810359988</v>
      </c>
      <c r="K143" s="6"/>
    </row>
    <row r="144" spans="1:11" x14ac:dyDescent="0.2">
      <c r="A144" s="5" t="s">
        <v>55</v>
      </c>
      <c r="B144" s="17">
        <f>SMD!B$109*B43</f>
        <v>0</v>
      </c>
      <c r="C144" s="17">
        <f>SMD!C$109*C43</f>
        <v>0</v>
      </c>
      <c r="D144" s="17">
        <f>SMD!D$109*D43</f>
        <v>0</v>
      </c>
      <c r="E144" s="17">
        <f>SMD!E$109*E43</f>
        <v>0</v>
      </c>
      <c r="F144" s="17">
        <f>SMD!F$109*F43</f>
        <v>0</v>
      </c>
      <c r="G144" s="17">
        <f>SMD!G$109*G43</f>
        <v>0</v>
      </c>
      <c r="H144" s="17">
        <f>SMD!H$109*H43</f>
        <v>0</v>
      </c>
      <c r="I144" s="17">
        <f>SMD!I$109*I43</f>
        <v>0</v>
      </c>
      <c r="J144" s="17">
        <f>SMD!J$109*J43</f>
        <v>369924.91654184292</v>
      </c>
      <c r="K144" s="6"/>
    </row>
    <row r="145" spans="1:11" x14ac:dyDescent="0.2">
      <c r="A145" s="5" t="s">
        <v>56</v>
      </c>
      <c r="B145" s="17">
        <f>SMD!B$110*B44</f>
        <v>0</v>
      </c>
      <c r="C145" s="17">
        <f>SMD!C$110*C44</f>
        <v>0</v>
      </c>
      <c r="D145" s="17">
        <f>SMD!D$110*D44</f>
        <v>0</v>
      </c>
      <c r="E145" s="17">
        <f>SMD!E$110*E44</f>
        <v>0</v>
      </c>
      <c r="F145" s="17">
        <f>SMD!F$110*F44</f>
        <v>0</v>
      </c>
      <c r="G145" s="17">
        <f>SMD!G$110*G44</f>
        <v>0</v>
      </c>
      <c r="H145" s="17">
        <f>SMD!H$110*H44</f>
        <v>0</v>
      </c>
      <c r="I145" s="17">
        <f>SMD!I$110*I44</f>
        <v>0</v>
      </c>
      <c r="J145" s="17">
        <f>SMD!J$110*J44</f>
        <v>133899.12282109933</v>
      </c>
      <c r="K145" s="6"/>
    </row>
    <row r="146" spans="1:11" x14ac:dyDescent="0.2">
      <c r="A146" s="5" t="s">
        <v>95</v>
      </c>
      <c r="B146" s="17">
        <f>SMD!B$111*B45</f>
        <v>0</v>
      </c>
      <c r="C146" s="17">
        <f>SMD!C$111*C45</f>
        <v>0</v>
      </c>
      <c r="D146" s="17">
        <f>SMD!D$111*D45</f>
        <v>0</v>
      </c>
      <c r="E146" s="17">
        <f>SMD!E$111*E45</f>
        <v>0</v>
      </c>
      <c r="F146" s="17">
        <f>SMD!F$111*F45</f>
        <v>0</v>
      </c>
      <c r="G146" s="17">
        <f>SMD!G$111*G45</f>
        <v>0</v>
      </c>
      <c r="H146" s="17">
        <f>SMD!H$111*H45</f>
        <v>0</v>
      </c>
      <c r="I146" s="17">
        <f>SMD!I$111*I45</f>
        <v>0</v>
      </c>
      <c r="J146" s="17">
        <f>SMD!J$111*J45</f>
        <v>718.3386829059757</v>
      </c>
      <c r="K146" s="6"/>
    </row>
    <row r="147" spans="1:11" x14ac:dyDescent="0.2">
      <c r="A147" s="5" t="s">
        <v>57</v>
      </c>
      <c r="B147" s="17">
        <f>SMD!B$112*B46</f>
        <v>0</v>
      </c>
      <c r="C147" s="17">
        <f>SMD!C$112*C46</f>
        <v>0</v>
      </c>
      <c r="D147" s="17">
        <f>SMD!D$112*D46</f>
        <v>0</v>
      </c>
      <c r="E147" s="17">
        <f>SMD!E$112*E46</f>
        <v>0</v>
      </c>
      <c r="F147" s="17">
        <f>SMD!F$112*F46</f>
        <v>0</v>
      </c>
      <c r="G147" s="17">
        <f>SMD!G$112*G46</f>
        <v>0</v>
      </c>
      <c r="H147" s="17">
        <f>SMD!H$112*H46</f>
        <v>0</v>
      </c>
      <c r="I147" s="17">
        <f>SMD!I$112*I46</f>
        <v>0</v>
      </c>
      <c r="J147" s="17">
        <f>SMD!J$112*J46</f>
        <v>223419.17185049379</v>
      </c>
      <c r="K147" s="6"/>
    </row>
    <row r="148" spans="1:11" x14ac:dyDescent="0.2">
      <c r="A148" s="5" t="s">
        <v>58</v>
      </c>
      <c r="B148" s="17">
        <f>SMD!B$113*B47</f>
        <v>0</v>
      </c>
      <c r="C148" s="17">
        <f>SMD!C$113*C47</f>
        <v>0</v>
      </c>
      <c r="D148" s="17">
        <f>SMD!D$113*D47</f>
        <v>0</v>
      </c>
      <c r="E148" s="17">
        <f>SMD!E$113*E47</f>
        <v>0</v>
      </c>
      <c r="F148" s="17">
        <f>SMD!F$113*F47</f>
        <v>0</v>
      </c>
      <c r="G148" s="17">
        <f>SMD!G$113*G47</f>
        <v>0</v>
      </c>
      <c r="H148" s="17">
        <f>SMD!H$113*H47</f>
        <v>0</v>
      </c>
      <c r="I148" s="17">
        <f>SMD!I$113*I47</f>
        <v>7596.2332873350833</v>
      </c>
      <c r="J148" s="17">
        <f>SMD!J$113*J47</f>
        <v>0</v>
      </c>
      <c r="K148" s="6"/>
    </row>
    <row r="149" spans="1:11" x14ac:dyDescent="0.2">
      <c r="A149" s="5" t="s">
        <v>72</v>
      </c>
      <c r="B149" s="17">
        <f>SMD!B$114*B48</f>
        <v>0</v>
      </c>
      <c r="C149" s="17">
        <f>SMD!C$114*C48</f>
        <v>0</v>
      </c>
      <c r="D149" s="17">
        <f>SMD!D$114*D48</f>
        <v>0</v>
      </c>
      <c r="E149" s="17">
        <f>SMD!E$114*E48</f>
        <v>413.28571614188434</v>
      </c>
      <c r="F149" s="17">
        <f>SMD!F$114*F48</f>
        <v>2054.3559697218307</v>
      </c>
      <c r="G149" s="17">
        <f>SMD!G$114*G48</f>
        <v>0</v>
      </c>
      <c r="H149" s="17">
        <f>SMD!H$114*H48</f>
        <v>2030.6290480311065</v>
      </c>
      <c r="I149" s="17">
        <f>SMD!I$114*I48</f>
        <v>0</v>
      </c>
      <c r="J149" s="17">
        <f>SMD!J$114*J48</f>
        <v>0</v>
      </c>
      <c r="K149" s="6"/>
    </row>
    <row r="150" spans="1:11" x14ac:dyDescent="0.2">
      <c r="A150" s="5" t="s">
        <v>59</v>
      </c>
      <c r="B150" s="17">
        <f>SMD!B$115*B49</f>
        <v>0</v>
      </c>
      <c r="C150" s="17">
        <f>SMD!C$115*C49</f>
        <v>0</v>
      </c>
      <c r="D150" s="17">
        <f>SMD!D$115*D49</f>
        <v>0</v>
      </c>
      <c r="E150" s="17">
        <f>SMD!E$115*E49</f>
        <v>0</v>
      </c>
      <c r="F150" s="17">
        <f>SMD!F$115*F49</f>
        <v>0</v>
      </c>
      <c r="G150" s="17">
        <f>SMD!G$115*G49</f>
        <v>0</v>
      </c>
      <c r="H150" s="17">
        <f>SMD!H$115*H49</f>
        <v>45009.716946240012</v>
      </c>
      <c r="I150" s="17">
        <f>SMD!I$115*I49</f>
        <v>222267.56609859015</v>
      </c>
      <c r="J150" s="17">
        <f>SMD!J$115*J49</f>
        <v>212182.83079466136</v>
      </c>
      <c r="K150" s="6"/>
    </row>
    <row r="151" spans="1:11" x14ac:dyDescent="0.2">
      <c r="A151" s="5" t="s">
        <v>60</v>
      </c>
      <c r="B151" s="17">
        <f>SMD!B$116*B50</f>
        <v>0</v>
      </c>
      <c r="C151" s="17">
        <f>SMD!C$116*C50</f>
        <v>0</v>
      </c>
      <c r="D151" s="17">
        <f>SMD!D$116*D50</f>
        <v>0</v>
      </c>
      <c r="E151" s="17">
        <f>SMD!E$116*E50</f>
        <v>0</v>
      </c>
      <c r="F151" s="17">
        <f>SMD!F$116*F50</f>
        <v>0</v>
      </c>
      <c r="G151" s="17">
        <f>SMD!G$116*G50</f>
        <v>0</v>
      </c>
      <c r="H151" s="17">
        <f>SMD!H$116*H50</f>
        <v>208814.16424152951</v>
      </c>
      <c r="I151" s="17">
        <f>SMD!I$116*I50</f>
        <v>206233.76107124446</v>
      </c>
      <c r="J151" s="17">
        <f>SMD!J$116*J50</f>
        <v>0</v>
      </c>
      <c r="K151" s="6"/>
    </row>
    <row r="152" spans="1:11" x14ac:dyDescent="0.2">
      <c r="A152" s="5" t="s">
        <v>73</v>
      </c>
      <c r="B152" s="17">
        <f>SMD!B$117*B51</f>
        <v>0</v>
      </c>
      <c r="C152" s="17">
        <f>SMD!C$117*C51</f>
        <v>0</v>
      </c>
      <c r="D152" s="17">
        <f>SMD!D$117*D51</f>
        <v>0</v>
      </c>
      <c r="E152" s="17">
        <f>SMD!E$117*E51</f>
        <v>145297.35264173403</v>
      </c>
      <c r="F152" s="17">
        <f>SMD!F$117*F51</f>
        <v>722242.43937298167</v>
      </c>
      <c r="G152" s="17">
        <f>SMD!G$117*G51</f>
        <v>0</v>
      </c>
      <c r="H152" s="17">
        <f>SMD!H$117*H51</f>
        <v>713900.85200774996</v>
      </c>
      <c r="I152" s="17">
        <f>SMD!I$117*I51</f>
        <v>0</v>
      </c>
      <c r="J152" s="17">
        <f>SMD!J$117*J51</f>
        <v>0</v>
      </c>
      <c r="K152" s="6"/>
    </row>
    <row r="153" spans="1:11" x14ac:dyDescent="0.2">
      <c r="A153" s="5" t="s">
        <v>74</v>
      </c>
      <c r="B153" s="17">
        <f>SMD!B$118*B52</f>
        <v>0</v>
      </c>
      <c r="C153" s="17">
        <f>SMD!C$118*C52</f>
        <v>0</v>
      </c>
      <c r="D153" s="17">
        <f>SMD!D$118*D52</f>
        <v>0</v>
      </c>
      <c r="E153" s="17">
        <f>SMD!E$118*E52</f>
        <v>0</v>
      </c>
      <c r="F153" s="17">
        <f>SMD!F$118*F52</f>
        <v>0</v>
      </c>
      <c r="G153" s="17">
        <f>SMD!G$118*G52</f>
        <v>0</v>
      </c>
      <c r="H153" s="17">
        <f>SMD!H$118*H52</f>
        <v>0</v>
      </c>
      <c r="I153" s="17">
        <f>SMD!I$118*I52</f>
        <v>0</v>
      </c>
      <c r="J153" s="17">
        <f>SMD!J$118*J52</f>
        <v>0</v>
      </c>
      <c r="K153" s="6"/>
    </row>
    <row r="154" spans="1:11" x14ac:dyDescent="0.2">
      <c r="A154" s="5" t="s">
        <v>96</v>
      </c>
      <c r="B154" s="17">
        <f>SMD!B$119*B53</f>
        <v>0</v>
      </c>
      <c r="C154" s="17">
        <f>SMD!C$119*C53</f>
        <v>0</v>
      </c>
      <c r="D154" s="17">
        <f>SMD!D$119*D53</f>
        <v>0</v>
      </c>
      <c r="E154" s="17">
        <f>SMD!E$119*E53</f>
        <v>0</v>
      </c>
      <c r="F154" s="17">
        <f>SMD!F$119*F53</f>
        <v>0</v>
      </c>
      <c r="G154" s="17">
        <f>SMD!G$119*G53</f>
        <v>0</v>
      </c>
      <c r="H154" s="17">
        <f>SMD!H$119*H53</f>
        <v>0</v>
      </c>
      <c r="I154" s="17">
        <f>SMD!I$119*I53</f>
        <v>0</v>
      </c>
      <c r="J154" s="17">
        <f>SMD!J$119*J53</f>
        <v>0</v>
      </c>
      <c r="K154" s="6"/>
    </row>
    <row r="155" spans="1:11" x14ac:dyDescent="0.2">
      <c r="A155" s="5" t="s">
        <v>97</v>
      </c>
      <c r="B155" s="17">
        <f>SMD!B$120*B54</f>
        <v>0</v>
      </c>
      <c r="C155" s="17">
        <f>SMD!C$120*C54</f>
        <v>0</v>
      </c>
      <c r="D155" s="17">
        <f>SMD!D$120*D54</f>
        <v>0</v>
      </c>
      <c r="E155" s="17">
        <f>SMD!E$120*E54</f>
        <v>0</v>
      </c>
      <c r="F155" s="17">
        <f>SMD!F$120*F54</f>
        <v>0</v>
      </c>
      <c r="G155" s="17">
        <f>SMD!G$120*G54</f>
        <v>0</v>
      </c>
      <c r="H155" s="17">
        <f>SMD!H$120*H54</f>
        <v>0</v>
      </c>
      <c r="I155" s="17">
        <f>SMD!I$120*I54</f>
        <v>0</v>
      </c>
      <c r="J155" s="17">
        <f>SMD!J$120*J54</f>
        <v>0</v>
      </c>
      <c r="K155" s="6"/>
    </row>
    <row r="156" spans="1:11" x14ac:dyDescent="0.2">
      <c r="A156" s="5" t="s">
        <v>98</v>
      </c>
      <c r="B156" s="17">
        <f>SMD!B$121*B55</f>
        <v>0</v>
      </c>
      <c r="C156" s="17">
        <f>SMD!C$121*C55</f>
        <v>0</v>
      </c>
      <c r="D156" s="17">
        <f>SMD!D$121*D55</f>
        <v>0</v>
      </c>
      <c r="E156" s="17">
        <f>SMD!E$121*E55</f>
        <v>0</v>
      </c>
      <c r="F156" s="17">
        <f>SMD!F$121*F55</f>
        <v>0</v>
      </c>
      <c r="G156" s="17">
        <f>SMD!G$121*G55</f>
        <v>0</v>
      </c>
      <c r="H156" s="17">
        <f>SMD!H$121*H55</f>
        <v>0</v>
      </c>
      <c r="I156" s="17">
        <f>SMD!I$121*I55</f>
        <v>0</v>
      </c>
      <c r="J156" s="17">
        <f>SMD!J$121*J55</f>
        <v>0</v>
      </c>
      <c r="K156" s="6"/>
    </row>
    <row r="157" spans="1:11" x14ac:dyDescent="0.2">
      <c r="A157" s="5" t="s">
        <v>99</v>
      </c>
      <c r="B157" s="17">
        <f>SMD!B$122*B56</f>
        <v>0</v>
      </c>
      <c r="C157" s="17">
        <f>SMD!C$122*C56</f>
        <v>0</v>
      </c>
      <c r="D157" s="17">
        <f>SMD!D$122*D56</f>
        <v>0</v>
      </c>
      <c r="E157" s="17">
        <f>SMD!E$122*E56</f>
        <v>0</v>
      </c>
      <c r="F157" s="17">
        <f>SMD!F$122*F56</f>
        <v>0</v>
      </c>
      <c r="G157" s="17">
        <f>SMD!G$122*G56</f>
        <v>0</v>
      </c>
      <c r="H157" s="17">
        <f>SMD!H$122*H56</f>
        <v>0</v>
      </c>
      <c r="I157" s="17">
        <f>SMD!I$122*I56</f>
        <v>0</v>
      </c>
      <c r="J157" s="17">
        <f>SMD!J$122*J56</f>
        <v>0</v>
      </c>
      <c r="K157" s="6"/>
    </row>
    <row r="158" spans="1:11" x14ac:dyDescent="0.2">
      <c r="A158" s="5" t="s">
        <v>100</v>
      </c>
      <c r="B158" s="17">
        <f>SMD!B$123*B57</f>
        <v>0</v>
      </c>
      <c r="C158" s="17">
        <f>SMD!C$123*C57</f>
        <v>0</v>
      </c>
      <c r="D158" s="17">
        <f>SMD!D$123*D57</f>
        <v>0</v>
      </c>
      <c r="E158" s="17">
        <f>SMD!E$123*E57</f>
        <v>0</v>
      </c>
      <c r="F158" s="17">
        <f>SMD!F$123*F57</f>
        <v>0</v>
      </c>
      <c r="G158" s="17">
        <f>SMD!G$123*G57</f>
        <v>0</v>
      </c>
      <c r="H158" s="17">
        <f>SMD!H$123*H57</f>
        <v>0</v>
      </c>
      <c r="I158" s="17">
        <f>SMD!I$123*I57</f>
        <v>0</v>
      </c>
      <c r="J158" s="17">
        <f>SMD!J$123*J57</f>
        <v>0</v>
      </c>
      <c r="K158" s="6"/>
    </row>
    <row r="160" spans="1:11" ht="16.5" x14ac:dyDescent="0.25">
      <c r="A160" s="3" t="s">
        <v>673</v>
      </c>
    </row>
    <row r="161" spans="1:11" x14ac:dyDescent="0.2">
      <c r="A161" s="10" t="s">
        <v>238</v>
      </c>
    </row>
    <row r="162" spans="1:11" x14ac:dyDescent="0.2">
      <c r="A162" s="11" t="s">
        <v>674</v>
      </c>
    </row>
    <row r="163" spans="1:11" x14ac:dyDescent="0.2">
      <c r="A163" s="10" t="s">
        <v>642</v>
      </c>
    </row>
    <row r="165" spans="1:11" x14ac:dyDescent="0.2">
      <c r="B165" s="4" t="s">
        <v>21</v>
      </c>
      <c r="C165" s="4" t="s">
        <v>22</v>
      </c>
      <c r="D165" s="4" t="s">
        <v>23</v>
      </c>
      <c r="E165" s="4" t="s">
        <v>24</v>
      </c>
      <c r="F165" s="4" t="s">
        <v>25</v>
      </c>
      <c r="G165" s="4" t="s">
        <v>30</v>
      </c>
      <c r="H165" s="4" t="s">
        <v>26</v>
      </c>
      <c r="I165" s="4" t="s">
        <v>27</v>
      </c>
      <c r="J165" s="4" t="s">
        <v>28</v>
      </c>
    </row>
    <row r="166" spans="1:11" ht="25.5" x14ac:dyDescent="0.2">
      <c r="A166" s="5" t="s">
        <v>675</v>
      </c>
      <c r="B166" s="25">
        <f t="shared" ref="B166:J166" si="25">SUM(B$141:B$158)</f>
        <v>0</v>
      </c>
      <c r="C166" s="25">
        <f t="shared" si="25"/>
        <v>0</v>
      </c>
      <c r="D166" s="25">
        <f t="shared" si="25"/>
        <v>0</v>
      </c>
      <c r="E166" s="25">
        <f t="shared" si="25"/>
        <v>145710.63835787593</v>
      </c>
      <c r="F166" s="25">
        <f t="shared" si="25"/>
        <v>724296.79534270347</v>
      </c>
      <c r="G166" s="25">
        <f t="shared" si="25"/>
        <v>0</v>
      </c>
      <c r="H166" s="25">
        <f t="shared" si="25"/>
        <v>969755.3622435506</v>
      </c>
      <c r="I166" s="25">
        <f t="shared" si="25"/>
        <v>436097.56045716966</v>
      </c>
      <c r="J166" s="25">
        <f t="shared" si="25"/>
        <v>2978309.8096852987</v>
      </c>
      <c r="K166" s="6"/>
    </row>
    <row r="168" spans="1:11" ht="16.5" x14ac:dyDescent="0.25">
      <c r="A168" s="3" t="s">
        <v>676</v>
      </c>
    </row>
    <row r="169" spans="1:11" x14ac:dyDescent="0.2">
      <c r="A169" s="10" t="s">
        <v>238</v>
      </c>
    </row>
    <row r="170" spans="1:11" x14ac:dyDescent="0.2">
      <c r="A170" s="11" t="s">
        <v>677</v>
      </c>
    </row>
    <row r="171" spans="1:11" x14ac:dyDescent="0.2">
      <c r="A171" s="11" t="s">
        <v>678</v>
      </c>
    </row>
    <row r="172" spans="1:11" x14ac:dyDescent="0.2">
      <c r="A172" s="10" t="s">
        <v>679</v>
      </c>
    </row>
    <row r="174" spans="1:11" x14ac:dyDescent="0.2">
      <c r="B174" s="4" t="s">
        <v>28</v>
      </c>
    </row>
    <row r="175" spans="1:11" x14ac:dyDescent="0.2">
      <c r="A175" s="5" t="s">
        <v>680</v>
      </c>
      <c r="B175" s="22">
        <f>$J132/$J166-1</f>
        <v>0.48636092834834144</v>
      </c>
      <c r="C175" s="6"/>
    </row>
    <row r="177" spans="1:11" ht="16.5" x14ac:dyDescent="0.25">
      <c r="A177" s="3" t="s">
        <v>681</v>
      </c>
    </row>
    <row r="179" spans="1:11" x14ac:dyDescent="0.2">
      <c r="B179" s="4" t="s">
        <v>21</v>
      </c>
      <c r="C179" s="4" t="s">
        <v>22</v>
      </c>
      <c r="D179" s="4" t="s">
        <v>23</v>
      </c>
      <c r="E179" s="4" t="s">
        <v>24</v>
      </c>
      <c r="F179" s="4" t="s">
        <v>25</v>
      </c>
      <c r="G179" s="4" t="s">
        <v>30</v>
      </c>
      <c r="H179" s="4" t="s">
        <v>26</v>
      </c>
      <c r="I179" s="4" t="s">
        <v>27</v>
      </c>
      <c r="J179" s="4" t="s">
        <v>28</v>
      </c>
    </row>
    <row r="180" spans="1:11" x14ac:dyDescent="0.2">
      <c r="A180" s="5" t="s">
        <v>21</v>
      </c>
      <c r="B180" s="23">
        <v>1</v>
      </c>
      <c r="C180" s="23">
        <v>0</v>
      </c>
      <c r="D180" s="23">
        <v>0</v>
      </c>
      <c r="E180" s="23">
        <v>0</v>
      </c>
      <c r="F180" s="23">
        <v>0</v>
      </c>
      <c r="G180" s="23">
        <v>0</v>
      </c>
      <c r="H180" s="23">
        <v>0</v>
      </c>
      <c r="I180" s="23">
        <v>0</v>
      </c>
      <c r="J180" s="23">
        <v>0</v>
      </c>
      <c r="K180" s="6"/>
    </row>
    <row r="181" spans="1:11" x14ac:dyDescent="0.2">
      <c r="A181" s="5" t="s">
        <v>22</v>
      </c>
      <c r="B181" s="23">
        <v>0</v>
      </c>
      <c r="C181" s="23">
        <v>1</v>
      </c>
      <c r="D181" s="23">
        <v>0</v>
      </c>
      <c r="E181" s="23">
        <v>0</v>
      </c>
      <c r="F181" s="23">
        <v>0</v>
      </c>
      <c r="G181" s="23">
        <v>0</v>
      </c>
      <c r="H181" s="23">
        <v>0</v>
      </c>
      <c r="I181" s="23">
        <v>0</v>
      </c>
      <c r="J181" s="23">
        <v>0</v>
      </c>
      <c r="K181" s="6"/>
    </row>
    <row r="182" spans="1:11" x14ac:dyDescent="0.2">
      <c r="A182" s="5" t="s">
        <v>23</v>
      </c>
      <c r="B182" s="23">
        <v>0</v>
      </c>
      <c r="C182" s="23">
        <v>0</v>
      </c>
      <c r="D182" s="23">
        <v>1</v>
      </c>
      <c r="E182" s="23">
        <v>0</v>
      </c>
      <c r="F182" s="23">
        <v>0</v>
      </c>
      <c r="G182" s="23">
        <v>1</v>
      </c>
      <c r="H182" s="23">
        <v>0</v>
      </c>
      <c r="I182" s="23">
        <v>0</v>
      </c>
      <c r="J182" s="23">
        <v>0</v>
      </c>
      <c r="K182" s="6"/>
    </row>
    <row r="183" spans="1:11" x14ac:dyDescent="0.2">
      <c r="A183" s="5" t="s">
        <v>24</v>
      </c>
      <c r="B183" s="23">
        <v>0</v>
      </c>
      <c r="C183" s="23">
        <v>0</v>
      </c>
      <c r="D183" s="23">
        <v>0</v>
      </c>
      <c r="E183" s="23">
        <v>1</v>
      </c>
      <c r="F183" s="23">
        <v>0</v>
      </c>
      <c r="G183" s="23">
        <v>0</v>
      </c>
      <c r="H183" s="23">
        <v>0</v>
      </c>
      <c r="I183" s="23">
        <v>0</v>
      </c>
      <c r="J183" s="23">
        <v>0</v>
      </c>
      <c r="K183" s="6"/>
    </row>
    <row r="184" spans="1:11" x14ac:dyDescent="0.2">
      <c r="A184" s="5" t="s">
        <v>25</v>
      </c>
      <c r="B184" s="23">
        <v>0</v>
      </c>
      <c r="C184" s="23">
        <v>0</v>
      </c>
      <c r="D184" s="23">
        <v>0</v>
      </c>
      <c r="E184" s="23">
        <v>0</v>
      </c>
      <c r="F184" s="23">
        <v>1</v>
      </c>
      <c r="G184" s="23">
        <v>0</v>
      </c>
      <c r="H184" s="23">
        <v>0</v>
      </c>
      <c r="I184" s="23">
        <v>0</v>
      </c>
      <c r="J184" s="23">
        <v>0</v>
      </c>
      <c r="K184" s="6"/>
    </row>
    <row r="185" spans="1:11" x14ac:dyDescent="0.2">
      <c r="A185" s="5" t="s">
        <v>26</v>
      </c>
      <c r="B185" s="23">
        <v>0</v>
      </c>
      <c r="C185" s="23">
        <v>0</v>
      </c>
      <c r="D185" s="23">
        <v>0</v>
      </c>
      <c r="E185" s="23">
        <v>0</v>
      </c>
      <c r="F185" s="23">
        <v>0</v>
      </c>
      <c r="G185" s="23">
        <v>0</v>
      </c>
      <c r="H185" s="23">
        <v>1</v>
      </c>
      <c r="I185" s="23">
        <v>0</v>
      </c>
      <c r="J185" s="23">
        <v>0</v>
      </c>
      <c r="K185" s="6"/>
    </row>
    <row r="186" spans="1:11" x14ac:dyDescent="0.2">
      <c r="A186" s="5" t="s">
        <v>27</v>
      </c>
      <c r="B186" s="23">
        <v>0</v>
      </c>
      <c r="C186" s="23">
        <v>0</v>
      </c>
      <c r="D186" s="23">
        <v>0</v>
      </c>
      <c r="E186" s="23">
        <v>0</v>
      </c>
      <c r="F186" s="23">
        <v>0</v>
      </c>
      <c r="G186" s="23">
        <v>0</v>
      </c>
      <c r="H186" s="23">
        <v>0</v>
      </c>
      <c r="I186" s="23">
        <v>1</v>
      </c>
      <c r="J186" s="23">
        <v>0</v>
      </c>
      <c r="K186" s="6"/>
    </row>
    <row r="187" spans="1:11" x14ac:dyDescent="0.2">
      <c r="A187" s="5" t="s">
        <v>28</v>
      </c>
      <c r="B187" s="23">
        <v>0</v>
      </c>
      <c r="C187" s="23">
        <v>0</v>
      </c>
      <c r="D187" s="23">
        <v>0</v>
      </c>
      <c r="E187" s="23">
        <v>0</v>
      </c>
      <c r="F187" s="23">
        <v>0</v>
      </c>
      <c r="G187" s="23">
        <v>0</v>
      </c>
      <c r="H187" s="23">
        <v>0</v>
      </c>
      <c r="I187" s="23">
        <v>0</v>
      </c>
      <c r="J187" s="23">
        <v>1</v>
      </c>
      <c r="K187" s="6"/>
    </row>
    <row r="189" spans="1:11" ht="16.5" x14ac:dyDescent="0.25">
      <c r="A189" s="3" t="s">
        <v>682</v>
      </c>
    </row>
    <row r="190" spans="1:11" x14ac:dyDescent="0.2">
      <c r="A190" s="10" t="s">
        <v>238</v>
      </c>
    </row>
    <row r="191" spans="1:11" x14ac:dyDescent="0.2">
      <c r="A191" s="11" t="s">
        <v>683</v>
      </c>
    </row>
    <row r="192" spans="1:11" x14ac:dyDescent="0.2">
      <c r="A192" s="11" t="s">
        <v>684</v>
      </c>
    </row>
    <row r="193" spans="1:3" x14ac:dyDescent="0.2">
      <c r="A193" s="10" t="s">
        <v>251</v>
      </c>
    </row>
    <row r="195" spans="1:3" ht="51" x14ac:dyDescent="0.2">
      <c r="B195" s="4" t="s">
        <v>685</v>
      </c>
    </row>
    <row r="196" spans="1:3" x14ac:dyDescent="0.2">
      <c r="A196" s="5" t="s">
        <v>21</v>
      </c>
      <c r="B196" s="22">
        <f>SUMPRODUCT(DRM!D$48:D$55,$B$180:$B$187)</f>
        <v>8.4783734729199978E-2</v>
      </c>
      <c r="C196" s="6"/>
    </row>
    <row r="197" spans="1:3" x14ac:dyDescent="0.2">
      <c r="A197" s="5" t="s">
        <v>22</v>
      </c>
      <c r="B197" s="22">
        <f>SUMPRODUCT(DRM!D$48:D$55,$C$180:$C$187)</f>
        <v>0.13151838281738404</v>
      </c>
      <c r="C197" s="6"/>
    </row>
    <row r="198" spans="1:3" x14ac:dyDescent="0.2">
      <c r="A198" s="5" t="s">
        <v>23</v>
      </c>
      <c r="B198" s="22">
        <f>SUMPRODUCT(DRM!D$48:D$55,$D$180:$D$187)</f>
        <v>0.13151838281738404</v>
      </c>
      <c r="C198" s="6"/>
    </row>
    <row r="199" spans="1:3" x14ac:dyDescent="0.2">
      <c r="A199" s="5" t="s">
        <v>24</v>
      </c>
      <c r="B199" s="22">
        <f>SUMPRODUCT(DRM!D$48:D$55,$E$180:$E$187)</f>
        <v>0.22770993879189061</v>
      </c>
      <c r="C199" s="6"/>
    </row>
    <row r="200" spans="1:3" x14ac:dyDescent="0.2">
      <c r="A200" s="5" t="s">
        <v>25</v>
      </c>
      <c r="B200" s="22">
        <f>SUMPRODUCT(DRM!D$48:D$55,$F$180:$F$187)</f>
        <v>0.22770993879189061</v>
      </c>
      <c r="C200" s="6"/>
    </row>
    <row r="201" spans="1:3" x14ac:dyDescent="0.2">
      <c r="A201" s="5" t="s">
        <v>30</v>
      </c>
      <c r="B201" s="22">
        <f>SUMPRODUCT(DRM!D$48:D$55,$G$180:$G$187)</f>
        <v>0.13151838281738404</v>
      </c>
      <c r="C201" s="6"/>
    </row>
    <row r="202" spans="1:3" x14ac:dyDescent="0.2">
      <c r="A202" s="5" t="s">
        <v>26</v>
      </c>
      <c r="B202" s="22">
        <f>SUMPRODUCT(DRM!D$48:D$55,$H$180:$H$187)</f>
        <v>0.63790010644164918</v>
      </c>
      <c r="C202" s="6"/>
    </row>
    <row r="203" spans="1:3" x14ac:dyDescent="0.2">
      <c r="A203" s="5" t="s">
        <v>27</v>
      </c>
      <c r="B203" s="22">
        <f>SUMPRODUCT(DRM!D$48:D$55,$I$180:$I$187)</f>
        <v>0.63790010644164918</v>
      </c>
      <c r="C203" s="6"/>
    </row>
    <row r="204" spans="1:3" x14ac:dyDescent="0.2">
      <c r="A204" s="5" t="s">
        <v>28</v>
      </c>
      <c r="B204" s="22">
        <f>SUMPRODUCT(DRM!D$48:D$55,$J$180:$J$187)</f>
        <v>0</v>
      </c>
      <c r="C204" s="6"/>
    </row>
    <row r="206" spans="1:3" ht="16.5" x14ac:dyDescent="0.25">
      <c r="A206" s="3" t="s">
        <v>686</v>
      </c>
    </row>
    <row r="207" spans="1:3" x14ac:dyDescent="0.2">
      <c r="A207" s="10" t="s">
        <v>238</v>
      </c>
    </row>
    <row r="208" spans="1:3" x14ac:dyDescent="0.2">
      <c r="A208" s="11" t="s">
        <v>687</v>
      </c>
    </row>
    <row r="209" spans="1:11" x14ac:dyDescent="0.2">
      <c r="A209" s="11" t="s">
        <v>688</v>
      </c>
    </row>
    <row r="210" spans="1:11" x14ac:dyDescent="0.2">
      <c r="A210" s="10" t="s">
        <v>256</v>
      </c>
    </row>
    <row r="212" spans="1:11" x14ac:dyDescent="0.2">
      <c r="B212" s="4" t="s">
        <v>21</v>
      </c>
      <c r="C212" s="4" t="s">
        <v>22</v>
      </c>
      <c r="D212" s="4" t="s">
        <v>23</v>
      </c>
      <c r="E212" s="4" t="s">
        <v>24</v>
      </c>
      <c r="F212" s="4" t="s">
        <v>25</v>
      </c>
      <c r="G212" s="4" t="s">
        <v>30</v>
      </c>
      <c r="H212" s="4" t="s">
        <v>26</v>
      </c>
      <c r="I212" s="4" t="s">
        <v>27</v>
      </c>
      <c r="J212" s="4" t="s">
        <v>28</v>
      </c>
    </row>
    <row r="213" spans="1:11" x14ac:dyDescent="0.2">
      <c r="A213" s="5" t="s">
        <v>689</v>
      </c>
      <c r="B213" s="24">
        <f>$B$196</f>
        <v>8.4783734729199978E-2</v>
      </c>
      <c r="C213" s="24">
        <f>$B$197</f>
        <v>0.13151838281738404</v>
      </c>
      <c r="D213" s="24">
        <f>$B$198</f>
        <v>0.13151838281738404</v>
      </c>
      <c r="E213" s="24">
        <f>$B$199</f>
        <v>0.22770993879189061</v>
      </c>
      <c r="F213" s="24">
        <f>$B$200</f>
        <v>0.22770993879189061</v>
      </c>
      <c r="G213" s="24">
        <f>$B$201</f>
        <v>0.13151838281738404</v>
      </c>
      <c r="H213" s="24">
        <f>$B$202</f>
        <v>0.63790010644164918</v>
      </c>
      <c r="I213" s="24">
        <f>$B$203</f>
        <v>0.63790010644164918</v>
      </c>
      <c r="J213" s="24">
        <f>$B175</f>
        <v>0.48636092834834144</v>
      </c>
      <c r="K213" s="6"/>
    </row>
    <row r="215" spans="1:11" ht="16.5" x14ac:dyDescent="0.25">
      <c r="A215" s="3" t="s">
        <v>690</v>
      </c>
    </row>
    <row r="216" spans="1:11" x14ac:dyDescent="0.2">
      <c r="A216" s="10" t="s">
        <v>238</v>
      </c>
    </row>
    <row r="217" spans="1:11" x14ac:dyDescent="0.2">
      <c r="A217" s="11" t="s">
        <v>691</v>
      </c>
    </row>
    <row r="218" spans="1:11" x14ac:dyDescent="0.2">
      <c r="A218" s="11" t="s">
        <v>678</v>
      </c>
    </row>
    <row r="219" spans="1:11" x14ac:dyDescent="0.2">
      <c r="A219" s="11" t="s">
        <v>692</v>
      </c>
    </row>
    <row r="220" spans="1:11" x14ac:dyDescent="0.2">
      <c r="A220" s="11" t="s">
        <v>693</v>
      </c>
    </row>
    <row r="221" spans="1:11" x14ac:dyDescent="0.2">
      <c r="A221" s="10" t="s">
        <v>694</v>
      </c>
    </row>
    <row r="223" spans="1:11" x14ac:dyDescent="0.2">
      <c r="B223" s="4" t="s">
        <v>21</v>
      </c>
      <c r="C223" s="4" t="s">
        <v>22</v>
      </c>
      <c r="D223" s="4" t="s">
        <v>23</v>
      </c>
      <c r="E223" s="4" t="s">
        <v>24</v>
      </c>
      <c r="F223" s="4" t="s">
        <v>25</v>
      </c>
      <c r="G223" s="4" t="s">
        <v>30</v>
      </c>
      <c r="H223" s="4" t="s">
        <v>26</v>
      </c>
      <c r="I223" s="4" t="s">
        <v>27</v>
      </c>
      <c r="J223" s="4" t="s">
        <v>28</v>
      </c>
    </row>
    <row r="224" spans="1:11" ht="25.5" x14ac:dyDescent="0.2">
      <c r="A224" s="5" t="s">
        <v>695</v>
      </c>
      <c r="B224" s="25">
        <f>SMD!B141-B166+B132/(1+B213)</f>
        <v>4221727.5673516318</v>
      </c>
      <c r="C224" s="25">
        <f>SMD!C141-C166+C132/(1+C213)</f>
        <v>4180310.6230730116</v>
      </c>
      <c r="D224" s="25">
        <f>SMD!D141-D166+D132/(1+D213)</f>
        <v>4159717.9599051657</v>
      </c>
      <c r="E224" s="25">
        <f>SMD!E141-E166+E132/(1+E213)</f>
        <v>4281127.8770562438</v>
      </c>
      <c r="F224" s="25">
        <f>SMD!F141-F166+F132/(1+F213)</f>
        <v>4827844.7522540344</v>
      </c>
      <c r="G224" s="25">
        <f>SMD!G141-G166+G132/(1+G213)</f>
        <v>0</v>
      </c>
      <c r="H224" s="25">
        <f>SMD!H141-H166+H132/(1+H213)</f>
        <v>4696253.1993116746</v>
      </c>
      <c r="I224" s="25">
        <f>SMD!I141-I166+I132/(1+I213)</f>
        <v>3771580.4574730126</v>
      </c>
      <c r="J224" s="25">
        <f>SMD!J141-J166+J132/(1+J213)</f>
        <v>3021556.3451812132</v>
      </c>
      <c r="K224" s="6"/>
    </row>
  </sheetData>
  <sheetProtection sheet="1" objects="1"/>
  <hyperlinks>
    <hyperlink ref="A5" location="'AMD'!B13" display="'AMD'!B13"/>
    <hyperlink ref="A6" location="'Input'!B36" display="'Input'!B36"/>
    <hyperlink ref="A7" location="'AMD'!J13" display="'AMD'!J13"/>
    <hyperlink ref="A34" location="'AMD'!J13" display="'AMD'!J13"/>
    <hyperlink ref="A35" location="'AMD'!K13" display="'AMD'!K13"/>
    <hyperlink ref="A36" location="'AMD'!B13" display="'AMD'!B13"/>
    <hyperlink ref="A61" location="'Loads'!F298" display="'Loads'!F298"/>
    <hyperlink ref="A62" location="'Input'!E14" display="'Input'!E14"/>
    <hyperlink ref="A63" location="'AMD'!B40" display="'AMD'!B40"/>
    <hyperlink ref="A64" location="'LAFs'!B241" display="'LAFs'!B241"/>
    <hyperlink ref="A75" location="'Multi'!B115" display="'Multi'!B115"/>
    <hyperlink ref="A76" location="'Input'!C117" display="'Input'!C117"/>
    <hyperlink ref="A77" location="'AMD'!B40" display="'AMD'!B40"/>
    <hyperlink ref="A78" location="'LAFs'!B241" display="'LAFs'!B241"/>
    <hyperlink ref="A79" location="'Input'!F14" display="'Input'!F14"/>
    <hyperlink ref="A104" location="'AMD'!B68" display="'AMD'!B68"/>
    <hyperlink ref="A105" location="'AMD'!B83" display="'AMD'!B83"/>
    <hyperlink ref="A128" location="'AMD'!B109" display="'AMD'!B109"/>
    <hyperlink ref="A136" location="'SMD'!B106" display="'SMD'!B106"/>
    <hyperlink ref="A137" location="'AMD'!B40" display="'AMD'!B40"/>
    <hyperlink ref="A162" location="'AMD'!B141" display="'AMD'!B141"/>
    <hyperlink ref="A170" location="'AMD'!B132" display="'AMD'!B132"/>
    <hyperlink ref="A171" location="'AMD'!B166" display="'AMD'!B166"/>
    <hyperlink ref="A191" location="'DRM'!D48" display="'DRM'!D48"/>
    <hyperlink ref="A192" location="'AMD'!B180" display="'AMD'!B180"/>
    <hyperlink ref="A208" location="'AMD'!B175" display="'AMD'!B175"/>
    <hyperlink ref="A209" location="'AMD'!B196" display="'AMD'!B196"/>
    <hyperlink ref="A217" location="'SMD'!B141" display="'SMD'!B141"/>
    <hyperlink ref="A218" location="'AMD'!B166" display="'AMD'!B166"/>
    <hyperlink ref="A219" location="'AMD'!B132" display="'AMD'!B132"/>
    <hyperlink ref="A220" location="'AMD'!B213" display="'AMD'!B213"/>
  </hyperlinks>
  <pageMargins left="0.75" right="0.75" top="1" bottom="1" header="0.5" footer="0.5"/>
  <pageSetup paperSize="9" scale="37" fitToHeight="0" orientation="portrait" blackAndWhite="1" r:id="rId1"/>
  <headerFooter alignWithMargins="0">
    <oddHeader>&amp;L&amp;A&amp;Cr6140&amp;R&amp;P of &amp;N</oddHeader>
    <oddFooter>&amp;F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61"/>
  <sheetViews>
    <sheetView showGridLines="0" workbookViewId="0">
      <pane xSplit="1" ySplit="1" topLeftCell="G50" activePane="bottomRight" state="frozen"/>
      <selection pane="topRight"/>
      <selection pane="bottomLeft"/>
      <selection pane="bottomRight" activeCell="B68" sqref="B68:L68"/>
    </sheetView>
  </sheetViews>
  <sheetFormatPr defaultRowHeight="12.75" x14ac:dyDescent="0.2"/>
  <cols>
    <col min="1" max="1" width="50.7109375" customWidth="1"/>
    <col min="2" max="251" width="16.7109375" customWidth="1"/>
  </cols>
  <sheetData>
    <row r="1" spans="1:13" ht="19.5" x14ac:dyDescent="0.3">
      <c r="A1" s="15" t="str">
        <f>"r6140: Other expenditure"&amp;" for "&amp;Input!B7&amp;" in "&amp;Input!C7&amp;" ("&amp;Input!D7&amp;")"</f>
        <v>r6140: Other expenditure for Electricity North West  in 2013/14 (April 2013 Indicative)</v>
      </c>
    </row>
    <row r="3" spans="1:13" ht="16.5" x14ac:dyDescent="0.25">
      <c r="A3" s="3" t="s">
        <v>696</v>
      </c>
    </row>
    <row r="4" spans="1:13" x14ac:dyDescent="0.2">
      <c r="A4" s="10" t="s">
        <v>238</v>
      </c>
    </row>
    <row r="5" spans="1:13" x14ac:dyDescent="0.2">
      <c r="A5" s="11" t="s">
        <v>697</v>
      </c>
    </row>
    <row r="6" spans="1:13" x14ac:dyDescent="0.2">
      <c r="A6" s="10" t="s">
        <v>698</v>
      </c>
    </row>
    <row r="7" spans="1:13" x14ac:dyDescent="0.2">
      <c r="A7" s="10" t="s">
        <v>256</v>
      </c>
    </row>
    <row r="9" spans="1:13" ht="25.5" x14ac:dyDescent="0.2">
      <c r="B9" s="4" t="s">
        <v>179</v>
      </c>
      <c r="C9" s="4" t="s">
        <v>699</v>
      </c>
      <c r="D9" s="4" t="s">
        <v>700</v>
      </c>
      <c r="E9" s="4" t="s">
        <v>701</v>
      </c>
      <c r="F9" s="4" t="s">
        <v>702</v>
      </c>
      <c r="G9" s="4" t="s">
        <v>703</v>
      </c>
      <c r="H9" s="4" t="s">
        <v>704</v>
      </c>
      <c r="I9" s="4" t="s">
        <v>705</v>
      </c>
      <c r="J9" s="4" t="s">
        <v>706</v>
      </c>
      <c r="K9" s="4" t="s">
        <v>707</v>
      </c>
      <c r="L9" s="4" t="s">
        <v>708</v>
      </c>
    </row>
    <row r="10" spans="1:13" ht="25.5" x14ac:dyDescent="0.2">
      <c r="A10" s="5" t="s">
        <v>709</v>
      </c>
      <c r="B10" s="27">
        <f>Input!$B242</f>
        <v>16923397</v>
      </c>
      <c r="C10" s="16">
        <v>0</v>
      </c>
      <c r="D10" s="16">
        <v>0</v>
      </c>
      <c r="E10" s="16">
        <v>0</v>
      </c>
      <c r="F10" s="16">
        <v>0</v>
      </c>
      <c r="G10" s="16">
        <v>0</v>
      </c>
      <c r="H10" s="16">
        <v>0</v>
      </c>
      <c r="I10" s="16">
        <v>0</v>
      </c>
      <c r="J10" s="16">
        <v>0</v>
      </c>
      <c r="K10" s="16">
        <v>0</v>
      </c>
      <c r="L10" s="16">
        <v>0</v>
      </c>
      <c r="M10" s="6"/>
    </row>
    <row r="12" spans="1:13" ht="16.5" x14ac:dyDescent="0.25">
      <c r="A12" s="3" t="s">
        <v>710</v>
      </c>
    </row>
    <row r="13" spans="1:13" x14ac:dyDescent="0.2">
      <c r="A13" s="10" t="s">
        <v>238</v>
      </c>
    </row>
    <row r="14" spans="1:13" x14ac:dyDescent="0.2">
      <c r="A14" s="11" t="s">
        <v>333</v>
      </c>
    </row>
    <row r="15" spans="1:13" x14ac:dyDescent="0.2">
      <c r="A15" s="11" t="s">
        <v>711</v>
      </c>
    </row>
    <row r="16" spans="1:13" x14ac:dyDescent="0.2">
      <c r="A16" s="11" t="s">
        <v>712</v>
      </c>
    </row>
    <row r="17" spans="1:10" x14ac:dyDescent="0.2">
      <c r="A17" s="10" t="s">
        <v>713</v>
      </c>
    </row>
    <row r="19" spans="1:10" ht="25.5" x14ac:dyDescent="0.2">
      <c r="B19" s="4" t="s">
        <v>191</v>
      </c>
      <c r="C19" s="4" t="s">
        <v>192</v>
      </c>
      <c r="D19" s="4" t="s">
        <v>193</v>
      </c>
      <c r="E19" s="4" t="s">
        <v>194</v>
      </c>
      <c r="F19" s="4" t="s">
        <v>195</v>
      </c>
      <c r="G19" s="4" t="s">
        <v>196</v>
      </c>
      <c r="H19" s="4" t="s">
        <v>197</v>
      </c>
      <c r="I19" s="4" t="s">
        <v>198</v>
      </c>
    </row>
    <row r="20" spans="1:10" x14ac:dyDescent="0.2">
      <c r="A20" s="5" t="s">
        <v>714</v>
      </c>
      <c r="B20" s="25">
        <f>IF(DRM!$B$113,AMD!$C224*Input!$B$46/DRM!$B$113/1000,0)</f>
        <v>388363402.21621257</v>
      </c>
      <c r="C20" s="25">
        <f>IF(DRM!$B$114,AMD!$D224*Input!$B$47/DRM!$B$114/1000,0)</f>
        <v>358220501.41930777</v>
      </c>
      <c r="D20" s="25">
        <f>IF(DRM!$B$115,AMD!$E224*Input!$B$48/DRM!$B$115/1000,0)</f>
        <v>565274557.07658792</v>
      </c>
      <c r="E20" s="25">
        <f>IF(DRM!$B$116,AMD!$F224*Input!$B$49/DRM!$B$116/1000,0)</f>
        <v>794010142.86178708</v>
      </c>
      <c r="F20" s="25">
        <f>IF(DRM!$B$117,AMD!$G224*Input!$B$50/DRM!$B$117/1000,0)</f>
        <v>0</v>
      </c>
      <c r="G20" s="25">
        <f>IF(DRM!$B$118,AMD!$H224*Input!$B$51/DRM!$B$118/1000,0)</f>
        <v>1135178127.5440934</v>
      </c>
      <c r="H20" s="25">
        <f>IF(DRM!$B$119,AMD!$I224*Input!$B$52/DRM!$B$119/1000,0)</f>
        <v>797860586.73120284</v>
      </c>
      <c r="I20" s="25">
        <f>IF(DRM!$B$120,AMD!$J224*Input!$B$53/DRM!$B$120/1000,0)</f>
        <v>398095734.28496218</v>
      </c>
      <c r="J20" s="6"/>
    </row>
    <row r="22" spans="1:10" ht="16.5" x14ac:dyDescent="0.25">
      <c r="A22" s="3" t="s">
        <v>715</v>
      </c>
    </row>
    <row r="23" spans="1:10" x14ac:dyDescent="0.2">
      <c r="A23" s="10" t="s">
        <v>238</v>
      </c>
    </row>
    <row r="24" spans="1:10" x14ac:dyDescent="0.2">
      <c r="A24" s="11" t="s">
        <v>461</v>
      </c>
    </row>
    <row r="25" spans="1:10" x14ac:dyDescent="0.2">
      <c r="A25" s="10" t="s">
        <v>716</v>
      </c>
    </row>
    <row r="27" spans="1:10" ht="63.75" x14ac:dyDescent="0.2">
      <c r="B27" s="4" t="s">
        <v>717</v>
      </c>
    </row>
    <row r="28" spans="1:10" x14ac:dyDescent="0.2">
      <c r="A28" s="5" t="s">
        <v>96</v>
      </c>
      <c r="B28" s="27">
        <f>Multi!B$128</f>
        <v>43147.28153507517</v>
      </c>
      <c r="C28" s="6"/>
    </row>
    <row r="29" spans="1:10" x14ac:dyDescent="0.2">
      <c r="A29" s="5" t="s">
        <v>97</v>
      </c>
      <c r="B29" s="27">
        <f>Multi!B$129</f>
        <v>13480.007420349682</v>
      </c>
      <c r="C29" s="6"/>
    </row>
    <row r="30" spans="1:10" x14ac:dyDescent="0.2">
      <c r="A30" s="5" t="s">
        <v>98</v>
      </c>
      <c r="B30" s="27">
        <f>Multi!B$130</f>
        <v>1.3947031837786772</v>
      </c>
      <c r="C30" s="6"/>
    </row>
    <row r="31" spans="1:10" x14ac:dyDescent="0.2">
      <c r="A31" s="5" t="s">
        <v>99</v>
      </c>
      <c r="B31" s="27">
        <f>Multi!B$131</f>
        <v>0</v>
      </c>
      <c r="C31" s="6"/>
    </row>
    <row r="32" spans="1:10" x14ac:dyDescent="0.2">
      <c r="A32" s="5" t="s">
        <v>100</v>
      </c>
      <c r="B32" s="27">
        <f>Multi!B$132</f>
        <v>279151.27474087739</v>
      </c>
      <c r="C32" s="6"/>
    </row>
    <row r="34" spans="1:3" ht="16.5" x14ac:dyDescent="0.25">
      <c r="A34" s="3" t="s">
        <v>718</v>
      </c>
    </row>
    <row r="35" spans="1:3" x14ac:dyDescent="0.2">
      <c r="A35" s="10" t="s">
        <v>238</v>
      </c>
    </row>
    <row r="36" spans="1:3" x14ac:dyDescent="0.2">
      <c r="A36" s="11" t="s">
        <v>719</v>
      </c>
    </row>
    <row r="37" spans="1:3" x14ac:dyDescent="0.2">
      <c r="A37" s="10" t="s">
        <v>642</v>
      </c>
    </row>
    <row r="39" spans="1:3" ht="25.5" x14ac:dyDescent="0.2">
      <c r="B39" s="4" t="s">
        <v>720</v>
      </c>
    </row>
    <row r="40" spans="1:3" x14ac:dyDescent="0.2">
      <c r="A40" s="5" t="s">
        <v>720</v>
      </c>
      <c r="B40" s="25">
        <f>SUM(B$28:B$32)</f>
        <v>335779.95839948603</v>
      </c>
      <c r="C40" s="6"/>
    </row>
    <row r="42" spans="1:3" ht="16.5" x14ac:dyDescent="0.25">
      <c r="A42" s="3" t="s">
        <v>721</v>
      </c>
    </row>
    <row r="43" spans="1:3" x14ac:dyDescent="0.2">
      <c r="A43" s="10" t="s">
        <v>238</v>
      </c>
    </row>
    <row r="44" spans="1:3" x14ac:dyDescent="0.2">
      <c r="A44" s="11" t="s">
        <v>722</v>
      </c>
    </row>
    <row r="45" spans="1:3" x14ac:dyDescent="0.2">
      <c r="A45" s="11" t="s">
        <v>723</v>
      </c>
    </row>
    <row r="46" spans="1:3" x14ac:dyDescent="0.2">
      <c r="A46" s="11" t="s">
        <v>724</v>
      </c>
    </row>
    <row r="47" spans="1:3" x14ac:dyDescent="0.2">
      <c r="A47" s="11" t="s">
        <v>725</v>
      </c>
    </row>
    <row r="48" spans="1:3" x14ac:dyDescent="0.2">
      <c r="A48" s="11" t="s">
        <v>726</v>
      </c>
    </row>
    <row r="49" spans="1:13" x14ac:dyDescent="0.2">
      <c r="A49" s="11" t="s">
        <v>727</v>
      </c>
    </row>
    <row r="50" spans="1:13" x14ac:dyDescent="0.2">
      <c r="A50" s="11" t="s">
        <v>728</v>
      </c>
    </row>
    <row r="51" spans="1:13" x14ac:dyDescent="0.2">
      <c r="A51" s="18" t="s">
        <v>241</v>
      </c>
      <c r="B51" s="18" t="s">
        <v>243</v>
      </c>
      <c r="C51" s="18"/>
      <c r="D51" s="18" t="s">
        <v>371</v>
      </c>
      <c r="E51" s="18" t="s">
        <v>300</v>
      </c>
      <c r="F51" s="18"/>
      <c r="G51" s="18" t="s">
        <v>371</v>
      </c>
      <c r="H51" s="18"/>
    </row>
    <row r="52" spans="1:13" x14ac:dyDescent="0.2">
      <c r="A52" s="18" t="s">
        <v>244</v>
      </c>
      <c r="B52" s="18" t="s">
        <v>246</v>
      </c>
      <c r="C52" s="18"/>
      <c r="D52" s="18" t="s">
        <v>729</v>
      </c>
      <c r="E52" s="18" t="s">
        <v>730</v>
      </c>
      <c r="F52" s="18"/>
      <c r="G52" s="18" t="s">
        <v>731</v>
      </c>
      <c r="H52" s="18"/>
    </row>
    <row r="54" spans="1:13" ht="25.5" x14ac:dyDescent="0.2">
      <c r="B54" s="14" t="s">
        <v>732</v>
      </c>
      <c r="C54" s="14"/>
      <c r="E54" s="14" t="s">
        <v>733</v>
      </c>
      <c r="F54" s="14"/>
      <c r="G54" s="14" t="s">
        <v>734</v>
      </c>
      <c r="H54" s="14"/>
    </row>
    <row r="55" spans="1:13" ht="38.25" x14ac:dyDescent="0.2">
      <c r="B55" s="4" t="s">
        <v>350</v>
      </c>
      <c r="C55" s="4" t="s">
        <v>362</v>
      </c>
      <c r="D55" s="4" t="s">
        <v>733</v>
      </c>
      <c r="E55" s="4" t="s">
        <v>350</v>
      </c>
      <c r="F55" s="4" t="s">
        <v>362</v>
      </c>
      <c r="G55" s="4" t="s">
        <v>350</v>
      </c>
      <c r="H55" s="4" t="s">
        <v>362</v>
      </c>
    </row>
    <row r="56" spans="1:13" x14ac:dyDescent="0.2">
      <c r="A56" s="5" t="s">
        <v>735</v>
      </c>
      <c r="B56" s="25">
        <f>SUMPRODUCT(SM!B$67:B$94,Loads!$E$298:$E$325)</f>
        <v>1100517702.5601406</v>
      </c>
      <c r="C56" s="25">
        <f>SUMPRODUCT(SM!C$67:C$94,Loads!$E$298:$E$325)</f>
        <v>36667539.455040261</v>
      </c>
      <c r="D56" s="25">
        <f>SM!B33*$B40</f>
        <v>233537647.30650973</v>
      </c>
      <c r="E56" s="27">
        <f>$D56</f>
        <v>233537647.30650973</v>
      </c>
      <c r="F56" s="21"/>
      <c r="G56" s="25">
        <f>B56+E56</f>
        <v>1334055349.8666503</v>
      </c>
      <c r="H56" s="25">
        <f>C56+F56</f>
        <v>36667539.455040261</v>
      </c>
      <c r="I56" s="6"/>
    </row>
    <row r="58" spans="1:13" ht="16.5" x14ac:dyDescent="0.25">
      <c r="A58" s="3" t="s">
        <v>736</v>
      </c>
    </row>
    <row r="59" spans="1:13" x14ac:dyDescent="0.2">
      <c r="A59" s="10" t="s">
        <v>238</v>
      </c>
    </row>
    <row r="60" spans="1:13" x14ac:dyDescent="0.2">
      <c r="A60" s="11" t="s">
        <v>737</v>
      </c>
    </row>
    <row r="61" spans="1:13" x14ac:dyDescent="0.2">
      <c r="A61" s="11" t="s">
        <v>738</v>
      </c>
    </row>
    <row r="62" spans="1:13" x14ac:dyDescent="0.2">
      <c r="A62" s="11" t="s">
        <v>739</v>
      </c>
    </row>
    <row r="63" spans="1:13" x14ac:dyDescent="0.2">
      <c r="A63" s="18" t="s">
        <v>241</v>
      </c>
      <c r="B63" s="10" t="s">
        <v>405</v>
      </c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8" t="s">
        <v>372</v>
      </c>
    </row>
    <row r="64" spans="1:13" x14ac:dyDescent="0.2">
      <c r="A64" s="18" t="s">
        <v>244</v>
      </c>
      <c r="B64" s="10" t="s">
        <v>488</v>
      </c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8" t="s">
        <v>424</v>
      </c>
    </row>
    <row r="66" spans="1:14" x14ac:dyDescent="0.2">
      <c r="B66" s="19" t="s">
        <v>740</v>
      </c>
      <c r="C66" s="19"/>
      <c r="D66" s="19"/>
      <c r="E66" s="19"/>
      <c r="F66" s="19"/>
      <c r="G66" s="19"/>
      <c r="H66" s="19"/>
      <c r="I66" s="19"/>
      <c r="J66" s="19"/>
      <c r="K66" s="19"/>
      <c r="L66" s="19"/>
    </row>
    <row r="67" spans="1:14" ht="51" x14ac:dyDescent="0.2">
      <c r="B67" s="4" t="s">
        <v>21</v>
      </c>
      <c r="C67" s="4" t="s">
        <v>191</v>
      </c>
      <c r="D67" s="4" t="s">
        <v>192</v>
      </c>
      <c r="E67" s="4" t="s">
        <v>193</v>
      </c>
      <c r="F67" s="4" t="s">
        <v>194</v>
      </c>
      <c r="G67" s="4" t="s">
        <v>195</v>
      </c>
      <c r="H67" s="4" t="s">
        <v>196</v>
      </c>
      <c r="I67" s="4" t="s">
        <v>197</v>
      </c>
      <c r="J67" s="4" t="s">
        <v>198</v>
      </c>
      <c r="K67" s="4" t="s">
        <v>350</v>
      </c>
      <c r="L67" s="4" t="s">
        <v>362</v>
      </c>
      <c r="M67" s="4" t="s">
        <v>741</v>
      </c>
    </row>
    <row r="68" spans="1:14" x14ac:dyDescent="0.2">
      <c r="A68" s="5" t="s">
        <v>742</v>
      </c>
      <c r="B68" s="21"/>
      <c r="C68" s="27">
        <f>$B20</f>
        <v>388363402.21621257</v>
      </c>
      <c r="D68" s="27">
        <f>$C20</f>
        <v>358220501.41930777</v>
      </c>
      <c r="E68" s="27">
        <f>$D20</f>
        <v>565274557.07658792</v>
      </c>
      <c r="F68" s="27">
        <f>$E20</f>
        <v>794010142.86178708</v>
      </c>
      <c r="G68" s="27">
        <f>$F20</f>
        <v>0</v>
      </c>
      <c r="H68" s="27">
        <f>$G20</f>
        <v>1135178127.5440934</v>
      </c>
      <c r="I68" s="27">
        <f>$H20</f>
        <v>797860586.73120284</v>
      </c>
      <c r="J68" s="27">
        <f>$I20</f>
        <v>398095734.28496218</v>
      </c>
      <c r="K68" s="27">
        <f>$G56</f>
        <v>1334055349.8666503</v>
      </c>
      <c r="L68" s="27">
        <f>$H56</f>
        <v>36667539.455040261</v>
      </c>
      <c r="M68" s="27">
        <f>SUM($B68:$L68)</f>
        <v>5807725941.4558439</v>
      </c>
      <c r="N68" s="6"/>
    </row>
    <row r="70" spans="1:14" ht="16.5" x14ac:dyDescent="0.25">
      <c r="A70" s="3" t="s">
        <v>743</v>
      </c>
    </row>
    <row r="71" spans="1:14" x14ac:dyDescent="0.2">
      <c r="A71" s="10" t="s">
        <v>238</v>
      </c>
    </row>
    <row r="72" spans="1:14" x14ac:dyDescent="0.2">
      <c r="A72" s="11" t="s">
        <v>744</v>
      </c>
    </row>
    <row r="73" spans="1:14" x14ac:dyDescent="0.2">
      <c r="A73" s="11" t="s">
        <v>745</v>
      </c>
    </row>
    <row r="74" spans="1:14" x14ac:dyDescent="0.2">
      <c r="A74" s="11" t="s">
        <v>746</v>
      </c>
    </row>
    <row r="75" spans="1:14" x14ac:dyDescent="0.2">
      <c r="A75" s="11" t="s">
        <v>747</v>
      </c>
    </row>
    <row r="76" spans="1:14" x14ac:dyDescent="0.2">
      <c r="A76" s="10" t="s">
        <v>748</v>
      </c>
    </row>
    <row r="78" spans="1:14" ht="76.5" x14ac:dyDescent="0.2">
      <c r="B78" s="4" t="s">
        <v>749</v>
      </c>
    </row>
    <row r="79" spans="1:14" x14ac:dyDescent="0.2">
      <c r="A79" s="5" t="s">
        <v>186</v>
      </c>
      <c r="B79" s="25">
        <f>Input!B247+Input!E247+Input!C247*Input!D247</f>
        <v>121066880.91137858</v>
      </c>
      <c r="C79" s="6"/>
    </row>
    <row r="81" spans="1:13" ht="16.5" x14ac:dyDescent="0.25">
      <c r="A81" s="3" t="s">
        <v>750</v>
      </c>
    </row>
    <row r="82" spans="1:13" x14ac:dyDescent="0.2">
      <c r="A82" s="10" t="s">
        <v>238</v>
      </c>
    </row>
    <row r="83" spans="1:13" x14ac:dyDescent="0.2">
      <c r="A83" s="11" t="s">
        <v>751</v>
      </c>
    </row>
    <row r="84" spans="1:13" x14ac:dyDescent="0.2">
      <c r="A84" s="11" t="s">
        <v>752</v>
      </c>
    </row>
    <row r="85" spans="1:13" x14ac:dyDescent="0.2">
      <c r="A85" s="11" t="s">
        <v>753</v>
      </c>
    </row>
    <row r="86" spans="1:13" x14ac:dyDescent="0.2">
      <c r="A86" s="11" t="s">
        <v>754</v>
      </c>
    </row>
    <row r="87" spans="1:13" x14ac:dyDescent="0.2">
      <c r="A87" s="10" t="s">
        <v>755</v>
      </c>
    </row>
    <row r="89" spans="1:13" ht="25.5" x14ac:dyDescent="0.2">
      <c r="B89" s="4" t="s">
        <v>179</v>
      </c>
      <c r="C89" s="4" t="s">
        <v>699</v>
      </c>
      <c r="D89" s="4" t="s">
        <v>700</v>
      </c>
      <c r="E89" s="4" t="s">
        <v>701</v>
      </c>
      <c r="F89" s="4" t="s">
        <v>702</v>
      </c>
      <c r="G89" s="4" t="s">
        <v>703</v>
      </c>
      <c r="H89" s="4" t="s">
        <v>704</v>
      </c>
      <c r="I89" s="4" t="s">
        <v>705</v>
      </c>
      <c r="J89" s="4" t="s">
        <v>706</v>
      </c>
      <c r="K89" s="4" t="s">
        <v>707</v>
      </c>
      <c r="L89" s="4" t="s">
        <v>708</v>
      </c>
    </row>
    <row r="90" spans="1:13" ht="25.5" x14ac:dyDescent="0.2">
      <c r="A90" s="5" t="s">
        <v>756</v>
      </c>
      <c r="B90" s="25">
        <f t="shared" ref="B90:L90" si="0">B10+$B79/$M68*B68</f>
        <v>16923397</v>
      </c>
      <c r="C90" s="25">
        <f t="shared" si="0"/>
        <v>8095758.3467965545</v>
      </c>
      <c r="D90" s="25">
        <f t="shared" si="0"/>
        <v>7467404.492312232</v>
      </c>
      <c r="E90" s="25">
        <f t="shared" si="0"/>
        <v>11783618.609708093</v>
      </c>
      <c r="F90" s="25">
        <f t="shared" si="0"/>
        <v>16551802.267752638</v>
      </c>
      <c r="G90" s="25">
        <f t="shared" si="0"/>
        <v>0</v>
      </c>
      <c r="H90" s="25">
        <f t="shared" si="0"/>
        <v>23663732.856191173</v>
      </c>
      <c r="I90" s="25">
        <f t="shared" si="0"/>
        <v>16632067.974863064</v>
      </c>
      <c r="J90" s="25">
        <f t="shared" si="0"/>
        <v>8298636.9088076847</v>
      </c>
      <c r="K90" s="25">
        <f t="shared" si="0"/>
        <v>27809494.077299204</v>
      </c>
      <c r="L90" s="25">
        <f t="shared" si="0"/>
        <v>764365.37764794007</v>
      </c>
      <c r="M90" s="6"/>
    </row>
    <row r="92" spans="1:13" ht="16.5" x14ac:dyDescent="0.25">
      <c r="A92" s="3" t="s">
        <v>757</v>
      </c>
    </row>
    <row r="93" spans="1:13" x14ac:dyDescent="0.2">
      <c r="A93" s="10" t="s">
        <v>238</v>
      </c>
    </row>
    <row r="94" spans="1:13" x14ac:dyDescent="0.2">
      <c r="A94" s="11" t="s">
        <v>758</v>
      </c>
    </row>
    <row r="95" spans="1:13" x14ac:dyDescent="0.2">
      <c r="A95" s="11" t="s">
        <v>759</v>
      </c>
    </row>
    <row r="96" spans="1:13" x14ac:dyDescent="0.2">
      <c r="A96" s="10" t="s">
        <v>760</v>
      </c>
    </row>
    <row r="98" spans="1:13" ht="25.5" x14ac:dyDescent="0.2">
      <c r="B98" s="4" t="s">
        <v>179</v>
      </c>
      <c r="C98" s="4" t="s">
        <v>699</v>
      </c>
      <c r="D98" s="4" t="s">
        <v>700</v>
      </c>
      <c r="E98" s="4" t="s">
        <v>701</v>
      </c>
      <c r="F98" s="4" t="s">
        <v>702</v>
      </c>
      <c r="G98" s="4" t="s">
        <v>703</v>
      </c>
      <c r="H98" s="4" t="s">
        <v>704</v>
      </c>
      <c r="I98" s="4" t="s">
        <v>705</v>
      </c>
      <c r="J98" s="4" t="s">
        <v>706</v>
      </c>
      <c r="K98" s="4" t="s">
        <v>707</v>
      </c>
      <c r="L98" s="4" t="s">
        <v>708</v>
      </c>
    </row>
    <row r="99" spans="1:13" x14ac:dyDescent="0.2">
      <c r="A99" s="5" t="s">
        <v>761</v>
      </c>
      <c r="B99" s="22" t="str">
        <f t="shared" ref="B99:L99" si="1">IF(B68="","",IF(B68&gt;0,B90/B68,0))</f>
        <v/>
      </c>
      <c r="C99" s="22">
        <f t="shared" si="1"/>
        <v>2.0845832281306011E-2</v>
      </c>
      <c r="D99" s="22">
        <f t="shared" si="1"/>
        <v>2.0845832281306011E-2</v>
      </c>
      <c r="E99" s="22">
        <f t="shared" si="1"/>
        <v>2.0845832281306011E-2</v>
      </c>
      <c r="F99" s="22">
        <f t="shared" si="1"/>
        <v>2.0845832281306011E-2</v>
      </c>
      <c r="G99" s="22">
        <f t="shared" si="1"/>
        <v>0</v>
      </c>
      <c r="H99" s="22">
        <f t="shared" si="1"/>
        <v>2.0845832281306011E-2</v>
      </c>
      <c r="I99" s="22">
        <f t="shared" si="1"/>
        <v>2.0845832281306011E-2</v>
      </c>
      <c r="J99" s="22">
        <f t="shared" si="1"/>
        <v>2.0845832281306011E-2</v>
      </c>
      <c r="K99" s="22">
        <f t="shared" si="1"/>
        <v>2.0845832281306011E-2</v>
      </c>
      <c r="L99" s="22">
        <f t="shared" si="1"/>
        <v>2.0845832281306011E-2</v>
      </c>
      <c r="M99" s="6"/>
    </row>
    <row r="101" spans="1:13" ht="16.5" x14ac:dyDescent="0.25">
      <c r="A101" s="3" t="s">
        <v>762</v>
      </c>
    </row>
    <row r="102" spans="1:13" x14ac:dyDescent="0.2">
      <c r="A102" s="10" t="s">
        <v>238</v>
      </c>
    </row>
    <row r="103" spans="1:13" x14ac:dyDescent="0.2">
      <c r="A103" s="11" t="s">
        <v>763</v>
      </c>
    </row>
    <row r="104" spans="1:13" x14ac:dyDescent="0.2">
      <c r="A104" s="11" t="s">
        <v>759</v>
      </c>
    </row>
    <row r="105" spans="1:13" x14ac:dyDescent="0.2">
      <c r="A105" s="10" t="s">
        <v>764</v>
      </c>
    </row>
    <row r="107" spans="1:13" ht="25.5" x14ac:dyDescent="0.2">
      <c r="B107" s="4" t="s">
        <v>179</v>
      </c>
      <c r="C107" s="4" t="s">
        <v>699</v>
      </c>
      <c r="D107" s="4" t="s">
        <v>700</v>
      </c>
      <c r="E107" s="4" t="s">
        <v>701</v>
      </c>
      <c r="F107" s="4" t="s">
        <v>702</v>
      </c>
      <c r="G107" s="4" t="s">
        <v>703</v>
      </c>
      <c r="H107" s="4" t="s">
        <v>704</v>
      </c>
      <c r="I107" s="4" t="s">
        <v>705</v>
      </c>
      <c r="J107" s="4" t="s">
        <v>706</v>
      </c>
    </row>
    <row r="108" spans="1:13" ht="25.5" x14ac:dyDescent="0.2">
      <c r="A108" s="5" t="s">
        <v>765</v>
      </c>
      <c r="B108" s="17">
        <f>IF(AMD!B224&gt;0,$B90/AMD!B224,0)</f>
        <v>4.0086426066133782</v>
      </c>
      <c r="C108" s="17">
        <f>IF(AMD!C224&gt;0,$C90/AMD!C224,0)</f>
        <v>1.9366403783758146</v>
      </c>
      <c r="D108" s="17">
        <f>IF(AMD!D224&gt;0,$D90/AMD!D224,0)</f>
        <v>1.7951708659792107</v>
      </c>
      <c r="E108" s="17">
        <f>IF(AMD!E224&gt;0,$E90/AMD!E224,0)</f>
        <v>2.7524565834297512</v>
      </c>
      <c r="F108" s="17">
        <f>IF(AMD!F224&gt;0,$F90/AMD!F224,0)</f>
        <v>3.4284040016044215</v>
      </c>
      <c r="G108" s="17">
        <f>IF(AMD!G224&gt;0,$G90/AMD!G224,0)</f>
        <v>0</v>
      </c>
      <c r="H108" s="17">
        <f>IF(AMD!H224&gt;0,$H90/AMD!H224,0)</f>
        <v>5.0388537099446733</v>
      </c>
      <c r="I108" s="17">
        <f>IF(AMD!I224&gt;0,$I90/AMD!I224,0)</f>
        <v>4.4098404269510603</v>
      </c>
      <c r="J108" s="17">
        <f>IF(AMD!J224&gt;0,$J90/AMD!J224,0)</f>
        <v>2.7464776296633935</v>
      </c>
      <c r="K108" s="6"/>
    </row>
    <row r="110" spans="1:13" ht="16.5" x14ac:dyDescent="0.25">
      <c r="A110" s="3" t="s">
        <v>766</v>
      </c>
    </row>
    <row r="111" spans="1:13" x14ac:dyDescent="0.2">
      <c r="A111" s="10" t="s">
        <v>238</v>
      </c>
    </row>
    <row r="112" spans="1:13" x14ac:dyDescent="0.2">
      <c r="A112" s="11" t="s">
        <v>367</v>
      </c>
    </row>
    <row r="113" spans="1:5" x14ac:dyDescent="0.2">
      <c r="A113" s="11" t="s">
        <v>767</v>
      </c>
    </row>
    <row r="114" spans="1:5" x14ac:dyDescent="0.2">
      <c r="A114" s="11" t="s">
        <v>768</v>
      </c>
    </row>
    <row r="115" spans="1:5" x14ac:dyDescent="0.2">
      <c r="A115" s="11" t="s">
        <v>769</v>
      </c>
    </row>
    <row r="116" spans="1:5" x14ac:dyDescent="0.2">
      <c r="A116" s="18" t="s">
        <v>241</v>
      </c>
      <c r="B116" s="18" t="s">
        <v>371</v>
      </c>
      <c r="C116" s="18"/>
      <c r="D116" s="18" t="s">
        <v>372</v>
      </c>
    </row>
    <row r="117" spans="1:5" x14ac:dyDescent="0.2">
      <c r="A117" s="18" t="s">
        <v>244</v>
      </c>
      <c r="B117" s="18" t="s">
        <v>770</v>
      </c>
      <c r="C117" s="18"/>
      <c r="D117" s="18" t="s">
        <v>425</v>
      </c>
    </row>
    <row r="119" spans="1:5" ht="25.5" x14ac:dyDescent="0.2">
      <c r="B119" s="14" t="s">
        <v>771</v>
      </c>
      <c r="C119" s="14"/>
    </row>
    <row r="120" spans="1:5" ht="51" x14ac:dyDescent="0.2">
      <c r="B120" s="4" t="s">
        <v>707</v>
      </c>
      <c r="C120" s="4" t="s">
        <v>708</v>
      </c>
      <c r="D120" s="4" t="s">
        <v>772</v>
      </c>
    </row>
    <row r="121" spans="1:5" x14ac:dyDescent="0.2">
      <c r="A121" s="5" t="s">
        <v>53</v>
      </c>
      <c r="B121" s="17">
        <f>100/Input!$F$14*$K$99*SM!$B67</f>
        <v>2.6008745262758239</v>
      </c>
      <c r="C121" s="17">
        <f>100/Input!$F$14*$L$99*SM!$C67</f>
        <v>0</v>
      </c>
      <c r="D121" s="17">
        <f t="shared" ref="D121:D148" si="2">SUM($B121:$C121)</f>
        <v>2.6008745262758239</v>
      </c>
      <c r="E121" s="6"/>
    </row>
    <row r="122" spans="1:5" x14ac:dyDescent="0.2">
      <c r="A122" s="5" t="s">
        <v>54</v>
      </c>
      <c r="B122" s="17">
        <f>100/Input!$F$14*$K$99*SM!$B68</f>
        <v>2.6008745262758239</v>
      </c>
      <c r="C122" s="17">
        <f>100/Input!$F$14*$L$99*SM!$C68</f>
        <v>0</v>
      </c>
      <c r="D122" s="17">
        <f t="shared" si="2"/>
        <v>2.6008745262758239</v>
      </c>
      <c r="E122" s="6"/>
    </row>
    <row r="123" spans="1:5" x14ac:dyDescent="0.2">
      <c r="A123" s="5" t="s">
        <v>94</v>
      </c>
      <c r="B123" s="17">
        <f>100/Input!$F$14*$K$99*SM!$B69</f>
        <v>0</v>
      </c>
      <c r="C123" s="17">
        <f>100/Input!$F$14*$L$99*SM!$C69</f>
        <v>0</v>
      </c>
      <c r="D123" s="17">
        <f t="shared" si="2"/>
        <v>0</v>
      </c>
      <c r="E123" s="6"/>
    </row>
    <row r="124" spans="1:5" x14ac:dyDescent="0.2">
      <c r="A124" s="5" t="s">
        <v>55</v>
      </c>
      <c r="B124" s="17">
        <f>100/Input!$F$14*$K$99*SM!$B70</f>
        <v>2.5985900515052696</v>
      </c>
      <c r="C124" s="17">
        <f>100/Input!$F$14*$L$99*SM!$C70</f>
        <v>0</v>
      </c>
      <c r="D124" s="17">
        <f t="shared" si="2"/>
        <v>2.5985900515052696</v>
      </c>
      <c r="E124" s="6"/>
    </row>
    <row r="125" spans="1:5" x14ac:dyDescent="0.2">
      <c r="A125" s="5" t="s">
        <v>56</v>
      </c>
      <c r="B125" s="17">
        <f>100/Input!$F$14*$K$99*SM!$B71</f>
        <v>2.5985900515052696</v>
      </c>
      <c r="C125" s="17">
        <f>100/Input!$F$14*$L$99*SM!$C71</f>
        <v>0</v>
      </c>
      <c r="D125" s="17">
        <f t="shared" si="2"/>
        <v>2.5985900515052696</v>
      </c>
      <c r="E125" s="6"/>
    </row>
    <row r="126" spans="1:5" x14ac:dyDescent="0.2">
      <c r="A126" s="5" t="s">
        <v>95</v>
      </c>
      <c r="B126" s="17">
        <f>100/Input!$F$14*$K$99*SM!$B72</f>
        <v>0</v>
      </c>
      <c r="C126" s="17">
        <f>100/Input!$F$14*$L$99*SM!$C72</f>
        <v>0</v>
      </c>
      <c r="D126" s="17">
        <f t="shared" si="2"/>
        <v>0</v>
      </c>
      <c r="E126" s="6"/>
    </row>
    <row r="127" spans="1:5" x14ac:dyDescent="0.2">
      <c r="A127" s="5" t="s">
        <v>57</v>
      </c>
      <c r="B127" s="17">
        <f>100/Input!$F$14*$K$99*SM!$B73</f>
        <v>10.611719362122869</v>
      </c>
      <c r="C127" s="17">
        <f>100/Input!$F$14*$L$99*SM!$C73</f>
        <v>0</v>
      </c>
      <c r="D127" s="17">
        <f t="shared" si="2"/>
        <v>10.611719362122869</v>
      </c>
      <c r="E127" s="6"/>
    </row>
    <row r="128" spans="1:5" x14ac:dyDescent="0.2">
      <c r="A128" s="5" t="s">
        <v>58</v>
      </c>
      <c r="B128" s="17">
        <f>100/Input!$F$14*$K$99*SM!$B74</f>
        <v>34.941041615624705</v>
      </c>
      <c r="C128" s="17">
        <f>100/Input!$F$14*$L$99*SM!$C74</f>
        <v>0</v>
      </c>
      <c r="D128" s="17">
        <f t="shared" si="2"/>
        <v>34.941041615624705</v>
      </c>
      <c r="E128" s="6"/>
    </row>
    <row r="129" spans="1:5" x14ac:dyDescent="0.2">
      <c r="A129" s="5" t="s">
        <v>72</v>
      </c>
      <c r="B129" s="17">
        <f>100/Input!$F$14*$K$99*SM!$B75</f>
        <v>0</v>
      </c>
      <c r="C129" s="17">
        <f>100/Input!$F$14*$L$99*SM!$C75</f>
        <v>102.60147313251026</v>
      </c>
      <c r="D129" s="17">
        <f t="shared" si="2"/>
        <v>102.60147313251026</v>
      </c>
      <c r="E129" s="6"/>
    </row>
    <row r="130" spans="1:5" x14ac:dyDescent="0.2">
      <c r="A130" s="5" t="s">
        <v>59</v>
      </c>
      <c r="B130" s="17">
        <f>100/Input!$F$14*$K$99*SM!$B76</f>
        <v>11.930669489218699</v>
      </c>
      <c r="C130" s="17">
        <f>100/Input!$F$14*$L$99*SM!$C76</f>
        <v>0</v>
      </c>
      <c r="D130" s="17">
        <f t="shared" si="2"/>
        <v>11.930669489218699</v>
      </c>
      <c r="E130" s="6"/>
    </row>
    <row r="131" spans="1:5" x14ac:dyDescent="0.2">
      <c r="A131" s="5" t="s">
        <v>60</v>
      </c>
      <c r="B131" s="17">
        <f>100/Input!$F$14*$K$99*SM!$B77</f>
        <v>34.941041615624705</v>
      </c>
      <c r="C131" s="17">
        <f>100/Input!$F$14*$L$99*SM!$C77</f>
        <v>0</v>
      </c>
      <c r="D131" s="17">
        <f t="shared" si="2"/>
        <v>34.941041615624705</v>
      </c>
      <c r="E131" s="6"/>
    </row>
    <row r="132" spans="1:5" x14ac:dyDescent="0.2">
      <c r="A132" s="5" t="s">
        <v>73</v>
      </c>
      <c r="B132" s="17">
        <f>100/Input!$F$14*$K$99*SM!$B78</f>
        <v>0</v>
      </c>
      <c r="C132" s="17">
        <f>100/Input!$F$14*$L$99*SM!$C78</f>
        <v>102.60147313251026</v>
      </c>
      <c r="D132" s="17">
        <f t="shared" si="2"/>
        <v>102.60147313251026</v>
      </c>
      <c r="E132" s="6"/>
    </row>
    <row r="133" spans="1:5" x14ac:dyDescent="0.2">
      <c r="A133" s="5" t="s">
        <v>74</v>
      </c>
      <c r="B133" s="17">
        <f>100/Input!$F$14*$K$99*SM!$B79</f>
        <v>0</v>
      </c>
      <c r="C133" s="17">
        <f>100/Input!$F$14*$L$99*SM!$C79</f>
        <v>134.65836535031045</v>
      </c>
      <c r="D133" s="17">
        <f t="shared" si="2"/>
        <v>134.65836535031045</v>
      </c>
      <c r="E133" s="6"/>
    </row>
    <row r="134" spans="1:5" x14ac:dyDescent="0.2">
      <c r="A134" s="5" t="s">
        <v>96</v>
      </c>
      <c r="B134" s="17">
        <f>100/Input!$F$14*$K$99*SM!$B80</f>
        <v>0</v>
      </c>
      <c r="C134" s="17">
        <f>100/Input!$F$14*$L$99*SM!$C80</f>
        <v>0</v>
      </c>
      <c r="D134" s="17">
        <f t="shared" si="2"/>
        <v>0</v>
      </c>
      <c r="E134" s="6"/>
    </row>
    <row r="135" spans="1:5" x14ac:dyDescent="0.2">
      <c r="A135" s="5" t="s">
        <v>97</v>
      </c>
      <c r="B135" s="17">
        <f>100/Input!$F$14*$K$99*SM!$B81</f>
        <v>0</v>
      </c>
      <c r="C135" s="17">
        <f>100/Input!$F$14*$L$99*SM!$C81</f>
        <v>0</v>
      </c>
      <c r="D135" s="17">
        <f t="shared" si="2"/>
        <v>0</v>
      </c>
      <c r="E135" s="6"/>
    </row>
    <row r="136" spans="1:5" x14ac:dyDescent="0.2">
      <c r="A136" s="5" t="s">
        <v>98</v>
      </c>
      <c r="B136" s="17">
        <f>100/Input!$F$14*$K$99*SM!$B82</f>
        <v>0</v>
      </c>
      <c r="C136" s="17">
        <f>100/Input!$F$14*$L$99*SM!$C82</f>
        <v>0</v>
      </c>
      <c r="D136" s="17">
        <f t="shared" si="2"/>
        <v>0</v>
      </c>
      <c r="E136" s="6"/>
    </row>
    <row r="137" spans="1:5" x14ac:dyDescent="0.2">
      <c r="A137" s="5" t="s">
        <v>99</v>
      </c>
      <c r="B137" s="17">
        <f>100/Input!$F$14*$K$99*SM!$B83</f>
        <v>0</v>
      </c>
      <c r="C137" s="17">
        <f>100/Input!$F$14*$L$99*SM!$C83</f>
        <v>0</v>
      </c>
      <c r="D137" s="17">
        <f t="shared" si="2"/>
        <v>0</v>
      </c>
      <c r="E137" s="6"/>
    </row>
    <row r="138" spans="1:5" x14ac:dyDescent="0.2">
      <c r="A138" s="5" t="s">
        <v>100</v>
      </c>
      <c r="B138" s="17">
        <f>100/Input!$F$14*$K$99*SM!$B84</f>
        <v>0</v>
      </c>
      <c r="C138" s="17">
        <f>100/Input!$F$14*$L$99*SM!$C84</f>
        <v>0</v>
      </c>
      <c r="D138" s="17">
        <f t="shared" si="2"/>
        <v>0</v>
      </c>
      <c r="E138" s="6"/>
    </row>
    <row r="139" spans="1:5" x14ac:dyDescent="0.2">
      <c r="A139" s="5" t="s">
        <v>61</v>
      </c>
      <c r="B139" s="17">
        <f>100/Input!$F$14*$K$99*SM!$B85</f>
        <v>0</v>
      </c>
      <c r="C139" s="17">
        <f>100/Input!$F$14*$L$99*SM!$C85</f>
        <v>0</v>
      </c>
      <c r="D139" s="17">
        <f t="shared" si="2"/>
        <v>0</v>
      </c>
      <c r="E139" s="6"/>
    </row>
    <row r="140" spans="1:5" x14ac:dyDescent="0.2">
      <c r="A140" s="5" t="s">
        <v>62</v>
      </c>
      <c r="B140" s="17">
        <f>100/Input!$F$14*$K$99*SM!$B86</f>
        <v>0</v>
      </c>
      <c r="C140" s="17">
        <f>100/Input!$F$14*$L$99*SM!$C86</f>
        <v>0</v>
      </c>
      <c r="D140" s="17">
        <f t="shared" si="2"/>
        <v>0</v>
      </c>
      <c r="E140" s="6"/>
    </row>
    <row r="141" spans="1:5" x14ac:dyDescent="0.2">
      <c r="A141" s="5" t="s">
        <v>63</v>
      </c>
      <c r="B141" s="17">
        <f>100/Input!$F$14*$K$99*SM!$B87</f>
        <v>0</v>
      </c>
      <c r="C141" s="17">
        <f>100/Input!$F$14*$L$99*SM!$C87</f>
        <v>0</v>
      </c>
      <c r="D141" s="17">
        <f t="shared" si="2"/>
        <v>0</v>
      </c>
      <c r="E141" s="6"/>
    </row>
    <row r="142" spans="1:5" x14ac:dyDescent="0.2">
      <c r="A142" s="5" t="s">
        <v>64</v>
      </c>
      <c r="B142" s="17">
        <f>100/Input!$F$14*$K$99*SM!$B88</f>
        <v>0</v>
      </c>
      <c r="C142" s="17">
        <f>100/Input!$F$14*$L$99*SM!$C88</f>
        <v>0</v>
      </c>
      <c r="D142" s="17">
        <f t="shared" si="2"/>
        <v>0</v>
      </c>
      <c r="E142" s="6"/>
    </row>
    <row r="143" spans="1:5" x14ac:dyDescent="0.2">
      <c r="A143" s="5" t="s">
        <v>65</v>
      </c>
      <c r="B143" s="17">
        <f>100/Input!$F$14*$K$99*SM!$B89</f>
        <v>0</v>
      </c>
      <c r="C143" s="17">
        <f>100/Input!$F$14*$L$99*SM!$C89</f>
        <v>0</v>
      </c>
      <c r="D143" s="17">
        <f t="shared" si="2"/>
        <v>0</v>
      </c>
      <c r="E143" s="6"/>
    </row>
    <row r="144" spans="1:5" x14ac:dyDescent="0.2">
      <c r="A144" s="5" t="s">
        <v>66</v>
      </c>
      <c r="B144" s="17">
        <f>100/Input!$F$14*$K$99*SM!$B90</f>
        <v>0</v>
      </c>
      <c r="C144" s="17">
        <f>100/Input!$F$14*$L$99*SM!$C90</f>
        <v>0</v>
      </c>
      <c r="D144" s="17">
        <f t="shared" si="2"/>
        <v>0</v>
      </c>
      <c r="E144" s="6"/>
    </row>
    <row r="145" spans="1:5" x14ac:dyDescent="0.2">
      <c r="A145" s="5" t="s">
        <v>75</v>
      </c>
      <c r="B145" s="17">
        <f>100/Input!$F$14*$K$99*SM!$B91</f>
        <v>0</v>
      </c>
      <c r="C145" s="17">
        <f>100/Input!$F$14*$L$99*SM!$C91</f>
        <v>6.3622622359931222</v>
      </c>
      <c r="D145" s="17">
        <f t="shared" si="2"/>
        <v>6.3622622359931222</v>
      </c>
      <c r="E145" s="6"/>
    </row>
    <row r="146" spans="1:5" x14ac:dyDescent="0.2">
      <c r="A146" s="5" t="s">
        <v>76</v>
      </c>
      <c r="B146" s="17">
        <f>100/Input!$F$14*$K$99*SM!$B92</f>
        <v>0</v>
      </c>
      <c r="C146" s="17">
        <f>100/Input!$F$14*$L$99*SM!$C92</f>
        <v>6.3622622359931222</v>
      </c>
      <c r="D146" s="17">
        <f t="shared" si="2"/>
        <v>6.3622622359931222</v>
      </c>
      <c r="E146" s="6"/>
    </row>
    <row r="147" spans="1:5" x14ac:dyDescent="0.2">
      <c r="A147" s="5" t="s">
        <v>77</v>
      </c>
      <c r="B147" s="17">
        <f>100/Input!$F$14*$K$99*SM!$B93</f>
        <v>0</v>
      </c>
      <c r="C147" s="17">
        <f>100/Input!$F$14*$L$99*SM!$C93</f>
        <v>6.3622622359931222</v>
      </c>
      <c r="D147" s="17">
        <f t="shared" si="2"/>
        <v>6.3622622359931222</v>
      </c>
      <c r="E147" s="6"/>
    </row>
    <row r="148" spans="1:5" x14ac:dyDescent="0.2">
      <c r="A148" s="5" t="s">
        <v>78</v>
      </c>
      <c r="B148" s="17">
        <f>100/Input!$F$14*$K$99*SM!$B94</f>
        <v>0</v>
      </c>
      <c r="C148" s="17">
        <f>100/Input!$F$14*$L$99*SM!$C94</f>
        <v>6.3622622359931222</v>
      </c>
      <c r="D148" s="17">
        <f t="shared" si="2"/>
        <v>6.3622622359931222</v>
      </c>
      <c r="E148" s="6"/>
    </row>
    <row r="150" spans="1:5" ht="16.5" x14ac:dyDescent="0.25">
      <c r="A150" s="3" t="s">
        <v>773</v>
      </c>
    </row>
    <row r="151" spans="1:5" x14ac:dyDescent="0.2">
      <c r="A151" s="10" t="s">
        <v>238</v>
      </c>
    </row>
    <row r="152" spans="1:5" x14ac:dyDescent="0.2">
      <c r="A152" s="11" t="s">
        <v>774</v>
      </c>
    </row>
    <row r="153" spans="1:5" x14ac:dyDescent="0.2">
      <c r="A153" s="11" t="s">
        <v>356</v>
      </c>
    </row>
    <row r="154" spans="1:5" x14ac:dyDescent="0.2">
      <c r="A154" s="10" t="s">
        <v>775</v>
      </c>
    </row>
    <row r="156" spans="1:5" ht="25.5" x14ac:dyDescent="0.2">
      <c r="B156" s="4" t="s">
        <v>707</v>
      </c>
    </row>
    <row r="157" spans="1:5" x14ac:dyDescent="0.2">
      <c r="A157" s="5" t="s">
        <v>96</v>
      </c>
      <c r="B157" s="17">
        <f>0.1*$K$99*SM!$B$33</f>
        <v>1.4498443118306583</v>
      </c>
      <c r="C157" s="6"/>
    </row>
    <row r="158" spans="1:5" x14ac:dyDescent="0.2">
      <c r="A158" s="5" t="s">
        <v>97</v>
      </c>
      <c r="B158" s="17">
        <f>0.1*$K$99*SM!$B$33</f>
        <v>1.4498443118306583</v>
      </c>
      <c r="C158" s="6"/>
    </row>
    <row r="159" spans="1:5" x14ac:dyDescent="0.2">
      <c r="A159" s="5" t="s">
        <v>98</v>
      </c>
      <c r="B159" s="17">
        <f>0.1*$K$99*SM!$B$33</f>
        <v>1.4498443118306583</v>
      </c>
      <c r="C159" s="6"/>
    </row>
    <row r="160" spans="1:5" x14ac:dyDescent="0.2">
      <c r="A160" s="5" t="s">
        <v>99</v>
      </c>
      <c r="B160" s="17">
        <f>0.1*$K$99*SM!$B$33</f>
        <v>1.4498443118306583</v>
      </c>
      <c r="C160" s="6"/>
    </row>
    <row r="161" spans="1:3" x14ac:dyDescent="0.2">
      <c r="A161" s="5" t="s">
        <v>100</v>
      </c>
      <c r="B161" s="17">
        <f>0.1*$K$99*SM!$B$33</f>
        <v>1.4498443118306583</v>
      </c>
      <c r="C161" s="6"/>
    </row>
  </sheetData>
  <sheetProtection sheet="1" objects="1"/>
  <hyperlinks>
    <hyperlink ref="A5" location="'Input'!B242" display="'Input'!B242"/>
    <hyperlink ref="A14" location="'DRM'!B113" display="'DRM'!B113"/>
    <hyperlink ref="A15" location="'AMD'!B224" display="'AMD'!B224"/>
    <hyperlink ref="A16" location="'Input'!B46" display="'Input'!B46"/>
    <hyperlink ref="A24" location="'Multi'!B115" display="'Multi'!B115"/>
    <hyperlink ref="A36" location="'Otex'!B28" display="'Otex'!B28"/>
    <hyperlink ref="A44" location="'SM'!B67" display="'SM'!B67"/>
    <hyperlink ref="A45" location="'Loads'!E298" display="'Loads'!E298"/>
    <hyperlink ref="A46" location="'SM'!B33" display="'SM'!B33"/>
    <hyperlink ref="A47" location="'Otex'!B40" display="'Otex'!B40"/>
    <hyperlink ref="A48" location="'Otex'!D56" display="'Otex'!D56"/>
    <hyperlink ref="A49" location="'Otex'!B56" display="'Otex'!B56"/>
    <hyperlink ref="A50" location="'Otex'!E56" display="'Otex'!E56"/>
    <hyperlink ref="A60" location="'Otex'!B20" display="'Otex'!B20"/>
    <hyperlink ref="A61" location="'Otex'!G56" display="'Otex'!G56"/>
    <hyperlink ref="A62" location="'Otex'!B68" display="'Otex'!B68"/>
    <hyperlink ref="A72" location="'Input'!B247" display="'Input'!B247"/>
    <hyperlink ref="A73" location="'Input'!E247" display="'Input'!E247"/>
    <hyperlink ref="A74" location="'Input'!C247" display="'Input'!C247"/>
    <hyperlink ref="A75" location="'Input'!D247" display="'Input'!D247"/>
    <hyperlink ref="A83" location="'Otex'!B10" display="'Otex'!B10"/>
    <hyperlink ref="A84" location="'Otex'!B79" display="'Otex'!B79"/>
    <hyperlink ref="A85" location="'Otex'!M68" display="'Otex'!M68"/>
    <hyperlink ref="A86" location="'Otex'!B68" display="'Otex'!B68"/>
    <hyperlink ref="A94" location="'Otex'!B68" display="'Otex'!B68"/>
    <hyperlink ref="A95" location="'Otex'!B90" display="'Otex'!B90"/>
    <hyperlink ref="A103" location="'AMD'!B224" display="'AMD'!B224"/>
    <hyperlink ref="A104" location="'Otex'!B90" display="'Otex'!B90"/>
    <hyperlink ref="A112" location="'Input'!F14" display="'Input'!F14"/>
    <hyperlink ref="A113" location="'Otex'!B99" display="'Otex'!B99"/>
    <hyperlink ref="A114" location="'SM'!B67" display="'SM'!B67"/>
    <hyperlink ref="A115" location="'Otex'!B121" display="'Otex'!B121"/>
    <hyperlink ref="A152" location="'Otex'!B99" display="'Otex'!B99"/>
    <hyperlink ref="A153" location="'SM'!B33" display="'SM'!B33"/>
  </hyperlinks>
  <pageMargins left="0.75" right="0.75" top="1" bottom="1" header="0.5" footer="0.5"/>
  <pageSetup paperSize="9" scale="32" fitToHeight="0" orientation="portrait" blackAndWhite="1" r:id="rId1"/>
  <headerFooter alignWithMargins="0">
    <oddHeader>&amp;L&amp;A&amp;Cr6140&amp;R&amp;P of &amp;N</oddHeader>
    <oddFooter>&amp;F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23"/>
  <sheetViews>
    <sheetView showGridLines="0" workbookViewId="0">
      <pane xSplit="1" ySplit="1" topLeftCell="B2" activePane="bottomRight" state="frozen"/>
      <selection pane="topRight"/>
      <selection pane="bottomLeft"/>
      <selection pane="bottomRight"/>
    </sheetView>
  </sheetViews>
  <sheetFormatPr defaultRowHeight="12.75" x14ac:dyDescent="0.2"/>
  <cols>
    <col min="1" max="1" width="50.7109375" customWidth="1"/>
    <col min="2" max="251" width="24.7109375" customWidth="1"/>
  </cols>
  <sheetData>
    <row r="1" spans="1:6" ht="19.5" x14ac:dyDescent="0.3">
      <c r="A1" s="15" t="str">
        <f>"r6140: Customer contributions"&amp;" for "&amp;Input!B7&amp;" in "&amp;Input!C7&amp;" ("&amp;Input!D7&amp;")"</f>
        <v>r6140: Customer contributions for Electricity North West  in 2013/14 (April 2013 Indicative)</v>
      </c>
    </row>
    <row r="2" spans="1:6" x14ac:dyDescent="0.2">
      <c r="A2" s="10" t="s">
        <v>776</v>
      </c>
    </row>
    <row r="4" spans="1:6" ht="16.5" x14ac:dyDescent="0.25">
      <c r="A4" s="3" t="s">
        <v>777</v>
      </c>
    </row>
    <row r="6" spans="1:6" x14ac:dyDescent="0.2">
      <c r="B6" s="4" t="s">
        <v>199</v>
      </c>
      <c r="C6" s="4" t="s">
        <v>200</v>
      </c>
      <c r="D6" s="4" t="s">
        <v>201</v>
      </c>
      <c r="E6" s="4" t="s">
        <v>202</v>
      </c>
    </row>
    <row r="7" spans="1:6" x14ac:dyDescent="0.2">
      <c r="A7" s="5" t="s">
        <v>53</v>
      </c>
      <c r="B7" s="23">
        <v>1</v>
      </c>
      <c r="C7" s="23">
        <v>0</v>
      </c>
      <c r="D7" s="23">
        <v>0</v>
      </c>
      <c r="E7" s="23">
        <v>0</v>
      </c>
      <c r="F7" s="6"/>
    </row>
    <row r="8" spans="1:6" x14ac:dyDescent="0.2">
      <c r="A8" s="5" t="s">
        <v>54</v>
      </c>
      <c r="B8" s="23">
        <v>1</v>
      </c>
      <c r="C8" s="23">
        <v>0</v>
      </c>
      <c r="D8" s="23">
        <v>0</v>
      </c>
      <c r="E8" s="23">
        <v>0</v>
      </c>
      <c r="F8" s="6"/>
    </row>
    <row r="9" spans="1:6" x14ac:dyDescent="0.2">
      <c r="A9" s="5" t="s">
        <v>94</v>
      </c>
      <c r="B9" s="23">
        <v>1</v>
      </c>
      <c r="C9" s="23">
        <v>0</v>
      </c>
      <c r="D9" s="23">
        <v>0</v>
      </c>
      <c r="E9" s="23">
        <v>0</v>
      </c>
      <c r="F9" s="6"/>
    </row>
    <row r="10" spans="1:6" x14ac:dyDescent="0.2">
      <c r="A10" s="5" t="s">
        <v>55</v>
      </c>
      <c r="B10" s="23">
        <v>1</v>
      </c>
      <c r="C10" s="23">
        <v>0</v>
      </c>
      <c r="D10" s="23">
        <v>0</v>
      </c>
      <c r="E10" s="23">
        <v>0</v>
      </c>
      <c r="F10" s="6"/>
    </row>
    <row r="11" spans="1:6" x14ac:dyDescent="0.2">
      <c r="A11" s="5" t="s">
        <v>56</v>
      </c>
      <c r="B11" s="23">
        <v>1</v>
      </c>
      <c r="C11" s="23">
        <v>0</v>
      </c>
      <c r="D11" s="23">
        <v>0</v>
      </c>
      <c r="E11" s="23">
        <v>0</v>
      </c>
      <c r="F11" s="6"/>
    </row>
    <row r="12" spans="1:6" x14ac:dyDescent="0.2">
      <c r="A12" s="5" t="s">
        <v>95</v>
      </c>
      <c r="B12" s="23">
        <v>1</v>
      </c>
      <c r="C12" s="23">
        <v>0</v>
      </c>
      <c r="D12" s="23">
        <v>0</v>
      </c>
      <c r="E12" s="23">
        <v>0</v>
      </c>
      <c r="F12" s="6"/>
    </row>
    <row r="13" spans="1:6" x14ac:dyDescent="0.2">
      <c r="A13" s="5" t="s">
        <v>57</v>
      </c>
      <c r="B13" s="23">
        <v>1</v>
      </c>
      <c r="C13" s="23">
        <v>0</v>
      </c>
      <c r="D13" s="23">
        <v>0</v>
      </c>
      <c r="E13" s="23">
        <v>0</v>
      </c>
      <c r="F13" s="6"/>
    </row>
    <row r="14" spans="1:6" x14ac:dyDescent="0.2">
      <c r="A14" s="5" t="s">
        <v>58</v>
      </c>
      <c r="B14" s="23">
        <v>0</v>
      </c>
      <c r="C14" s="23">
        <v>1</v>
      </c>
      <c r="D14" s="23">
        <v>0</v>
      </c>
      <c r="E14" s="23">
        <v>0</v>
      </c>
      <c r="F14" s="6"/>
    </row>
    <row r="15" spans="1:6" x14ac:dyDescent="0.2">
      <c r="A15" s="5" t="s">
        <v>72</v>
      </c>
      <c r="B15" s="23">
        <v>0</v>
      </c>
      <c r="C15" s="23">
        <v>0</v>
      </c>
      <c r="D15" s="23">
        <v>1</v>
      </c>
      <c r="E15" s="23">
        <v>0</v>
      </c>
      <c r="F15" s="6"/>
    </row>
    <row r="16" spans="1:6" x14ac:dyDescent="0.2">
      <c r="A16" s="5" t="s">
        <v>59</v>
      </c>
      <c r="B16" s="23">
        <v>1</v>
      </c>
      <c r="C16" s="23">
        <v>0</v>
      </c>
      <c r="D16" s="23">
        <v>0</v>
      </c>
      <c r="E16" s="23">
        <v>0</v>
      </c>
      <c r="F16" s="6"/>
    </row>
    <row r="17" spans="1:6" x14ac:dyDescent="0.2">
      <c r="A17" s="5" t="s">
        <v>60</v>
      </c>
      <c r="B17" s="23">
        <v>0</v>
      </c>
      <c r="C17" s="23">
        <v>1</v>
      </c>
      <c r="D17" s="23">
        <v>0</v>
      </c>
      <c r="E17" s="23">
        <v>0</v>
      </c>
      <c r="F17" s="6"/>
    </row>
    <row r="18" spans="1:6" x14ac:dyDescent="0.2">
      <c r="A18" s="5" t="s">
        <v>73</v>
      </c>
      <c r="B18" s="23">
        <v>0</v>
      </c>
      <c r="C18" s="23">
        <v>0</v>
      </c>
      <c r="D18" s="23">
        <v>1</v>
      </c>
      <c r="E18" s="23">
        <v>0</v>
      </c>
      <c r="F18" s="6"/>
    </row>
    <row r="19" spans="1:6" x14ac:dyDescent="0.2">
      <c r="A19" s="5" t="s">
        <v>74</v>
      </c>
      <c r="B19" s="23">
        <v>0</v>
      </c>
      <c r="C19" s="23">
        <v>0</v>
      </c>
      <c r="D19" s="23">
        <v>0</v>
      </c>
      <c r="E19" s="23">
        <v>1</v>
      </c>
      <c r="F19" s="6"/>
    </row>
    <row r="20" spans="1:6" x14ac:dyDescent="0.2">
      <c r="A20" s="5" t="s">
        <v>96</v>
      </c>
      <c r="B20" s="23">
        <v>1</v>
      </c>
      <c r="C20" s="23">
        <v>0</v>
      </c>
      <c r="D20" s="23">
        <v>0</v>
      </c>
      <c r="E20" s="23">
        <v>0</v>
      </c>
      <c r="F20" s="6"/>
    </row>
    <row r="21" spans="1:6" x14ac:dyDescent="0.2">
      <c r="A21" s="5" t="s">
        <v>97</v>
      </c>
      <c r="B21" s="23">
        <v>1</v>
      </c>
      <c r="C21" s="23">
        <v>0</v>
      </c>
      <c r="D21" s="23">
        <v>0</v>
      </c>
      <c r="E21" s="23">
        <v>0</v>
      </c>
      <c r="F21" s="6"/>
    </row>
    <row r="22" spans="1:6" x14ac:dyDescent="0.2">
      <c r="A22" s="5" t="s">
        <v>98</v>
      </c>
      <c r="B22" s="23">
        <v>1</v>
      </c>
      <c r="C22" s="23">
        <v>0</v>
      </c>
      <c r="D22" s="23">
        <v>0</v>
      </c>
      <c r="E22" s="23">
        <v>0</v>
      </c>
      <c r="F22" s="6"/>
    </row>
    <row r="23" spans="1:6" x14ac:dyDescent="0.2">
      <c r="A23" s="5" t="s">
        <v>99</v>
      </c>
      <c r="B23" s="23">
        <v>1</v>
      </c>
      <c r="C23" s="23">
        <v>0</v>
      </c>
      <c r="D23" s="23">
        <v>0</v>
      </c>
      <c r="E23" s="23">
        <v>0</v>
      </c>
      <c r="F23" s="6"/>
    </row>
    <row r="24" spans="1:6" x14ac:dyDescent="0.2">
      <c r="A24" s="5" t="s">
        <v>100</v>
      </c>
      <c r="B24" s="23">
        <v>1</v>
      </c>
      <c r="C24" s="23">
        <v>0</v>
      </c>
      <c r="D24" s="23">
        <v>0</v>
      </c>
      <c r="E24" s="23">
        <v>0</v>
      </c>
      <c r="F24" s="6"/>
    </row>
    <row r="25" spans="1:6" x14ac:dyDescent="0.2">
      <c r="A25" s="5" t="s">
        <v>61</v>
      </c>
      <c r="B25" s="23">
        <v>1</v>
      </c>
      <c r="C25" s="23">
        <v>0</v>
      </c>
      <c r="D25" s="23">
        <v>0</v>
      </c>
      <c r="E25" s="23">
        <v>0</v>
      </c>
      <c r="F25" s="6"/>
    </row>
    <row r="26" spans="1:6" x14ac:dyDescent="0.2">
      <c r="A26" s="5" t="s">
        <v>62</v>
      </c>
      <c r="B26" s="23">
        <v>0</v>
      </c>
      <c r="C26" s="23">
        <v>1</v>
      </c>
      <c r="D26" s="23">
        <v>0</v>
      </c>
      <c r="E26" s="23">
        <v>0</v>
      </c>
      <c r="F26" s="6"/>
    </row>
    <row r="27" spans="1:6" x14ac:dyDescent="0.2">
      <c r="A27" s="5" t="s">
        <v>63</v>
      </c>
      <c r="B27" s="23">
        <v>1</v>
      </c>
      <c r="C27" s="23">
        <v>0</v>
      </c>
      <c r="D27" s="23">
        <v>0</v>
      </c>
      <c r="E27" s="23">
        <v>0</v>
      </c>
      <c r="F27" s="6"/>
    </row>
    <row r="28" spans="1:6" x14ac:dyDescent="0.2">
      <c r="A28" s="5" t="s">
        <v>64</v>
      </c>
      <c r="B28" s="23">
        <v>1</v>
      </c>
      <c r="C28" s="23">
        <v>0</v>
      </c>
      <c r="D28" s="23">
        <v>0</v>
      </c>
      <c r="E28" s="23">
        <v>0</v>
      </c>
      <c r="F28" s="6"/>
    </row>
    <row r="29" spans="1:6" x14ac:dyDescent="0.2">
      <c r="A29" s="5" t="s">
        <v>65</v>
      </c>
      <c r="B29" s="23">
        <v>0</v>
      </c>
      <c r="C29" s="23">
        <v>1</v>
      </c>
      <c r="D29" s="23">
        <v>0</v>
      </c>
      <c r="E29" s="23">
        <v>0</v>
      </c>
      <c r="F29" s="6"/>
    </row>
    <row r="30" spans="1:6" x14ac:dyDescent="0.2">
      <c r="A30" s="5" t="s">
        <v>66</v>
      </c>
      <c r="B30" s="23">
        <v>0</v>
      </c>
      <c r="C30" s="23">
        <v>1</v>
      </c>
      <c r="D30" s="23">
        <v>0</v>
      </c>
      <c r="E30" s="23">
        <v>0</v>
      </c>
      <c r="F30" s="6"/>
    </row>
    <row r="31" spans="1:6" x14ac:dyDescent="0.2">
      <c r="A31" s="5" t="s">
        <v>75</v>
      </c>
      <c r="B31" s="23">
        <v>0</v>
      </c>
      <c r="C31" s="23">
        <v>0</v>
      </c>
      <c r="D31" s="23">
        <v>1</v>
      </c>
      <c r="E31" s="23">
        <v>0</v>
      </c>
      <c r="F31" s="6"/>
    </row>
    <row r="32" spans="1:6" x14ac:dyDescent="0.2">
      <c r="A32" s="5" t="s">
        <v>76</v>
      </c>
      <c r="B32" s="23">
        <v>0</v>
      </c>
      <c r="C32" s="23">
        <v>0</v>
      </c>
      <c r="D32" s="23">
        <v>1</v>
      </c>
      <c r="E32" s="23">
        <v>0</v>
      </c>
      <c r="F32" s="6"/>
    </row>
    <row r="33" spans="1:6" x14ac:dyDescent="0.2">
      <c r="A33" s="5" t="s">
        <v>77</v>
      </c>
      <c r="B33" s="23">
        <v>0</v>
      </c>
      <c r="C33" s="23">
        <v>0</v>
      </c>
      <c r="D33" s="23">
        <v>0</v>
      </c>
      <c r="E33" s="23">
        <v>1</v>
      </c>
      <c r="F33" s="6"/>
    </row>
    <row r="34" spans="1:6" x14ac:dyDescent="0.2">
      <c r="A34" s="5" t="s">
        <v>78</v>
      </c>
      <c r="B34" s="23">
        <v>0</v>
      </c>
      <c r="C34" s="23">
        <v>0</v>
      </c>
      <c r="D34" s="23">
        <v>0</v>
      </c>
      <c r="E34" s="23">
        <v>1</v>
      </c>
      <c r="F34" s="6"/>
    </row>
    <row r="36" spans="1:6" ht="16.5" x14ac:dyDescent="0.25">
      <c r="A36" s="3" t="s">
        <v>778</v>
      </c>
    </row>
    <row r="37" spans="1:6" x14ac:dyDescent="0.2">
      <c r="A37" s="10" t="s">
        <v>238</v>
      </c>
    </row>
    <row r="38" spans="1:6" x14ac:dyDescent="0.2">
      <c r="A38" s="11" t="s">
        <v>779</v>
      </c>
    </row>
    <row r="39" spans="1:6" x14ac:dyDescent="0.2">
      <c r="A39" s="11" t="s">
        <v>780</v>
      </c>
    </row>
    <row r="40" spans="1:6" x14ac:dyDescent="0.2">
      <c r="A40" s="10" t="s">
        <v>781</v>
      </c>
    </row>
    <row r="42" spans="1:6" x14ac:dyDescent="0.2">
      <c r="B42" s="4" t="s">
        <v>199</v>
      </c>
      <c r="C42" s="4" t="s">
        <v>200</v>
      </c>
      <c r="D42" s="4" t="s">
        <v>201</v>
      </c>
      <c r="E42" s="4" t="s">
        <v>202</v>
      </c>
    </row>
    <row r="43" spans="1:6" x14ac:dyDescent="0.2">
      <c r="A43" s="5" t="s">
        <v>338</v>
      </c>
      <c r="B43" s="22">
        <f>Input!$B$255*(1-Input!$D$14)</f>
        <v>0</v>
      </c>
      <c r="C43" s="22">
        <f>Input!$B$256*(1-Input!$D$14)</f>
        <v>0</v>
      </c>
      <c r="D43" s="22">
        <f>Input!$B$257*(1-Input!$D$14)</f>
        <v>0</v>
      </c>
      <c r="E43" s="22">
        <f>Input!$B$258*(1-Input!$D$14)</f>
        <v>0</v>
      </c>
      <c r="F43" s="6"/>
    </row>
    <row r="44" spans="1:6" x14ac:dyDescent="0.2">
      <c r="A44" s="5" t="s">
        <v>339</v>
      </c>
      <c r="B44" s="22">
        <f>Input!$C$255*(1-Input!$D$14)</f>
        <v>0</v>
      </c>
      <c r="C44" s="22">
        <f>Input!$C$256*(1-Input!$D$14)</f>
        <v>0</v>
      </c>
      <c r="D44" s="22">
        <f>Input!$C$257*(1-Input!$D$14)</f>
        <v>0</v>
      </c>
      <c r="E44" s="22">
        <f>Input!$C$258*(1-Input!$D$14)</f>
        <v>0</v>
      </c>
      <c r="F44" s="6"/>
    </row>
    <row r="45" spans="1:6" x14ac:dyDescent="0.2">
      <c r="A45" s="5" t="s">
        <v>340</v>
      </c>
      <c r="B45" s="22">
        <f>Input!$D$255*(1-Input!$D$14)</f>
        <v>0</v>
      </c>
      <c r="C45" s="22">
        <f>Input!$D$256*(1-Input!$D$14)</f>
        <v>0</v>
      </c>
      <c r="D45" s="22">
        <f>Input!$D$257*(1-Input!$D$14)</f>
        <v>0</v>
      </c>
      <c r="E45" s="22">
        <f>Input!$D$258*(1-Input!$D$14)</f>
        <v>0.56999999999999995</v>
      </c>
      <c r="F45" s="6"/>
    </row>
    <row r="46" spans="1:6" x14ac:dyDescent="0.2">
      <c r="A46" s="5" t="s">
        <v>341</v>
      </c>
      <c r="B46" s="22">
        <f>Input!$E$255*(1-Input!$D$14)</f>
        <v>0</v>
      </c>
      <c r="C46" s="22">
        <f>Input!$E$256*(1-Input!$D$14)</f>
        <v>0</v>
      </c>
      <c r="D46" s="22">
        <f>Input!$E$257*(1-Input!$D$14)</f>
        <v>0.56999999999999995</v>
      </c>
      <c r="E46" s="22">
        <f>Input!$E$258*(1-Input!$D$14)</f>
        <v>0.92</v>
      </c>
      <c r="F46" s="6"/>
    </row>
    <row r="47" spans="1:6" x14ac:dyDescent="0.2">
      <c r="A47" s="5" t="s">
        <v>342</v>
      </c>
      <c r="B47" s="22">
        <f>Input!$F$255*(1-Input!$D$14)</f>
        <v>0</v>
      </c>
      <c r="C47" s="22">
        <f>Input!$F$256*(1-Input!$D$14)</f>
        <v>0</v>
      </c>
      <c r="D47" s="22">
        <f>Input!$F$257*(1-Input!$D$14)</f>
        <v>0</v>
      </c>
      <c r="E47" s="22">
        <f>Input!$F$258*(1-Input!$D$14)</f>
        <v>0</v>
      </c>
      <c r="F47" s="6"/>
    </row>
    <row r="48" spans="1:6" x14ac:dyDescent="0.2">
      <c r="A48" s="5" t="s">
        <v>343</v>
      </c>
      <c r="B48" s="22">
        <f>Input!$G$255*(1-Input!$D$14)</f>
        <v>0.3</v>
      </c>
      <c r="C48" s="22">
        <f>Input!$G$256*(1-Input!$D$14)</f>
        <v>0.3</v>
      </c>
      <c r="D48" s="22">
        <f>Input!$G$257*(1-Input!$D$14)</f>
        <v>0.91</v>
      </c>
      <c r="E48" s="22">
        <f>Input!$G$258*(1-Input!$D$14)</f>
        <v>0</v>
      </c>
      <c r="F48" s="6"/>
    </row>
    <row r="49" spans="1:10" x14ac:dyDescent="0.2">
      <c r="A49" s="5" t="s">
        <v>344</v>
      </c>
      <c r="B49" s="22">
        <f>Input!$H$255*(1-Input!$D$14)</f>
        <v>0.3</v>
      </c>
      <c r="C49" s="22">
        <f>Input!$H$256*(1-Input!$D$14)</f>
        <v>0.97</v>
      </c>
      <c r="D49" s="22">
        <f>Input!$H$257*(1-Input!$D$14)</f>
        <v>0</v>
      </c>
      <c r="E49" s="22">
        <f>Input!$H$258*(1-Input!$D$14)</f>
        <v>0</v>
      </c>
      <c r="F49" s="6"/>
    </row>
    <row r="50" spans="1:10" x14ac:dyDescent="0.2">
      <c r="A50" s="5" t="s">
        <v>345</v>
      </c>
      <c r="B50" s="22">
        <f>Input!$I$255*(1-Input!$D$14)</f>
        <v>0.97</v>
      </c>
      <c r="C50" s="22">
        <f>Input!$I$256*(1-Input!$D$14)</f>
        <v>0</v>
      </c>
      <c r="D50" s="22">
        <f>Input!$I$257*(1-Input!$D$14)</f>
        <v>0</v>
      </c>
      <c r="E50" s="22">
        <f>Input!$I$258*(1-Input!$D$14)</f>
        <v>0</v>
      </c>
      <c r="F50" s="6"/>
    </row>
    <row r="52" spans="1:10" ht="16.5" x14ac:dyDescent="0.25">
      <c r="A52" s="3" t="s">
        <v>782</v>
      </c>
    </row>
    <row r="53" spans="1:10" x14ac:dyDescent="0.2">
      <c r="A53" s="10" t="s">
        <v>238</v>
      </c>
    </row>
    <row r="54" spans="1:10" x14ac:dyDescent="0.2">
      <c r="A54" s="11" t="s">
        <v>783</v>
      </c>
    </row>
    <row r="55" spans="1:10" x14ac:dyDescent="0.2">
      <c r="A55" s="11" t="s">
        <v>784</v>
      </c>
    </row>
    <row r="56" spans="1:10" x14ac:dyDescent="0.2">
      <c r="A56" s="10" t="s">
        <v>251</v>
      </c>
    </row>
    <row r="58" spans="1:10" ht="25.5" x14ac:dyDescent="0.2">
      <c r="B58" s="4" t="s">
        <v>191</v>
      </c>
      <c r="C58" s="4" t="s">
        <v>192</v>
      </c>
      <c r="D58" s="4" t="s">
        <v>193</v>
      </c>
      <c r="E58" s="4" t="s">
        <v>194</v>
      </c>
      <c r="F58" s="4" t="s">
        <v>195</v>
      </c>
      <c r="G58" s="4" t="s">
        <v>196</v>
      </c>
      <c r="H58" s="4" t="s">
        <v>197</v>
      </c>
      <c r="I58" s="4" t="s">
        <v>198</v>
      </c>
    </row>
    <row r="59" spans="1:10" x14ac:dyDescent="0.2">
      <c r="A59" s="5" t="s">
        <v>53</v>
      </c>
      <c r="B59" s="22">
        <f t="shared" ref="B59:B86" si="0">SUMPRODUCT($B7:$E7,$B$43:$E$43)</f>
        <v>0</v>
      </c>
      <c r="C59" s="22">
        <f t="shared" ref="C59:C86" si="1">SUMPRODUCT($B7:$E7,$B$44:$E$44)</f>
        <v>0</v>
      </c>
      <c r="D59" s="22">
        <f t="shared" ref="D59:D86" si="2">SUMPRODUCT($B7:$E7,$B$45:$E$45)</f>
        <v>0</v>
      </c>
      <c r="E59" s="22">
        <f t="shared" ref="E59:E86" si="3">SUMPRODUCT($B7:$E7,$B$46:$E$46)</f>
        <v>0</v>
      </c>
      <c r="F59" s="22">
        <f t="shared" ref="F59:F86" si="4">SUMPRODUCT($B7:$E7,$B$47:$E$47)</f>
        <v>0</v>
      </c>
      <c r="G59" s="22">
        <f t="shared" ref="G59:G86" si="5">SUMPRODUCT($B7:$E7,$B$48:$E$48)</f>
        <v>0.3</v>
      </c>
      <c r="H59" s="22">
        <f t="shared" ref="H59:H86" si="6">SUMPRODUCT($B7:$E7,$B$49:$E$49)</f>
        <v>0.3</v>
      </c>
      <c r="I59" s="22">
        <f t="shared" ref="I59:I86" si="7">SUMPRODUCT($B7:$E7,$B$50:$E$50)</f>
        <v>0.97</v>
      </c>
      <c r="J59" s="6"/>
    </row>
    <row r="60" spans="1:10" x14ac:dyDescent="0.2">
      <c r="A60" s="5" t="s">
        <v>54</v>
      </c>
      <c r="B60" s="22">
        <f t="shared" si="0"/>
        <v>0</v>
      </c>
      <c r="C60" s="22">
        <f t="shared" si="1"/>
        <v>0</v>
      </c>
      <c r="D60" s="22">
        <f t="shared" si="2"/>
        <v>0</v>
      </c>
      <c r="E60" s="22">
        <f t="shared" si="3"/>
        <v>0</v>
      </c>
      <c r="F60" s="22">
        <f t="shared" si="4"/>
        <v>0</v>
      </c>
      <c r="G60" s="22">
        <f t="shared" si="5"/>
        <v>0.3</v>
      </c>
      <c r="H60" s="22">
        <f t="shared" si="6"/>
        <v>0.3</v>
      </c>
      <c r="I60" s="22">
        <f t="shared" si="7"/>
        <v>0.97</v>
      </c>
      <c r="J60" s="6"/>
    </row>
    <row r="61" spans="1:10" x14ac:dyDescent="0.2">
      <c r="A61" s="5" t="s">
        <v>94</v>
      </c>
      <c r="B61" s="22">
        <f t="shared" si="0"/>
        <v>0</v>
      </c>
      <c r="C61" s="22">
        <f t="shared" si="1"/>
        <v>0</v>
      </c>
      <c r="D61" s="22">
        <f t="shared" si="2"/>
        <v>0</v>
      </c>
      <c r="E61" s="22">
        <f t="shared" si="3"/>
        <v>0</v>
      </c>
      <c r="F61" s="22">
        <f t="shared" si="4"/>
        <v>0</v>
      </c>
      <c r="G61" s="22">
        <f t="shared" si="5"/>
        <v>0.3</v>
      </c>
      <c r="H61" s="22">
        <f t="shared" si="6"/>
        <v>0.3</v>
      </c>
      <c r="I61" s="22">
        <f t="shared" si="7"/>
        <v>0.97</v>
      </c>
      <c r="J61" s="6"/>
    </row>
    <row r="62" spans="1:10" x14ac:dyDescent="0.2">
      <c r="A62" s="5" t="s">
        <v>55</v>
      </c>
      <c r="B62" s="22">
        <f t="shared" si="0"/>
        <v>0</v>
      </c>
      <c r="C62" s="22">
        <f t="shared" si="1"/>
        <v>0</v>
      </c>
      <c r="D62" s="22">
        <f t="shared" si="2"/>
        <v>0</v>
      </c>
      <c r="E62" s="22">
        <f t="shared" si="3"/>
        <v>0</v>
      </c>
      <c r="F62" s="22">
        <f t="shared" si="4"/>
        <v>0</v>
      </c>
      <c r="G62" s="22">
        <f t="shared" si="5"/>
        <v>0.3</v>
      </c>
      <c r="H62" s="22">
        <f t="shared" si="6"/>
        <v>0.3</v>
      </c>
      <c r="I62" s="22">
        <f t="shared" si="7"/>
        <v>0.97</v>
      </c>
      <c r="J62" s="6"/>
    </row>
    <row r="63" spans="1:10" x14ac:dyDescent="0.2">
      <c r="A63" s="5" t="s">
        <v>56</v>
      </c>
      <c r="B63" s="22">
        <f t="shared" si="0"/>
        <v>0</v>
      </c>
      <c r="C63" s="22">
        <f t="shared" si="1"/>
        <v>0</v>
      </c>
      <c r="D63" s="22">
        <f t="shared" si="2"/>
        <v>0</v>
      </c>
      <c r="E63" s="22">
        <f t="shared" si="3"/>
        <v>0</v>
      </c>
      <c r="F63" s="22">
        <f t="shared" si="4"/>
        <v>0</v>
      </c>
      <c r="G63" s="22">
        <f t="shared" si="5"/>
        <v>0.3</v>
      </c>
      <c r="H63" s="22">
        <f t="shared" si="6"/>
        <v>0.3</v>
      </c>
      <c r="I63" s="22">
        <f t="shared" si="7"/>
        <v>0.97</v>
      </c>
      <c r="J63" s="6"/>
    </row>
    <row r="64" spans="1:10" x14ac:dyDescent="0.2">
      <c r="A64" s="5" t="s">
        <v>95</v>
      </c>
      <c r="B64" s="22">
        <f t="shared" si="0"/>
        <v>0</v>
      </c>
      <c r="C64" s="22">
        <f t="shared" si="1"/>
        <v>0</v>
      </c>
      <c r="D64" s="22">
        <f t="shared" si="2"/>
        <v>0</v>
      </c>
      <c r="E64" s="22">
        <f t="shared" si="3"/>
        <v>0</v>
      </c>
      <c r="F64" s="22">
        <f t="shared" si="4"/>
        <v>0</v>
      </c>
      <c r="G64" s="22">
        <f t="shared" si="5"/>
        <v>0.3</v>
      </c>
      <c r="H64" s="22">
        <f t="shared" si="6"/>
        <v>0.3</v>
      </c>
      <c r="I64" s="22">
        <f t="shared" si="7"/>
        <v>0.97</v>
      </c>
      <c r="J64" s="6"/>
    </row>
    <row r="65" spans="1:10" x14ac:dyDescent="0.2">
      <c r="A65" s="5" t="s">
        <v>57</v>
      </c>
      <c r="B65" s="22">
        <f t="shared" si="0"/>
        <v>0</v>
      </c>
      <c r="C65" s="22">
        <f t="shared" si="1"/>
        <v>0</v>
      </c>
      <c r="D65" s="22">
        <f t="shared" si="2"/>
        <v>0</v>
      </c>
      <c r="E65" s="22">
        <f t="shared" si="3"/>
        <v>0</v>
      </c>
      <c r="F65" s="22">
        <f t="shared" si="4"/>
        <v>0</v>
      </c>
      <c r="G65" s="22">
        <f t="shared" si="5"/>
        <v>0.3</v>
      </c>
      <c r="H65" s="22">
        <f t="shared" si="6"/>
        <v>0.3</v>
      </c>
      <c r="I65" s="22">
        <f t="shared" si="7"/>
        <v>0.97</v>
      </c>
      <c r="J65" s="6"/>
    </row>
    <row r="66" spans="1:10" x14ac:dyDescent="0.2">
      <c r="A66" s="5" t="s">
        <v>58</v>
      </c>
      <c r="B66" s="22">
        <f t="shared" si="0"/>
        <v>0</v>
      </c>
      <c r="C66" s="22">
        <f t="shared" si="1"/>
        <v>0</v>
      </c>
      <c r="D66" s="22">
        <f t="shared" si="2"/>
        <v>0</v>
      </c>
      <c r="E66" s="22">
        <f t="shared" si="3"/>
        <v>0</v>
      </c>
      <c r="F66" s="22">
        <f t="shared" si="4"/>
        <v>0</v>
      </c>
      <c r="G66" s="22">
        <f t="shared" si="5"/>
        <v>0.3</v>
      </c>
      <c r="H66" s="22">
        <f t="shared" si="6"/>
        <v>0.97</v>
      </c>
      <c r="I66" s="22">
        <f t="shared" si="7"/>
        <v>0</v>
      </c>
      <c r="J66" s="6"/>
    </row>
    <row r="67" spans="1:10" x14ac:dyDescent="0.2">
      <c r="A67" s="5" t="s">
        <v>72</v>
      </c>
      <c r="B67" s="22">
        <f t="shared" si="0"/>
        <v>0</v>
      </c>
      <c r="C67" s="22">
        <f t="shared" si="1"/>
        <v>0</v>
      </c>
      <c r="D67" s="22">
        <f t="shared" si="2"/>
        <v>0</v>
      </c>
      <c r="E67" s="22">
        <f t="shared" si="3"/>
        <v>0.56999999999999995</v>
      </c>
      <c r="F67" s="22">
        <f t="shared" si="4"/>
        <v>0</v>
      </c>
      <c r="G67" s="22">
        <f t="shared" si="5"/>
        <v>0.91</v>
      </c>
      <c r="H67" s="22">
        <f t="shared" si="6"/>
        <v>0</v>
      </c>
      <c r="I67" s="22">
        <f t="shared" si="7"/>
        <v>0</v>
      </c>
      <c r="J67" s="6"/>
    </row>
    <row r="68" spans="1:10" x14ac:dyDescent="0.2">
      <c r="A68" s="5" t="s">
        <v>59</v>
      </c>
      <c r="B68" s="22">
        <f t="shared" si="0"/>
        <v>0</v>
      </c>
      <c r="C68" s="22">
        <f t="shared" si="1"/>
        <v>0</v>
      </c>
      <c r="D68" s="22">
        <f t="shared" si="2"/>
        <v>0</v>
      </c>
      <c r="E68" s="22">
        <f t="shared" si="3"/>
        <v>0</v>
      </c>
      <c r="F68" s="22">
        <f t="shared" si="4"/>
        <v>0</v>
      </c>
      <c r="G68" s="22">
        <f t="shared" si="5"/>
        <v>0.3</v>
      </c>
      <c r="H68" s="22">
        <f t="shared" si="6"/>
        <v>0.3</v>
      </c>
      <c r="I68" s="22">
        <f t="shared" si="7"/>
        <v>0.97</v>
      </c>
      <c r="J68" s="6"/>
    </row>
    <row r="69" spans="1:10" x14ac:dyDescent="0.2">
      <c r="A69" s="5" t="s">
        <v>60</v>
      </c>
      <c r="B69" s="22">
        <f t="shared" si="0"/>
        <v>0</v>
      </c>
      <c r="C69" s="22">
        <f t="shared" si="1"/>
        <v>0</v>
      </c>
      <c r="D69" s="22">
        <f t="shared" si="2"/>
        <v>0</v>
      </c>
      <c r="E69" s="22">
        <f t="shared" si="3"/>
        <v>0</v>
      </c>
      <c r="F69" s="22">
        <f t="shared" si="4"/>
        <v>0</v>
      </c>
      <c r="G69" s="22">
        <f t="shared" si="5"/>
        <v>0.3</v>
      </c>
      <c r="H69" s="22">
        <f t="shared" si="6"/>
        <v>0.97</v>
      </c>
      <c r="I69" s="22">
        <f t="shared" si="7"/>
        <v>0</v>
      </c>
      <c r="J69" s="6"/>
    </row>
    <row r="70" spans="1:10" x14ac:dyDescent="0.2">
      <c r="A70" s="5" t="s">
        <v>73</v>
      </c>
      <c r="B70" s="22">
        <f t="shared" si="0"/>
        <v>0</v>
      </c>
      <c r="C70" s="22">
        <f t="shared" si="1"/>
        <v>0</v>
      </c>
      <c r="D70" s="22">
        <f t="shared" si="2"/>
        <v>0</v>
      </c>
      <c r="E70" s="22">
        <f t="shared" si="3"/>
        <v>0.56999999999999995</v>
      </c>
      <c r="F70" s="22">
        <f t="shared" si="4"/>
        <v>0</v>
      </c>
      <c r="G70" s="22">
        <f t="shared" si="5"/>
        <v>0.91</v>
      </c>
      <c r="H70" s="22">
        <f t="shared" si="6"/>
        <v>0</v>
      </c>
      <c r="I70" s="22">
        <f t="shared" si="7"/>
        <v>0</v>
      </c>
      <c r="J70" s="6"/>
    </row>
    <row r="71" spans="1:10" x14ac:dyDescent="0.2">
      <c r="A71" s="5" t="s">
        <v>74</v>
      </c>
      <c r="B71" s="22">
        <f t="shared" si="0"/>
        <v>0</v>
      </c>
      <c r="C71" s="22">
        <f t="shared" si="1"/>
        <v>0</v>
      </c>
      <c r="D71" s="22">
        <f t="shared" si="2"/>
        <v>0.56999999999999995</v>
      </c>
      <c r="E71" s="22">
        <f t="shared" si="3"/>
        <v>0.92</v>
      </c>
      <c r="F71" s="22">
        <f t="shared" si="4"/>
        <v>0</v>
      </c>
      <c r="G71" s="22">
        <f t="shared" si="5"/>
        <v>0</v>
      </c>
      <c r="H71" s="22">
        <f t="shared" si="6"/>
        <v>0</v>
      </c>
      <c r="I71" s="22">
        <f t="shared" si="7"/>
        <v>0</v>
      </c>
      <c r="J71" s="6"/>
    </row>
    <row r="72" spans="1:10" x14ac:dyDescent="0.2">
      <c r="A72" s="5" t="s">
        <v>96</v>
      </c>
      <c r="B72" s="22">
        <f t="shared" si="0"/>
        <v>0</v>
      </c>
      <c r="C72" s="22">
        <f t="shared" si="1"/>
        <v>0</v>
      </c>
      <c r="D72" s="22">
        <f t="shared" si="2"/>
        <v>0</v>
      </c>
      <c r="E72" s="22">
        <f t="shared" si="3"/>
        <v>0</v>
      </c>
      <c r="F72" s="22">
        <f t="shared" si="4"/>
        <v>0</v>
      </c>
      <c r="G72" s="22">
        <f t="shared" si="5"/>
        <v>0.3</v>
      </c>
      <c r="H72" s="22">
        <f t="shared" si="6"/>
        <v>0.3</v>
      </c>
      <c r="I72" s="22">
        <f t="shared" si="7"/>
        <v>0.97</v>
      </c>
      <c r="J72" s="6"/>
    </row>
    <row r="73" spans="1:10" x14ac:dyDescent="0.2">
      <c r="A73" s="5" t="s">
        <v>97</v>
      </c>
      <c r="B73" s="22">
        <f t="shared" si="0"/>
        <v>0</v>
      </c>
      <c r="C73" s="22">
        <f t="shared" si="1"/>
        <v>0</v>
      </c>
      <c r="D73" s="22">
        <f t="shared" si="2"/>
        <v>0</v>
      </c>
      <c r="E73" s="22">
        <f t="shared" si="3"/>
        <v>0</v>
      </c>
      <c r="F73" s="22">
        <f t="shared" si="4"/>
        <v>0</v>
      </c>
      <c r="G73" s="22">
        <f t="shared" si="5"/>
        <v>0.3</v>
      </c>
      <c r="H73" s="22">
        <f t="shared" si="6"/>
        <v>0.3</v>
      </c>
      <c r="I73" s="22">
        <f t="shared" si="7"/>
        <v>0.97</v>
      </c>
      <c r="J73" s="6"/>
    </row>
    <row r="74" spans="1:10" x14ac:dyDescent="0.2">
      <c r="A74" s="5" t="s">
        <v>98</v>
      </c>
      <c r="B74" s="22">
        <f t="shared" si="0"/>
        <v>0</v>
      </c>
      <c r="C74" s="22">
        <f t="shared" si="1"/>
        <v>0</v>
      </c>
      <c r="D74" s="22">
        <f t="shared" si="2"/>
        <v>0</v>
      </c>
      <c r="E74" s="22">
        <f t="shared" si="3"/>
        <v>0</v>
      </c>
      <c r="F74" s="22">
        <f t="shared" si="4"/>
        <v>0</v>
      </c>
      <c r="G74" s="22">
        <f t="shared" si="5"/>
        <v>0.3</v>
      </c>
      <c r="H74" s="22">
        <f t="shared" si="6"/>
        <v>0.3</v>
      </c>
      <c r="I74" s="22">
        <f t="shared" si="7"/>
        <v>0.97</v>
      </c>
      <c r="J74" s="6"/>
    </row>
    <row r="75" spans="1:10" x14ac:dyDescent="0.2">
      <c r="A75" s="5" t="s">
        <v>99</v>
      </c>
      <c r="B75" s="22">
        <f t="shared" si="0"/>
        <v>0</v>
      </c>
      <c r="C75" s="22">
        <f t="shared" si="1"/>
        <v>0</v>
      </c>
      <c r="D75" s="22">
        <f t="shared" si="2"/>
        <v>0</v>
      </c>
      <c r="E75" s="22">
        <f t="shared" si="3"/>
        <v>0</v>
      </c>
      <c r="F75" s="22">
        <f t="shared" si="4"/>
        <v>0</v>
      </c>
      <c r="G75" s="22">
        <f t="shared" si="5"/>
        <v>0.3</v>
      </c>
      <c r="H75" s="22">
        <f t="shared" si="6"/>
        <v>0.3</v>
      </c>
      <c r="I75" s="22">
        <f t="shared" si="7"/>
        <v>0.97</v>
      </c>
      <c r="J75" s="6"/>
    </row>
    <row r="76" spans="1:10" x14ac:dyDescent="0.2">
      <c r="A76" s="5" t="s">
        <v>100</v>
      </c>
      <c r="B76" s="22">
        <f t="shared" si="0"/>
        <v>0</v>
      </c>
      <c r="C76" s="22">
        <f t="shared" si="1"/>
        <v>0</v>
      </c>
      <c r="D76" s="22">
        <f t="shared" si="2"/>
        <v>0</v>
      </c>
      <c r="E76" s="22">
        <f t="shared" si="3"/>
        <v>0</v>
      </c>
      <c r="F76" s="22">
        <f t="shared" si="4"/>
        <v>0</v>
      </c>
      <c r="G76" s="22">
        <f t="shared" si="5"/>
        <v>0.3</v>
      </c>
      <c r="H76" s="22">
        <f t="shared" si="6"/>
        <v>0.3</v>
      </c>
      <c r="I76" s="22">
        <f t="shared" si="7"/>
        <v>0.97</v>
      </c>
      <c r="J76" s="6"/>
    </row>
    <row r="77" spans="1:10" x14ac:dyDescent="0.2">
      <c r="A77" s="5" t="s">
        <v>61</v>
      </c>
      <c r="B77" s="22">
        <f t="shared" si="0"/>
        <v>0</v>
      </c>
      <c r="C77" s="22">
        <f t="shared" si="1"/>
        <v>0</v>
      </c>
      <c r="D77" s="22">
        <f t="shared" si="2"/>
        <v>0</v>
      </c>
      <c r="E77" s="22">
        <f t="shared" si="3"/>
        <v>0</v>
      </c>
      <c r="F77" s="22">
        <f t="shared" si="4"/>
        <v>0</v>
      </c>
      <c r="G77" s="22">
        <f t="shared" si="5"/>
        <v>0.3</v>
      </c>
      <c r="H77" s="22">
        <f t="shared" si="6"/>
        <v>0.3</v>
      </c>
      <c r="I77" s="22">
        <f t="shared" si="7"/>
        <v>0.97</v>
      </c>
      <c r="J77" s="6"/>
    </row>
    <row r="78" spans="1:10" x14ac:dyDescent="0.2">
      <c r="A78" s="5" t="s">
        <v>62</v>
      </c>
      <c r="B78" s="22">
        <f t="shared" si="0"/>
        <v>0</v>
      </c>
      <c r="C78" s="22">
        <f t="shared" si="1"/>
        <v>0</v>
      </c>
      <c r="D78" s="22">
        <f t="shared" si="2"/>
        <v>0</v>
      </c>
      <c r="E78" s="22">
        <f t="shared" si="3"/>
        <v>0</v>
      </c>
      <c r="F78" s="22">
        <f t="shared" si="4"/>
        <v>0</v>
      </c>
      <c r="G78" s="22">
        <f t="shared" si="5"/>
        <v>0.3</v>
      </c>
      <c r="H78" s="22">
        <f t="shared" si="6"/>
        <v>0.97</v>
      </c>
      <c r="I78" s="22">
        <f t="shared" si="7"/>
        <v>0</v>
      </c>
      <c r="J78" s="6"/>
    </row>
    <row r="79" spans="1:10" x14ac:dyDescent="0.2">
      <c r="A79" s="5" t="s">
        <v>63</v>
      </c>
      <c r="B79" s="22">
        <f t="shared" si="0"/>
        <v>0</v>
      </c>
      <c r="C79" s="22">
        <f t="shared" si="1"/>
        <v>0</v>
      </c>
      <c r="D79" s="22">
        <f t="shared" si="2"/>
        <v>0</v>
      </c>
      <c r="E79" s="22">
        <f t="shared" si="3"/>
        <v>0</v>
      </c>
      <c r="F79" s="22">
        <f t="shared" si="4"/>
        <v>0</v>
      </c>
      <c r="G79" s="22">
        <f t="shared" si="5"/>
        <v>0.3</v>
      </c>
      <c r="H79" s="22">
        <f t="shared" si="6"/>
        <v>0.3</v>
      </c>
      <c r="I79" s="22">
        <f t="shared" si="7"/>
        <v>0.97</v>
      </c>
      <c r="J79" s="6"/>
    </row>
    <row r="80" spans="1:10" x14ac:dyDescent="0.2">
      <c r="A80" s="5" t="s">
        <v>64</v>
      </c>
      <c r="B80" s="22">
        <f t="shared" si="0"/>
        <v>0</v>
      </c>
      <c r="C80" s="22">
        <f t="shared" si="1"/>
        <v>0</v>
      </c>
      <c r="D80" s="22">
        <f t="shared" si="2"/>
        <v>0</v>
      </c>
      <c r="E80" s="22">
        <f t="shared" si="3"/>
        <v>0</v>
      </c>
      <c r="F80" s="22">
        <f t="shared" si="4"/>
        <v>0</v>
      </c>
      <c r="G80" s="22">
        <f t="shared" si="5"/>
        <v>0.3</v>
      </c>
      <c r="H80" s="22">
        <f t="shared" si="6"/>
        <v>0.3</v>
      </c>
      <c r="I80" s="22">
        <f t="shared" si="7"/>
        <v>0.97</v>
      </c>
      <c r="J80" s="6"/>
    </row>
    <row r="81" spans="1:20" x14ac:dyDescent="0.2">
      <c r="A81" s="5" t="s">
        <v>65</v>
      </c>
      <c r="B81" s="22">
        <f t="shared" si="0"/>
        <v>0</v>
      </c>
      <c r="C81" s="22">
        <f t="shared" si="1"/>
        <v>0</v>
      </c>
      <c r="D81" s="22">
        <f t="shared" si="2"/>
        <v>0</v>
      </c>
      <c r="E81" s="22">
        <f t="shared" si="3"/>
        <v>0</v>
      </c>
      <c r="F81" s="22">
        <f t="shared" si="4"/>
        <v>0</v>
      </c>
      <c r="G81" s="22">
        <f t="shared" si="5"/>
        <v>0.3</v>
      </c>
      <c r="H81" s="22">
        <f t="shared" si="6"/>
        <v>0.97</v>
      </c>
      <c r="I81" s="22">
        <f t="shared" si="7"/>
        <v>0</v>
      </c>
      <c r="J81" s="6"/>
    </row>
    <row r="82" spans="1:20" x14ac:dyDescent="0.2">
      <c r="A82" s="5" t="s">
        <v>66</v>
      </c>
      <c r="B82" s="22">
        <f t="shared" si="0"/>
        <v>0</v>
      </c>
      <c r="C82" s="22">
        <f t="shared" si="1"/>
        <v>0</v>
      </c>
      <c r="D82" s="22">
        <f t="shared" si="2"/>
        <v>0</v>
      </c>
      <c r="E82" s="22">
        <f t="shared" si="3"/>
        <v>0</v>
      </c>
      <c r="F82" s="22">
        <f t="shared" si="4"/>
        <v>0</v>
      </c>
      <c r="G82" s="22">
        <f t="shared" si="5"/>
        <v>0.3</v>
      </c>
      <c r="H82" s="22">
        <f t="shared" si="6"/>
        <v>0.97</v>
      </c>
      <c r="I82" s="22">
        <f t="shared" si="7"/>
        <v>0</v>
      </c>
      <c r="J82" s="6"/>
    </row>
    <row r="83" spans="1:20" x14ac:dyDescent="0.2">
      <c r="A83" s="5" t="s">
        <v>75</v>
      </c>
      <c r="B83" s="22">
        <f t="shared" si="0"/>
        <v>0</v>
      </c>
      <c r="C83" s="22">
        <f t="shared" si="1"/>
        <v>0</v>
      </c>
      <c r="D83" s="22">
        <f t="shared" si="2"/>
        <v>0</v>
      </c>
      <c r="E83" s="22">
        <f t="shared" si="3"/>
        <v>0.56999999999999995</v>
      </c>
      <c r="F83" s="22">
        <f t="shared" si="4"/>
        <v>0</v>
      </c>
      <c r="G83" s="22">
        <f t="shared" si="5"/>
        <v>0.91</v>
      </c>
      <c r="H83" s="22">
        <f t="shared" si="6"/>
        <v>0</v>
      </c>
      <c r="I83" s="22">
        <f t="shared" si="7"/>
        <v>0</v>
      </c>
      <c r="J83" s="6"/>
    </row>
    <row r="84" spans="1:20" x14ac:dyDescent="0.2">
      <c r="A84" s="5" t="s">
        <v>76</v>
      </c>
      <c r="B84" s="22">
        <f t="shared" si="0"/>
        <v>0</v>
      </c>
      <c r="C84" s="22">
        <f t="shared" si="1"/>
        <v>0</v>
      </c>
      <c r="D84" s="22">
        <f t="shared" si="2"/>
        <v>0</v>
      </c>
      <c r="E84" s="22">
        <f t="shared" si="3"/>
        <v>0.56999999999999995</v>
      </c>
      <c r="F84" s="22">
        <f t="shared" si="4"/>
        <v>0</v>
      </c>
      <c r="G84" s="22">
        <f t="shared" si="5"/>
        <v>0.91</v>
      </c>
      <c r="H84" s="22">
        <f t="shared" si="6"/>
        <v>0</v>
      </c>
      <c r="I84" s="22">
        <f t="shared" si="7"/>
        <v>0</v>
      </c>
      <c r="J84" s="6"/>
    </row>
    <row r="85" spans="1:20" x14ac:dyDescent="0.2">
      <c r="A85" s="5" t="s">
        <v>77</v>
      </c>
      <c r="B85" s="22">
        <f t="shared" si="0"/>
        <v>0</v>
      </c>
      <c r="C85" s="22">
        <f t="shared" si="1"/>
        <v>0</v>
      </c>
      <c r="D85" s="22">
        <f t="shared" si="2"/>
        <v>0.56999999999999995</v>
      </c>
      <c r="E85" s="22">
        <f t="shared" si="3"/>
        <v>0.92</v>
      </c>
      <c r="F85" s="22">
        <f t="shared" si="4"/>
        <v>0</v>
      </c>
      <c r="G85" s="22">
        <f t="shared" si="5"/>
        <v>0</v>
      </c>
      <c r="H85" s="22">
        <f t="shared" si="6"/>
        <v>0</v>
      </c>
      <c r="I85" s="22">
        <f t="shared" si="7"/>
        <v>0</v>
      </c>
      <c r="J85" s="6"/>
    </row>
    <row r="86" spans="1:20" x14ac:dyDescent="0.2">
      <c r="A86" s="5" t="s">
        <v>78</v>
      </c>
      <c r="B86" s="22">
        <f t="shared" si="0"/>
        <v>0</v>
      </c>
      <c r="C86" s="22">
        <f t="shared" si="1"/>
        <v>0</v>
      </c>
      <c r="D86" s="22">
        <f t="shared" si="2"/>
        <v>0.56999999999999995</v>
      </c>
      <c r="E86" s="22">
        <f t="shared" si="3"/>
        <v>0.92</v>
      </c>
      <c r="F86" s="22">
        <f t="shared" si="4"/>
        <v>0</v>
      </c>
      <c r="G86" s="22">
        <f t="shared" si="5"/>
        <v>0</v>
      </c>
      <c r="H86" s="22">
        <f t="shared" si="6"/>
        <v>0</v>
      </c>
      <c r="I86" s="22">
        <f t="shared" si="7"/>
        <v>0</v>
      </c>
      <c r="J86" s="6"/>
    </row>
    <row r="88" spans="1:20" ht="16.5" x14ac:dyDescent="0.25">
      <c r="A88" s="3" t="s">
        <v>785</v>
      </c>
    </row>
    <row r="89" spans="1:20" x14ac:dyDescent="0.2">
      <c r="A89" s="10" t="s">
        <v>238</v>
      </c>
    </row>
    <row r="90" spans="1:20" x14ac:dyDescent="0.2">
      <c r="A90" s="10" t="s">
        <v>786</v>
      </c>
    </row>
    <row r="91" spans="1:20" x14ac:dyDescent="0.2">
      <c r="A91" s="10" t="s">
        <v>787</v>
      </c>
    </row>
    <row r="92" spans="1:20" x14ac:dyDescent="0.2">
      <c r="A92" s="11" t="s">
        <v>788</v>
      </c>
    </row>
    <row r="93" spans="1:20" x14ac:dyDescent="0.2">
      <c r="A93" s="10" t="s">
        <v>281</v>
      </c>
    </row>
    <row r="95" spans="1:20" ht="25.5" x14ac:dyDescent="0.2">
      <c r="B95" s="4" t="s">
        <v>21</v>
      </c>
      <c r="C95" s="4" t="s">
        <v>191</v>
      </c>
      <c r="D95" s="4" t="s">
        <v>192</v>
      </c>
      <c r="E95" s="4" t="s">
        <v>193</v>
      </c>
      <c r="F95" s="4" t="s">
        <v>194</v>
      </c>
      <c r="G95" s="4" t="s">
        <v>195</v>
      </c>
      <c r="H95" s="4" t="s">
        <v>196</v>
      </c>
      <c r="I95" s="4" t="s">
        <v>197</v>
      </c>
      <c r="J95" s="4" t="s">
        <v>198</v>
      </c>
      <c r="K95" s="4" t="s">
        <v>179</v>
      </c>
      <c r="L95" s="4" t="s">
        <v>699</v>
      </c>
      <c r="M95" s="4" t="s">
        <v>700</v>
      </c>
      <c r="N95" s="4" t="s">
        <v>701</v>
      </c>
      <c r="O95" s="4" t="s">
        <v>702</v>
      </c>
      <c r="P95" s="4" t="s">
        <v>703</v>
      </c>
      <c r="Q95" s="4" t="s">
        <v>704</v>
      </c>
      <c r="R95" s="4" t="s">
        <v>705</v>
      </c>
      <c r="S95" s="4" t="s">
        <v>706</v>
      </c>
    </row>
    <row r="96" spans="1:20" x14ac:dyDescent="0.2">
      <c r="A96" s="5" t="s">
        <v>53</v>
      </c>
      <c r="B96" s="23">
        <v>0</v>
      </c>
      <c r="C96" s="24">
        <f t="shared" ref="C96:C123" si="8">$B59</f>
        <v>0</v>
      </c>
      <c r="D96" s="24">
        <f t="shared" ref="D96:D123" si="9">$C59</f>
        <v>0</v>
      </c>
      <c r="E96" s="24">
        <f t="shared" ref="E96:E123" si="10">$D59</f>
        <v>0</v>
      </c>
      <c r="F96" s="24">
        <f t="shared" ref="F96:F123" si="11">$E59</f>
        <v>0</v>
      </c>
      <c r="G96" s="24">
        <f t="shared" ref="G96:G123" si="12">$F59</f>
        <v>0</v>
      </c>
      <c r="H96" s="24">
        <f t="shared" ref="H96:H123" si="13">$G59</f>
        <v>0.3</v>
      </c>
      <c r="I96" s="24">
        <f t="shared" ref="I96:I123" si="14">$H59</f>
        <v>0.3</v>
      </c>
      <c r="J96" s="24">
        <f t="shared" ref="J96:J123" si="15">$I59</f>
        <v>0.97</v>
      </c>
      <c r="K96" s="23">
        <v>0</v>
      </c>
      <c r="L96" s="23">
        <v>0</v>
      </c>
      <c r="M96" s="23">
        <v>0</v>
      </c>
      <c r="N96" s="23">
        <v>0</v>
      </c>
      <c r="O96" s="23">
        <v>0</v>
      </c>
      <c r="P96" s="23">
        <v>0</v>
      </c>
      <c r="Q96" s="23">
        <v>0</v>
      </c>
      <c r="R96" s="23">
        <v>0</v>
      </c>
      <c r="S96" s="23">
        <v>0</v>
      </c>
      <c r="T96" s="6"/>
    </row>
    <row r="97" spans="1:20" x14ac:dyDescent="0.2">
      <c r="A97" s="5" t="s">
        <v>54</v>
      </c>
      <c r="B97" s="23">
        <v>0</v>
      </c>
      <c r="C97" s="24">
        <f t="shared" si="8"/>
        <v>0</v>
      </c>
      <c r="D97" s="24">
        <f t="shared" si="9"/>
        <v>0</v>
      </c>
      <c r="E97" s="24">
        <f t="shared" si="10"/>
        <v>0</v>
      </c>
      <c r="F97" s="24">
        <f t="shared" si="11"/>
        <v>0</v>
      </c>
      <c r="G97" s="24">
        <f t="shared" si="12"/>
        <v>0</v>
      </c>
      <c r="H97" s="24">
        <f t="shared" si="13"/>
        <v>0.3</v>
      </c>
      <c r="I97" s="24">
        <f t="shared" si="14"/>
        <v>0.3</v>
      </c>
      <c r="J97" s="24">
        <f t="shared" si="15"/>
        <v>0.97</v>
      </c>
      <c r="K97" s="23">
        <v>0</v>
      </c>
      <c r="L97" s="23">
        <v>0</v>
      </c>
      <c r="M97" s="23">
        <v>0</v>
      </c>
      <c r="N97" s="23">
        <v>0</v>
      </c>
      <c r="O97" s="23">
        <v>0</v>
      </c>
      <c r="P97" s="23">
        <v>0</v>
      </c>
      <c r="Q97" s="23">
        <v>0</v>
      </c>
      <c r="R97" s="23">
        <v>0</v>
      </c>
      <c r="S97" s="23">
        <v>0</v>
      </c>
      <c r="T97" s="6"/>
    </row>
    <row r="98" spans="1:20" x14ac:dyDescent="0.2">
      <c r="A98" s="5" t="s">
        <v>94</v>
      </c>
      <c r="B98" s="23">
        <v>0</v>
      </c>
      <c r="C98" s="24">
        <f t="shared" si="8"/>
        <v>0</v>
      </c>
      <c r="D98" s="24">
        <f t="shared" si="9"/>
        <v>0</v>
      </c>
      <c r="E98" s="24">
        <f t="shared" si="10"/>
        <v>0</v>
      </c>
      <c r="F98" s="24">
        <f t="shared" si="11"/>
        <v>0</v>
      </c>
      <c r="G98" s="24">
        <f t="shared" si="12"/>
        <v>0</v>
      </c>
      <c r="H98" s="24">
        <f t="shared" si="13"/>
        <v>0.3</v>
      </c>
      <c r="I98" s="24">
        <f t="shared" si="14"/>
        <v>0.3</v>
      </c>
      <c r="J98" s="24">
        <f t="shared" si="15"/>
        <v>0.97</v>
      </c>
      <c r="K98" s="23">
        <v>0</v>
      </c>
      <c r="L98" s="23">
        <v>0</v>
      </c>
      <c r="M98" s="23">
        <v>0</v>
      </c>
      <c r="N98" s="23">
        <v>0</v>
      </c>
      <c r="O98" s="23">
        <v>0</v>
      </c>
      <c r="P98" s="23">
        <v>0</v>
      </c>
      <c r="Q98" s="23">
        <v>0</v>
      </c>
      <c r="R98" s="23">
        <v>0</v>
      </c>
      <c r="S98" s="23">
        <v>0</v>
      </c>
      <c r="T98" s="6"/>
    </row>
    <row r="99" spans="1:20" x14ac:dyDescent="0.2">
      <c r="A99" s="5" t="s">
        <v>55</v>
      </c>
      <c r="B99" s="23">
        <v>0</v>
      </c>
      <c r="C99" s="24">
        <f t="shared" si="8"/>
        <v>0</v>
      </c>
      <c r="D99" s="24">
        <f t="shared" si="9"/>
        <v>0</v>
      </c>
      <c r="E99" s="24">
        <f t="shared" si="10"/>
        <v>0</v>
      </c>
      <c r="F99" s="24">
        <f t="shared" si="11"/>
        <v>0</v>
      </c>
      <c r="G99" s="24">
        <f t="shared" si="12"/>
        <v>0</v>
      </c>
      <c r="H99" s="24">
        <f t="shared" si="13"/>
        <v>0.3</v>
      </c>
      <c r="I99" s="24">
        <f t="shared" si="14"/>
        <v>0.3</v>
      </c>
      <c r="J99" s="24">
        <f t="shared" si="15"/>
        <v>0.97</v>
      </c>
      <c r="K99" s="23">
        <v>0</v>
      </c>
      <c r="L99" s="23">
        <v>0</v>
      </c>
      <c r="M99" s="23">
        <v>0</v>
      </c>
      <c r="N99" s="23">
        <v>0</v>
      </c>
      <c r="O99" s="23">
        <v>0</v>
      </c>
      <c r="P99" s="23">
        <v>0</v>
      </c>
      <c r="Q99" s="23">
        <v>0</v>
      </c>
      <c r="R99" s="23">
        <v>0</v>
      </c>
      <c r="S99" s="23">
        <v>0</v>
      </c>
      <c r="T99" s="6"/>
    </row>
    <row r="100" spans="1:20" x14ac:dyDescent="0.2">
      <c r="A100" s="5" t="s">
        <v>56</v>
      </c>
      <c r="B100" s="23">
        <v>0</v>
      </c>
      <c r="C100" s="24">
        <f t="shared" si="8"/>
        <v>0</v>
      </c>
      <c r="D100" s="24">
        <f t="shared" si="9"/>
        <v>0</v>
      </c>
      <c r="E100" s="24">
        <f t="shared" si="10"/>
        <v>0</v>
      </c>
      <c r="F100" s="24">
        <f t="shared" si="11"/>
        <v>0</v>
      </c>
      <c r="G100" s="24">
        <f t="shared" si="12"/>
        <v>0</v>
      </c>
      <c r="H100" s="24">
        <f t="shared" si="13"/>
        <v>0.3</v>
      </c>
      <c r="I100" s="24">
        <f t="shared" si="14"/>
        <v>0.3</v>
      </c>
      <c r="J100" s="24">
        <f t="shared" si="15"/>
        <v>0.97</v>
      </c>
      <c r="K100" s="23">
        <v>0</v>
      </c>
      <c r="L100" s="23">
        <v>0</v>
      </c>
      <c r="M100" s="23">
        <v>0</v>
      </c>
      <c r="N100" s="23">
        <v>0</v>
      </c>
      <c r="O100" s="23">
        <v>0</v>
      </c>
      <c r="P100" s="23">
        <v>0</v>
      </c>
      <c r="Q100" s="23">
        <v>0</v>
      </c>
      <c r="R100" s="23">
        <v>0</v>
      </c>
      <c r="S100" s="23">
        <v>0</v>
      </c>
      <c r="T100" s="6"/>
    </row>
    <row r="101" spans="1:20" x14ac:dyDescent="0.2">
      <c r="A101" s="5" t="s">
        <v>95</v>
      </c>
      <c r="B101" s="23">
        <v>0</v>
      </c>
      <c r="C101" s="24">
        <f t="shared" si="8"/>
        <v>0</v>
      </c>
      <c r="D101" s="24">
        <f t="shared" si="9"/>
        <v>0</v>
      </c>
      <c r="E101" s="24">
        <f t="shared" si="10"/>
        <v>0</v>
      </c>
      <c r="F101" s="24">
        <f t="shared" si="11"/>
        <v>0</v>
      </c>
      <c r="G101" s="24">
        <f t="shared" si="12"/>
        <v>0</v>
      </c>
      <c r="H101" s="24">
        <f t="shared" si="13"/>
        <v>0.3</v>
      </c>
      <c r="I101" s="24">
        <f t="shared" si="14"/>
        <v>0.3</v>
      </c>
      <c r="J101" s="24">
        <f t="shared" si="15"/>
        <v>0.97</v>
      </c>
      <c r="K101" s="23">
        <v>0</v>
      </c>
      <c r="L101" s="23">
        <v>0</v>
      </c>
      <c r="M101" s="23">
        <v>0</v>
      </c>
      <c r="N101" s="23">
        <v>0</v>
      </c>
      <c r="O101" s="23">
        <v>0</v>
      </c>
      <c r="P101" s="23">
        <v>0</v>
      </c>
      <c r="Q101" s="23">
        <v>0</v>
      </c>
      <c r="R101" s="23">
        <v>0</v>
      </c>
      <c r="S101" s="23">
        <v>0</v>
      </c>
      <c r="T101" s="6"/>
    </row>
    <row r="102" spans="1:20" x14ac:dyDescent="0.2">
      <c r="A102" s="5" t="s">
        <v>57</v>
      </c>
      <c r="B102" s="23">
        <v>0</v>
      </c>
      <c r="C102" s="24">
        <f t="shared" si="8"/>
        <v>0</v>
      </c>
      <c r="D102" s="24">
        <f t="shared" si="9"/>
        <v>0</v>
      </c>
      <c r="E102" s="24">
        <f t="shared" si="10"/>
        <v>0</v>
      </c>
      <c r="F102" s="24">
        <f t="shared" si="11"/>
        <v>0</v>
      </c>
      <c r="G102" s="24">
        <f t="shared" si="12"/>
        <v>0</v>
      </c>
      <c r="H102" s="24">
        <f t="shared" si="13"/>
        <v>0.3</v>
      </c>
      <c r="I102" s="24">
        <f t="shared" si="14"/>
        <v>0.3</v>
      </c>
      <c r="J102" s="24">
        <f t="shared" si="15"/>
        <v>0.97</v>
      </c>
      <c r="K102" s="23">
        <v>0</v>
      </c>
      <c r="L102" s="23">
        <v>0</v>
      </c>
      <c r="M102" s="23">
        <v>0</v>
      </c>
      <c r="N102" s="23">
        <v>0</v>
      </c>
      <c r="O102" s="23">
        <v>0</v>
      </c>
      <c r="P102" s="23">
        <v>0</v>
      </c>
      <c r="Q102" s="23">
        <v>0</v>
      </c>
      <c r="R102" s="23">
        <v>0</v>
      </c>
      <c r="S102" s="23">
        <v>0</v>
      </c>
      <c r="T102" s="6"/>
    </row>
    <row r="103" spans="1:20" x14ac:dyDescent="0.2">
      <c r="A103" s="5" t="s">
        <v>58</v>
      </c>
      <c r="B103" s="23">
        <v>0</v>
      </c>
      <c r="C103" s="24">
        <f t="shared" si="8"/>
        <v>0</v>
      </c>
      <c r="D103" s="24">
        <f t="shared" si="9"/>
        <v>0</v>
      </c>
      <c r="E103" s="24">
        <f t="shared" si="10"/>
        <v>0</v>
      </c>
      <c r="F103" s="24">
        <f t="shared" si="11"/>
        <v>0</v>
      </c>
      <c r="G103" s="24">
        <f t="shared" si="12"/>
        <v>0</v>
      </c>
      <c r="H103" s="24">
        <f t="shared" si="13"/>
        <v>0.3</v>
      </c>
      <c r="I103" s="24">
        <f t="shared" si="14"/>
        <v>0.97</v>
      </c>
      <c r="J103" s="24">
        <f t="shared" si="15"/>
        <v>0</v>
      </c>
      <c r="K103" s="23">
        <v>0</v>
      </c>
      <c r="L103" s="23">
        <v>0</v>
      </c>
      <c r="M103" s="23">
        <v>0</v>
      </c>
      <c r="N103" s="23">
        <v>0</v>
      </c>
      <c r="O103" s="23">
        <v>0</v>
      </c>
      <c r="P103" s="23">
        <v>0</v>
      </c>
      <c r="Q103" s="23">
        <v>0</v>
      </c>
      <c r="R103" s="23">
        <v>0</v>
      </c>
      <c r="S103" s="23">
        <v>0</v>
      </c>
      <c r="T103" s="6"/>
    </row>
    <row r="104" spans="1:20" x14ac:dyDescent="0.2">
      <c r="A104" s="5" t="s">
        <v>72</v>
      </c>
      <c r="B104" s="23">
        <v>0</v>
      </c>
      <c r="C104" s="24">
        <f t="shared" si="8"/>
        <v>0</v>
      </c>
      <c r="D104" s="24">
        <f t="shared" si="9"/>
        <v>0</v>
      </c>
      <c r="E104" s="24">
        <f t="shared" si="10"/>
        <v>0</v>
      </c>
      <c r="F104" s="24">
        <f t="shared" si="11"/>
        <v>0.56999999999999995</v>
      </c>
      <c r="G104" s="24">
        <f t="shared" si="12"/>
        <v>0</v>
      </c>
      <c r="H104" s="24">
        <f t="shared" si="13"/>
        <v>0.91</v>
      </c>
      <c r="I104" s="24">
        <f t="shared" si="14"/>
        <v>0</v>
      </c>
      <c r="J104" s="24">
        <f t="shared" si="15"/>
        <v>0</v>
      </c>
      <c r="K104" s="23">
        <v>0</v>
      </c>
      <c r="L104" s="23">
        <v>0</v>
      </c>
      <c r="M104" s="23">
        <v>0</v>
      </c>
      <c r="N104" s="23">
        <v>0</v>
      </c>
      <c r="O104" s="23">
        <v>0</v>
      </c>
      <c r="P104" s="23">
        <v>0</v>
      </c>
      <c r="Q104" s="23">
        <v>0</v>
      </c>
      <c r="R104" s="23">
        <v>0</v>
      </c>
      <c r="S104" s="23">
        <v>0</v>
      </c>
      <c r="T104" s="6"/>
    </row>
    <row r="105" spans="1:20" x14ac:dyDescent="0.2">
      <c r="A105" s="5" t="s">
        <v>59</v>
      </c>
      <c r="B105" s="23">
        <v>0</v>
      </c>
      <c r="C105" s="24">
        <f t="shared" si="8"/>
        <v>0</v>
      </c>
      <c r="D105" s="24">
        <f t="shared" si="9"/>
        <v>0</v>
      </c>
      <c r="E105" s="24">
        <f t="shared" si="10"/>
        <v>0</v>
      </c>
      <c r="F105" s="24">
        <f t="shared" si="11"/>
        <v>0</v>
      </c>
      <c r="G105" s="24">
        <f t="shared" si="12"/>
        <v>0</v>
      </c>
      <c r="H105" s="24">
        <f t="shared" si="13"/>
        <v>0.3</v>
      </c>
      <c r="I105" s="24">
        <f t="shared" si="14"/>
        <v>0.3</v>
      </c>
      <c r="J105" s="24">
        <f t="shared" si="15"/>
        <v>0.97</v>
      </c>
      <c r="K105" s="23">
        <v>0</v>
      </c>
      <c r="L105" s="23">
        <v>0</v>
      </c>
      <c r="M105" s="23">
        <v>0</v>
      </c>
      <c r="N105" s="23">
        <v>0</v>
      </c>
      <c r="O105" s="23">
        <v>0</v>
      </c>
      <c r="P105" s="23">
        <v>0</v>
      </c>
      <c r="Q105" s="23">
        <v>0</v>
      </c>
      <c r="R105" s="23">
        <v>0</v>
      </c>
      <c r="S105" s="23">
        <v>0</v>
      </c>
      <c r="T105" s="6"/>
    </row>
    <row r="106" spans="1:20" x14ac:dyDescent="0.2">
      <c r="A106" s="5" t="s">
        <v>60</v>
      </c>
      <c r="B106" s="23">
        <v>0</v>
      </c>
      <c r="C106" s="24">
        <f t="shared" si="8"/>
        <v>0</v>
      </c>
      <c r="D106" s="24">
        <f t="shared" si="9"/>
        <v>0</v>
      </c>
      <c r="E106" s="24">
        <f t="shared" si="10"/>
        <v>0</v>
      </c>
      <c r="F106" s="24">
        <f t="shared" si="11"/>
        <v>0</v>
      </c>
      <c r="G106" s="24">
        <f t="shared" si="12"/>
        <v>0</v>
      </c>
      <c r="H106" s="24">
        <f t="shared" si="13"/>
        <v>0.3</v>
      </c>
      <c r="I106" s="24">
        <f t="shared" si="14"/>
        <v>0.97</v>
      </c>
      <c r="J106" s="24">
        <f t="shared" si="15"/>
        <v>0</v>
      </c>
      <c r="K106" s="23">
        <v>0</v>
      </c>
      <c r="L106" s="23">
        <v>0</v>
      </c>
      <c r="M106" s="23">
        <v>0</v>
      </c>
      <c r="N106" s="23">
        <v>0</v>
      </c>
      <c r="O106" s="23">
        <v>0</v>
      </c>
      <c r="P106" s="23">
        <v>0</v>
      </c>
      <c r="Q106" s="23">
        <v>0</v>
      </c>
      <c r="R106" s="23">
        <v>0</v>
      </c>
      <c r="S106" s="23">
        <v>0</v>
      </c>
      <c r="T106" s="6"/>
    </row>
    <row r="107" spans="1:20" x14ac:dyDescent="0.2">
      <c r="A107" s="5" t="s">
        <v>73</v>
      </c>
      <c r="B107" s="23">
        <v>0</v>
      </c>
      <c r="C107" s="24">
        <f t="shared" si="8"/>
        <v>0</v>
      </c>
      <c r="D107" s="24">
        <f t="shared" si="9"/>
        <v>0</v>
      </c>
      <c r="E107" s="24">
        <f t="shared" si="10"/>
        <v>0</v>
      </c>
      <c r="F107" s="24">
        <f t="shared" si="11"/>
        <v>0.56999999999999995</v>
      </c>
      <c r="G107" s="24">
        <f t="shared" si="12"/>
        <v>0</v>
      </c>
      <c r="H107" s="24">
        <f t="shared" si="13"/>
        <v>0.91</v>
      </c>
      <c r="I107" s="24">
        <f t="shared" si="14"/>
        <v>0</v>
      </c>
      <c r="J107" s="24">
        <f t="shared" si="15"/>
        <v>0</v>
      </c>
      <c r="K107" s="23">
        <v>0</v>
      </c>
      <c r="L107" s="23">
        <v>0</v>
      </c>
      <c r="M107" s="23">
        <v>0</v>
      </c>
      <c r="N107" s="23">
        <v>0</v>
      </c>
      <c r="O107" s="23">
        <v>0</v>
      </c>
      <c r="P107" s="23">
        <v>0</v>
      </c>
      <c r="Q107" s="23">
        <v>0</v>
      </c>
      <c r="R107" s="23">
        <v>0</v>
      </c>
      <c r="S107" s="23">
        <v>0</v>
      </c>
      <c r="T107" s="6"/>
    </row>
    <row r="108" spans="1:20" x14ac:dyDescent="0.2">
      <c r="A108" s="5" t="s">
        <v>74</v>
      </c>
      <c r="B108" s="23">
        <v>0</v>
      </c>
      <c r="C108" s="24">
        <f t="shared" si="8"/>
        <v>0</v>
      </c>
      <c r="D108" s="24">
        <f t="shared" si="9"/>
        <v>0</v>
      </c>
      <c r="E108" s="24">
        <f t="shared" si="10"/>
        <v>0.56999999999999995</v>
      </c>
      <c r="F108" s="24">
        <f t="shared" si="11"/>
        <v>0.92</v>
      </c>
      <c r="G108" s="24">
        <f t="shared" si="12"/>
        <v>0</v>
      </c>
      <c r="H108" s="24">
        <f t="shared" si="13"/>
        <v>0</v>
      </c>
      <c r="I108" s="24">
        <f t="shared" si="14"/>
        <v>0</v>
      </c>
      <c r="J108" s="24">
        <f t="shared" si="15"/>
        <v>0</v>
      </c>
      <c r="K108" s="23">
        <v>0</v>
      </c>
      <c r="L108" s="23">
        <v>0</v>
      </c>
      <c r="M108" s="23">
        <v>0</v>
      </c>
      <c r="N108" s="23">
        <v>0</v>
      </c>
      <c r="O108" s="23">
        <v>0</v>
      </c>
      <c r="P108" s="23">
        <v>0</v>
      </c>
      <c r="Q108" s="23">
        <v>0</v>
      </c>
      <c r="R108" s="23">
        <v>0</v>
      </c>
      <c r="S108" s="23">
        <v>0</v>
      </c>
      <c r="T108" s="6"/>
    </row>
    <row r="109" spans="1:20" x14ac:dyDescent="0.2">
      <c r="A109" s="5" t="s">
        <v>96</v>
      </c>
      <c r="B109" s="23">
        <v>0</v>
      </c>
      <c r="C109" s="24">
        <f t="shared" si="8"/>
        <v>0</v>
      </c>
      <c r="D109" s="24">
        <f t="shared" si="9"/>
        <v>0</v>
      </c>
      <c r="E109" s="24">
        <f t="shared" si="10"/>
        <v>0</v>
      </c>
      <c r="F109" s="24">
        <f t="shared" si="11"/>
        <v>0</v>
      </c>
      <c r="G109" s="24">
        <f t="shared" si="12"/>
        <v>0</v>
      </c>
      <c r="H109" s="24">
        <f t="shared" si="13"/>
        <v>0.3</v>
      </c>
      <c r="I109" s="24">
        <f t="shared" si="14"/>
        <v>0.3</v>
      </c>
      <c r="J109" s="24">
        <f t="shared" si="15"/>
        <v>0.97</v>
      </c>
      <c r="K109" s="23">
        <v>0</v>
      </c>
      <c r="L109" s="23">
        <v>0</v>
      </c>
      <c r="M109" s="23">
        <v>0</v>
      </c>
      <c r="N109" s="23">
        <v>0</v>
      </c>
      <c r="O109" s="23">
        <v>0</v>
      </c>
      <c r="P109" s="23">
        <v>0</v>
      </c>
      <c r="Q109" s="23">
        <v>0</v>
      </c>
      <c r="R109" s="23">
        <v>0</v>
      </c>
      <c r="S109" s="23">
        <v>0</v>
      </c>
      <c r="T109" s="6"/>
    </row>
    <row r="110" spans="1:20" x14ac:dyDescent="0.2">
      <c r="A110" s="5" t="s">
        <v>97</v>
      </c>
      <c r="B110" s="23">
        <v>0</v>
      </c>
      <c r="C110" s="24">
        <f t="shared" si="8"/>
        <v>0</v>
      </c>
      <c r="D110" s="24">
        <f t="shared" si="9"/>
        <v>0</v>
      </c>
      <c r="E110" s="24">
        <f t="shared" si="10"/>
        <v>0</v>
      </c>
      <c r="F110" s="24">
        <f t="shared" si="11"/>
        <v>0</v>
      </c>
      <c r="G110" s="24">
        <f t="shared" si="12"/>
        <v>0</v>
      </c>
      <c r="H110" s="24">
        <f t="shared" si="13"/>
        <v>0.3</v>
      </c>
      <c r="I110" s="24">
        <f t="shared" si="14"/>
        <v>0.3</v>
      </c>
      <c r="J110" s="24">
        <f t="shared" si="15"/>
        <v>0.97</v>
      </c>
      <c r="K110" s="23">
        <v>0</v>
      </c>
      <c r="L110" s="23">
        <v>0</v>
      </c>
      <c r="M110" s="23">
        <v>0</v>
      </c>
      <c r="N110" s="23">
        <v>0</v>
      </c>
      <c r="O110" s="23">
        <v>0</v>
      </c>
      <c r="P110" s="23">
        <v>0</v>
      </c>
      <c r="Q110" s="23">
        <v>0</v>
      </c>
      <c r="R110" s="23">
        <v>0</v>
      </c>
      <c r="S110" s="23">
        <v>0</v>
      </c>
      <c r="T110" s="6"/>
    </row>
    <row r="111" spans="1:20" x14ac:dyDescent="0.2">
      <c r="A111" s="5" t="s">
        <v>98</v>
      </c>
      <c r="B111" s="23">
        <v>0</v>
      </c>
      <c r="C111" s="24">
        <f t="shared" si="8"/>
        <v>0</v>
      </c>
      <c r="D111" s="24">
        <f t="shared" si="9"/>
        <v>0</v>
      </c>
      <c r="E111" s="24">
        <f t="shared" si="10"/>
        <v>0</v>
      </c>
      <c r="F111" s="24">
        <f t="shared" si="11"/>
        <v>0</v>
      </c>
      <c r="G111" s="24">
        <f t="shared" si="12"/>
        <v>0</v>
      </c>
      <c r="H111" s="24">
        <f t="shared" si="13"/>
        <v>0.3</v>
      </c>
      <c r="I111" s="24">
        <f t="shared" si="14"/>
        <v>0.3</v>
      </c>
      <c r="J111" s="24">
        <f t="shared" si="15"/>
        <v>0.97</v>
      </c>
      <c r="K111" s="23">
        <v>0</v>
      </c>
      <c r="L111" s="23">
        <v>0</v>
      </c>
      <c r="M111" s="23">
        <v>0</v>
      </c>
      <c r="N111" s="23">
        <v>0</v>
      </c>
      <c r="O111" s="23">
        <v>0</v>
      </c>
      <c r="P111" s="23">
        <v>0</v>
      </c>
      <c r="Q111" s="23">
        <v>0</v>
      </c>
      <c r="R111" s="23">
        <v>0</v>
      </c>
      <c r="S111" s="23">
        <v>0</v>
      </c>
      <c r="T111" s="6"/>
    </row>
    <row r="112" spans="1:20" x14ac:dyDescent="0.2">
      <c r="A112" s="5" t="s">
        <v>99</v>
      </c>
      <c r="B112" s="23">
        <v>0</v>
      </c>
      <c r="C112" s="24">
        <f t="shared" si="8"/>
        <v>0</v>
      </c>
      <c r="D112" s="24">
        <f t="shared" si="9"/>
        <v>0</v>
      </c>
      <c r="E112" s="24">
        <f t="shared" si="10"/>
        <v>0</v>
      </c>
      <c r="F112" s="24">
        <f t="shared" si="11"/>
        <v>0</v>
      </c>
      <c r="G112" s="24">
        <f t="shared" si="12"/>
        <v>0</v>
      </c>
      <c r="H112" s="24">
        <f t="shared" si="13"/>
        <v>0.3</v>
      </c>
      <c r="I112" s="24">
        <f t="shared" si="14"/>
        <v>0.3</v>
      </c>
      <c r="J112" s="24">
        <f t="shared" si="15"/>
        <v>0.97</v>
      </c>
      <c r="K112" s="23">
        <v>0</v>
      </c>
      <c r="L112" s="23">
        <v>0</v>
      </c>
      <c r="M112" s="23">
        <v>0</v>
      </c>
      <c r="N112" s="23">
        <v>0</v>
      </c>
      <c r="O112" s="23">
        <v>0</v>
      </c>
      <c r="P112" s="23">
        <v>0</v>
      </c>
      <c r="Q112" s="23">
        <v>0</v>
      </c>
      <c r="R112" s="23">
        <v>0</v>
      </c>
      <c r="S112" s="23">
        <v>0</v>
      </c>
      <c r="T112" s="6"/>
    </row>
    <row r="113" spans="1:20" x14ac:dyDescent="0.2">
      <c r="A113" s="5" t="s">
        <v>100</v>
      </c>
      <c r="B113" s="23">
        <v>0</v>
      </c>
      <c r="C113" s="24">
        <f t="shared" si="8"/>
        <v>0</v>
      </c>
      <c r="D113" s="24">
        <f t="shared" si="9"/>
        <v>0</v>
      </c>
      <c r="E113" s="24">
        <f t="shared" si="10"/>
        <v>0</v>
      </c>
      <c r="F113" s="24">
        <f t="shared" si="11"/>
        <v>0</v>
      </c>
      <c r="G113" s="24">
        <f t="shared" si="12"/>
        <v>0</v>
      </c>
      <c r="H113" s="24">
        <f t="shared" si="13"/>
        <v>0.3</v>
      </c>
      <c r="I113" s="24">
        <f t="shared" si="14"/>
        <v>0.3</v>
      </c>
      <c r="J113" s="24">
        <f t="shared" si="15"/>
        <v>0.97</v>
      </c>
      <c r="K113" s="23">
        <v>0</v>
      </c>
      <c r="L113" s="23">
        <v>0</v>
      </c>
      <c r="M113" s="23">
        <v>0</v>
      </c>
      <c r="N113" s="23">
        <v>0</v>
      </c>
      <c r="O113" s="23">
        <v>0</v>
      </c>
      <c r="P113" s="23">
        <v>0</v>
      </c>
      <c r="Q113" s="23">
        <v>0</v>
      </c>
      <c r="R113" s="23">
        <v>0</v>
      </c>
      <c r="S113" s="23">
        <v>0</v>
      </c>
      <c r="T113" s="6"/>
    </row>
    <row r="114" spans="1:20" x14ac:dyDescent="0.2">
      <c r="A114" s="5" t="s">
        <v>61</v>
      </c>
      <c r="B114" s="23">
        <v>0</v>
      </c>
      <c r="C114" s="24">
        <f t="shared" si="8"/>
        <v>0</v>
      </c>
      <c r="D114" s="24">
        <f t="shared" si="9"/>
        <v>0</v>
      </c>
      <c r="E114" s="24">
        <f t="shared" si="10"/>
        <v>0</v>
      </c>
      <c r="F114" s="24">
        <f t="shared" si="11"/>
        <v>0</v>
      </c>
      <c r="G114" s="24">
        <f t="shared" si="12"/>
        <v>0</v>
      </c>
      <c r="H114" s="24">
        <f t="shared" si="13"/>
        <v>0.3</v>
      </c>
      <c r="I114" s="24">
        <f t="shared" si="14"/>
        <v>0.3</v>
      </c>
      <c r="J114" s="24">
        <f t="shared" si="15"/>
        <v>0.97</v>
      </c>
      <c r="K114" s="23">
        <v>0</v>
      </c>
      <c r="L114" s="23">
        <v>0</v>
      </c>
      <c r="M114" s="23">
        <v>0</v>
      </c>
      <c r="N114" s="23">
        <v>0</v>
      </c>
      <c r="O114" s="23">
        <v>0</v>
      </c>
      <c r="P114" s="23">
        <v>0</v>
      </c>
      <c r="Q114" s="23">
        <v>0</v>
      </c>
      <c r="R114" s="23">
        <v>0</v>
      </c>
      <c r="S114" s="23">
        <v>0</v>
      </c>
      <c r="T114" s="6"/>
    </row>
    <row r="115" spans="1:20" x14ac:dyDescent="0.2">
      <c r="A115" s="5" t="s">
        <v>62</v>
      </c>
      <c r="B115" s="23">
        <v>0</v>
      </c>
      <c r="C115" s="24">
        <f t="shared" si="8"/>
        <v>0</v>
      </c>
      <c r="D115" s="24">
        <f t="shared" si="9"/>
        <v>0</v>
      </c>
      <c r="E115" s="24">
        <f t="shared" si="10"/>
        <v>0</v>
      </c>
      <c r="F115" s="24">
        <f t="shared" si="11"/>
        <v>0</v>
      </c>
      <c r="G115" s="24">
        <f t="shared" si="12"/>
        <v>0</v>
      </c>
      <c r="H115" s="24">
        <f t="shared" si="13"/>
        <v>0.3</v>
      </c>
      <c r="I115" s="24">
        <f t="shared" si="14"/>
        <v>0.97</v>
      </c>
      <c r="J115" s="24">
        <f t="shared" si="15"/>
        <v>0</v>
      </c>
      <c r="K115" s="23">
        <v>0</v>
      </c>
      <c r="L115" s="23">
        <v>0</v>
      </c>
      <c r="M115" s="23">
        <v>0</v>
      </c>
      <c r="N115" s="23">
        <v>0</v>
      </c>
      <c r="O115" s="23">
        <v>0</v>
      </c>
      <c r="P115" s="23">
        <v>0</v>
      </c>
      <c r="Q115" s="23">
        <v>0</v>
      </c>
      <c r="R115" s="23">
        <v>0</v>
      </c>
      <c r="S115" s="23">
        <v>0</v>
      </c>
      <c r="T115" s="6"/>
    </row>
    <row r="116" spans="1:20" x14ac:dyDescent="0.2">
      <c r="A116" s="5" t="s">
        <v>63</v>
      </c>
      <c r="B116" s="23">
        <v>0</v>
      </c>
      <c r="C116" s="24">
        <f t="shared" si="8"/>
        <v>0</v>
      </c>
      <c r="D116" s="24">
        <f t="shared" si="9"/>
        <v>0</v>
      </c>
      <c r="E116" s="24">
        <f t="shared" si="10"/>
        <v>0</v>
      </c>
      <c r="F116" s="24">
        <f t="shared" si="11"/>
        <v>0</v>
      </c>
      <c r="G116" s="24">
        <f t="shared" si="12"/>
        <v>0</v>
      </c>
      <c r="H116" s="24">
        <f t="shared" si="13"/>
        <v>0.3</v>
      </c>
      <c r="I116" s="24">
        <f t="shared" si="14"/>
        <v>0.3</v>
      </c>
      <c r="J116" s="24">
        <f t="shared" si="15"/>
        <v>0.97</v>
      </c>
      <c r="K116" s="23">
        <v>0</v>
      </c>
      <c r="L116" s="23">
        <v>0</v>
      </c>
      <c r="M116" s="23">
        <v>0</v>
      </c>
      <c r="N116" s="23">
        <v>0</v>
      </c>
      <c r="O116" s="23">
        <v>0</v>
      </c>
      <c r="P116" s="23">
        <v>0</v>
      </c>
      <c r="Q116" s="23">
        <v>0</v>
      </c>
      <c r="R116" s="23">
        <v>0</v>
      </c>
      <c r="S116" s="23">
        <v>0</v>
      </c>
      <c r="T116" s="6"/>
    </row>
    <row r="117" spans="1:20" x14ac:dyDescent="0.2">
      <c r="A117" s="5" t="s">
        <v>64</v>
      </c>
      <c r="B117" s="23">
        <v>0</v>
      </c>
      <c r="C117" s="24">
        <f t="shared" si="8"/>
        <v>0</v>
      </c>
      <c r="D117" s="24">
        <f t="shared" si="9"/>
        <v>0</v>
      </c>
      <c r="E117" s="24">
        <f t="shared" si="10"/>
        <v>0</v>
      </c>
      <c r="F117" s="24">
        <f t="shared" si="11"/>
        <v>0</v>
      </c>
      <c r="G117" s="24">
        <f t="shared" si="12"/>
        <v>0</v>
      </c>
      <c r="H117" s="24">
        <f t="shared" si="13"/>
        <v>0.3</v>
      </c>
      <c r="I117" s="24">
        <f t="shared" si="14"/>
        <v>0.3</v>
      </c>
      <c r="J117" s="24">
        <f t="shared" si="15"/>
        <v>0.97</v>
      </c>
      <c r="K117" s="23">
        <v>0</v>
      </c>
      <c r="L117" s="23">
        <v>0</v>
      </c>
      <c r="M117" s="23">
        <v>0</v>
      </c>
      <c r="N117" s="23">
        <v>0</v>
      </c>
      <c r="O117" s="23">
        <v>0</v>
      </c>
      <c r="P117" s="23">
        <v>0</v>
      </c>
      <c r="Q117" s="23">
        <v>0</v>
      </c>
      <c r="R117" s="23">
        <v>0</v>
      </c>
      <c r="S117" s="23">
        <v>0</v>
      </c>
      <c r="T117" s="6"/>
    </row>
    <row r="118" spans="1:20" x14ac:dyDescent="0.2">
      <c r="A118" s="5" t="s">
        <v>65</v>
      </c>
      <c r="B118" s="23">
        <v>0</v>
      </c>
      <c r="C118" s="24">
        <f t="shared" si="8"/>
        <v>0</v>
      </c>
      <c r="D118" s="24">
        <f t="shared" si="9"/>
        <v>0</v>
      </c>
      <c r="E118" s="24">
        <f t="shared" si="10"/>
        <v>0</v>
      </c>
      <c r="F118" s="24">
        <f t="shared" si="11"/>
        <v>0</v>
      </c>
      <c r="G118" s="24">
        <f t="shared" si="12"/>
        <v>0</v>
      </c>
      <c r="H118" s="24">
        <f t="shared" si="13"/>
        <v>0.3</v>
      </c>
      <c r="I118" s="24">
        <f t="shared" si="14"/>
        <v>0.97</v>
      </c>
      <c r="J118" s="24">
        <f t="shared" si="15"/>
        <v>0</v>
      </c>
      <c r="K118" s="23">
        <v>0</v>
      </c>
      <c r="L118" s="23">
        <v>0</v>
      </c>
      <c r="M118" s="23">
        <v>0</v>
      </c>
      <c r="N118" s="23">
        <v>0</v>
      </c>
      <c r="O118" s="23">
        <v>0</v>
      </c>
      <c r="P118" s="23">
        <v>0</v>
      </c>
      <c r="Q118" s="23">
        <v>0</v>
      </c>
      <c r="R118" s="23">
        <v>0</v>
      </c>
      <c r="S118" s="23">
        <v>0</v>
      </c>
      <c r="T118" s="6"/>
    </row>
    <row r="119" spans="1:20" x14ac:dyDescent="0.2">
      <c r="A119" s="5" t="s">
        <v>66</v>
      </c>
      <c r="B119" s="23">
        <v>0</v>
      </c>
      <c r="C119" s="24">
        <f t="shared" si="8"/>
        <v>0</v>
      </c>
      <c r="D119" s="24">
        <f t="shared" si="9"/>
        <v>0</v>
      </c>
      <c r="E119" s="24">
        <f t="shared" si="10"/>
        <v>0</v>
      </c>
      <c r="F119" s="24">
        <f t="shared" si="11"/>
        <v>0</v>
      </c>
      <c r="G119" s="24">
        <f t="shared" si="12"/>
        <v>0</v>
      </c>
      <c r="H119" s="24">
        <f t="shared" si="13"/>
        <v>0.3</v>
      </c>
      <c r="I119" s="24">
        <f t="shared" si="14"/>
        <v>0.97</v>
      </c>
      <c r="J119" s="24">
        <f t="shared" si="15"/>
        <v>0</v>
      </c>
      <c r="K119" s="23">
        <v>0</v>
      </c>
      <c r="L119" s="23">
        <v>0</v>
      </c>
      <c r="M119" s="23">
        <v>0</v>
      </c>
      <c r="N119" s="23">
        <v>0</v>
      </c>
      <c r="O119" s="23">
        <v>0</v>
      </c>
      <c r="P119" s="23">
        <v>0</v>
      </c>
      <c r="Q119" s="23">
        <v>0</v>
      </c>
      <c r="R119" s="23">
        <v>0</v>
      </c>
      <c r="S119" s="23">
        <v>0</v>
      </c>
      <c r="T119" s="6"/>
    </row>
    <row r="120" spans="1:20" x14ac:dyDescent="0.2">
      <c r="A120" s="5" t="s">
        <v>75</v>
      </c>
      <c r="B120" s="23">
        <v>0</v>
      </c>
      <c r="C120" s="24">
        <f t="shared" si="8"/>
        <v>0</v>
      </c>
      <c r="D120" s="24">
        <f t="shared" si="9"/>
        <v>0</v>
      </c>
      <c r="E120" s="24">
        <f t="shared" si="10"/>
        <v>0</v>
      </c>
      <c r="F120" s="24">
        <f t="shared" si="11"/>
        <v>0.56999999999999995</v>
      </c>
      <c r="G120" s="24">
        <f t="shared" si="12"/>
        <v>0</v>
      </c>
      <c r="H120" s="24">
        <f t="shared" si="13"/>
        <v>0.91</v>
      </c>
      <c r="I120" s="24">
        <f t="shared" si="14"/>
        <v>0</v>
      </c>
      <c r="J120" s="24">
        <f t="shared" si="15"/>
        <v>0</v>
      </c>
      <c r="K120" s="23">
        <v>0</v>
      </c>
      <c r="L120" s="23">
        <v>0</v>
      </c>
      <c r="M120" s="23">
        <v>0</v>
      </c>
      <c r="N120" s="23">
        <v>0</v>
      </c>
      <c r="O120" s="23">
        <v>0</v>
      </c>
      <c r="P120" s="23">
        <v>0</v>
      </c>
      <c r="Q120" s="23">
        <v>0</v>
      </c>
      <c r="R120" s="23">
        <v>0</v>
      </c>
      <c r="S120" s="23">
        <v>0</v>
      </c>
      <c r="T120" s="6"/>
    </row>
    <row r="121" spans="1:20" x14ac:dyDescent="0.2">
      <c r="A121" s="5" t="s">
        <v>76</v>
      </c>
      <c r="B121" s="23">
        <v>0</v>
      </c>
      <c r="C121" s="24">
        <f t="shared" si="8"/>
        <v>0</v>
      </c>
      <c r="D121" s="24">
        <f t="shared" si="9"/>
        <v>0</v>
      </c>
      <c r="E121" s="24">
        <f t="shared" si="10"/>
        <v>0</v>
      </c>
      <c r="F121" s="24">
        <f t="shared" si="11"/>
        <v>0.56999999999999995</v>
      </c>
      <c r="G121" s="24">
        <f t="shared" si="12"/>
        <v>0</v>
      </c>
      <c r="H121" s="24">
        <f t="shared" si="13"/>
        <v>0.91</v>
      </c>
      <c r="I121" s="24">
        <f t="shared" si="14"/>
        <v>0</v>
      </c>
      <c r="J121" s="24">
        <f t="shared" si="15"/>
        <v>0</v>
      </c>
      <c r="K121" s="23">
        <v>0</v>
      </c>
      <c r="L121" s="23">
        <v>0</v>
      </c>
      <c r="M121" s="23">
        <v>0</v>
      </c>
      <c r="N121" s="23">
        <v>0</v>
      </c>
      <c r="O121" s="23">
        <v>0</v>
      </c>
      <c r="P121" s="23">
        <v>0</v>
      </c>
      <c r="Q121" s="23">
        <v>0</v>
      </c>
      <c r="R121" s="23">
        <v>0</v>
      </c>
      <c r="S121" s="23">
        <v>0</v>
      </c>
      <c r="T121" s="6"/>
    </row>
    <row r="122" spans="1:20" x14ac:dyDescent="0.2">
      <c r="A122" s="5" t="s">
        <v>77</v>
      </c>
      <c r="B122" s="23">
        <v>0</v>
      </c>
      <c r="C122" s="24">
        <f t="shared" si="8"/>
        <v>0</v>
      </c>
      <c r="D122" s="24">
        <f t="shared" si="9"/>
        <v>0</v>
      </c>
      <c r="E122" s="24">
        <f t="shared" si="10"/>
        <v>0.56999999999999995</v>
      </c>
      <c r="F122" s="24">
        <f t="shared" si="11"/>
        <v>0.92</v>
      </c>
      <c r="G122" s="24">
        <f t="shared" si="12"/>
        <v>0</v>
      </c>
      <c r="H122" s="24">
        <f t="shared" si="13"/>
        <v>0</v>
      </c>
      <c r="I122" s="24">
        <f t="shared" si="14"/>
        <v>0</v>
      </c>
      <c r="J122" s="24">
        <f t="shared" si="15"/>
        <v>0</v>
      </c>
      <c r="K122" s="23">
        <v>0</v>
      </c>
      <c r="L122" s="23">
        <v>0</v>
      </c>
      <c r="M122" s="23">
        <v>0</v>
      </c>
      <c r="N122" s="23">
        <v>0</v>
      </c>
      <c r="O122" s="23">
        <v>0</v>
      </c>
      <c r="P122" s="23">
        <v>0</v>
      </c>
      <c r="Q122" s="23">
        <v>0</v>
      </c>
      <c r="R122" s="23">
        <v>0</v>
      </c>
      <c r="S122" s="23">
        <v>0</v>
      </c>
      <c r="T122" s="6"/>
    </row>
    <row r="123" spans="1:20" x14ac:dyDescent="0.2">
      <c r="A123" s="5" t="s">
        <v>78</v>
      </c>
      <c r="B123" s="23">
        <v>0</v>
      </c>
      <c r="C123" s="24">
        <f t="shared" si="8"/>
        <v>0</v>
      </c>
      <c r="D123" s="24">
        <f t="shared" si="9"/>
        <v>0</v>
      </c>
      <c r="E123" s="24">
        <f t="shared" si="10"/>
        <v>0.56999999999999995</v>
      </c>
      <c r="F123" s="24">
        <f t="shared" si="11"/>
        <v>0.92</v>
      </c>
      <c r="G123" s="24">
        <f t="shared" si="12"/>
        <v>0</v>
      </c>
      <c r="H123" s="24">
        <f t="shared" si="13"/>
        <v>0</v>
      </c>
      <c r="I123" s="24">
        <f t="shared" si="14"/>
        <v>0</v>
      </c>
      <c r="J123" s="24">
        <f t="shared" si="15"/>
        <v>0</v>
      </c>
      <c r="K123" s="23">
        <v>0</v>
      </c>
      <c r="L123" s="23">
        <v>0</v>
      </c>
      <c r="M123" s="23">
        <v>0</v>
      </c>
      <c r="N123" s="23">
        <v>0</v>
      </c>
      <c r="O123" s="23">
        <v>0</v>
      </c>
      <c r="P123" s="23">
        <v>0</v>
      </c>
      <c r="Q123" s="23">
        <v>0</v>
      </c>
      <c r="R123" s="23">
        <v>0</v>
      </c>
      <c r="S123" s="23">
        <v>0</v>
      </c>
      <c r="T123" s="6"/>
    </row>
  </sheetData>
  <sheetProtection sheet="1" objects="1"/>
  <hyperlinks>
    <hyperlink ref="A38" location="'Input'!B255" display="'Input'!B255"/>
    <hyperlink ref="A39" location="'Input'!D14" display="'Input'!D14"/>
    <hyperlink ref="A54" location="'Contrib'!B7" display="'Contrib'!B7"/>
    <hyperlink ref="A55" location="'Contrib'!B43" display="'Contrib'!B43"/>
    <hyperlink ref="A92" location="'Contrib'!B59" display="'Contrib'!B59"/>
  </hyperlinks>
  <pageMargins left="0.75" right="0.75" top="1" bottom="1" header="0.5" footer="0.5"/>
  <pageSetup paperSize="9" scale="25" fitToHeight="0" orientation="landscape" blackAndWhite="1" r:id="rId1"/>
  <headerFooter alignWithMargins="0">
    <oddHeader>&amp;L&amp;A&amp;Cr6140&amp;R&amp;P of &amp;N</oddHeader>
    <oddFooter>&amp;F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35"/>
  <sheetViews>
    <sheetView showGridLines="0" workbookViewId="0">
      <pane xSplit="1" ySplit="1" topLeftCell="B2" activePane="bottomRight" state="frozen"/>
      <selection pane="topRight"/>
      <selection pane="bottomLeft"/>
      <selection pane="bottomRight"/>
    </sheetView>
  </sheetViews>
  <sheetFormatPr defaultRowHeight="12.75" x14ac:dyDescent="0.2"/>
  <cols>
    <col min="1" max="1" width="50.7109375" customWidth="1"/>
    <col min="2" max="251" width="16.7109375" customWidth="1"/>
  </cols>
  <sheetData>
    <row r="1" spans="1:20" ht="19.5" x14ac:dyDescent="0.3">
      <c r="A1" s="15" t="str">
        <f>"r6140: Yardsticks"&amp;" for "&amp;Input!B7&amp;" in "&amp;Input!C7&amp;" ("&amp;Input!D7&amp;")"</f>
        <v>r6140: Yardsticks for Electricity North West  in 2013/14 (April 2013 Indicative)</v>
      </c>
    </row>
    <row r="2" spans="1:20" x14ac:dyDescent="0.2">
      <c r="A2" s="10" t="s">
        <v>789</v>
      </c>
    </row>
    <row r="4" spans="1:20" ht="16.5" x14ac:dyDescent="0.25">
      <c r="A4" s="3" t="s">
        <v>790</v>
      </c>
    </row>
    <row r="5" spans="1:20" x14ac:dyDescent="0.2">
      <c r="A5" s="10" t="s">
        <v>238</v>
      </c>
    </row>
    <row r="6" spans="1:20" x14ac:dyDescent="0.2">
      <c r="A6" s="11" t="s">
        <v>791</v>
      </c>
    </row>
    <row r="7" spans="1:20" x14ac:dyDescent="0.2">
      <c r="A7" s="11" t="s">
        <v>792</v>
      </c>
    </row>
    <row r="8" spans="1:20" x14ac:dyDescent="0.2">
      <c r="A8" s="10" t="s">
        <v>256</v>
      </c>
    </row>
    <row r="10" spans="1:20" ht="25.5" x14ac:dyDescent="0.2">
      <c r="B10" s="4" t="s">
        <v>21</v>
      </c>
      <c r="C10" s="4" t="s">
        <v>191</v>
      </c>
      <c r="D10" s="4" t="s">
        <v>192</v>
      </c>
      <c r="E10" s="4" t="s">
        <v>193</v>
      </c>
      <c r="F10" s="4" t="s">
        <v>194</v>
      </c>
      <c r="G10" s="4" t="s">
        <v>195</v>
      </c>
      <c r="H10" s="4" t="s">
        <v>196</v>
      </c>
      <c r="I10" s="4" t="s">
        <v>197</v>
      </c>
      <c r="J10" s="4" t="s">
        <v>198</v>
      </c>
      <c r="K10" s="4" t="s">
        <v>179</v>
      </c>
      <c r="L10" s="4" t="s">
        <v>699</v>
      </c>
      <c r="M10" s="4" t="s">
        <v>700</v>
      </c>
      <c r="N10" s="4" t="s">
        <v>701</v>
      </c>
      <c r="O10" s="4" t="s">
        <v>702</v>
      </c>
      <c r="P10" s="4" t="s">
        <v>703</v>
      </c>
      <c r="Q10" s="4" t="s">
        <v>704</v>
      </c>
      <c r="R10" s="4" t="s">
        <v>705</v>
      </c>
      <c r="S10" s="4" t="s">
        <v>706</v>
      </c>
    </row>
    <row r="11" spans="1:20" ht="25.5" x14ac:dyDescent="0.2">
      <c r="A11" s="5" t="s">
        <v>793</v>
      </c>
      <c r="B11" s="21"/>
      <c r="C11" s="20">
        <f>DRM!$B$130</f>
        <v>5.8659809743350362</v>
      </c>
      <c r="D11" s="20">
        <f>DRM!$B$131</f>
        <v>5.4374773257315177</v>
      </c>
      <c r="E11" s="20">
        <f>DRM!$B$132</f>
        <v>8.3370449833453559</v>
      </c>
      <c r="F11" s="20">
        <f>DRM!$B$133</f>
        <v>10.384453856431474</v>
      </c>
      <c r="G11" s="20">
        <f>DRM!$B$134</f>
        <v>0</v>
      </c>
      <c r="H11" s="20">
        <f>DRM!$B$135</f>
        <v>15.262420594463675</v>
      </c>
      <c r="I11" s="20">
        <f>DRM!$B$136</f>
        <v>13.357172727154918</v>
      </c>
      <c r="J11" s="20">
        <f>DRM!$B$137</f>
        <v>8.3189350495489247</v>
      </c>
      <c r="K11" s="20">
        <f>Otex!$B108</f>
        <v>4.0086426066133782</v>
      </c>
      <c r="L11" s="20">
        <f>Otex!$C108</f>
        <v>1.9366403783758146</v>
      </c>
      <c r="M11" s="20">
        <f>Otex!$D108</f>
        <v>1.7951708659792107</v>
      </c>
      <c r="N11" s="20">
        <f>Otex!$E108</f>
        <v>2.7524565834297512</v>
      </c>
      <c r="O11" s="20">
        <f>Otex!$F108</f>
        <v>3.4284040016044215</v>
      </c>
      <c r="P11" s="20">
        <f>Otex!$G108</f>
        <v>0</v>
      </c>
      <c r="Q11" s="20">
        <f>Otex!$H108</f>
        <v>5.0388537099446733</v>
      </c>
      <c r="R11" s="20">
        <f>Otex!$I108</f>
        <v>4.4098404269510603</v>
      </c>
      <c r="S11" s="20">
        <f>Otex!$J108</f>
        <v>2.7464776296633935</v>
      </c>
      <c r="T11" s="6"/>
    </row>
    <row r="13" spans="1:20" ht="16.5" x14ac:dyDescent="0.25">
      <c r="A13" s="3" t="s">
        <v>794</v>
      </c>
    </row>
    <row r="14" spans="1:20" x14ac:dyDescent="0.2">
      <c r="A14" s="10" t="s">
        <v>238</v>
      </c>
    </row>
    <row r="15" spans="1:20" x14ac:dyDescent="0.2">
      <c r="A15" s="11" t="s">
        <v>795</v>
      </c>
    </row>
    <row r="16" spans="1:20" x14ac:dyDescent="0.2">
      <c r="A16" s="11" t="s">
        <v>632</v>
      </c>
    </row>
    <row r="17" spans="1:20" x14ac:dyDescent="0.2">
      <c r="A17" s="11" t="s">
        <v>619</v>
      </c>
    </row>
    <row r="18" spans="1:20" x14ac:dyDescent="0.2">
      <c r="A18" s="11" t="s">
        <v>796</v>
      </c>
    </row>
    <row r="19" spans="1:20" x14ac:dyDescent="0.2">
      <c r="A19" s="11" t="s">
        <v>552</v>
      </c>
    </row>
    <row r="20" spans="1:20" x14ac:dyDescent="0.2">
      <c r="A20" s="10" t="s">
        <v>797</v>
      </c>
    </row>
    <row r="22" spans="1:20" ht="25.5" x14ac:dyDescent="0.2">
      <c r="B22" s="4" t="s">
        <v>21</v>
      </c>
      <c r="C22" s="4" t="s">
        <v>191</v>
      </c>
      <c r="D22" s="4" t="s">
        <v>192</v>
      </c>
      <c r="E22" s="4" t="s">
        <v>193</v>
      </c>
      <c r="F22" s="4" t="s">
        <v>194</v>
      </c>
      <c r="G22" s="4" t="s">
        <v>195</v>
      </c>
      <c r="H22" s="4" t="s">
        <v>196</v>
      </c>
      <c r="I22" s="4" t="s">
        <v>197</v>
      </c>
      <c r="J22" s="4" t="s">
        <v>198</v>
      </c>
      <c r="K22" s="4" t="s">
        <v>179</v>
      </c>
      <c r="L22" s="4" t="s">
        <v>699</v>
      </c>
      <c r="M22" s="4" t="s">
        <v>700</v>
      </c>
      <c r="N22" s="4" t="s">
        <v>701</v>
      </c>
      <c r="O22" s="4" t="s">
        <v>702</v>
      </c>
      <c r="P22" s="4" t="s">
        <v>703</v>
      </c>
      <c r="Q22" s="4" t="s">
        <v>704</v>
      </c>
      <c r="R22" s="4" t="s">
        <v>705</v>
      </c>
      <c r="S22" s="4" t="s">
        <v>706</v>
      </c>
    </row>
    <row r="23" spans="1:20" x14ac:dyDescent="0.2">
      <c r="A23" s="5" t="s">
        <v>53</v>
      </c>
      <c r="B23" s="17">
        <f>B$11*Loads!$B45*LAFs!B241*(1-Contrib!B96)/(24*Input!$F$14)*100</f>
        <v>0</v>
      </c>
      <c r="C23" s="17">
        <f>C$11*Loads!$B45*LAFs!C241*(1-Contrib!C96)/(24*Input!$F$14)*100</f>
        <v>0.1596023052588541</v>
      </c>
      <c r="D23" s="17">
        <f>D$11*Loads!$B45*LAFs!D241*(1-Contrib!D96)/(24*Input!$F$14)*100</f>
        <v>0.14721474137687782</v>
      </c>
      <c r="E23" s="17">
        <f>E$11*Loads!$B45*LAFs!E241*(1-Contrib!E96)/(24*Input!$F$14)*100</f>
        <v>0.22439144037638167</v>
      </c>
      <c r="F23" s="17">
        <f>F$11*Loads!$B45*LAFs!F241*(1-Contrib!F96)/(24*Input!$F$14)*100</f>
        <v>0.27786452309605153</v>
      </c>
      <c r="G23" s="17">
        <f>G$11*Loads!$B45*LAFs!G241*(1-Contrib!G96)/(24*Input!$F$14)*100</f>
        <v>0</v>
      </c>
      <c r="H23" s="17">
        <f>H$11*Loads!$B45*LAFs!H241*(1-Contrib!H96)/(24*Input!$F$14)*100</f>
        <v>0.282569832091495</v>
      </c>
      <c r="I23" s="17">
        <f>I$11*Loads!$B45*LAFs!I241*(1-Contrib!I96)/(24*Input!$F$14)*100</f>
        <v>0.24423996321392402</v>
      </c>
      <c r="J23" s="17">
        <f>J$11*Loads!$B45*LAFs!J241*(1-Contrib!J96)/(24*Input!$F$14)*100</f>
        <v>6.2233937212685482E-3</v>
      </c>
      <c r="K23" s="17">
        <f>K$11*Loads!$B45*LAFs!B241*(1-Contrib!K96)/(24*Input!$F$14)*100</f>
        <v>0.11015829915086825</v>
      </c>
      <c r="L23" s="17">
        <f>L$11*Loads!$B45*LAFs!C241*(1-Contrib!L96)/(24*Input!$F$14)*100</f>
        <v>5.2692340837535351E-2</v>
      </c>
      <c r="M23" s="17">
        <f>M$11*Loads!$B45*LAFs!D241*(1-Contrib!M96)/(24*Input!$F$14)*100</f>
        <v>4.8602614582283633E-2</v>
      </c>
      <c r="N23" s="17">
        <f>N$11*Loads!$B45*LAFs!E241*(1-Contrib!N96)/(24*Input!$F$14)*100</f>
        <v>7.4082327558873784E-2</v>
      </c>
      <c r="O23" s="17">
        <f>O$11*Loads!$B45*LAFs!F241*(1-Contrib!O96)/(24*Input!$F$14)*100</f>
        <v>9.173634512289805E-2</v>
      </c>
      <c r="P23" s="17">
        <f>P$11*Loads!$B45*LAFs!G241*(1-Contrib!P96)/(24*Input!$F$14)*100</f>
        <v>0</v>
      </c>
      <c r="Q23" s="17">
        <f>Q$11*Loads!$B45*LAFs!H241*(1-Contrib!Q96)/(24*Input!$F$14)*100</f>
        <v>0.13327113181033451</v>
      </c>
      <c r="R23" s="17">
        <f>R$11*Loads!$B45*LAFs!I241*(1-Contrib!R96)/(24*Input!$F$14)*100</f>
        <v>0.1151932465327527</v>
      </c>
      <c r="S23" s="17">
        <f>S$11*Loads!$B45*LAFs!J241*(1-Contrib!S96)/(24*Input!$F$14)*100</f>
        <v>6.8487979668256815E-2</v>
      </c>
      <c r="T23" s="6"/>
    </row>
    <row r="24" spans="1:20" x14ac:dyDescent="0.2">
      <c r="A24" s="5" t="s">
        <v>54</v>
      </c>
      <c r="B24" s="17">
        <f>B$11*Loads!$B46*LAFs!B242*(1-Contrib!B97)/(24*Input!$F$14)*100</f>
        <v>0</v>
      </c>
      <c r="C24" s="17">
        <f>C$11*Loads!$B46*LAFs!C242*(1-Contrib!C97)/(24*Input!$F$14)*100</f>
        <v>0.10166841809261121</v>
      </c>
      <c r="D24" s="17">
        <f>D$11*Loads!$B46*LAFs!D242*(1-Contrib!D97)/(24*Input!$F$14)*100</f>
        <v>9.3777404100933118E-2</v>
      </c>
      <c r="E24" s="17">
        <f>E$11*Loads!$B46*LAFs!E242*(1-Contrib!E97)/(24*Input!$F$14)*100</f>
        <v>0.14293980741436438</v>
      </c>
      <c r="F24" s="17">
        <f>F$11*Loads!$B46*LAFs!F242*(1-Contrib!F97)/(24*Input!$F$14)*100</f>
        <v>0.17700274730628418</v>
      </c>
      <c r="G24" s="17">
        <f>G$11*Loads!$B46*LAFs!G242*(1-Contrib!G97)/(24*Input!$F$14)*100</f>
        <v>0</v>
      </c>
      <c r="H24" s="17">
        <f>H$11*Loads!$B46*LAFs!H242*(1-Contrib!H97)/(24*Input!$F$14)*100</f>
        <v>0.1800000807184037</v>
      </c>
      <c r="I24" s="17">
        <f>I$11*Loads!$B46*LAFs!I242*(1-Contrib!I97)/(24*Input!$F$14)*100</f>
        <v>0.15558353405161512</v>
      </c>
      <c r="J24" s="17">
        <f>J$11*Loads!$B46*LAFs!J242*(1-Contrib!J97)/(24*Input!$F$14)*100</f>
        <v>3.9643700244972567E-3</v>
      </c>
      <c r="K24" s="17">
        <f>K$11*Loads!$B46*LAFs!B242*(1-Contrib!K97)/(24*Input!$F$14)*100</f>
        <v>7.0172044171148334E-2</v>
      </c>
      <c r="L24" s="17">
        <f>L$11*Loads!$B46*LAFs!C242*(1-Contrib!L97)/(24*Input!$F$14)*100</f>
        <v>3.3565598754105225E-2</v>
      </c>
      <c r="M24" s="17">
        <f>M$11*Loads!$B46*LAFs!D242*(1-Contrib!M97)/(24*Input!$F$14)*100</f>
        <v>3.0960398295823033E-2</v>
      </c>
      <c r="N24" s="17">
        <f>N$11*Loads!$B46*LAFs!E242*(1-Contrib!N97)/(24*Input!$F$14)*100</f>
        <v>4.7191254783655559E-2</v>
      </c>
      <c r="O24" s="17">
        <f>O$11*Loads!$B46*LAFs!F242*(1-Contrib!O97)/(24*Input!$F$14)*100</f>
        <v>5.8437057504377513E-2</v>
      </c>
      <c r="P24" s="17">
        <f>P$11*Loads!$B46*LAFs!G242*(1-Contrib!P97)/(24*Input!$F$14)*100</f>
        <v>0</v>
      </c>
      <c r="Q24" s="17">
        <f>Q$11*Loads!$B46*LAFs!H242*(1-Contrib!Q97)/(24*Input!$F$14)*100</f>
        <v>8.4895171950011117E-2</v>
      </c>
      <c r="R24" s="17">
        <f>R$11*Loads!$B46*LAFs!I242*(1-Contrib!R97)/(24*Input!$F$14)*100</f>
        <v>7.3379360849096686E-2</v>
      </c>
      <c r="S24" s="17">
        <f>S$11*Loads!$B46*LAFs!J242*(1-Contrib!S97)/(24*Input!$F$14)*100</f>
        <v>4.3627593849207918E-2</v>
      </c>
      <c r="T24" s="6"/>
    </row>
    <row r="25" spans="1:20" x14ac:dyDescent="0.2">
      <c r="A25" s="5" t="s">
        <v>94</v>
      </c>
      <c r="B25" s="17">
        <f>B$11*Loads!$B47*LAFs!B243*(1-Contrib!B98)/(24*Input!$F$14)*100</f>
        <v>0</v>
      </c>
      <c r="C25" s="17">
        <f>C$11*Loads!$B47*LAFs!C243*(1-Contrib!C98)/(24*Input!$F$14)*100</f>
        <v>0</v>
      </c>
      <c r="D25" s="17">
        <f>D$11*Loads!$B47*LAFs!D243*(1-Contrib!D98)/(24*Input!$F$14)*100</f>
        <v>0</v>
      </c>
      <c r="E25" s="17">
        <f>E$11*Loads!$B47*LAFs!E243*(1-Contrib!E98)/(24*Input!$F$14)*100</f>
        <v>0</v>
      </c>
      <c r="F25" s="17">
        <f>F$11*Loads!$B47*LAFs!F243*(1-Contrib!F98)/(24*Input!$F$14)*100</f>
        <v>0</v>
      </c>
      <c r="G25" s="17">
        <f>G$11*Loads!$B47*LAFs!G243*(1-Contrib!G98)/(24*Input!$F$14)*100</f>
        <v>0</v>
      </c>
      <c r="H25" s="17">
        <f>H$11*Loads!$B47*LAFs!H243*(1-Contrib!H98)/(24*Input!$F$14)*100</f>
        <v>0</v>
      </c>
      <c r="I25" s="17">
        <f>I$11*Loads!$B47*LAFs!I243*(1-Contrib!I98)/(24*Input!$F$14)*100</f>
        <v>0</v>
      </c>
      <c r="J25" s="17">
        <f>J$11*Loads!$B47*LAFs!J243*(1-Contrib!J98)/(24*Input!$F$14)*100</f>
        <v>0</v>
      </c>
      <c r="K25" s="17">
        <f>K$11*Loads!$B47*LAFs!B243*(1-Contrib!K98)/(24*Input!$F$14)*100</f>
        <v>0</v>
      </c>
      <c r="L25" s="17">
        <f>L$11*Loads!$B47*LAFs!C243*(1-Contrib!L98)/(24*Input!$F$14)*100</f>
        <v>0</v>
      </c>
      <c r="M25" s="17">
        <f>M$11*Loads!$B47*LAFs!D243*(1-Contrib!M98)/(24*Input!$F$14)*100</f>
        <v>0</v>
      </c>
      <c r="N25" s="17">
        <f>N$11*Loads!$B47*LAFs!E243*(1-Contrib!N98)/(24*Input!$F$14)*100</f>
        <v>0</v>
      </c>
      <c r="O25" s="17">
        <f>O$11*Loads!$B47*LAFs!F243*(1-Contrib!O98)/(24*Input!$F$14)*100</f>
        <v>0</v>
      </c>
      <c r="P25" s="17">
        <f>P$11*Loads!$B47*LAFs!G243*(1-Contrib!P98)/(24*Input!$F$14)*100</f>
        <v>0</v>
      </c>
      <c r="Q25" s="17">
        <f>Q$11*Loads!$B47*LAFs!H243*(1-Contrib!Q98)/(24*Input!$F$14)*100</f>
        <v>0</v>
      </c>
      <c r="R25" s="17">
        <f>R$11*Loads!$B47*LAFs!I243*(1-Contrib!R98)/(24*Input!$F$14)*100</f>
        <v>0</v>
      </c>
      <c r="S25" s="17">
        <f>S$11*Loads!$B47*LAFs!J243*(1-Contrib!S98)/(24*Input!$F$14)*100</f>
        <v>0</v>
      </c>
      <c r="T25" s="6"/>
    </row>
    <row r="26" spans="1:20" x14ac:dyDescent="0.2">
      <c r="A26" s="5" t="s">
        <v>55</v>
      </c>
      <c r="B26" s="17">
        <f>B$11*Loads!$B48*LAFs!B244*(1-Contrib!B99)/(24*Input!$F$14)*100</f>
        <v>0</v>
      </c>
      <c r="C26" s="17">
        <f>C$11*Loads!$B48*LAFs!C244*(1-Contrib!C99)/(24*Input!$F$14)*100</f>
        <v>0.13333301791768717</v>
      </c>
      <c r="D26" s="17">
        <f>D$11*Loads!$B48*LAFs!D244*(1-Contrib!D99)/(24*Input!$F$14)*100</f>
        <v>0.12298434986835514</v>
      </c>
      <c r="E26" s="17">
        <f>E$11*Loads!$B48*LAFs!E244*(1-Contrib!E99)/(24*Input!$F$14)*100</f>
        <v>0.18745836967552165</v>
      </c>
      <c r="F26" s="17">
        <f>F$11*Loads!$B48*LAFs!F244*(1-Contrib!F99)/(24*Input!$F$14)*100</f>
        <v>0.23213020248402785</v>
      </c>
      <c r="G26" s="17">
        <f>G$11*Loads!$B48*LAFs!G244*(1-Contrib!G99)/(24*Input!$F$14)*100</f>
        <v>0</v>
      </c>
      <c r="H26" s="17">
        <f>H$11*Loads!$B48*LAFs!H244*(1-Contrib!H99)/(24*Input!$F$14)*100</f>
        <v>0.23606105453268844</v>
      </c>
      <c r="I26" s="17">
        <f>I$11*Loads!$B48*LAFs!I244*(1-Contrib!I99)/(24*Input!$F$14)*100</f>
        <v>0.20403998136869517</v>
      </c>
      <c r="J26" s="17">
        <f>J$11*Loads!$B48*LAFs!J244*(1-Contrib!J99)/(24*Input!$F$14)*100</f>
        <v>5.1990719382211921E-3</v>
      </c>
      <c r="K26" s="17">
        <f>K$11*Loads!$B48*LAFs!B244*(1-Contrib!K99)/(24*Input!$F$14)*100</f>
        <v>9.2027107319302595E-2</v>
      </c>
      <c r="L26" s="17">
        <f>L$11*Loads!$B48*LAFs!C244*(1-Contrib!L99)/(24*Input!$F$14)*100</f>
        <v>4.4019594915131882E-2</v>
      </c>
      <c r="M26" s="17">
        <f>M$11*Loads!$B48*LAFs!D244*(1-Contrib!M99)/(24*Input!$F$14)*100</f>
        <v>4.0603005516968022E-2</v>
      </c>
      <c r="N26" s="17">
        <f>N$11*Loads!$B48*LAFs!E244*(1-Contrib!N99)/(24*Input!$F$14)*100</f>
        <v>6.1888957629848002E-2</v>
      </c>
      <c r="O26" s="17">
        <f>O$11*Loads!$B48*LAFs!F244*(1-Contrib!O99)/(24*Input!$F$14)*100</f>
        <v>7.6637262401295689E-2</v>
      </c>
      <c r="P26" s="17">
        <f>P$11*Loads!$B48*LAFs!G244*(1-Contrib!P99)/(24*Input!$F$14)*100</f>
        <v>0</v>
      </c>
      <c r="Q26" s="17">
        <f>Q$11*Loads!$B48*LAFs!H244*(1-Contrib!Q99)/(24*Input!$F$14)*100</f>
        <v>0.11133574904671997</v>
      </c>
      <c r="R26" s="17">
        <f>R$11*Loads!$B48*LAFs!I244*(1-Contrib!R99)/(24*Input!$F$14)*100</f>
        <v>9.6233341862059424E-2</v>
      </c>
      <c r="S26" s="17">
        <f>S$11*Loads!$B48*LAFs!J244*(1-Contrib!S99)/(24*Input!$F$14)*100</f>
        <v>5.7215395513513671E-2</v>
      </c>
      <c r="T26" s="6"/>
    </row>
    <row r="27" spans="1:20" x14ac:dyDescent="0.2">
      <c r="A27" s="5" t="s">
        <v>56</v>
      </c>
      <c r="B27" s="17">
        <f>B$11*Loads!$B49*LAFs!B245*(1-Contrib!B100)/(24*Input!$F$14)*100</f>
        <v>0</v>
      </c>
      <c r="C27" s="17">
        <f>C$11*Loads!$B49*LAFs!C245*(1-Contrib!C100)/(24*Input!$F$14)*100</f>
        <v>0.1017552999034574</v>
      </c>
      <c r="D27" s="17">
        <f>D$11*Loads!$B49*LAFs!D245*(1-Contrib!D100)/(24*Input!$F$14)*100</f>
        <v>9.3857542563177326E-2</v>
      </c>
      <c r="E27" s="17">
        <f>E$11*Loads!$B49*LAFs!E245*(1-Contrib!E100)/(24*Input!$F$14)*100</f>
        <v>0.14306195812294392</v>
      </c>
      <c r="F27" s="17">
        <f>F$11*Loads!$B49*LAFs!F245*(1-Contrib!F100)/(24*Input!$F$14)*100</f>
        <v>0.1771540068566857</v>
      </c>
      <c r="G27" s="17">
        <f>G$11*Loads!$B49*LAFs!G245*(1-Contrib!G100)/(24*Input!$F$14)*100</f>
        <v>0</v>
      </c>
      <c r="H27" s="17">
        <f>H$11*Loads!$B49*LAFs!H245*(1-Contrib!H100)/(24*Input!$F$14)*100</f>
        <v>0.18015390167144574</v>
      </c>
      <c r="I27" s="17">
        <f>I$11*Loads!$B49*LAFs!I245*(1-Contrib!I100)/(24*Input!$F$14)*100</f>
        <v>0.15571648958913462</v>
      </c>
      <c r="J27" s="17">
        <f>J$11*Loads!$B49*LAFs!J245*(1-Contrib!J100)/(24*Input!$F$14)*100</f>
        <v>3.967757818396824E-3</v>
      </c>
      <c r="K27" s="17">
        <f>K$11*Loads!$B49*LAFs!B245*(1-Contrib!K100)/(24*Input!$F$14)*100</f>
        <v>7.0232010425986854E-2</v>
      </c>
      <c r="L27" s="17">
        <f>L$11*Loads!$B49*LAFs!C245*(1-Contrib!L100)/(24*Input!$F$14)*100</f>
        <v>3.359428258785227E-2</v>
      </c>
      <c r="M27" s="17">
        <f>M$11*Loads!$B49*LAFs!D245*(1-Contrib!M100)/(24*Input!$F$14)*100</f>
        <v>3.0986855828249775E-2</v>
      </c>
      <c r="N27" s="17">
        <f>N$11*Loads!$B49*LAFs!E245*(1-Contrib!N100)/(24*Input!$F$14)*100</f>
        <v>4.7231582564382646E-2</v>
      </c>
      <c r="O27" s="17">
        <f>O$11*Loads!$B49*LAFs!F245*(1-Contrib!O100)/(24*Input!$F$14)*100</f>
        <v>5.8486995503529621E-2</v>
      </c>
      <c r="P27" s="17">
        <f>P$11*Loads!$B49*LAFs!G245*(1-Contrib!P100)/(24*Input!$F$14)*100</f>
        <v>0</v>
      </c>
      <c r="Q27" s="17">
        <f>Q$11*Loads!$B49*LAFs!H245*(1-Contrib!Q100)/(24*Input!$F$14)*100</f>
        <v>8.4967720007800299E-2</v>
      </c>
      <c r="R27" s="17">
        <f>R$11*Loads!$B49*LAFs!I245*(1-Contrib!R100)/(24*Input!$F$14)*100</f>
        <v>7.3442067949973364E-2</v>
      </c>
      <c r="S27" s="17">
        <f>S$11*Loads!$B49*LAFs!J245*(1-Contrib!S100)/(24*Input!$F$14)*100</f>
        <v>4.3664876266182574E-2</v>
      </c>
      <c r="T27" s="6"/>
    </row>
    <row r="28" spans="1:20" x14ac:dyDescent="0.2">
      <c r="A28" s="5" t="s">
        <v>95</v>
      </c>
      <c r="B28" s="17">
        <f>B$11*Loads!$B50*LAFs!B246*(1-Contrib!B101)/(24*Input!$F$14)*100</f>
        <v>0</v>
      </c>
      <c r="C28" s="17">
        <f>C$11*Loads!$B50*LAFs!C246*(1-Contrib!C101)/(24*Input!$F$14)*100</f>
        <v>0</v>
      </c>
      <c r="D28" s="17">
        <f>D$11*Loads!$B50*LAFs!D246*(1-Contrib!D101)/(24*Input!$F$14)*100</f>
        <v>0</v>
      </c>
      <c r="E28" s="17">
        <f>E$11*Loads!$B50*LAFs!E246*(1-Contrib!E101)/(24*Input!$F$14)*100</f>
        <v>0</v>
      </c>
      <c r="F28" s="17">
        <f>F$11*Loads!$B50*LAFs!F246*(1-Contrib!F101)/(24*Input!$F$14)*100</f>
        <v>0</v>
      </c>
      <c r="G28" s="17">
        <f>G$11*Loads!$B50*LAFs!G246*(1-Contrib!G101)/(24*Input!$F$14)*100</f>
        <v>0</v>
      </c>
      <c r="H28" s="17">
        <f>H$11*Loads!$B50*LAFs!H246*(1-Contrib!H101)/(24*Input!$F$14)*100</f>
        <v>0</v>
      </c>
      <c r="I28" s="17">
        <f>I$11*Loads!$B50*LAFs!I246*(1-Contrib!I101)/(24*Input!$F$14)*100</f>
        <v>0</v>
      </c>
      <c r="J28" s="17">
        <f>J$11*Loads!$B50*LAFs!J246*(1-Contrib!J101)/(24*Input!$F$14)*100</f>
        <v>0</v>
      </c>
      <c r="K28" s="17">
        <f>K$11*Loads!$B50*LAFs!B246*(1-Contrib!K101)/(24*Input!$F$14)*100</f>
        <v>0</v>
      </c>
      <c r="L28" s="17">
        <f>L$11*Loads!$B50*LAFs!C246*(1-Contrib!L101)/(24*Input!$F$14)*100</f>
        <v>0</v>
      </c>
      <c r="M28" s="17">
        <f>M$11*Loads!$B50*LAFs!D246*(1-Contrib!M101)/(24*Input!$F$14)*100</f>
        <v>0</v>
      </c>
      <c r="N28" s="17">
        <f>N$11*Loads!$B50*LAFs!E246*(1-Contrib!N101)/(24*Input!$F$14)*100</f>
        <v>0</v>
      </c>
      <c r="O28" s="17">
        <f>O$11*Loads!$B50*LAFs!F246*(1-Contrib!O101)/(24*Input!$F$14)*100</f>
        <v>0</v>
      </c>
      <c r="P28" s="17">
        <f>P$11*Loads!$B50*LAFs!G246*(1-Contrib!P101)/(24*Input!$F$14)*100</f>
        <v>0</v>
      </c>
      <c r="Q28" s="17">
        <f>Q$11*Loads!$B50*LAFs!H246*(1-Contrib!Q101)/(24*Input!$F$14)*100</f>
        <v>0</v>
      </c>
      <c r="R28" s="17">
        <f>R$11*Loads!$B50*LAFs!I246*(1-Contrib!R101)/(24*Input!$F$14)*100</f>
        <v>0</v>
      </c>
      <c r="S28" s="17">
        <f>S$11*Loads!$B50*LAFs!J246*(1-Contrib!S101)/(24*Input!$F$14)*100</f>
        <v>0</v>
      </c>
      <c r="T28" s="6"/>
    </row>
    <row r="29" spans="1:20" x14ac:dyDescent="0.2">
      <c r="A29" s="5" t="s">
        <v>57</v>
      </c>
      <c r="B29" s="17">
        <f>B$11*Loads!$B51*LAFs!B247*(1-Contrib!B102)/(24*Input!$F$14)*100</f>
        <v>0</v>
      </c>
      <c r="C29" s="17">
        <f>C$11*Loads!$B51*LAFs!C247*(1-Contrib!C102)/(24*Input!$F$14)*100</f>
        <v>0.1105290234880635</v>
      </c>
      <c r="D29" s="17">
        <f>D$11*Loads!$B51*LAFs!D247*(1-Contrib!D102)/(24*Input!$F$14)*100</f>
        <v>0.1019502918898563</v>
      </c>
      <c r="E29" s="17">
        <f>E$11*Loads!$B51*LAFs!E247*(1-Contrib!E102)/(24*Input!$F$14)*100</f>
        <v>0.1553972966972893</v>
      </c>
      <c r="F29" s="17">
        <f>F$11*Loads!$B51*LAFs!F247*(1-Contrib!F102)/(24*Input!$F$14)*100</f>
        <v>0.1924288897329649</v>
      </c>
      <c r="G29" s="17">
        <f>G$11*Loads!$B51*LAFs!G247*(1-Contrib!G102)/(24*Input!$F$14)*100</f>
        <v>0</v>
      </c>
      <c r="H29" s="17">
        <f>H$11*Loads!$B51*LAFs!H247*(1-Contrib!H102)/(24*Input!$F$14)*100</f>
        <v>0.19568744672957264</v>
      </c>
      <c r="I29" s="17">
        <f>I$11*Loads!$B51*LAFs!I247*(1-Contrib!I102)/(24*Input!$F$14)*100</f>
        <v>0.16914294932652901</v>
      </c>
      <c r="J29" s="17">
        <f>J$11*Loads!$B51*LAFs!J247*(1-Contrib!J102)/(24*Input!$F$14)*100</f>
        <v>4.3098727783281695E-3</v>
      </c>
      <c r="K29" s="17">
        <f>K$11*Loads!$B51*LAFs!B247*(1-Contrib!K102)/(24*Input!$F$14)*100</f>
        <v>7.6287677765706857E-2</v>
      </c>
      <c r="L29" s="17">
        <f>L$11*Loads!$B51*LAFs!C247*(1-Contrib!L102)/(24*Input!$F$14)*100</f>
        <v>3.6490907625846454E-2</v>
      </c>
      <c r="M29" s="17">
        <f>M$11*Loads!$B51*LAFs!D247*(1-Contrib!M102)/(24*Input!$F$14)*100</f>
        <v>3.3658658752038974E-2</v>
      </c>
      <c r="N29" s="17">
        <f>N$11*Loads!$B51*LAFs!E247*(1-Contrib!N102)/(24*Input!$F$14)*100</f>
        <v>5.130406675219952E-2</v>
      </c>
      <c r="O29" s="17">
        <f>O$11*Loads!$B51*LAFs!F247*(1-Contrib!O102)/(24*Input!$F$14)*100</f>
        <v>6.3529963607686646E-2</v>
      </c>
      <c r="P29" s="17">
        <f>P$11*Loads!$B51*LAFs!G247*(1-Contrib!P102)/(24*Input!$F$14)*100</f>
        <v>0</v>
      </c>
      <c r="Q29" s="17">
        <f>Q$11*Loads!$B51*LAFs!H247*(1-Contrib!Q102)/(24*Input!$F$14)*100</f>
        <v>9.2293955493027491E-2</v>
      </c>
      <c r="R29" s="17">
        <f>R$11*Loads!$B51*LAFs!I247*(1-Contrib!R102)/(24*Input!$F$14)*100</f>
        <v>7.97745184885328E-2</v>
      </c>
      <c r="S29" s="17">
        <f>S$11*Loads!$B51*LAFs!J247*(1-Contrib!S102)/(24*Input!$F$14)*100</f>
        <v>4.742982566025828E-2</v>
      </c>
      <c r="T29" s="6"/>
    </row>
    <row r="30" spans="1:20" x14ac:dyDescent="0.2">
      <c r="A30" s="5" t="s">
        <v>58</v>
      </c>
      <c r="B30" s="17">
        <f>B$11*Loads!$B52*LAFs!B248*(1-Contrib!B103)/(24*Input!$F$14)*100</f>
        <v>0</v>
      </c>
      <c r="C30" s="17">
        <f>C$11*Loads!$B52*LAFs!C248*(1-Contrib!C103)/(24*Input!$F$14)*100</f>
        <v>0.10427219835965973</v>
      </c>
      <c r="D30" s="17">
        <f>D$11*Loads!$B52*LAFs!D248*(1-Contrib!D103)/(24*Input!$F$14)*100</f>
        <v>9.6179091457479021E-2</v>
      </c>
      <c r="E30" s="17">
        <f>E$11*Loads!$B52*LAFs!E248*(1-Contrib!E103)/(24*Input!$F$14)*100</f>
        <v>0.14660056910323235</v>
      </c>
      <c r="F30" s="17">
        <f>F$11*Loads!$B52*LAFs!F248*(1-Contrib!F103)/(24*Input!$F$14)*100</f>
        <v>0.18153587833454177</v>
      </c>
      <c r="G30" s="17">
        <f>G$11*Loads!$B52*LAFs!G248*(1-Contrib!G103)/(24*Input!$F$14)*100</f>
        <v>0</v>
      </c>
      <c r="H30" s="17">
        <f>H$11*Loads!$B52*LAFs!H248*(1-Contrib!H103)/(24*Input!$F$14)*100</f>
        <v>0.18460997499073117</v>
      </c>
      <c r="I30" s="17">
        <f>I$11*Loads!$B52*LAFs!I248*(1-Contrib!I103)/(24*Input!$F$14)*100</f>
        <v>6.8386332024179316E-3</v>
      </c>
      <c r="J30" s="17">
        <f>J$11*Loads!$B52*LAFs!J248*(1-Contrib!J103)/(24*Input!$F$14)*100</f>
        <v>0</v>
      </c>
      <c r="K30" s="17">
        <f>K$11*Loads!$B52*LAFs!B248*(1-Contrib!K103)/(24*Input!$F$14)*100</f>
        <v>7.1969186168035312E-2</v>
      </c>
      <c r="L30" s="17">
        <f>L$11*Loads!$B52*LAFs!C248*(1-Contrib!L103)/(24*Input!$F$14)*100</f>
        <v>3.4425230932192193E-2</v>
      </c>
      <c r="M30" s="17">
        <f>M$11*Loads!$B52*LAFs!D248*(1-Contrib!M103)/(24*Input!$F$14)*100</f>
        <v>3.1753309955658199E-2</v>
      </c>
      <c r="N30" s="17">
        <f>N$11*Loads!$B52*LAFs!E248*(1-Contrib!N103)/(24*Input!$F$14)*100</f>
        <v>4.8399846992408256E-2</v>
      </c>
      <c r="O30" s="17">
        <f>O$11*Loads!$B52*LAFs!F248*(1-Contrib!O103)/(24*Input!$F$14)*100</f>
        <v>5.9933660481475838E-2</v>
      </c>
      <c r="P30" s="17">
        <f>P$11*Loads!$B52*LAFs!G248*(1-Contrib!P103)/(24*Input!$F$14)*100</f>
        <v>0</v>
      </c>
      <c r="Q30" s="17">
        <f>Q$11*Loads!$B52*LAFs!H248*(1-Contrib!Q103)/(24*Input!$F$14)*100</f>
        <v>8.7069380791244155E-2</v>
      </c>
      <c r="R30" s="17">
        <f>R$11*Loads!$B52*LAFs!I248*(1-Contrib!R103)/(24*Input!$F$14)*100</f>
        <v>7.5258643869055439E-2</v>
      </c>
      <c r="S30" s="17">
        <f>S$11*Loads!$B52*LAFs!J248*(1-Contrib!S103)/(24*Input!$F$14)*100</f>
        <v>0</v>
      </c>
      <c r="T30" s="6"/>
    </row>
    <row r="31" spans="1:20" x14ac:dyDescent="0.2">
      <c r="A31" s="5" t="s">
        <v>72</v>
      </c>
      <c r="B31" s="17">
        <f>B$11*Loads!$B53*LAFs!B249*(1-Contrib!B104)/(24*Input!$F$14)*100</f>
        <v>0</v>
      </c>
      <c r="C31" s="17">
        <f>C$11*Loads!$B53*LAFs!C249*(1-Contrib!C104)/(24*Input!$F$14)*100</f>
        <v>0.10608573704048159</v>
      </c>
      <c r="D31" s="17">
        <f>D$11*Loads!$B53*LAFs!D249*(1-Contrib!D104)/(24*Input!$F$14)*100</f>
        <v>9.7851871981802535E-2</v>
      </c>
      <c r="E31" s="17">
        <f>E$11*Loads!$B53*LAFs!E249*(1-Contrib!E104)/(24*Input!$F$14)*100</f>
        <v>0.14915029766829216</v>
      </c>
      <c r="F31" s="17">
        <f>F$11*Loads!$B53*LAFs!F249*(1-Contrib!F104)/(24*Input!$F$14)*100</f>
        <v>7.9418082046887231E-2</v>
      </c>
      <c r="G31" s="17">
        <f>G$11*Loads!$B53*LAFs!G249*(1-Contrib!G104)/(24*Input!$F$14)*100</f>
        <v>0</v>
      </c>
      <c r="H31" s="17">
        <f>H$11*Loads!$B53*LAFs!H249*(1-Contrib!H104)/(24*Input!$F$14)*100</f>
        <v>2.41483855483271E-2</v>
      </c>
      <c r="I31" s="17">
        <f>I$11*Loads!$B53*LAFs!I249*(1-Contrib!I104)/(24*Input!$F$14)*100</f>
        <v>0</v>
      </c>
      <c r="J31" s="17">
        <f>J$11*Loads!$B53*LAFs!J249*(1-Contrib!J104)/(24*Input!$F$14)*100</f>
        <v>0</v>
      </c>
      <c r="K31" s="17">
        <f>K$11*Loads!$B53*LAFs!B249*(1-Contrib!K104)/(24*Input!$F$14)*100</f>
        <v>7.3220899520167859E-2</v>
      </c>
      <c r="L31" s="17">
        <f>L$11*Loads!$B53*LAFs!C249*(1-Contrib!L104)/(24*Input!$F$14)*100</f>
        <v>3.5023966634267018E-2</v>
      </c>
      <c r="M31" s="17">
        <f>M$11*Loads!$B53*LAFs!D249*(1-Contrib!M104)/(24*Input!$F$14)*100</f>
        <v>3.230557467007502E-2</v>
      </c>
      <c r="N31" s="17">
        <f>N$11*Loads!$B53*LAFs!E249*(1-Contrib!N104)/(24*Input!$F$14)*100</f>
        <v>4.9241634123085548E-2</v>
      </c>
      <c r="O31" s="17">
        <f>O$11*Loads!$B53*LAFs!F249*(1-Contrib!O104)/(24*Input!$F$14)*100</f>
        <v>6.0976047745543063E-2</v>
      </c>
      <c r="P31" s="17">
        <f>P$11*Loads!$B53*LAFs!G249*(1-Contrib!P104)/(24*Input!$F$14)*100</f>
        <v>0</v>
      </c>
      <c r="Q31" s="17">
        <f>Q$11*Loads!$B53*LAFs!H249*(1-Contrib!Q104)/(24*Input!$F$14)*100</f>
        <v>8.8583722029504819E-2</v>
      </c>
      <c r="R31" s="17">
        <f>R$11*Loads!$B53*LAFs!I249*(1-Contrib!R104)/(24*Input!$F$14)*100</f>
        <v>0</v>
      </c>
      <c r="S31" s="17">
        <f>S$11*Loads!$B53*LAFs!J249*(1-Contrib!S104)/(24*Input!$F$14)*100</f>
        <v>0</v>
      </c>
      <c r="T31" s="6"/>
    </row>
    <row r="32" spans="1:20" x14ac:dyDescent="0.2">
      <c r="A32" s="5" t="s">
        <v>59</v>
      </c>
      <c r="B32" s="17">
        <f>B$11*Loads!$B54*LAFs!B250*(1-Contrib!B105)/(24*Input!$F$14)*100</f>
        <v>0</v>
      </c>
      <c r="C32" s="17">
        <f>C$11*Loads!$B54*LAFs!C250*(1-Contrib!C105)/(24*Input!$F$14)*100</f>
        <v>8.5281231958534265E-2</v>
      </c>
      <c r="D32" s="17">
        <f>D$11*Loads!$B54*LAFs!D250*(1-Contrib!D105)/(24*Input!$F$14)*100</f>
        <v>7.8662112597403522E-2</v>
      </c>
      <c r="E32" s="17">
        <f>E$11*Loads!$B54*LAFs!E250*(1-Contrib!E105)/(24*Input!$F$14)*100</f>
        <v>0.11990038893994112</v>
      </c>
      <c r="F32" s="17">
        <f>F$11*Loads!$B54*LAFs!F250*(1-Contrib!F105)/(24*Input!$F$14)*100</f>
        <v>0.14847297354990602</v>
      </c>
      <c r="G32" s="17">
        <f>G$11*Loads!$B54*LAFs!G250*(1-Contrib!G105)/(24*Input!$F$14)*100</f>
        <v>0</v>
      </c>
      <c r="H32" s="17">
        <f>H$11*Loads!$B54*LAFs!H250*(1-Contrib!H105)/(24*Input!$F$14)*100</f>
        <v>0.15098718878775094</v>
      </c>
      <c r="I32" s="17">
        <f>I$11*Loads!$B54*LAFs!I250*(1-Contrib!I105)/(24*Input!$F$14)*100</f>
        <v>0.13050616607704052</v>
      </c>
      <c r="J32" s="17">
        <f>J$11*Loads!$B54*LAFs!J250*(1-Contrib!J105)/(24*Input!$F$14)*100</f>
        <v>3.3253823160761995E-3</v>
      </c>
      <c r="K32" s="17">
        <f>K$11*Loads!$B54*LAFs!B250*(1-Contrib!K105)/(24*Input!$F$14)*100</f>
        <v>5.8861527387127993E-2</v>
      </c>
      <c r="L32" s="17">
        <f>L$11*Loads!$B54*LAFs!C250*(1-Contrib!L105)/(24*Input!$F$14)*100</f>
        <v>2.815540624000298E-2</v>
      </c>
      <c r="M32" s="17">
        <f>M$11*Loads!$B54*LAFs!D250*(1-Contrib!M105)/(24*Input!$F$14)*100</f>
        <v>2.5970118923160281E-2</v>
      </c>
      <c r="N32" s="17">
        <f>N$11*Loads!$B54*LAFs!E250*(1-Contrib!N105)/(24*Input!$F$14)*100</f>
        <v>3.9584842777362982E-2</v>
      </c>
      <c r="O32" s="17">
        <f>O$11*Loads!$B54*LAFs!F250*(1-Contrib!O105)/(24*Input!$F$14)*100</f>
        <v>4.9018017094211178E-2</v>
      </c>
      <c r="P32" s="17">
        <f>P$11*Loads!$B54*LAFs!G250*(1-Contrib!P105)/(24*Input!$F$14)*100</f>
        <v>0</v>
      </c>
      <c r="Q32" s="17">
        <f>Q$11*Loads!$B54*LAFs!H250*(1-Contrib!Q105)/(24*Input!$F$14)*100</f>
        <v>7.1211542257238275E-2</v>
      </c>
      <c r="R32" s="17">
        <f>R$11*Loads!$B54*LAFs!I250*(1-Contrib!R105)/(24*Input!$F$14)*100</f>
        <v>6.1551880229319685E-2</v>
      </c>
      <c r="S32" s="17">
        <f>S$11*Loads!$B54*LAFs!J250*(1-Contrib!S105)/(24*Input!$F$14)*100</f>
        <v>3.6595582194048334E-2</v>
      </c>
      <c r="T32" s="6"/>
    </row>
    <row r="33" spans="1:20" x14ac:dyDescent="0.2">
      <c r="A33" s="5" t="s">
        <v>60</v>
      </c>
      <c r="B33" s="17">
        <f>B$11*Loads!$B55*LAFs!B251*(1-Contrib!B106)/(24*Input!$F$14)*100</f>
        <v>0</v>
      </c>
      <c r="C33" s="17">
        <f>C$11*Loads!$B55*LAFs!C251*(1-Contrib!C106)/(24*Input!$F$14)*100</f>
        <v>9.3185770851482691E-2</v>
      </c>
      <c r="D33" s="17">
        <f>D$11*Loads!$B55*LAFs!D251*(1-Contrib!D106)/(24*Input!$F$14)*100</f>
        <v>8.5953139170870385E-2</v>
      </c>
      <c r="E33" s="17">
        <f>E$11*Loads!$B55*LAFs!E251*(1-Contrib!E106)/(24*Input!$F$14)*100</f>
        <v>0.13101370503411089</v>
      </c>
      <c r="F33" s="17">
        <f>F$11*Loads!$B55*LAFs!F251*(1-Contrib!F106)/(24*Input!$F$14)*100</f>
        <v>0.16223462270792441</v>
      </c>
      <c r="G33" s="17">
        <f>G$11*Loads!$B55*LAFs!G251*(1-Contrib!G106)/(24*Input!$F$14)*100</f>
        <v>0</v>
      </c>
      <c r="H33" s="17">
        <f>H$11*Loads!$B55*LAFs!H251*(1-Contrib!H106)/(24*Input!$F$14)*100</f>
        <v>0.16498187529380448</v>
      </c>
      <c r="I33" s="17">
        <f>I$11*Loads!$B55*LAFs!I251*(1-Contrib!I106)/(24*Input!$F$14)*100</f>
        <v>6.1115361195300125E-3</v>
      </c>
      <c r="J33" s="17">
        <f>J$11*Loads!$B55*LAFs!J251*(1-Contrib!J106)/(24*Input!$F$14)*100</f>
        <v>0</v>
      </c>
      <c r="K33" s="17">
        <f>K$11*Loads!$B55*LAFs!B251*(1-Contrib!K106)/(24*Input!$F$14)*100</f>
        <v>6.4317279160931273E-2</v>
      </c>
      <c r="L33" s="17">
        <f>L$11*Loads!$B55*LAFs!C251*(1-Contrib!L106)/(24*Input!$F$14)*100</f>
        <v>3.0765071913912072E-2</v>
      </c>
      <c r="M33" s="17">
        <f>M$11*Loads!$B55*LAFs!D251*(1-Contrib!M106)/(24*Input!$F$14)*100</f>
        <v>2.8377234889571615E-2</v>
      </c>
      <c r="N33" s="17">
        <f>N$11*Loads!$B55*LAFs!E251*(1-Contrib!N106)/(24*Input!$F$14)*100</f>
        <v>4.3253879001617486E-2</v>
      </c>
      <c r="O33" s="17">
        <f>O$11*Loads!$B55*LAFs!F251*(1-Contrib!O106)/(24*Input!$F$14)*100</f>
        <v>5.3561394501854605E-2</v>
      </c>
      <c r="P33" s="17">
        <f>P$11*Loads!$B55*LAFs!G251*(1-Contrib!P106)/(24*Input!$F$14)*100</f>
        <v>0</v>
      </c>
      <c r="Q33" s="17">
        <f>Q$11*Loads!$B55*LAFs!H251*(1-Contrib!Q106)/(24*Input!$F$14)*100</f>
        <v>7.7811991060239519E-2</v>
      </c>
      <c r="R33" s="17">
        <f>R$11*Loads!$B55*LAFs!I251*(1-Contrib!R106)/(24*Input!$F$14)*100</f>
        <v>6.7256995177041437E-2</v>
      </c>
      <c r="S33" s="17">
        <f>S$11*Loads!$B55*LAFs!J251*(1-Contrib!S106)/(24*Input!$F$14)*100</f>
        <v>0</v>
      </c>
      <c r="T33" s="6"/>
    </row>
    <row r="34" spans="1:20" x14ac:dyDescent="0.2">
      <c r="A34" s="5" t="s">
        <v>73</v>
      </c>
      <c r="B34" s="17">
        <f>B$11*Loads!$B56*LAFs!B252*(1-Contrib!B107)/(24*Input!$F$14)*100</f>
        <v>0</v>
      </c>
      <c r="C34" s="17">
        <f>C$11*Loads!$B56*LAFs!C252*(1-Contrib!C107)/(24*Input!$F$14)*100</f>
        <v>8.1893668187458413E-2</v>
      </c>
      <c r="D34" s="17">
        <f>D$11*Loads!$B56*LAFs!D252*(1-Contrib!D107)/(24*Input!$F$14)*100</f>
        <v>7.5537475245532018E-2</v>
      </c>
      <c r="E34" s="17">
        <f>E$11*Loads!$B56*LAFs!E252*(1-Contrib!E107)/(24*Input!$F$14)*100</f>
        <v>0.11513767381044651</v>
      </c>
      <c r="F34" s="17">
        <f>F$11*Loads!$B56*LAFs!F252*(1-Contrib!F107)/(24*Input!$F$14)*100</f>
        <v>6.1307374965498998E-2</v>
      </c>
      <c r="G34" s="17">
        <f>G$11*Loads!$B56*LAFs!G252*(1-Contrib!G107)/(24*Input!$F$14)*100</f>
        <v>0</v>
      </c>
      <c r="H34" s="17">
        <f>H$11*Loads!$B56*LAFs!H252*(1-Contrib!H107)/(24*Input!$F$14)*100</f>
        <v>1.864152456802819E-2</v>
      </c>
      <c r="I34" s="17">
        <f>I$11*Loads!$B56*LAFs!I252*(1-Contrib!I107)/(24*Input!$F$14)*100</f>
        <v>0</v>
      </c>
      <c r="J34" s="17">
        <f>J$11*Loads!$B56*LAFs!J252*(1-Contrib!J107)/(24*Input!$F$14)*100</f>
        <v>0</v>
      </c>
      <c r="K34" s="17">
        <f>K$11*Loads!$B56*LAFs!B252*(1-Contrib!K107)/(24*Input!$F$14)*100</f>
        <v>5.6523414145708419E-2</v>
      </c>
      <c r="L34" s="17">
        <f>L$11*Loads!$B56*LAFs!C252*(1-Contrib!L107)/(24*Input!$F$14)*100</f>
        <v>2.7037009707165223E-2</v>
      </c>
      <c r="M34" s="17">
        <f>M$11*Loads!$B56*LAFs!D252*(1-Contrib!M107)/(24*Input!$F$14)*100</f>
        <v>2.4938526954162873E-2</v>
      </c>
      <c r="N34" s="17">
        <f>N$11*Loads!$B56*LAFs!E252*(1-Contrib!N107)/(24*Input!$F$14)*100</f>
        <v>3.8012443127443174E-2</v>
      </c>
      <c r="O34" s="17">
        <f>O$11*Loads!$B56*LAFs!F252*(1-Contrib!O107)/(24*Input!$F$14)*100</f>
        <v>4.7070910385913801E-2</v>
      </c>
      <c r="P34" s="17">
        <f>P$11*Loads!$B56*LAFs!G252*(1-Contrib!P107)/(24*Input!$F$14)*100</f>
        <v>0</v>
      </c>
      <c r="Q34" s="17">
        <f>Q$11*Loads!$B56*LAFs!H252*(1-Contrib!Q107)/(24*Input!$F$14)*100</f>
        <v>6.8382858441432812E-2</v>
      </c>
      <c r="R34" s="17">
        <f>R$11*Loads!$B56*LAFs!I252*(1-Contrib!R107)/(24*Input!$F$14)*100</f>
        <v>0</v>
      </c>
      <c r="S34" s="17">
        <f>S$11*Loads!$B56*LAFs!J252*(1-Contrib!S107)/(24*Input!$F$14)*100</f>
        <v>0</v>
      </c>
      <c r="T34" s="6"/>
    </row>
    <row r="35" spans="1:20" x14ac:dyDescent="0.2">
      <c r="A35" s="5" t="s">
        <v>74</v>
      </c>
      <c r="B35" s="17">
        <f>B$11*Loads!$B57*LAFs!B253*(1-Contrib!B108)/(24*Input!$F$14)*100</f>
        <v>0</v>
      </c>
      <c r="C35" s="17">
        <f>C$11*Loads!$B57*LAFs!C253*(1-Contrib!C108)/(24*Input!$F$14)*100</f>
        <v>8.0947831788758223E-2</v>
      </c>
      <c r="D35" s="17">
        <f>D$11*Loads!$B57*LAFs!D253*(1-Contrib!D108)/(24*Input!$F$14)*100</f>
        <v>7.4665050122388249E-2</v>
      </c>
      <c r="E35" s="17">
        <f>E$11*Loads!$B57*LAFs!E253*(1-Contrib!E108)/(24*Input!$F$14)*100</f>
        <v>4.8937389924380459E-2</v>
      </c>
      <c r="F35" s="17">
        <f>F$11*Loads!$B57*LAFs!F253*(1-Contrib!F108)/(24*Input!$F$14)*100</f>
        <v>1.1274288620913208E-2</v>
      </c>
      <c r="G35" s="17">
        <f>G$11*Loads!$B57*LAFs!G253*(1-Contrib!G108)/(24*Input!$F$14)*100</f>
        <v>0</v>
      </c>
      <c r="H35" s="17">
        <f>H$11*Loads!$B57*LAFs!H253*(1-Contrib!H108)/(24*Input!$F$14)*100</f>
        <v>0</v>
      </c>
      <c r="I35" s="17">
        <f>I$11*Loads!$B57*LAFs!I253*(1-Contrib!I108)/(24*Input!$F$14)*100</f>
        <v>0</v>
      </c>
      <c r="J35" s="17">
        <f>J$11*Loads!$B57*LAFs!J253*(1-Contrib!J108)/(24*Input!$F$14)*100</f>
        <v>0</v>
      </c>
      <c r="K35" s="17">
        <f>K$11*Loads!$B57*LAFs!B253*(1-Contrib!K108)/(24*Input!$F$14)*100</f>
        <v>5.5870593193111211E-2</v>
      </c>
      <c r="L35" s="17">
        <f>L$11*Loads!$B57*LAFs!C253*(1-Contrib!L108)/(24*Input!$F$14)*100</f>
        <v>2.6724743955013168E-2</v>
      </c>
      <c r="M35" s="17">
        <f>M$11*Loads!$B57*LAFs!D253*(1-Contrib!M108)/(24*Input!$F$14)*100</f>
        <v>2.4650497768936738E-2</v>
      </c>
      <c r="N35" s="17">
        <f>N$11*Loads!$B57*LAFs!E253*(1-Contrib!N108)/(24*Input!$F$14)*100</f>
        <v>3.7573415872843255E-2</v>
      </c>
      <c r="O35" s="17">
        <f>O$11*Loads!$B57*LAFs!F253*(1-Contrib!O108)/(24*Input!$F$14)*100</f>
        <v>4.6527261757780047E-2</v>
      </c>
      <c r="P35" s="17">
        <f>P$11*Loads!$B57*LAFs!G253*(1-Contrib!P108)/(24*Input!$F$14)*100</f>
        <v>0</v>
      </c>
      <c r="Q35" s="17">
        <f>Q$11*Loads!$B57*LAFs!H253*(1-Contrib!Q108)/(24*Input!$F$14)*100</f>
        <v>0</v>
      </c>
      <c r="R35" s="17">
        <f>R$11*Loads!$B57*LAFs!I253*(1-Contrib!R108)/(24*Input!$F$14)*100</f>
        <v>0</v>
      </c>
      <c r="S35" s="17">
        <f>S$11*Loads!$B57*LAFs!J253*(1-Contrib!S108)/(24*Input!$F$14)*100</f>
        <v>0</v>
      </c>
      <c r="T35" s="6"/>
    </row>
    <row r="36" spans="1:20" x14ac:dyDescent="0.2">
      <c r="A36" s="5" t="s">
        <v>96</v>
      </c>
      <c r="B36" s="17">
        <f>B$11*Loads!$B58*LAFs!B254*(1-Contrib!B109)/(24*Input!$F$14)*100</f>
        <v>0</v>
      </c>
      <c r="C36" s="17">
        <f>C$11*Loads!$B58*LAFs!C254*(1-Contrib!C109)/(24*Input!$F$14)*100</f>
        <v>7.3062876189217529E-2</v>
      </c>
      <c r="D36" s="17">
        <f>D$11*Loads!$B58*LAFs!D254*(1-Contrib!D109)/(24*Input!$F$14)*100</f>
        <v>6.7392086881212551E-2</v>
      </c>
      <c r="E36" s="17">
        <f>E$11*Loads!$B58*LAFs!E254*(1-Contrib!E109)/(24*Input!$F$14)*100</f>
        <v>0.10272210040794662</v>
      </c>
      <c r="F36" s="17">
        <f>F$11*Loads!$B58*LAFs!F254*(1-Contrib!F109)/(24*Input!$F$14)*100</f>
        <v>0.12720105273803078</v>
      </c>
      <c r="G36" s="17">
        <f>G$11*Loads!$B58*LAFs!G254*(1-Contrib!G109)/(24*Input!$F$14)*100</f>
        <v>0</v>
      </c>
      <c r="H36" s="17">
        <f>H$11*Loads!$B58*LAFs!H254*(1-Contrib!H109)/(24*Input!$F$14)*100</f>
        <v>0.12935505300769179</v>
      </c>
      <c r="I36" s="17">
        <f>I$11*Loads!$B58*LAFs!I254*(1-Contrib!I109)/(24*Input!$F$14)*100</f>
        <v>0.11180837371876251</v>
      </c>
      <c r="J36" s="17">
        <f>J$11*Loads!$B58*LAFs!J254*(1-Contrib!J109)/(24*Input!$F$14)*100</f>
        <v>2.8489503594345657E-3</v>
      </c>
      <c r="K36" s="17">
        <f>K$11*Loads!$B58*LAFs!B254*(1-Contrib!K109)/(24*Input!$F$14)*100</f>
        <v>5.0428357905113505E-2</v>
      </c>
      <c r="L36" s="17">
        <f>L$11*Loads!$B58*LAFs!C254*(1-Contrib!L109)/(24*Input!$F$14)*100</f>
        <v>2.4121543661220535E-2</v>
      </c>
      <c r="M36" s="17">
        <f>M$11*Loads!$B58*LAFs!D254*(1-Contrib!M109)/(24*Input!$F$14)*100</f>
        <v>2.2249345370909987E-2</v>
      </c>
      <c r="N36" s="17">
        <f>N$11*Loads!$B58*LAFs!E254*(1-Contrib!N109)/(24*Input!$F$14)*100</f>
        <v>3.3913469592211802E-2</v>
      </c>
      <c r="O36" s="17">
        <f>O$11*Loads!$B58*LAFs!F254*(1-Contrib!O109)/(24*Input!$F$14)*100</f>
        <v>4.1995140451731042E-2</v>
      </c>
      <c r="P36" s="17">
        <f>P$11*Loads!$B58*LAFs!G254*(1-Contrib!P109)/(24*Input!$F$14)*100</f>
        <v>0</v>
      </c>
      <c r="Q36" s="17">
        <f>Q$11*Loads!$B58*LAFs!H254*(1-Contrib!Q109)/(24*Input!$F$14)*100</f>
        <v>6.100896968413419E-2</v>
      </c>
      <c r="R36" s="17">
        <f>R$11*Loads!$B58*LAFs!I254*(1-Contrib!R109)/(24*Input!$F$14)*100</f>
        <v>5.2733260309782509E-2</v>
      </c>
      <c r="S36" s="17">
        <f>S$11*Loads!$B58*LAFs!J254*(1-Contrib!S109)/(24*Input!$F$14)*100</f>
        <v>3.1352484356888054E-2</v>
      </c>
      <c r="T36" s="6"/>
    </row>
    <row r="37" spans="1:20" x14ac:dyDescent="0.2">
      <c r="A37" s="5" t="s">
        <v>97</v>
      </c>
      <c r="B37" s="17">
        <f>B$11*Loads!$B59*LAFs!B255*(1-Contrib!B110)/(24*Input!$F$14)*100</f>
        <v>0</v>
      </c>
      <c r="C37" s="17">
        <f>C$11*Loads!$B59*LAFs!C255*(1-Contrib!C110)/(24*Input!$F$14)*100</f>
        <v>0.15403169646933368</v>
      </c>
      <c r="D37" s="17">
        <f>D$11*Loads!$B59*LAFs!D255*(1-Contrib!D110)/(24*Input!$F$14)*100</f>
        <v>0.1420764964691307</v>
      </c>
      <c r="E37" s="17">
        <f>E$11*Loads!$B59*LAFs!E255*(1-Contrib!E110)/(24*Input!$F$14)*100</f>
        <v>0.2165594925356128</v>
      </c>
      <c r="F37" s="17">
        <f>F$11*Loads!$B59*LAFs!F255*(1-Contrib!F110)/(24*Input!$F$14)*100</f>
        <v>0.26816620105650263</v>
      </c>
      <c r="G37" s="17">
        <f>G$11*Loads!$B59*LAFs!G255*(1-Contrib!G110)/(24*Input!$F$14)*100</f>
        <v>0</v>
      </c>
      <c r="H37" s="17">
        <f>H$11*Loads!$B59*LAFs!H255*(1-Contrib!H110)/(24*Input!$F$14)*100</f>
        <v>0.27270728037114716</v>
      </c>
      <c r="I37" s="17">
        <f>I$11*Loads!$B59*LAFs!I255*(1-Contrib!I110)/(24*Input!$F$14)*100</f>
        <v>0.23571524119549847</v>
      </c>
      <c r="J37" s="17">
        <f>J$11*Loads!$B59*LAFs!J255*(1-Contrib!J110)/(24*Input!$F$14)*100</f>
        <v>6.0061782386468046E-3</v>
      </c>
      <c r="K37" s="17">
        <f>K$11*Loads!$B59*LAFs!B255*(1-Contrib!K110)/(24*Input!$F$14)*100</f>
        <v>0.10631343745859392</v>
      </c>
      <c r="L37" s="17">
        <f>L$11*Loads!$B59*LAFs!C255*(1-Contrib!L110)/(24*Input!$F$14)*100</f>
        <v>5.0853216919281699E-2</v>
      </c>
      <c r="M37" s="17">
        <f>M$11*Loads!$B59*LAFs!D255*(1-Contrib!M110)/(24*Input!$F$14)*100</f>
        <v>4.6906234623694532E-2</v>
      </c>
      <c r="N37" s="17">
        <f>N$11*Loads!$B59*LAFs!E255*(1-Contrib!N110)/(24*Input!$F$14)*100</f>
        <v>7.1496627656994091E-2</v>
      </c>
      <c r="O37" s="17">
        <f>O$11*Loads!$B59*LAFs!F255*(1-Contrib!O110)/(24*Input!$F$14)*100</f>
        <v>8.8534465991946434E-2</v>
      </c>
      <c r="P37" s="17">
        <f>P$11*Loads!$B59*LAFs!G255*(1-Contrib!P110)/(24*Input!$F$14)*100</f>
        <v>0</v>
      </c>
      <c r="Q37" s="17">
        <f>Q$11*Loads!$B59*LAFs!H255*(1-Contrib!Q110)/(24*Input!$F$14)*100</f>
        <v>0.12861956153979295</v>
      </c>
      <c r="R37" s="17">
        <f>R$11*Loads!$B59*LAFs!I255*(1-Contrib!R110)/(24*Input!$F$14)*100</f>
        <v>0.11117264977139642</v>
      </c>
      <c r="S37" s="17">
        <f>S$11*Loads!$B59*LAFs!J255*(1-Contrib!S110)/(24*Input!$F$14)*100</f>
        <v>6.6097539624814391E-2</v>
      </c>
      <c r="T37" s="6"/>
    </row>
    <row r="38" spans="1:20" x14ac:dyDescent="0.2">
      <c r="A38" s="5" t="s">
        <v>98</v>
      </c>
      <c r="B38" s="17">
        <f>B$11*Loads!$B60*LAFs!B256*(1-Contrib!B111)/(24*Input!$F$14)*100</f>
        <v>0</v>
      </c>
      <c r="C38" s="17">
        <f>C$11*Loads!$B60*LAFs!C256*(1-Contrib!C111)/(24*Input!$F$14)*100</f>
        <v>0.28316731623194691</v>
      </c>
      <c r="D38" s="17">
        <f>D$11*Loads!$B60*LAFs!D256*(1-Contrib!D111)/(24*Input!$F$14)*100</f>
        <v>0.26118923005442019</v>
      </c>
      <c r="E38" s="17">
        <f>E$11*Loads!$B60*LAFs!E256*(1-Contrib!E111)/(24*Input!$F$14)*100</f>
        <v>0.39811656763821068</v>
      </c>
      <c r="F38" s="17">
        <f>F$11*Loads!$B60*LAFs!F256*(1-Contrib!F111)/(24*Input!$F$14)*100</f>
        <v>0.49298881462624583</v>
      </c>
      <c r="G38" s="17">
        <f>G$11*Loads!$B60*LAFs!G256*(1-Contrib!G111)/(24*Input!$F$14)*100</f>
        <v>0</v>
      </c>
      <c r="H38" s="17">
        <f>H$11*Loads!$B60*LAFs!H256*(1-Contrib!H111)/(24*Input!$F$14)*100</f>
        <v>0.50133700056328967</v>
      </c>
      <c r="I38" s="17">
        <f>I$11*Loads!$B60*LAFs!I256*(1-Contrib!I111)/(24*Input!$F$14)*100</f>
        <v>0.43333192955895317</v>
      </c>
      <c r="J38" s="17">
        <f>J$11*Loads!$B60*LAFs!J256*(1-Contrib!J111)/(24*Input!$F$14)*100</f>
        <v>1.1041580477476219E-2</v>
      </c>
      <c r="K38" s="17">
        <f>K$11*Loads!$B60*LAFs!B256*(1-Contrib!K111)/(24*Input!$F$14)*100</f>
        <v>0.1954434798459582</v>
      </c>
      <c r="L38" s="17">
        <f>L$11*Loads!$B60*LAFs!C256*(1-Contrib!L111)/(24*Input!$F$14)*100</f>
        <v>9.3487050307603001E-2</v>
      </c>
      <c r="M38" s="17">
        <f>M$11*Loads!$B60*LAFs!D256*(1-Contrib!M111)/(24*Input!$F$14)*100</f>
        <v>8.6231034763562392E-2</v>
      </c>
      <c r="N38" s="17">
        <f>N$11*Loads!$B60*LAFs!E256*(1-Contrib!N111)/(24*Input!$F$14)*100</f>
        <v>0.13143728620359968</v>
      </c>
      <c r="O38" s="17">
        <f>O$11*Loads!$B60*LAFs!F256*(1-Contrib!O111)/(24*Input!$F$14)*100</f>
        <v>0.16275914440739322</v>
      </c>
      <c r="P38" s="17">
        <f>P$11*Loads!$B60*LAFs!G256*(1-Contrib!P111)/(24*Input!$F$14)*100</f>
        <v>0</v>
      </c>
      <c r="Q38" s="17">
        <f>Q$11*Loads!$B60*LAFs!H256*(1-Contrib!Q111)/(24*Input!$F$14)*100</f>
        <v>0.23645039878791418</v>
      </c>
      <c r="R38" s="17">
        <f>R$11*Loads!$B60*LAFs!I256*(1-Contrib!R111)/(24*Input!$F$14)*100</f>
        <v>0.20437651207995339</v>
      </c>
      <c r="S38" s="17">
        <f>S$11*Loads!$B60*LAFs!J256*(1-Contrib!S111)/(24*Input!$F$14)*100</f>
        <v>0.12151176241066573</v>
      </c>
      <c r="T38" s="6"/>
    </row>
    <row r="39" spans="1:20" x14ac:dyDescent="0.2">
      <c r="A39" s="5" t="s">
        <v>99</v>
      </c>
      <c r="B39" s="17">
        <f>B$11*Loads!$B61*LAFs!B257*(1-Contrib!B112)/(24*Input!$F$14)*100</f>
        <v>0</v>
      </c>
      <c r="C39" s="17">
        <f>C$11*Loads!$B61*LAFs!C257*(1-Contrib!C112)/(24*Input!$F$14)*100</f>
        <v>0</v>
      </c>
      <c r="D39" s="17">
        <f>D$11*Loads!$B61*LAFs!D257*(1-Contrib!D112)/(24*Input!$F$14)*100</f>
        <v>0</v>
      </c>
      <c r="E39" s="17">
        <f>E$11*Loads!$B61*LAFs!E257*(1-Contrib!E112)/(24*Input!$F$14)*100</f>
        <v>0</v>
      </c>
      <c r="F39" s="17">
        <f>F$11*Loads!$B61*LAFs!F257*(1-Contrib!F112)/(24*Input!$F$14)*100</f>
        <v>0</v>
      </c>
      <c r="G39" s="17">
        <f>G$11*Loads!$B61*LAFs!G257*(1-Contrib!G112)/(24*Input!$F$14)*100</f>
        <v>0</v>
      </c>
      <c r="H39" s="17">
        <f>H$11*Loads!$B61*LAFs!H257*(1-Contrib!H112)/(24*Input!$F$14)*100</f>
        <v>0</v>
      </c>
      <c r="I39" s="17">
        <f>I$11*Loads!$B61*LAFs!I257*(1-Contrib!I112)/(24*Input!$F$14)*100</f>
        <v>0</v>
      </c>
      <c r="J39" s="17">
        <f>J$11*Loads!$B61*LAFs!J257*(1-Contrib!J112)/(24*Input!$F$14)*100</f>
        <v>0</v>
      </c>
      <c r="K39" s="17">
        <f>K$11*Loads!$B61*LAFs!B257*(1-Contrib!K112)/(24*Input!$F$14)*100</f>
        <v>0</v>
      </c>
      <c r="L39" s="17">
        <f>L$11*Loads!$B61*LAFs!C257*(1-Contrib!L112)/(24*Input!$F$14)*100</f>
        <v>0</v>
      </c>
      <c r="M39" s="17">
        <f>M$11*Loads!$B61*LAFs!D257*(1-Contrib!M112)/(24*Input!$F$14)*100</f>
        <v>0</v>
      </c>
      <c r="N39" s="17">
        <f>N$11*Loads!$B61*LAFs!E257*(1-Contrib!N112)/(24*Input!$F$14)*100</f>
        <v>0</v>
      </c>
      <c r="O39" s="17">
        <f>O$11*Loads!$B61*LAFs!F257*(1-Contrib!O112)/(24*Input!$F$14)*100</f>
        <v>0</v>
      </c>
      <c r="P39" s="17">
        <f>P$11*Loads!$B61*LAFs!G257*(1-Contrib!P112)/(24*Input!$F$14)*100</f>
        <v>0</v>
      </c>
      <c r="Q39" s="17">
        <f>Q$11*Loads!$B61*LAFs!H257*(1-Contrib!Q112)/(24*Input!$F$14)*100</f>
        <v>0</v>
      </c>
      <c r="R39" s="17">
        <f>R$11*Loads!$B61*LAFs!I257*(1-Contrib!R112)/(24*Input!$F$14)*100</f>
        <v>0</v>
      </c>
      <c r="S39" s="17">
        <f>S$11*Loads!$B61*LAFs!J257*(1-Contrib!S112)/(24*Input!$F$14)*100</f>
        <v>0</v>
      </c>
      <c r="T39" s="6"/>
    </row>
    <row r="40" spans="1:20" x14ac:dyDescent="0.2">
      <c r="A40" s="5" t="s">
        <v>100</v>
      </c>
      <c r="B40" s="17">
        <f>B$11*Loads!$B62*LAFs!B258*(1-Contrib!B113)/(24*Input!$F$14)*100</f>
        <v>0</v>
      </c>
      <c r="C40" s="17">
        <f>C$11*Loads!$B62*LAFs!C258*(1-Contrib!C113)/(24*Input!$F$14)*100</f>
        <v>0.1155262026633098</v>
      </c>
      <c r="D40" s="17">
        <f>D$11*Loads!$B62*LAFs!D258*(1-Contrib!D113)/(24*Input!$F$14)*100</f>
        <v>0.10655961403407384</v>
      </c>
      <c r="E40" s="17">
        <f>E$11*Loads!$B62*LAFs!E258*(1-Contrib!E113)/(24*Input!$F$14)*100</f>
        <v>0.16242303627626178</v>
      </c>
      <c r="F40" s="17">
        <f>F$11*Loads!$B62*LAFs!F258*(1-Contrib!F113)/(24*Input!$F$14)*100</f>
        <v>0.20112888191730904</v>
      </c>
      <c r="G40" s="17">
        <f>G$11*Loads!$B62*LAFs!G258*(1-Contrib!G113)/(24*Input!$F$14)*100</f>
        <v>0</v>
      </c>
      <c r="H40" s="17">
        <f>H$11*Loads!$B62*LAFs!H258*(1-Contrib!H113)/(24*Input!$F$14)*100</f>
        <v>0.2045347630524183</v>
      </c>
      <c r="I40" s="17">
        <f>I$11*Loads!$B62*LAFs!I258*(1-Contrib!I113)/(24*Input!$F$14)*100</f>
        <v>0.17679015001047924</v>
      </c>
      <c r="J40" s="17">
        <f>J$11*Loads!$B62*LAFs!J258*(1-Contrib!J113)/(24*Input!$F$14)*100</f>
        <v>4.5047284444342615E-3</v>
      </c>
      <c r="K40" s="17">
        <f>K$11*Loads!$B62*LAFs!B258*(1-Contrib!K113)/(24*Input!$F$14)*100</f>
        <v>7.9736755506811308E-2</v>
      </c>
      <c r="L40" s="17">
        <f>L$11*Loads!$B62*LAFs!C258*(1-Contrib!L113)/(24*Input!$F$14)*100</f>
        <v>3.8140715051254583E-2</v>
      </c>
      <c r="M40" s="17">
        <f>M$11*Loads!$B62*LAFs!D258*(1-Contrib!M113)/(24*Input!$F$14)*100</f>
        <v>3.5180416054097968E-2</v>
      </c>
      <c r="N40" s="17">
        <f>N$11*Loads!$B62*LAFs!E258*(1-Contrib!N113)/(24*Input!$F$14)*100</f>
        <v>5.3623598816166643E-2</v>
      </c>
      <c r="O40" s="17">
        <f>O$11*Loads!$B62*LAFs!F258*(1-Contrib!O113)/(24*Input!$F$14)*100</f>
        <v>6.6402246390305938E-2</v>
      </c>
      <c r="P40" s="17">
        <f>P$11*Loads!$B62*LAFs!G258*(1-Contrib!P113)/(24*Input!$F$14)*100</f>
        <v>0</v>
      </c>
      <c r="Q40" s="17">
        <f>Q$11*Loads!$B62*LAFs!H258*(1-Contrib!Q113)/(24*Input!$F$14)*100</f>
        <v>9.6466700513620871E-2</v>
      </c>
      <c r="R40" s="17">
        <f>R$11*Loads!$B62*LAFs!I258*(1-Contrib!R113)/(24*Input!$F$14)*100</f>
        <v>8.3381241410039927E-2</v>
      </c>
      <c r="S40" s="17">
        <f>S$11*Loads!$B62*LAFs!J258*(1-Contrib!S113)/(24*Input!$F$14)*100</f>
        <v>4.9574197605248824E-2</v>
      </c>
      <c r="T40" s="6"/>
    </row>
    <row r="41" spans="1:20" x14ac:dyDescent="0.2">
      <c r="A41" s="5" t="s">
        <v>61</v>
      </c>
      <c r="B41" s="17">
        <f>B$11*Loads!$B63*LAFs!B259*(1-Contrib!B114)/(24*Input!$F$14)*100</f>
        <v>0</v>
      </c>
      <c r="C41" s="17">
        <f>C$11*Loads!$B63*LAFs!C259*(1-Contrib!C114)/(24*Input!$F$14)*100</f>
        <v>-7.3062876189217529E-2</v>
      </c>
      <c r="D41" s="17">
        <f>D$11*Loads!$B63*LAFs!D259*(1-Contrib!D114)/(24*Input!$F$14)*100</f>
        <v>-6.7392086881212551E-2</v>
      </c>
      <c r="E41" s="17">
        <f>E$11*Loads!$B63*LAFs!E259*(1-Contrib!E114)/(24*Input!$F$14)*100</f>
        <v>-0.10272210040794662</v>
      </c>
      <c r="F41" s="17">
        <f>F$11*Loads!$B63*LAFs!F259*(1-Contrib!F114)/(24*Input!$F$14)*100</f>
        <v>-0.12720105273803078</v>
      </c>
      <c r="G41" s="17">
        <f>G$11*Loads!$B63*LAFs!G259*(1-Contrib!G114)/(24*Input!$F$14)*100</f>
        <v>0</v>
      </c>
      <c r="H41" s="17">
        <f>H$11*Loads!$B63*LAFs!H259*(1-Contrib!H114)/(24*Input!$F$14)*100</f>
        <v>-0.12935505300769179</v>
      </c>
      <c r="I41" s="17">
        <f>I$11*Loads!$B63*LAFs!I259*(1-Contrib!I114)/(24*Input!$F$14)*100</f>
        <v>-0.11180837371876251</v>
      </c>
      <c r="J41" s="17">
        <f>J$11*Loads!$B63*LAFs!J259*(1-Contrib!J114)/(24*Input!$F$14)*100</f>
        <v>0</v>
      </c>
      <c r="K41" s="17">
        <f>K$11*Loads!$B63*LAFs!B259*(1-Contrib!K114)/(24*Input!$F$14)*100</f>
        <v>-5.0428357905113505E-2</v>
      </c>
      <c r="L41" s="17">
        <f>L$11*Loads!$B63*LAFs!C259*(1-Contrib!L114)/(24*Input!$F$14)*100</f>
        <v>-2.4121543661220535E-2</v>
      </c>
      <c r="M41" s="17">
        <f>M$11*Loads!$B63*LAFs!D259*(1-Contrib!M114)/(24*Input!$F$14)*100</f>
        <v>-2.2249345370909987E-2</v>
      </c>
      <c r="N41" s="17">
        <f>N$11*Loads!$B63*LAFs!E259*(1-Contrib!N114)/(24*Input!$F$14)*100</f>
        <v>-3.3913469592211802E-2</v>
      </c>
      <c r="O41" s="17">
        <f>O$11*Loads!$B63*LAFs!F259*(1-Contrib!O114)/(24*Input!$F$14)*100</f>
        <v>-4.1995140451731042E-2</v>
      </c>
      <c r="P41" s="17">
        <f>P$11*Loads!$B63*LAFs!G259*(1-Contrib!P114)/(24*Input!$F$14)*100</f>
        <v>0</v>
      </c>
      <c r="Q41" s="17">
        <f>Q$11*Loads!$B63*LAFs!H259*(1-Contrib!Q114)/(24*Input!$F$14)*100</f>
        <v>-6.100896968413419E-2</v>
      </c>
      <c r="R41" s="17">
        <f>R$11*Loads!$B63*LAFs!I259*(1-Contrib!R114)/(24*Input!$F$14)*100</f>
        <v>-5.2733260309782509E-2</v>
      </c>
      <c r="S41" s="17">
        <f>S$11*Loads!$B63*LAFs!J259*(1-Contrib!S114)/(24*Input!$F$14)*100</f>
        <v>0</v>
      </c>
      <c r="T41" s="6"/>
    </row>
    <row r="42" spans="1:20" x14ac:dyDescent="0.2">
      <c r="A42" s="5" t="s">
        <v>62</v>
      </c>
      <c r="B42" s="17">
        <f>B$11*Loads!$B64*LAFs!B260*(1-Contrib!B115)/(24*Input!$F$14)*100</f>
        <v>0</v>
      </c>
      <c r="C42" s="17">
        <f>C$11*Loads!$B64*LAFs!C260*(1-Contrib!C115)/(24*Input!$F$14)*100</f>
        <v>-6.9747863657946316E-2</v>
      </c>
      <c r="D42" s="17">
        <f>D$11*Loads!$B64*LAFs!D260*(1-Contrib!D115)/(24*Input!$F$14)*100</f>
        <v>-6.4334369690594931E-2</v>
      </c>
      <c r="E42" s="17">
        <f>E$11*Loads!$B64*LAFs!E260*(1-Contrib!E115)/(24*Input!$F$14)*100</f>
        <v>-9.806138804823944E-2</v>
      </c>
      <c r="F42" s="17">
        <f>F$11*Loads!$B64*LAFs!F260*(1-Contrib!F115)/(24*Input!$F$14)*100</f>
        <v>-0.1214296801092635</v>
      </c>
      <c r="G42" s="17">
        <f>G$11*Loads!$B64*LAFs!G260*(1-Contrib!G115)/(24*Input!$F$14)*100</f>
        <v>0</v>
      </c>
      <c r="H42" s="17">
        <f>H$11*Loads!$B64*LAFs!H260*(1-Contrib!H115)/(24*Input!$F$14)*100</f>
        <v>-0.12348594896923028</v>
      </c>
      <c r="I42" s="17">
        <f>I$11*Loads!$B64*LAFs!I260*(1-Contrib!I115)/(24*Input!$F$14)*100</f>
        <v>0</v>
      </c>
      <c r="J42" s="17">
        <f>J$11*Loads!$B64*LAFs!J260*(1-Contrib!J115)/(24*Input!$F$14)*100</f>
        <v>0</v>
      </c>
      <c r="K42" s="17">
        <f>K$11*Loads!$B64*LAFs!B260*(1-Contrib!K115)/(24*Input!$F$14)*100</f>
        <v>-4.8140319887640115E-2</v>
      </c>
      <c r="L42" s="17">
        <f>L$11*Loads!$B64*LAFs!C260*(1-Contrib!L115)/(24*Input!$F$14)*100</f>
        <v>-2.3027099756446463E-2</v>
      </c>
      <c r="M42" s="17">
        <f>M$11*Loads!$B64*LAFs!D260*(1-Contrib!M115)/(24*Input!$F$14)*100</f>
        <v>-2.1239846942102819E-2</v>
      </c>
      <c r="N42" s="17">
        <f>N$11*Loads!$B64*LAFs!E260*(1-Contrib!N115)/(24*Input!$F$14)*100</f>
        <v>-3.2374745926503461E-2</v>
      </c>
      <c r="O42" s="17">
        <f>O$11*Loads!$B64*LAFs!F260*(1-Contrib!O115)/(24*Input!$F$14)*100</f>
        <v>-4.0089734805100773E-2</v>
      </c>
      <c r="P42" s="17">
        <f>P$11*Loads!$B64*LAFs!G260*(1-Contrib!P115)/(24*Input!$F$14)*100</f>
        <v>0</v>
      </c>
      <c r="Q42" s="17">
        <f>Q$11*Loads!$B64*LAFs!H260*(1-Contrib!Q115)/(24*Input!$F$14)*100</f>
        <v>-5.8240867611351325E-2</v>
      </c>
      <c r="R42" s="17">
        <f>R$11*Loads!$B64*LAFs!I260*(1-Contrib!R115)/(24*Input!$F$14)*100</f>
        <v>0</v>
      </c>
      <c r="S42" s="17">
        <f>S$11*Loads!$B64*LAFs!J260*(1-Contrib!S115)/(24*Input!$F$14)*100</f>
        <v>0</v>
      </c>
      <c r="T42" s="6"/>
    </row>
    <row r="43" spans="1:20" x14ac:dyDescent="0.2">
      <c r="A43" s="5" t="s">
        <v>63</v>
      </c>
      <c r="B43" s="17">
        <f>B$11*Loads!$B65*LAFs!B261*(1-Contrib!B116)/(24*Input!$F$14)*100</f>
        <v>0</v>
      </c>
      <c r="C43" s="17">
        <f>C$11*Loads!$B65*LAFs!C261*(1-Contrib!C116)/(24*Input!$F$14)*100</f>
        <v>-7.3062876189217529E-2</v>
      </c>
      <c r="D43" s="17">
        <f>D$11*Loads!$B65*LAFs!D261*(1-Contrib!D116)/(24*Input!$F$14)*100</f>
        <v>-6.7392086881212551E-2</v>
      </c>
      <c r="E43" s="17">
        <f>E$11*Loads!$B65*LAFs!E261*(1-Contrib!E116)/(24*Input!$F$14)*100</f>
        <v>-0.10272210040794662</v>
      </c>
      <c r="F43" s="17">
        <f>F$11*Loads!$B65*LAFs!F261*(1-Contrib!F116)/(24*Input!$F$14)*100</f>
        <v>-0.12720105273803078</v>
      </c>
      <c r="G43" s="17">
        <f>G$11*Loads!$B65*LAFs!G261*(1-Contrib!G116)/(24*Input!$F$14)*100</f>
        <v>0</v>
      </c>
      <c r="H43" s="17">
        <f>H$11*Loads!$B65*LAFs!H261*(1-Contrib!H116)/(24*Input!$F$14)*100</f>
        <v>-0.12935505300769179</v>
      </c>
      <c r="I43" s="17">
        <f>I$11*Loads!$B65*LAFs!I261*(1-Contrib!I116)/(24*Input!$F$14)*100</f>
        <v>-0.11180837371876251</v>
      </c>
      <c r="J43" s="17">
        <f>J$11*Loads!$B65*LAFs!J261*(1-Contrib!J116)/(24*Input!$F$14)*100</f>
        <v>0</v>
      </c>
      <c r="K43" s="17">
        <f>K$11*Loads!$B65*LAFs!B261*(1-Contrib!K116)/(24*Input!$F$14)*100</f>
        <v>-5.0428357905113505E-2</v>
      </c>
      <c r="L43" s="17">
        <f>L$11*Loads!$B65*LAFs!C261*(1-Contrib!L116)/(24*Input!$F$14)*100</f>
        <v>-2.4121543661220535E-2</v>
      </c>
      <c r="M43" s="17">
        <f>M$11*Loads!$B65*LAFs!D261*(1-Contrib!M116)/(24*Input!$F$14)*100</f>
        <v>-2.2249345370909987E-2</v>
      </c>
      <c r="N43" s="17">
        <f>N$11*Loads!$B65*LAFs!E261*(1-Contrib!N116)/(24*Input!$F$14)*100</f>
        <v>-3.3913469592211802E-2</v>
      </c>
      <c r="O43" s="17">
        <f>O$11*Loads!$B65*LAFs!F261*(1-Contrib!O116)/(24*Input!$F$14)*100</f>
        <v>-4.1995140451731042E-2</v>
      </c>
      <c r="P43" s="17">
        <f>P$11*Loads!$B65*LAFs!G261*(1-Contrib!P116)/(24*Input!$F$14)*100</f>
        <v>0</v>
      </c>
      <c r="Q43" s="17">
        <f>Q$11*Loads!$B65*LAFs!H261*(1-Contrib!Q116)/(24*Input!$F$14)*100</f>
        <v>-6.100896968413419E-2</v>
      </c>
      <c r="R43" s="17">
        <f>R$11*Loads!$B65*LAFs!I261*(1-Contrib!R116)/(24*Input!$F$14)*100</f>
        <v>-5.2733260309782509E-2</v>
      </c>
      <c r="S43" s="17">
        <f>S$11*Loads!$B65*LAFs!J261*(1-Contrib!S116)/(24*Input!$F$14)*100</f>
        <v>0</v>
      </c>
      <c r="T43" s="6"/>
    </row>
    <row r="44" spans="1:20" x14ac:dyDescent="0.2">
      <c r="A44" s="5" t="s">
        <v>64</v>
      </c>
      <c r="B44" s="17">
        <f>B$11*Loads!$B66*LAFs!B262*(1-Contrib!B117)/(24*Input!$F$14)*100</f>
        <v>0</v>
      </c>
      <c r="C44" s="17">
        <f>C$11*Loads!$B66*LAFs!C262*(1-Contrib!C117)/(24*Input!$F$14)*100</f>
        <v>-7.3062876189217529E-2</v>
      </c>
      <c r="D44" s="17">
        <f>D$11*Loads!$B66*LAFs!D262*(1-Contrib!D117)/(24*Input!$F$14)*100</f>
        <v>-6.7392086881212551E-2</v>
      </c>
      <c r="E44" s="17">
        <f>E$11*Loads!$B66*LAFs!E262*(1-Contrib!E117)/(24*Input!$F$14)*100</f>
        <v>-0.10272210040794662</v>
      </c>
      <c r="F44" s="17">
        <f>F$11*Loads!$B66*LAFs!F262*(1-Contrib!F117)/(24*Input!$F$14)*100</f>
        <v>-0.12720105273803078</v>
      </c>
      <c r="G44" s="17">
        <f>G$11*Loads!$B66*LAFs!G262*(1-Contrib!G117)/(24*Input!$F$14)*100</f>
        <v>0</v>
      </c>
      <c r="H44" s="17">
        <f>H$11*Loads!$B66*LAFs!H262*(1-Contrib!H117)/(24*Input!$F$14)*100</f>
        <v>-0.12935505300769179</v>
      </c>
      <c r="I44" s="17">
        <f>I$11*Loads!$B66*LAFs!I262*(1-Contrib!I117)/(24*Input!$F$14)*100</f>
        <v>-0.11180837371876251</v>
      </c>
      <c r="J44" s="17">
        <f>J$11*Loads!$B66*LAFs!J262*(1-Contrib!J117)/(24*Input!$F$14)*100</f>
        <v>0</v>
      </c>
      <c r="K44" s="17">
        <f>K$11*Loads!$B66*LAFs!B262*(1-Contrib!K117)/(24*Input!$F$14)*100</f>
        <v>-5.0428357905113505E-2</v>
      </c>
      <c r="L44" s="17">
        <f>L$11*Loads!$B66*LAFs!C262*(1-Contrib!L117)/(24*Input!$F$14)*100</f>
        <v>-2.4121543661220535E-2</v>
      </c>
      <c r="M44" s="17">
        <f>M$11*Loads!$B66*LAFs!D262*(1-Contrib!M117)/(24*Input!$F$14)*100</f>
        <v>-2.2249345370909987E-2</v>
      </c>
      <c r="N44" s="17">
        <f>N$11*Loads!$B66*LAFs!E262*(1-Contrib!N117)/(24*Input!$F$14)*100</f>
        <v>-3.3913469592211802E-2</v>
      </c>
      <c r="O44" s="17">
        <f>O$11*Loads!$B66*LAFs!F262*(1-Contrib!O117)/(24*Input!$F$14)*100</f>
        <v>-4.1995140451731042E-2</v>
      </c>
      <c r="P44" s="17">
        <f>P$11*Loads!$B66*LAFs!G262*(1-Contrib!P117)/(24*Input!$F$14)*100</f>
        <v>0</v>
      </c>
      <c r="Q44" s="17">
        <f>Q$11*Loads!$B66*LAFs!H262*(1-Contrib!Q117)/(24*Input!$F$14)*100</f>
        <v>-6.100896968413419E-2</v>
      </c>
      <c r="R44" s="17">
        <f>R$11*Loads!$B66*LAFs!I262*(1-Contrib!R117)/(24*Input!$F$14)*100</f>
        <v>-5.2733260309782509E-2</v>
      </c>
      <c r="S44" s="17">
        <f>S$11*Loads!$B66*LAFs!J262*(1-Contrib!S117)/(24*Input!$F$14)*100</f>
        <v>0</v>
      </c>
      <c r="T44" s="6"/>
    </row>
    <row r="45" spans="1:20" x14ac:dyDescent="0.2">
      <c r="A45" s="5" t="s">
        <v>65</v>
      </c>
      <c r="B45" s="17">
        <f>B$11*Loads!$B67*LAFs!B263*(1-Contrib!B118)/(24*Input!$F$14)*100</f>
        <v>0</v>
      </c>
      <c r="C45" s="17">
        <f>C$11*Loads!$B67*LAFs!C263*(1-Contrib!C118)/(24*Input!$F$14)*100</f>
        <v>-6.9747863657946316E-2</v>
      </c>
      <c r="D45" s="17">
        <f>D$11*Loads!$B67*LAFs!D263*(1-Contrib!D118)/(24*Input!$F$14)*100</f>
        <v>-6.4334369690594931E-2</v>
      </c>
      <c r="E45" s="17">
        <f>E$11*Loads!$B67*LAFs!E263*(1-Contrib!E118)/(24*Input!$F$14)*100</f>
        <v>-9.806138804823944E-2</v>
      </c>
      <c r="F45" s="17">
        <f>F$11*Loads!$B67*LAFs!F263*(1-Contrib!F118)/(24*Input!$F$14)*100</f>
        <v>-0.1214296801092635</v>
      </c>
      <c r="G45" s="17">
        <f>G$11*Loads!$B67*LAFs!G263*(1-Contrib!G118)/(24*Input!$F$14)*100</f>
        <v>0</v>
      </c>
      <c r="H45" s="17">
        <f>H$11*Loads!$B67*LAFs!H263*(1-Contrib!H118)/(24*Input!$F$14)*100</f>
        <v>-0.12348594896923028</v>
      </c>
      <c r="I45" s="17">
        <f>I$11*Loads!$B67*LAFs!I263*(1-Contrib!I118)/(24*Input!$F$14)*100</f>
        <v>0</v>
      </c>
      <c r="J45" s="17">
        <f>J$11*Loads!$B67*LAFs!J263*(1-Contrib!J118)/(24*Input!$F$14)*100</f>
        <v>0</v>
      </c>
      <c r="K45" s="17">
        <f>K$11*Loads!$B67*LAFs!B263*(1-Contrib!K118)/(24*Input!$F$14)*100</f>
        <v>-4.8140319887640115E-2</v>
      </c>
      <c r="L45" s="17">
        <f>L$11*Loads!$B67*LAFs!C263*(1-Contrib!L118)/(24*Input!$F$14)*100</f>
        <v>-2.3027099756446463E-2</v>
      </c>
      <c r="M45" s="17">
        <f>M$11*Loads!$B67*LAFs!D263*(1-Contrib!M118)/(24*Input!$F$14)*100</f>
        <v>-2.1239846942102819E-2</v>
      </c>
      <c r="N45" s="17">
        <f>N$11*Loads!$B67*LAFs!E263*(1-Contrib!N118)/(24*Input!$F$14)*100</f>
        <v>-3.2374745926503461E-2</v>
      </c>
      <c r="O45" s="17">
        <f>O$11*Loads!$B67*LAFs!F263*(1-Contrib!O118)/(24*Input!$F$14)*100</f>
        <v>-4.0089734805100773E-2</v>
      </c>
      <c r="P45" s="17">
        <f>P$11*Loads!$B67*LAFs!G263*(1-Contrib!P118)/(24*Input!$F$14)*100</f>
        <v>0</v>
      </c>
      <c r="Q45" s="17">
        <f>Q$11*Loads!$B67*LAFs!H263*(1-Contrib!Q118)/(24*Input!$F$14)*100</f>
        <v>-5.8240867611351325E-2</v>
      </c>
      <c r="R45" s="17">
        <f>R$11*Loads!$B67*LAFs!I263*(1-Contrib!R118)/(24*Input!$F$14)*100</f>
        <v>0</v>
      </c>
      <c r="S45" s="17">
        <f>S$11*Loads!$B67*LAFs!J263*(1-Contrib!S118)/(24*Input!$F$14)*100</f>
        <v>0</v>
      </c>
      <c r="T45" s="6"/>
    </row>
    <row r="46" spans="1:20" x14ac:dyDescent="0.2">
      <c r="A46" s="5" t="s">
        <v>66</v>
      </c>
      <c r="B46" s="17">
        <f>B$11*Loads!$B68*LAFs!B264*(1-Contrib!B119)/(24*Input!$F$14)*100</f>
        <v>0</v>
      </c>
      <c r="C46" s="17">
        <f>C$11*Loads!$B68*LAFs!C264*(1-Contrib!C119)/(24*Input!$F$14)*100</f>
        <v>-6.9747863657946316E-2</v>
      </c>
      <c r="D46" s="17">
        <f>D$11*Loads!$B68*LAFs!D264*(1-Contrib!D119)/(24*Input!$F$14)*100</f>
        <v>-6.4334369690594931E-2</v>
      </c>
      <c r="E46" s="17">
        <f>E$11*Loads!$B68*LAFs!E264*(1-Contrib!E119)/(24*Input!$F$14)*100</f>
        <v>-9.806138804823944E-2</v>
      </c>
      <c r="F46" s="17">
        <f>F$11*Loads!$B68*LAFs!F264*(1-Contrib!F119)/(24*Input!$F$14)*100</f>
        <v>-0.1214296801092635</v>
      </c>
      <c r="G46" s="17">
        <f>G$11*Loads!$B68*LAFs!G264*(1-Contrib!G119)/(24*Input!$F$14)*100</f>
        <v>0</v>
      </c>
      <c r="H46" s="17">
        <f>H$11*Loads!$B68*LAFs!H264*(1-Contrib!H119)/(24*Input!$F$14)*100</f>
        <v>-0.12348594896923028</v>
      </c>
      <c r="I46" s="17">
        <f>I$11*Loads!$B68*LAFs!I264*(1-Contrib!I119)/(24*Input!$F$14)*100</f>
        <v>0</v>
      </c>
      <c r="J46" s="17">
        <f>J$11*Loads!$B68*LAFs!J264*(1-Contrib!J119)/(24*Input!$F$14)*100</f>
        <v>0</v>
      </c>
      <c r="K46" s="17">
        <f>K$11*Loads!$B68*LAFs!B264*(1-Contrib!K119)/(24*Input!$F$14)*100</f>
        <v>-4.8140319887640115E-2</v>
      </c>
      <c r="L46" s="17">
        <f>L$11*Loads!$B68*LAFs!C264*(1-Contrib!L119)/(24*Input!$F$14)*100</f>
        <v>-2.3027099756446463E-2</v>
      </c>
      <c r="M46" s="17">
        <f>M$11*Loads!$B68*LAFs!D264*(1-Contrib!M119)/(24*Input!$F$14)*100</f>
        <v>-2.1239846942102819E-2</v>
      </c>
      <c r="N46" s="17">
        <f>N$11*Loads!$B68*LAFs!E264*(1-Contrib!N119)/(24*Input!$F$14)*100</f>
        <v>-3.2374745926503461E-2</v>
      </c>
      <c r="O46" s="17">
        <f>O$11*Loads!$B68*LAFs!F264*(1-Contrib!O119)/(24*Input!$F$14)*100</f>
        <v>-4.0089734805100773E-2</v>
      </c>
      <c r="P46" s="17">
        <f>P$11*Loads!$B68*LAFs!G264*(1-Contrib!P119)/(24*Input!$F$14)*100</f>
        <v>0</v>
      </c>
      <c r="Q46" s="17">
        <f>Q$11*Loads!$B68*LAFs!H264*(1-Contrib!Q119)/(24*Input!$F$14)*100</f>
        <v>-5.8240867611351325E-2</v>
      </c>
      <c r="R46" s="17">
        <f>R$11*Loads!$B68*LAFs!I264*(1-Contrib!R119)/(24*Input!$F$14)*100</f>
        <v>0</v>
      </c>
      <c r="S46" s="17">
        <f>S$11*Loads!$B68*LAFs!J264*(1-Contrib!S119)/(24*Input!$F$14)*100</f>
        <v>0</v>
      </c>
      <c r="T46" s="6"/>
    </row>
    <row r="47" spans="1:20" x14ac:dyDescent="0.2">
      <c r="A47" s="5" t="s">
        <v>75</v>
      </c>
      <c r="B47" s="17">
        <f>B$11*Loads!$B69*LAFs!B265*(1-Contrib!B120)/(24*Input!$F$14)*100</f>
        <v>0</v>
      </c>
      <c r="C47" s="17">
        <f>C$11*Loads!$B69*LAFs!C265*(1-Contrib!C120)/(24*Input!$F$14)*100</f>
        <v>-6.8885960399815802E-2</v>
      </c>
      <c r="D47" s="17">
        <f>D$11*Loads!$B69*LAFs!D265*(1-Contrib!D120)/(24*Input!$F$14)*100</f>
        <v>-6.3539363221034331E-2</v>
      </c>
      <c r="E47" s="17">
        <f>E$11*Loads!$B69*LAFs!E265*(1-Contrib!E120)/(24*Input!$F$14)*100</f>
        <v>-9.6849602834715554E-2</v>
      </c>
      <c r="F47" s="17">
        <f>F$11*Loads!$B69*LAFs!F265*(1-Contrib!F120)/(24*Input!$F$14)*100</f>
        <v>-5.156952298708712E-2</v>
      </c>
      <c r="G47" s="17">
        <f>G$11*Loads!$B69*LAFs!G265*(1-Contrib!G120)/(24*Input!$F$14)*100</f>
        <v>0</v>
      </c>
      <c r="H47" s="17">
        <f>H$11*Loads!$B69*LAFs!H265*(1-Contrib!H120)/(24*Input!$F$14)*100</f>
        <v>0</v>
      </c>
      <c r="I47" s="17">
        <f>I$11*Loads!$B69*LAFs!I265*(1-Contrib!I120)/(24*Input!$F$14)*100</f>
        <v>0</v>
      </c>
      <c r="J47" s="17">
        <f>J$11*Loads!$B69*LAFs!J265*(1-Contrib!J120)/(24*Input!$F$14)*100</f>
        <v>0</v>
      </c>
      <c r="K47" s="17">
        <f>K$11*Loads!$B69*LAFs!B265*(1-Contrib!K120)/(24*Input!$F$14)*100</f>
        <v>-4.7545430003097029E-2</v>
      </c>
      <c r="L47" s="17">
        <f>L$11*Loads!$B69*LAFs!C265*(1-Contrib!L120)/(24*Input!$F$14)*100</f>
        <v>-2.2742544341205203E-2</v>
      </c>
      <c r="M47" s="17">
        <f>M$11*Loads!$B69*LAFs!D265*(1-Contrib!M120)/(24*Input!$F$14)*100</f>
        <v>-2.0977377350612954E-2</v>
      </c>
      <c r="N47" s="17">
        <f>N$11*Loads!$B69*LAFs!E265*(1-Contrib!N120)/(24*Input!$F$14)*100</f>
        <v>-3.1974677773419287E-2</v>
      </c>
      <c r="O47" s="17">
        <f>O$11*Loads!$B69*LAFs!F265*(1-Contrib!O120)/(24*Input!$F$14)*100</f>
        <v>-3.9594329336976895E-2</v>
      </c>
      <c r="P47" s="17">
        <f>P$11*Loads!$B69*LAFs!G265*(1-Contrib!P120)/(24*Input!$F$14)*100</f>
        <v>0</v>
      </c>
      <c r="Q47" s="17">
        <f>Q$11*Loads!$B69*LAFs!H265*(1-Contrib!Q120)/(24*Input!$F$14)*100</f>
        <v>0</v>
      </c>
      <c r="R47" s="17">
        <f>R$11*Loads!$B69*LAFs!I265*(1-Contrib!R120)/(24*Input!$F$14)*100</f>
        <v>0</v>
      </c>
      <c r="S47" s="17">
        <f>S$11*Loads!$B69*LAFs!J265*(1-Contrib!S120)/(24*Input!$F$14)*100</f>
        <v>0</v>
      </c>
      <c r="T47" s="6"/>
    </row>
    <row r="48" spans="1:20" x14ac:dyDescent="0.2">
      <c r="A48" s="5" t="s">
        <v>76</v>
      </c>
      <c r="B48" s="17">
        <f>B$11*Loads!$B70*LAFs!B266*(1-Contrib!B121)/(24*Input!$F$14)*100</f>
        <v>0</v>
      </c>
      <c r="C48" s="17">
        <f>C$11*Loads!$B70*LAFs!C266*(1-Contrib!C121)/(24*Input!$F$14)*100</f>
        <v>-6.8885960399815802E-2</v>
      </c>
      <c r="D48" s="17">
        <f>D$11*Loads!$B70*LAFs!D266*(1-Contrib!D121)/(24*Input!$F$14)*100</f>
        <v>-6.3539363221034331E-2</v>
      </c>
      <c r="E48" s="17">
        <f>E$11*Loads!$B70*LAFs!E266*(1-Contrib!E121)/(24*Input!$F$14)*100</f>
        <v>-9.6849602834715554E-2</v>
      </c>
      <c r="F48" s="17">
        <f>F$11*Loads!$B70*LAFs!F266*(1-Contrib!F121)/(24*Input!$F$14)*100</f>
        <v>-5.156952298708712E-2</v>
      </c>
      <c r="G48" s="17">
        <f>G$11*Loads!$B70*LAFs!G266*(1-Contrib!G121)/(24*Input!$F$14)*100</f>
        <v>0</v>
      </c>
      <c r="H48" s="17">
        <f>H$11*Loads!$B70*LAFs!H266*(1-Contrib!H121)/(24*Input!$F$14)*100</f>
        <v>0</v>
      </c>
      <c r="I48" s="17">
        <f>I$11*Loads!$B70*LAFs!I266*(1-Contrib!I121)/(24*Input!$F$14)*100</f>
        <v>0</v>
      </c>
      <c r="J48" s="17">
        <f>J$11*Loads!$B70*LAFs!J266*(1-Contrib!J121)/(24*Input!$F$14)*100</f>
        <v>0</v>
      </c>
      <c r="K48" s="17">
        <f>K$11*Loads!$B70*LAFs!B266*(1-Contrib!K121)/(24*Input!$F$14)*100</f>
        <v>-4.7545430003097029E-2</v>
      </c>
      <c r="L48" s="17">
        <f>L$11*Loads!$B70*LAFs!C266*(1-Contrib!L121)/(24*Input!$F$14)*100</f>
        <v>-2.2742544341205203E-2</v>
      </c>
      <c r="M48" s="17">
        <f>M$11*Loads!$B70*LAFs!D266*(1-Contrib!M121)/(24*Input!$F$14)*100</f>
        <v>-2.0977377350612954E-2</v>
      </c>
      <c r="N48" s="17">
        <f>N$11*Loads!$B70*LAFs!E266*(1-Contrib!N121)/(24*Input!$F$14)*100</f>
        <v>-3.1974677773419287E-2</v>
      </c>
      <c r="O48" s="17">
        <f>O$11*Loads!$B70*LAFs!F266*(1-Contrib!O121)/(24*Input!$F$14)*100</f>
        <v>-3.9594329336976895E-2</v>
      </c>
      <c r="P48" s="17">
        <f>P$11*Loads!$B70*LAFs!G266*(1-Contrib!P121)/(24*Input!$F$14)*100</f>
        <v>0</v>
      </c>
      <c r="Q48" s="17">
        <f>Q$11*Loads!$B70*LAFs!H266*(1-Contrib!Q121)/(24*Input!$F$14)*100</f>
        <v>0</v>
      </c>
      <c r="R48" s="17">
        <f>R$11*Loads!$B70*LAFs!I266*(1-Contrib!R121)/(24*Input!$F$14)*100</f>
        <v>0</v>
      </c>
      <c r="S48" s="17">
        <f>S$11*Loads!$B70*LAFs!J266*(1-Contrib!S121)/(24*Input!$F$14)*100</f>
        <v>0</v>
      </c>
      <c r="T48" s="6"/>
    </row>
    <row r="49" spans="1:20" x14ac:dyDescent="0.2">
      <c r="A49" s="5" t="s">
        <v>77</v>
      </c>
      <c r="B49" s="17">
        <f>B$11*Loads!$B71*LAFs!B267*(1-Contrib!B122)/(24*Input!$F$14)*100</f>
        <v>0</v>
      </c>
      <c r="C49" s="17">
        <f>C$11*Loads!$B71*LAFs!C267*(1-Contrib!C122)/(24*Input!$F$14)*100</f>
        <v>-6.8090357392310702E-2</v>
      </c>
      <c r="D49" s="17">
        <f>D$11*Loads!$B71*LAFs!D267*(1-Contrib!D122)/(24*Input!$F$14)*100</f>
        <v>-6.2805511095286107E-2</v>
      </c>
      <c r="E49" s="17">
        <f>E$11*Loads!$B71*LAFs!E267*(1-Contrib!E122)/(24*Input!$F$14)*100</f>
        <v>-4.1164343703405909E-2</v>
      </c>
      <c r="F49" s="17">
        <f>F$11*Loads!$B71*LAFs!F267*(1-Contrib!F122)/(24*Input!$F$14)*100</f>
        <v>0</v>
      </c>
      <c r="G49" s="17">
        <f>G$11*Loads!$B71*LAFs!G267*(1-Contrib!G122)/(24*Input!$F$14)*100</f>
        <v>0</v>
      </c>
      <c r="H49" s="17">
        <f>H$11*Loads!$B71*LAFs!H267*(1-Contrib!H122)/(24*Input!$F$14)*100</f>
        <v>0</v>
      </c>
      <c r="I49" s="17">
        <f>I$11*Loads!$B71*LAFs!I267*(1-Contrib!I122)/(24*Input!$F$14)*100</f>
        <v>0</v>
      </c>
      <c r="J49" s="17">
        <f>J$11*Loads!$B71*LAFs!J267*(1-Contrib!J122)/(24*Input!$F$14)*100</f>
        <v>0</v>
      </c>
      <c r="K49" s="17">
        <f>K$11*Loads!$B71*LAFs!B267*(1-Contrib!K122)/(24*Input!$F$14)*100</f>
        <v>-4.699630087890342E-2</v>
      </c>
      <c r="L49" s="17">
        <f>L$11*Loads!$B71*LAFs!C267*(1-Contrib!L122)/(24*Input!$F$14)*100</f>
        <v>-2.2479877804059422E-2</v>
      </c>
      <c r="M49" s="17">
        <f>M$11*Loads!$B71*LAFs!D267*(1-Contrib!M122)/(24*Input!$F$14)*100</f>
        <v>-2.0735097727699235E-2</v>
      </c>
      <c r="N49" s="17">
        <f>N$11*Loads!$B71*LAFs!E267*(1-Contrib!N122)/(24*Input!$F$14)*100</f>
        <v>-3.1605384093649283E-2</v>
      </c>
      <c r="O49" s="17">
        <f>O$11*Loads!$B71*LAFs!F267*(1-Contrib!O122)/(24*Input!$F$14)*100</f>
        <v>0</v>
      </c>
      <c r="P49" s="17">
        <f>P$11*Loads!$B71*LAFs!G267*(1-Contrib!P122)/(24*Input!$F$14)*100</f>
        <v>0</v>
      </c>
      <c r="Q49" s="17">
        <f>Q$11*Loads!$B71*LAFs!H267*(1-Contrib!Q122)/(24*Input!$F$14)*100</f>
        <v>0</v>
      </c>
      <c r="R49" s="17">
        <f>R$11*Loads!$B71*LAFs!I267*(1-Contrib!R122)/(24*Input!$F$14)*100</f>
        <v>0</v>
      </c>
      <c r="S49" s="17">
        <f>S$11*Loads!$B71*LAFs!J267*(1-Contrib!S122)/(24*Input!$F$14)*100</f>
        <v>0</v>
      </c>
      <c r="T49" s="6"/>
    </row>
    <row r="50" spans="1:20" x14ac:dyDescent="0.2">
      <c r="A50" s="5" t="s">
        <v>78</v>
      </c>
      <c r="B50" s="17">
        <f>B$11*Loads!$B72*LAFs!B268*(1-Contrib!B123)/(24*Input!$F$14)*100</f>
        <v>0</v>
      </c>
      <c r="C50" s="17">
        <f>C$11*Loads!$B72*LAFs!C268*(1-Contrib!C123)/(24*Input!$F$14)*100</f>
        <v>-6.8090357392310702E-2</v>
      </c>
      <c r="D50" s="17">
        <f>D$11*Loads!$B72*LAFs!D268*(1-Contrib!D123)/(24*Input!$F$14)*100</f>
        <v>-6.2805511095286107E-2</v>
      </c>
      <c r="E50" s="17">
        <f>E$11*Loads!$B72*LAFs!E268*(1-Contrib!E123)/(24*Input!$F$14)*100</f>
        <v>-4.1164343703405909E-2</v>
      </c>
      <c r="F50" s="17">
        <f>F$11*Loads!$B72*LAFs!F268*(1-Contrib!F123)/(24*Input!$F$14)*100</f>
        <v>0</v>
      </c>
      <c r="G50" s="17">
        <f>G$11*Loads!$B72*LAFs!G268*(1-Contrib!G123)/(24*Input!$F$14)*100</f>
        <v>0</v>
      </c>
      <c r="H50" s="17">
        <f>H$11*Loads!$B72*LAFs!H268*(1-Contrib!H123)/(24*Input!$F$14)*100</f>
        <v>0</v>
      </c>
      <c r="I50" s="17">
        <f>I$11*Loads!$B72*LAFs!I268*(1-Contrib!I123)/(24*Input!$F$14)*100</f>
        <v>0</v>
      </c>
      <c r="J50" s="17">
        <f>J$11*Loads!$B72*LAFs!J268*(1-Contrib!J123)/(24*Input!$F$14)*100</f>
        <v>0</v>
      </c>
      <c r="K50" s="17">
        <f>K$11*Loads!$B72*LAFs!B268*(1-Contrib!K123)/(24*Input!$F$14)*100</f>
        <v>-4.699630087890342E-2</v>
      </c>
      <c r="L50" s="17">
        <f>L$11*Loads!$B72*LAFs!C268*(1-Contrib!L123)/(24*Input!$F$14)*100</f>
        <v>-2.2479877804059422E-2</v>
      </c>
      <c r="M50" s="17">
        <f>M$11*Loads!$B72*LAFs!D268*(1-Contrib!M123)/(24*Input!$F$14)*100</f>
        <v>-2.0735097727699235E-2</v>
      </c>
      <c r="N50" s="17">
        <f>N$11*Loads!$B72*LAFs!E268*(1-Contrib!N123)/(24*Input!$F$14)*100</f>
        <v>-3.1605384093649283E-2</v>
      </c>
      <c r="O50" s="17">
        <f>O$11*Loads!$B72*LAFs!F268*(1-Contrib!O123)/(24*Input!$F$14)*100</f>
        <v>0</v>
      </c>
      <c r="P50" s="17">
        <f>P$11*Loads!$B72*LAFs!G268*(1-Contrib!P123)/(24*Input!$F$14)*100</f>
        <v>0</v>
      </c>
      <c r="Q50" s="17">
        <f>Q$11*Loads!$B72*LAFs!H268*(1-Contrib!Q123)/(24*Input!$F$14)*100</f>
        <v>0</v>
      </c>
      <c r="R50" s="17">
        <f>R$11*Loads!$B72*LAFs!I268*(1-Contrib!R123)/(24*Input!$F$14)*100</f>
        <v>0</v>
      </c>
      <c r="S50" s="17">
        <f>S$11*Loads!$B72*LAFs!J268*(1-Contrib!S123)/(24*Input!$F$14)*100</f>
        <v>0</v>
      </c>
      <c r="T50" s="6"/>
    </row>
    <row r="52" spans="1:20" ht="16.5" x14ac:dyDescent="0.25">
      <c r="A52" s="3" t="s">
        <v>798</v>
      </c>
    </row>
    <row r="53" spans="1:20" x14ac:dyDescent="0.2">
      <c r="A53" s="10" t="s">
        <v>238</v>
      </c>
    </row>
    <row r="54" spans="1:20" x14ac:dyDescent="0.2">
      <c r="A54" s="11" t="s">
        <v>799</v>
      </c>
    </row>
    <row r="55" spans="1:20" x14ac:dyDescent="0.2">
      <c r="A55" s="11" t="s">
        <v>800</v>
      </c>
    </row>
    <row r="56" spans="1:20" x14ac:dyDescent="0.2">
      <c r="A56" s="11" t="s">
        <v>619</v>
      </c>
    </row>
    <row r="57" spans="1:20" x14ac:dyDescent="0.2">
      <c r="A57" s="11" t="s">
        <v>796</v>
      </c>
    </row>
    <row r="58" spans="1:20" x14ac:dyDescent="0.2">
      <c r="A58" s="11" t="s">
        <v>552</v>
      </c>
    </row>
    <row r="59" spans="1:20" x14ac:dyDescent="0.2">
      <c r="A59" s="11" t="s">
        <v>801</v>
      </c>
    </row>
    <row r="60" spans="1:20" x14ac:dyDescent="0.2">
      <c r="A60" s="18" t="s">
        <v>241</v>
      </c>
      <c r="B60" s="10" t="s">
        <v>371</v>
      </c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8" t="s">
        <v>372</v>
      </c>
    </row>
    <row r="61" spans="1:20" x14ac:dyDescent="0.2">
      <c r="A61" s="18" t="s">
        <v>244</v>
      </c>
      <c r="B61" s="10" t="s">
        <v>802</v>
      </c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8" t="s">
        <v>426</v>
      </c>
    </row>
    <row r="63" spans="1:20" x14ac:dyDescent="0.2">
      <c r="B63" s="19" t="s">
        <v>803</v>
      </c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</row>
    <row r="64" spans="1:20" ht="38.25" x14ac:dyDescent="0.2">
      <c r="B64" s="4" t="s">
        <v>21</v>
      </c>
      <c r="C64" s="4" t="s">
        <v>191</v>
      </c>
      <c r="D64" s="4" t="s">
        <v>192</v>
      </c>
      <c r="E64" s="4" t="s">
        <v>193</v>
      </c>
      <c r="F64" s="4" t="s">
        <v>194</v>
      </c>
      <c r="G64" s="4" t="s">
        <v>195</v>
      </c>
      <c r="H64" s="4" t="s">
        <v>196</v>
      </c>
      <c r="I64" s="4" t="s">
        <v>197</v>
      </c>
      <c r="J64" s="4" t="s">
        <v>198</v>
      </c>
      <c r="K64" s="4" t="s">
        <v>179</v>
      </c>
      <c r="L64" s="4" t="s">
        <v>699</v>
      </c>
      <c r="M64" s="4" t="s">
        <v>700</v>
      </c>
      <c r="N64" s="4" t="s">
        <v>701</v>
      </c>
      <c r="O64" s="4" t="s">
        <v>702</v>
      </c>
      <c r="P64" s="4" t="s">
        <v>703</v>
      </c>
      <c r="Q64" s="4" t="s">
        <v>704</v>
      </c>
      <c r="R64" s="4" t="s">
        <v>705</v>
      </c>
      <c r="S64" s="4" t="s">
        <v>706</v>
      </c>
      <c r="T64" s="4" t="s">
        <v>804</v>
      </c>
    </row>
    <row r="65" spans="1:21" x14ac:dyDescent="0.2">
      <c r="A65" s="5" t="s">
        <v>54</v>
      </c>
      <c r="B65" s="17">
        <f>Multi!B587*B$11*LAFs!B$242*(1-Contrib!B$97)*100/(24*Input!$F$14)</f>
        <v>0</v>
      </c>
      <c r="C65" s="17">
        <f>Multi!C587*C$11*LAFs!C$242*(1-Contrib!C$97)*100/(24*Input!$F$14)</f>
        <v>0.16529444634571611</v>
      </c>
      <c r="D65" s="17">
        <f>Multi!D587*D$11*LAFs!D$242*(1-Contrib!D$97)*100/(24*Input!$F$14)</f>
        <v>0.15246508582913382</v>
      </c>
      <c r="E65" s="17">
        <f>Multi!E587*E$11*LAFs!E$242*(1-Contrib!E$97)*100/(24*Input!$F$14)</f>
        <v>0.22816994207353558</v>
      </c>
      <c r="F65" s="17">
        <f>Multi!F587*F$11*LAFs!F$242*(1-Contrib!F$97)*100/(24*Input!$F$14)</f>
        <v>0.2825434518926947</v>
      </c>
      <c r="G65" s="17">
        <f>Multi!G587*G$11*LAFs!G$242*(1-Contrib!G$97)*100/(24*Input!$F$14)</f>
        <v>0</v>
      </c>
      <c r="H65" s="17">
        <f>Multi!H587*H$11*LAFs!H$242*(1-Contrib!H$97)*100/(24*Input!$F$14)</f>
        <v>0.28732799304599183</v>
      </c>
      <c r="I65" s="17">
        <f>Multi!I587*I$11*LAFs!I$242*(1-Contrib!I$97)*100/(24*Input!$F$14)</f>
        <v>0.24835269190789144</v>
      </c>
      <c r="J65" s="17">
        <f>Multi!J587*J$11*LAFs!J$242*(1-Contrib!J$97)*100/(24*Input!$F$14)</f>
        <v>6.3281887334955189E-3</v>
      </c>
      <c r="K65" s="17">
        <f>Multi!B587*K$11*LAFs!B$242*(1-Contrib!K$97)*100/(24*Input!$F$14)</f>
        <v>0.11720896106632113</v>
      </c>
      <c r="L65" s="17">
        <f>Multi!C587*L$11*LAFs!C$242*(1-Contrib!L$97)*100/(24*Input!$F$14)</f>
        <v>5.4571588369441759E-2</v>
      </c>
      <c r="M65" s="17">
        <f>Multi!D587*M$11*LAFs!D$242*(1-Contrib!M$97)*100/(24*Input!$F$14)</f>
        <v>5.033600395246874E-2</v>
      </c>
      <c r="N65" s="17">
        <f>Multi!E587*N$11*LAFs!E$242*(1-Contrib!N$97)*100/(24*Input!$F$14)</f>
        <v>7.5329791365607232E-2</v>
      </c>
      <c r="O65" s="17">
        <f>Multi!F587*O$11*LAFs!F$242*(1-Contrib!O$97)*100/(24*Input!$F$14)</f>
        <v>9.32810829041439E-2</v>
      </c>
      <c r="P65" s="17">
        <f>Multi!G587*P$11*LAFs!G$242*(1-Contrib!P$97)*100/(24*Input!$F$14)</f>
        <v>0</v>
      </c>
      <c r="Q65" s="17">
        <f>Multi!H587*Q$11*LAFs!H$242*(1-Contrib!Q$97)*100/(24*Input!$F$14)</f>
        <v>0.13551526909508266</v>
      </c>
      <c r="R65" s="17">
        <f>Multi!I587*R$11*LAFs!I$242*(1-Contrib!R$97)*100/(24*Input!$F$14)</f>
        <v>0.11713297238323346</v>
      </c>
      <c r="S65" s="17">
        <f>Multi!J587*S$11*LAFs!J$242*(1-Contrib!S$97)*100/(24*Input!$F$14)</f>
        <v>6.964124089327095E-2</v>
      </c>
      <c r="T65" s="17">
        <f t="shared" ref="T65:T84" si="0">SUM($B65:$S65)</f>
        <v>2.0834987098580289</v>
      </c>
      <c r="U65" s="6"/>
    </row>
    <row r="66" spans="1:21" x14ac:dyDescent="0.2">
      <c r="A66" s="5" t="s">
        <v>94</v>
      </c>
      <c r="B66" s="17">
        <f>Multi!B588*B$11*LAFs!B$243*(1-Contrib!B$98)*100/(24*Input!$F$14)</f>
        <v>0</v>
      </c>
      <c r="C66" s="17">
        <f>Multi!C588*C$11*LAFs!C$243*(1-Contrib!C$98)*100/(24*Input!$F$14)</f>
        <v>1.6947965445974874E-2</v>
      </c>
      <c r="D66" s="17">
        <f>Multi!D588*D$11*LAFs!D$243*(1-Contrib!D$98)*100/(24*Input!$F$14)</f>
        <v>1.5632545820355816E-2</v>
      </c>
      <c r="E66" s="17">
        <f>Multi!E588*E$11*LAFs!E$243*(1-Contrib!E$98)*100/(24*Input!$F$14)</f>
        <v>2.6221277940571736E-2</v>
      </c>
      <c r="F66" s="17">
        <f>Multi!F588*F$11*LAFs!F$243*(1-Contrib!F$98)*100/(24*Input!$F$14)</f>
        <v>3.246987887641755E-2</v>
      </c>
      <c r="G66" s="17">
        <f>Multi!G588*G$11*LAFs!G$243*(1-Contrib!G$98)*100/(24*Input!$F$14)</f>
        <v>0</v>
      </c>
      <c r="H66" s="17">
        <f>Multi!H588*H$11*LAFs!H$243*(1-Contrib!H$98)*100/(24*Input!$F$14)</f>
        <v>3.3019718098265066E-2</v>
      </c>
      <c r="I66" s="17">
        <f>Multi!I588*I$11*LAFs!I$243*(1-Contrib!I$98)*100/(24*Input!$F$14)</f>
        <v>2.8540678507545256E-2</v>
      </c>
      <c r="J66" s="17">
        <f>Multi!J588*J$11*LAFs!J$243*(1-Contrib!J$98)*100/(24*Input!$F$14)</f>
        <v>7.2723512191585243E-4</v>
      </c>
      <c r="K66" s="17">
        <f>Multi!B588*K$11*LAFs!B$243*(1-Contrib!K$98)*100/(24*Input!$F$14)</f>
        <v>9.7990256225616024E-3</v>
      </c>
      <c r="L66" s="17">
        <f>Multi!C588*L$11*LAFs!C$243*(1-Contrib!L$98)*100/(24*Input!$F$14)</f>
        <v>5.5953325381717083E-3</v>
      </c>
      <c r="M66" s="17">
        <f>Multi!D588*M$11*LAFs!D$243*(1-Contrib!M$98)*100/(24*Input!$F$14)</f>
        <v>5.1610497178509965E-3</v>
      </c>
      <c r="N66" s="17">
        <f>Multi!E588*N$11*LAFs!E$243*(1-Contrib!N$98)*100/(24*Input!$F$14)</f>
        <v>8.6568957271605813E-3</v>
      </c>
      <c r="O66" s="17">
        <f>Multi!F588*O$11*LAFs!F$243*(1-Contrib!O$98)*100/(24*Input!$F$14)</f>
        <v>1.0719857222204931E-2</v>
      </c>
      <c r="P66" s="17">
        <f>Multi!G588*P$11*LAFs!G$243*(1-Contrib!P$98)*100/(24*Input!$F$14)</f>
        <v>0</v>
      </c>
      <c r="Q66" s="17">
        <f>Multi!H588*Q$11*LAFs!H$243*(1-Contrib!Q$98)*100/(24*Input!$F$14)</f>
        <v>1.5573407714624976E-2</v>
      </c>
      <c r="R66" s="17">
        <f>Multi!I588*R$11*LAFs!I$243*(1-Contrib!R$98)*100/(24*Input!$F$14)</f>
        <v>1.3460915127358105E-2</v>
      </c>
      <c r="S66" s="17">
        <f>Multi!J588*S$11*LAFs!J$243*(1-Contrib!S$98)*100/(24*Input!$F$14)</f>
        <v>8.0031678011306603E-3</v>
      </c>
      <c r="T66" s="17">
        <f t="shared" si="0"/>
        <v>0.23052895128210973</v>
      </c>
      <c r="U66" s="6"/>
    </row>
    <row r="67" spans="1:21" x14ac:dyDescent="0.2">
      <c r="A67" s="5" t="s">
        <v>56</v>
      </c>
      <c r="B67" s="17">
        <f>Multi!B589*B$11*LAFs!B$245*(1-Contrib!B$100)*100/(24*Input!$F$14)</f>
        <v>0</v>
      </c>
      <c r="C67" s="17">
        <f>Multi!C589*C$11*LAFs!C$245*(1-Contrib!C$100)*100/(24*Input!$F$14)</f>
        <v>0.14106834501229454</v>
      </c>
      <c r="D67" s="17">
        <f>Multi!D589*D$11*LAFs!D$245*(1-Contrib!D$100)*100/(24*Input!$F$14)</f>
        <v>0.13011929805003253</v>
      </c>
      <c r="E67" s="17">
        <f>Multi!E589*E$11*LAFs!E$245*(1-Contrib!E$100)*100/(24*Input!$F$14)</f>
        <v>0.19930540880265485</v>
      </c>
      <c r="F67" s="17">
        <f>Multi!F589*F$11*LAFs!F$245*(1-Contrib!F$100)*100/(24*Input!$F$14)</f>
        <v>0.24680042284376857</v>
      </c>
      <c r="G67" s="17">
        <f>Multi!G589*G$11*LAFs!G$245*(1-Contrib!G$100)*100/(24*Input!$F$14)</f>
        <v>0</v>
      </c>
      <c r="H67" s="17">
        <f>Multi!H589*H$11*LAFs!H$245*(1-Contrib!H$100)*100/(24*Input!$F$14)</f>
        <v>0.25097969782549984</v>
      </c>
      <c r="I67" s="17">
        <f>Multi!I589*I$11*LAFs!I$245*(1-Contrib!I$100)*100/(24*Input!$F$14)</f>
        <v>0.21693494917919404</v>
      </c>
      <c r="J67" s="17">
        <f>Multi!J589*J$11*LAFs!J$245*(1-Contrib!J$100)*100/(24*Input!$F$14)</f>
        <v>5.5276441368565556E-3</v>
      </c>
      <c r="K67" s="17">
        <f>Multi!B589*K$11*LAFs!B$245*(1-Contrib!K$100)*100/(24*Input!$F$14)</f>
        <v>9.6860846789876637E-2</v>
      </c>
      <c r="L67" s="17">
        <f>Multi!C589*L$11*LAFs!C$245*(1-Contrib!L$100)*100/(24*Input!$F$14)</f>
        <v>4.6573395695752258E-2</v>
      </c>
      <c r="M67" s="17">
        <f>Multi!D589*M$11*LAFs!D$245*(1-Contrib!M$100)*100/(24*Input!$F$14)</f>
        <v>4.2958592554619791E-2</v>
      </c>
      <c r="N67" s="17">
        <f>Multi!E589*N$11*LAFs!E$245*(1-Contrib!N$100)*100/(24*Input!$F$14)</f>
        <v>6.5800230857324712E-2</v>
      </c>
      <c r="O67" s="17">
        <f>Multi!F589*O$11*LAFs!F$245*(1-Contrib!O$100)*100/(24*Input!$F$14)</f>
        <v>8.1480602540421429E-2</v>
      </c>
      <c r="P67" s="17">
        <f>Multi!G589*P$11*LAFs!G$245*(1-Contrib!P$100)*100/(24*Input!$F$14)</f>
        <v>0</v>
      </c>
      <c r="Q67" s="17">
        <f>Multi!H589*Q$11*LAFs!H$245*(1-Contrib!Q$100)*100/(24*Input!$F$14)</f>
        <v>0.11837197248922762</v>
      </c>
      <c r="R67" s="17">
        <f>Multi!I589*R$11*LAFs!I$245*(1-Contrib!R$100)*100/(24*Input!$F$14)</f>
        <v>0.10231511974345255</v>
      </c>
      <c r="S67" s="17">
        <f>Multi!J589*S$11*LAFs!J$245*(1-Contrib!S$100)*100/(24*Input!$F$14)</f>
        <v>6.0831307838454307E-2</v>
      </c>
      <c r="T67" s="17">
        <f t="shared" si="0"/>
        <v>1.8059278343594305</v>
      </c>
      <c r="U67" s="6"/>
    </row>
    <row r="68" spans="1:21" x14ac:dyDescent="0.2">
      <c r="A68" s="5" t="s">
        <v>95</v>
      </c>
      <c r="B68" s="17">
        <f>Multi!B590*B$11*LAFs!B$246*(1-Contrib!B$101)*100/(24*Input!$F$14)</f>
        <v>0</v>
      </c>
      <c r="C68" s="17">
        <f>Multi!C590*C$11*LAFs!C$246*(1-Contrib!C$101)*100/(24*Input!$F$14)</f>
        <v>1.4049979950417417E-2</v>
      </c>
      <c r="D68" s="17">
        <f>Multi!D590*D$11*LAFs!D$246*(1-Contrib!D$101)*100/(24*Input!$F$14)</f>
        <v>1.2959488031181014E-2</v>
      </c>
      <c r="E68" s="17">
        <f>Multi!E590*E$11*LAFs!E$246*(1-Contrib!E$101)*100/(24*Input!$F$14)</f>
        <v>2.1718648198677061E-2</v>
      </c>
      <c r="F68" s="17">
        <f>Multi!F590*F$11*LAFs!F$246*(1-Contrib!F$101)*100/(24*Input!$F$14)</f>
        <v>2.6894260377730152E-2</v>
      </c>
      <c r="G68" s="17">
        <f>Multi!G590*G$11*LAFs!G$246*(1-Contrib!G$101)*100/(24*Input!$F$14)</f>
        <v>0</v>
      </c>
      <c r="H68" s="17">
        <f>Multi!H590*H$11*LAFs!H$246*(1-Contrib!H$101)*100/(24*Input!$F$14)</f>
        <v>2.7349683055915622E-2</v>
      </c>
      <c r="I68" s="17">
        <f>Multi!I590*I$11*LAFs!I$246*(1-Contrib!I$101)*100/(24*Input!$F$14)</f>
        <v>2.3639769093702804E-2</v>
      </c>
      <c r="J68" s="17">
        <f>Multi!J590*J$11*LAFs!J$246*(1-Contrib!J$101)*100/(24*Input!$F$14)</f>
        <v>6.0235675036165038E-4</v>
      </c>
      <c r="K68" s="17">
        <f>Multi!B590*K$11*LAFs!B$246*(1-Contrib!K$101)*100/(24*Input!$F$14)</f>
        <v>8.0823707543766794E-3</v>
      </c>
      <c r="L68" s="17">
        <f>Multi!C590*L$11*LAFs!C$246*(1-Contrib!L$101)*100/(24*Input!$F$14)</f>
        <v>4.6385691679529323E-3</v>
      </c>
      <c r="M68" s="17">
        <f>Multi!D590*M$11*LAFs!D$246*(1-Contrib!M$101)*100/(24*Input!$F$14)</f>
        <v>4.2785457222026414E-3</v>
      </c>
      <c r="N68" s="17">
        <f>Multi!E590*N$11*LAFs!E$246*(1-Contrib!N$101)*100/(24*Input!$F$14)</f>
        <v>7.1703626809095089E-3</v>
      </c>
      <c r="O68" s="17">
        <f>Multi!F590*O$11*LAFs!F$246*(1-Contrib!O$101)*100/(24*Input!$F$14)</f>
        <v>8.8790793597773778E-3</v>
      </c>
      <c r="P68" s="17">
        <f>Multi!G590*P$11*LAFs!G$246*(1-Contrib!P$101)*100/(24*Input!$F$14)</f>
        <v>0</v>
      </c>
      <c r="Q68" s="17">
        <f>Multi!H590*Q$11*LAFs!H$246*(1-Contrib!Q$101)*100/(24*Input!$F$14)</f>
        <v>1.2899194470043753E-2</v>
      </c>
      <c r="R68" s="17">
        <f>Multi!I590*R$11*LAFs!I$246*(1-Contrib!R$101)*100/(24*Input!$F$14)</f>
        <v>1.1149452011680492E-2</v>
      </c>
      <c r="S68" s="17">
        <f>Multi!J590*S$11*LAFs!J$246*(1-Contrib!S$101)*100/(24*Input!$F$14)</f>
        <v>6.6288907177476297E-3</v>
      </c>
      <c r="T68" s="17">
        <f t="shared" si="0"/>
        <v>0.19094065034267679</v>
      </c>
      <c r="U68" s="6"/>
    </row>
    <row r="69" spans="1:21" x14ac:dyDescent="0.2">
      <c r="A69" s="5" t="s">
        <v>57</v>
      </c>
      <c r="B69" s="17">
        <f>Multi!B591*B$11*LAFs!B$247*(1-Contrib!B$102)*100/(24*Input!$F$14)</f>
        <v>0</v>
      </c>
      <c r="C69" s="17">
        <f>Multi!C591*C$11*LAFs!C$247*(1-Contrib!C$102)*100/(24*Input!$F$14)</f>
        <v>0.1352227986222434</v>
      </c>
      <c r="D69" s="17">
        <f>Multi!D591*D$11*LAFs!D$247*(1-Contrib!D$102)*100/(24*Input!$F$14)</f>
        <v>0.12472745487695168</v>
      </c>
      <c r="E69" s="17">
        <f>Multi!E591*E$11*LAFs!E$247*(1-Contrib!E$102)*100/(24*Input!$F$14)</f>
        <v>0.19058072689170874</v>
      </c>
      <c r="F69" s="17">
        <f>Multi!F591*F$11*LAFs!F$247*(1-Contrib!F$102)*100/(24*Input!$F$14)</f>
        <v>0.23599662580818004</v>
      </c>
      <c r="G69" s="17">
        <f>Multi!G591*G$11*LAFs!G$247*(1-Contrib!G$102)*100/(24*Input!$F$14)</f>
        <v>0</v>
      </c>
      <c r="H69" s="17">
        <f>Multi!H591*H$11*LAFs!H$247*(1-Contrib!H$102)*100/(24*Input!$F$14)</f>
        <v>0.23999295118983255</v>
      </c>
      <c r="I69" s="17">
        <f>Multi!I591*I$11*LAFs!I$247*(1-Contrib!I$102)*100/(24*Input!$F$14)</f>
        <v>0.20743852638602339</v>
      </c>
      <c r="J69" s="17">
        <f>Multi!J591*J$11*LAFs!J$247*(1-Contrib!J$102)*100/(24*Input!$F$14)</f>
        <v>5.2856690840935253E-3</v>
      </c>
      <c r="K69" s="17">
        <f>Multi!B591*K$11*LAFs!B$247*(1-Contrib!K$102)*100/(24*Input!$F$14)</f>
        <v>9.3196826279733205E-2</v>
      </c>
      <c r="L69" s="17">
        <f>Multi!C591*L$11*LAFs!C$247*(1-Contrib!L$102)*100/(24*Input!$F$14)</f>
        <v>4.4643501749254189E-2</v>
      </c>
      <c r="M69" s="17">
        <f>Multi!D591*M$11*LAFs!D$247*(1-Contrib!M$102)*100/(24*Input!$F$14)</f>
        <v>4.1178487701135837E-2</v>
      </c>
      <c r="N69" s="17">
        <f>Multi!E591*N$11*LAFs!E$247*(1-Contrib!N$102)*100/(24*Input!$F$14)</f>
        <v>6.2919796817195769E-2</v>
      </c>
      <c r="O69" s="17">
        <f>Multi!F591*O$11*LAFs!F$247*(1-Contrib!O$102)*100/(24*Input!$F$14)</f>
        <v>7.7913753334731758E-2</v>
      </c>
      <c r="P69" s="17">
        <f>Multi!G591*P$11*LAFs!G$247*(1-Contrib!P$102)*100/(24*Input!$F$14)</f>
        <v>0</v>
      </c>
      <c r="Q69" s="17">
        <f>Multi!H591*Q$11*LAFs!H$247*(1-Contrib!Q$102)*100/(24*Input!$F$14)</f>
        <v>0.11319018734177902</v>
      </c>
      <c r="R69" s="17">
        <f>Multi!I591*R$11*LAFs!I$247*(1-Contrib!R$102)*100/(24*Input!$F$14)</f>
        <v>9.7836230385633494E-2</v>
      </c>
      <c r="S69" s="17">
        <f>Multi!J591*S$11*LAFs!J$247*(1-Contrib!S$102)*100/(24*Input!$F$14)</f>
        <v>5.8168390588462002E-2</v>
      </c>
      <c r="T69" s="17">
        <f t="shared" si="0"/>
        <v>1.7282919270569586</v>
      </c>
      <c r="U69" s="6"/>
    </row>
    <row r="70" spans="1:21" x14ac:dyDescent="0.2">
      <c r="A70" s="5" t="s">
        <v>58</v>
      </c>
      <c r="B70" s="17">
        <f>Multi!B592*B$11*LAFs!B$248*(1-Contrib!B$103)*100/(24*Input!$F$14)</f>
        <v>0</v>
      </c>
      <c r="C70" s="17">
        <f>Multi!C592*C$11*LAFs!C$248*(1-Contrib!C$103)*100/(24*Input!$F$14)</f>
        <v>0.13062404868376987</v>
      </c>
      <c r="D70" s="17">
        <f>Multi!D592*D$11*LAFs!D$248*(1-Contrib!D$103)*100/(24*Input!$F$14)</f>
        <v>0.12048563780700838</v>
      </c>
      <c r="E70" s="17">
        <f>Multi!E592*E$11*LAFs!E$248*(1-Contrib!E$103)*100/(24*Input!$F$14)</f>
        <v>0.18423221782405896</v>
      </c>
      <c r="F70" s="17">
        <f>Multi!F592*F$11*LAFs!F$248*(1-Contrib!F$103)*100/(24*Input!$F$14)</f>
        <v>0.22813524998433138</v>
      </c>
      <c r="G70" s="17">
        <f>Multi!G592*G$11*LAFs!G$248*(1-Contrib!G$103)*100/(24*Input!$F$14)</f>
        <v>0</v>
      </c>
      <c r="H70" s="17">
        <f>Multi!H592*H$11*LAFs!H$248*(1-Contrib!H$103)*100/(24*Input!$F$14)</f>
        <v>0.23199845220953211</v>
      </c>
      <c r="I70" s="17">
        <f>Multi!I592*I$11*LAFs!I$248*(1-Contrib!I$103)*100/(24*Input!$F$14)</f>
        <v>8.5940768816491781E-3</v>
      </c>
      <c r="J70" s="17">
        <f>Multi!J592*J$11*LAFs!J$248*(1-Contrib!J$103)*100/(24*Input!$F$14)</f>
        <v>0</v>
      </c>
      <c r="K70" s="17">
        <f>Multi!B592*K$11*LAFs!B$248*(1-Contrib!K$103)*100/(24*Input!$F$14)</f>
        <v>8.9939203132984077E-2</v>
      </c>
      <c r="L70" s="17">
        <f>Multi!C592*L$11*LAFs!C$248*(1-Contrib!L$103)*100/(24*Input!$F$14)</f>
        <v>4.3125234837058705E-2</v>
      </c>
      <c r="M70" s="17">
        <f>Multi!D592*M$11*LAFs!D$248*(1-Contrib!M$103)*100/(24*Input!$F$14)</f>
        <v>3.9778061369840544E-2</v>
      </c>
      <c r="N70" s="17">
        <f>Multi!E592*N$11*LAFs!E$248*(1-Contrib!N$103)*100/(24*Input!$F$14)</f>
        <v>6.0823850877942315E-2</v>
      </c>
      <c r="O70" s="17">
        <f>Multi!F592*O$11*LAFs!F$248*(1-Contrib!O$103)*100/(24*Input!$F$14)</f>
        <v>7.5318337850661138E-2</v>
      </c>
      <c r="P70" s="17">
        <f>Multi!G592*P$11*LAFs!G$248*(1-Contrib!P$103)*100/(24*Input!$F$14)</f>
        <v>0</v>
      </c>
      <c r="Q70" s="17">
        <f>Multi!H592*Q$11*LAFs!H$248*(1-Contrib!Q$103)*100/(24*Input!$F$14)</f>
        <v>0.1094196647793555</v>
      </c>
      <c r="R70" s="17">
        <f>Multi!I592*R$11*LAFs!I$248*(1-Contrib!R$103)*100/(24*Input!$F$14)</f>
        <v>9.4577169483316778E-2</v>
      </c>
      <c r="S70" s="17">
        <f>Multi!J592*S$11*LAFs!J$248*(1-Contrib!S$103)*100/(24*Input!$F$14)</f>
        <v>0</v>
      </c>
      <c r="T70" s="17">
        <f t="shared" si="0"/>
        <v>1.4170512057215092</v>
      </c>
      <c r="U70" s="6"/>
    </row>
    <row r="71" spans="1:21" x14ac:dyDescent="0.2">
      <c r="A71" s="5" t="s">
        <v>72</v>
      </c>
      <c r="B71" s="17">
        <f>Multi!B593*B$11*LAFs!B$249*(1-Contrib!B$104)*100/(24*Input!$F$14)</f>
        <v>0</v>
      </c>
      <c r="C71" s="17">
        <f>Multi!C593*C$11*LAFs!C$249*(1-Contrib!C$104)*100/(24*Input!$F$14)</f>
        <v>0.13698372920211929</v>
      </c>
      <c r="D71" s="17">
        <f>Multi!D593*D$11*LAFs!D$249*(1-Contrib!D$104)*100/(24*Input!$F$14)</f>
        <v>0.12635171048828897</v>
      </c>
      <c r="E71" s="17">
        <f>Multi!E593*E$11*LAFs!E$249*(1-Contrib!E$104)*100/(24*Input!$F$14)</f>
        <v>0.19363852627825448</v>
      </c>
      <c r="F71" s="17">
        <f>Multi!F593*F$11*LAFs!F$249*(1-Contrib!F$104)*100/(24*Input!$F$14)</f>
        <v>0.10310673600937798</v>
      </c>
      <c r="G71" s="17">
        <f>Multi!G593*G$11*LAFs!G$249*(1-Contrib!G$104)*100/(24*Input!$F$14)</f>
        <v>0</v>
      </c>
      <c r="H71" s="17">
        <f>Multi!H593*H$11*LAFs!H$249*(1-Contrib!H$104)*100/(24*Input!$F$14)</f>
        <v>3.1351313826919976E-2</v>
      </c>
      <c r="I71" s="17">
        <f>Multi!I593*I$11*LAFs!I$249*(1-Contrib!I$104)*100/(24*Input!$F$14)</f>
        <v>0</v>
      </c>
      <c r="J71" s="17">
        <f>Multi!J593*J$11*LAFs!J$249*(1-Contrib!J$104)*100/(24*Input!$F$14)</f>
        <v>0</v>
      </c>
      <c r="K71" s="17">
        <f>Multi!B593*K$11*LAFs!B$249*(1-Contrib!K$104)*100/(24*Input!$F$14)</f>
        <v>9.4014268889402841E-2</v>
      </c>
      <c r="L71" s="17">
        <f>Multi!C593*L$11*LAFs!C$249*(1-Contrib!L$104)*100/(24*Input!$F$14)</f>
        <v>4.5224869005545197E-2</v>
      </c>
      <c r="M71" s="17">
        <f>Multi!D593*M$11*LAFs!D$249*(1-Contrib!M$104)*100/(24*Input!$F$14)</f>
        <v>4.171473202505744E-2</v>
      </c>
      <c r="N71" s="17">
        <f>Multi!E593*N$11*LAFs!E$249*(1-Contrib!N$104)*100/(24*Input!$F$14)</f>
        <v>6.3929322382803092E-2</v>
      </c>
      <c r="O71" s="17">
        <f>Multi!F593*O$11*LAFs!F$249*(1-Contrib!O$104)*100/(24*Input!$F$14)</f>
        <v>7.9163851553140777E-2</v>
      </c>
      <c r="P71" s="17">
        <f>Multi!G593*P$11*LAFs!G$249*(1-Contrib!P$104)*100/(24*Input!$F$14)</f>
        <v>0</v>
      </c>
      <c r="Q71" s="17">
        <f>Multi!H593*Q$11*LAFs!H$249*(1-Contrib!Q$104)*100/(24*Input!$F$14)</f>
        <v>0.11500628328737461</v>
      </c>
      <c r="R71" s="17">
        <f>Multi!I593*R$11*LAFs!I$249*(1-Contrib!R$104)*100/(24*Input!$F$14)</f>
        <v>0</v>
      </c>
      <c r="S71" s="17">
        <f>Multi!J593*S$11*LAFs!J$249*(1-Contrib!S$104)*100/(24*Input!$F$14)</f>
        <v>0</v>
      </c>
      <c r="T71" s="17">
        <f t="shared" si="0"/>
        <v>1.030485342948285</v>
      </c>
      <c r="U71" s="6"/>
    </row>
    <row r="72" spans="1:21" x14ac:dyDescent="0.2">
      <c r="A72" s="5" t="s">
        <v>59</v>
      </c>
      <c r="B72" s="17">
        <f>Multi!B594*B$11*LAFs!B$250*(1-Contrib!B$105)*100/(24*Input!$F$14)</f>
        <v>0</v>
      </c>
      <c r="C72" s="17">
        <f>Multi!C594*C$11*LAFs!C$250*(1-Contrib!C$105)*100/(24*Input!$F$14)</f>
        <v>0.73783183893234017</v>
      </c>
      <c r="D72" s="17">
        <f>Multi!D594*D$11*LAFs!D$250*(1-Contrib!D$105)*100/(24*Input!$F$14)</f>
        <v>0.6805648776305806</v>
      </c>
      <c r="E72" s="17">
        <f>Multi!E594*E$11*LAFs!E$250*(1-Contrib!E$105)*100/(24*Input!$F$14)</f>
        <v>0.93511949657095617</v>
      </c>
      <c r="F72" s="17">
        <f>Multi!F594*F$11*LAFs!F$250*(1-Contrib!F$105)*100/(24*Input!$F$14)</f>
        <v>1.1579609833453239</v>
      </c>
      <c r="G72" s="17">
        <f>Multi!G594*G$11*LAFs!G$250*(1-Contrib!G$105)*100/(24*Input!$F$14)</f>
        <v>0</v>
      </c>
      <c r="H72" s="17">
        <f>Multi!H594*H$11*LAFs!H$250*(1-Contrib!H$105)*100/(24*Input!$F$14)</f>
        <v>1.1775696911090849</v>
      </c>
      <c r="I72" s="17">
        <f>Multi!I594*I$11*LAFs!I$250*(1-Contrib!I$105)*100/(24*Input!$F$14)</f>
        <v>1.0178353998709531</v>
      </c>
      <c r="J72" s="17">
        <f>Multi!J594*J$11*LAFs!J$250*(1-Contrib!J$105)*100/(24*Input!$F$14)</f>
        <v>2.5935110509714612E-2</v>
      </c>
      <c r="K72" s="17">
        <f>Multi!B594*K$11*LAFs!B$250*(1-Contrib!K$105)*100/(24*Input!$F$14)</f>
        <v>0.58284576698462587</v>
      </c>
      <c r="L72" s="17">
        <f>Multi!C594*L$11*LAFs!C$250*(1-Contrib!L$105)*100/(24*Input!$F$14)</f>
        <v>0.24359351623871084</v>
      </c>
      <c r="M72" s="17">
        <f>Multi!D594*M$11*LAFs!D$250*(1-Contrib!M$105)*100/(24*Input!$F$14)</f>
        <v>0.22468695822409937</v>
      </c>
      <c r="N72" s="17">
        <f>Multi!E594*N$11*LAFs!E$250*(1-Contrib!N$105)*100/(24*Input!$F$14)</f>
        <v>0.30872759110356152</v>
      </c>
      <c r="O72" s="17">
        <f>Multi!F594*O$11*LAFs!F$250*(1-Contrib!O$105)*100/(24*Input!$F$14)</f>
        <v>0.38229820497918232</v>
      </c>
      <c r="P72" s="17">
        <f>Multi!G594*P$11*LAFs!G$250*(1-Contrib!P$105)*100/(24*Input!$F$14)</f>
        <v>0</v>
      </c>
      <c r="Q72" s="17">
        <f>Multi!H594*Q$11*LAFs!H$250*(1-Contrib!Q$105)*100/(24*Input!$F$14)</f>
        <v>0.55538853655417286</v>
      </c>
      <c r="R72" s="17">
        <f>Multi!I594*R$11*LAFs!I$250*(1-Contrib!R$105)*100/(24*Input!$F$14)</f>
        <v>0.48005151411033858</v>
      </c>
      <c r="S72" s="17">
        <f>Multi!J594*S$11*LAFs!J$250*(1-Contrib!S$105)*100/(24*Input!$F$14)</f>
        <v>0.28541393985937091</v>
      </c>
      <c r="T72" s="17">
        <f t="shared" si="0"/>
        <v>8.7958234260230164</v>
      </c>
      <c r="U72" s="6"/>
    </row>
    <row r="73" spans="1:21" x14ac:dyDescent="0.2">
      <c r="A73" s="5" t="s">
        <v>60</v>
      </c>
      <c r="B73" s="17">
        <f>Multi!B595*B$11*LAFs!B$251*(1-Contrib!B$106)*100/(24*Input!$F$14)</f>
        <v>0</v>
      </c>
      <c r="C73" s="17">
        <f>Multi!C595*C$11*LAFs!C$251*(1-Contrib!C$106)*100/(24*Input!$F$14)</f>
        <v>0.83930643242805658</v>
      </c>
      <c r="D73" s="17">
        <f>Multi!D595*D$11*LAFs!D$251*(1-Contrib!D$106)*100/(24*Input!$F$14)</f>
        <v>0.77416350086830465</v>
      </c>
      <c r="E73" s="17">
        <f>Multi!E595*E$11*LAFs!E$251*(1-Contrib!E$106)*100/(24*Input!$F$14)</f>
        <v>1.0637272168907606</v>
      </c>
      <c r="F73" s="17">
        <f>Multi!F595*F$11*LAFs!F$251*(1-Contrib!F$106)*100/(24*Input!$F$14)</f>
        <v>1.3172162687215931</v>
      </c>
      <c r="G73" s="17">
        <f>Multi!G595*G$11*LAFs!G$251*(1-Contrib!G$106)*100/(24*Input!$F$14)</f>
        <v>0</v>
      </c>
      <c r="H73" s="17">
        <f>Multi!H595*H$11*LAFs!H$251*(1-Contrib!H$106)*100/(24*Input!$F$14)</f>
        <v>1.3395217774965207</v>
      </c>
      <c r="I73" s="17">
        <f>Multi!I595*I$11*LAFs!I$251*(1-Contrib!I$106)*100/(24*Input!$F$14)</f>
        <v>4.9620818720166764E-2</v>
      </c>
      <c r="J73" s="17">
        <f>Multi!J595*J$11*LAFs!J$251*(1-Contrib!J$106)*100/(24*Input!$F$14)</f>
        <v>0</v>
      </c>
      <c r="K73" s="17">
        <f>Multi!B595*K$11*LAFs!B$251*(1-Contrib!K$106)*100/(24*Input!$F$14)</f>
        <v>0.6630050040284583</v>
      </c>
      <c r="L73" s="17">
        <f>Multi!C595*L$11*LAFs!C$251*(1-Contrib!L$106)*100/(24*Input!$F$14)</f>
        <v>0.27709512423963917</v>
      </c>
      <c r="M73" s="17">
        <f>Multi!D595*M$11*LAFs!D$251*(1-Contrib!M$106)*100/(24*Input!$F$14)</f>
        <v>0.25558833242146617</v>
      </c>
      <c r="N73" s="17">
        <f>Multi!E595*N$11*LAFs!E$251*(1-Contrib!N$106)*100/(24*Input!$F$14)</f>
        <v>0.35118713968237864</v>
      </c>
      <c r="O73" s="17">
        <f>Multi!F595*O$11*LAFs!F$251*(1-Contrib!O$106)*100/(24*Input!$F$14)</f>
        <v>0.43487597798575234</v>
      </c>
      <c r="P73" s="17">
        <f>Multi!G595*P$11*LAFs!G$251*(1-Contrib!P$106)*100/(24*Input!$F$14)</f>
        <v>0</v>
      </c>
      <c r="Q73" s="17">
        <f>Multi!H595*Q$11*LAFs!H$251*(1-Contrib!Q$106)*100/(24*Input!$F$14)</f>
        <v>0.63177155908755511</v>
      </c>
      <c r="R73" s="17">
        <f>Multi!I595*R$11*LAFs!I$251*(1-Contrib!R$106)*100/(24*Input!$F$14)</f>
        <v>0.54607337665538513</v>
      </c>
      <c r="S73" s="17">
        <f>Multi!J595*S$11*LAFs!J$251*(1-Contrib!S$106)*100/(24*Input!$F$14)</f>
        <v>0</v>
      </c>
      <c r="T73" s="17">
        <f t="shared" si="0"/>
        <v>8.5431525292260382</v>
      </c>
      <c r="U73" s="6"/>
    </row>
    <row r="74" spans="1:21" x14ac:dyDescent="0.2">
      <c r="A74" s="5" t="s">
        <v>73</v>
      </c>
      <c r="B74" s="17">
        <f>Multi!B596*B$11*LAFs!B$252*(1-Contrib!B$107)*100/(24*Input!$F$14)</f>
        <v>0</v>
      </c>
      <c r="C74" s="17">
        <f>Multi!C596*C$11*LAFs!C$252*(1-Contrib!C$107)*100/(24*Input!$F$14)</f>
        <v>0.77850449373732833</v>
      </c>
      <c r="D74" s="17">
        <f>Multi!D596*D$11*LAFs!D$252*(1-Contrib!D$107)*100/(24*Input!$F$14)</f>
        <v>0.71808071644328586</v>
      </c>
      <c r="E74" s="17">
        <f>Multi!E596*E$11*LAFs!E$252*(1-Contrib!E$107)*100/(24*Input!$F$14)</f>
        <v>0.9866675465175142</v>
      </c>
      <c r="F74" s="17">
        <f>Multi!F596*F$11*LAFs!F$252*(1-Contrib!F$107)*100/(24*Input!$F$14)</f>
        <v>0.52537102095899624</v>
      </c>
      <c r="G74" s="17">
        <f>Multi!G596*G$11*LAFs!G$252*(1-Contrib!G$107)*100/(24*Input!$F$14)</f>
        <v>0</v>
      </c>
      <c r="H74" s="17">
        <f>Multi!H596*H$11*LAFs!H$252*(1-Contrib!H$107)*100/(24*Input!$F$14)</f>
        <v>0.15974777585973368</v>
      </c>
      <c r="I74" s="17">
        <f>Multi!I596*I$11*LAFs!I$252*(1-Contrib!I$107)*100/(24*Input!$F$14)</f>
        <v>0</v>
      </c>
      <c r="J74" s="17">
        <f>Multi!J596*J$11*LAFs!J$252*(1-Contrib!J$107)*100/(24*Input!$F$14)</f>
        <v>0</v>
      </c>
      <c r="K74" s="17">
        <f>Multi!B596*K$11*LAFs!B$252*(1-Contrib!K$107)*100/(24*Input!$F$14)</f>
        <v>0.61497488290813673</v>
      </c>
      <c r="L74" s="17">
        <f>Multi!C596*L$11*LAFs!C$252*(1-Contrib!L$107)*100/(24*Input!$F$14)</f>
        <v>0.25702150141897478</v>
      </c>
      <c r="M74" s="17">
        <f>Multi!D596*M$11*LAFs!D$252*(1-Contrib!M$107)*100/(24*Input!$F$14)</f>
        <v>0.2370727277298656</v>
      </c>
      <c r="N74" s="17">
        <f>Multi!E596*N$11*LAFs!E$252*(1-Contrib!N$107)*100/(24*Input!$F$14)</f>
        <v>0.32574606344259827</v>
      </c>
      <c r="O74" s="17">
        <f>Multi!F596*O$11*LAFs!F$252*(1-Contrib!O$107)*100/(24*Input!$F$14)</f>
        <v>0.40337222497022102</v>
      </c>
      <c r="P74" s="17">
        <f>Multi!G596*P$11*LAFs!G$252*(1-Contrib!P$107)*100/(24*Input!$F$14)</f>
        <v>0</v>
      </c>
      <c r="Q74" s="17">
        <f>Multi!H596*Q$11*LAFs!H$252*(1-Contrib!Q$107)*100/(24*Input!$F$14)</f>
        <v>0.58600408475632504</v>
      </c>
      <c r="R74" s="17">
        <f>Multi!I596*R$11*LAFs!I$252*(1-Contrib!R$107)*100/(24*Input!$F$14)</f>
        <v>0</v>
      </c>
      <c r="S74" s="17">
        <f>Multi!J596*S$11*LAFs!J$252*(1-Contrib!S$107)*100/(24*Input!$F$14)</f>
        <v>0</v>
      </c>
      <c r="T74" s="17">
        <f t="shared" si="0"/>
        <v>5.5925630387429788</v>
      </c>
      <c r="U74" s="6"/>
    </row>
    <row r="75" spans="1:21" x14ac:dyDescent="0.2">
      <c r="A75" s="5" t="s">
        <v>74</v>
      </c>
      <c r="B75" s="17">
        <f>Multi!B597*B$11*LAFs!B$253*(1-Contrib!B$108)*100/(24*Input!$F$14)</f>
        <v>0</v>
      </c>
      <c r="C75" s="17">
        <f>Multi!C597*C$11*LAFs!C$253*(1-Contrib!C$108)*100/(24*Input!$F$14)</f>
        <v>0.72183178144771754</v>
      </c>
      <c r="D75" s="17">
        <f>Multi!D597*D$11*LAFs!D$253*(1-Contrib!D$108)*100/(24*Input!$F$14)</f>
        <v>0.66580666771128372</v>
      </c>
      <c r="E75" s="17">
        <f>Multi!E597*E$11*LAFs!E$253*(1-Contrib!E$108)*100/(24*Input!$F$14)</f>
        <v>0.39338172016649436</v>
      </c>
      <c r="F75" s="17">
        <f>Multi!F597*F$11*LAFs!F$253*(1-Contrib!F$108)*100/(24*Input!$F$14)</f>
        <v>9.0628026100321668E-2</v>
      </c>
      <c r="G75" s="17">
        <f>Multi!G597*G$11*LAFs!G$253*(1-Contrib!G$108)*100/(24*Input!$F$14)</f>
        <v>0</v>
      </c>
      <c r="H75" s="17">
        <f>Multi!H597*H$11*LAFs!H$253*(1-Contrib!H$108)*100/(24*Input!$F$14)</f>
        <v>0</v>
      </c>
      <c r="I75" s="17">
        <f>Multi!I597*I$11*LAFs!I$253*(1-Contrib!I$108)*100/(24*Input!$F$14)</f>
        <v>0</v>
      </c>
      <c r="J75" s="17">
        <f>Multi!J597*J$11*LAFs!J$253*(1-Contrib!J$108)*100/(24*Input!$F$14)</f>
        <v>0</v>
      </c>
      <c r="K75" s="17">
        <f>Multi!B597*K$11*LAFs!B$253*(1-Contrib!K$108)*100/(24*Input!$F$14)</f>
        <v>0.57020661903200132</v>
      </c>
      <c r="L75" s="17">
        <f>Multi!C597*L$11*LAFs!C$253*(1-Contrib!L$108)*100/(24*Input!$F$14)</f>
        <v>0.23831113337442489</v>
      </c>
      <c r="M75" s="17">
        <f>Multi!D597*M$11*LAFs!D$253*(1-Contrib!M$108)*100/(24*Input!$F$14)</f>
        <v>0.21981456853049028</v>
      </c>
      <c r="N75" s="17">
        <f>Multi!E597*N$11*LAFs!E$253*(1-Contrib!N$108)*100/(24*Input!$F$14)</f>
        <v>0.30203276046045202</v>
      </c>
      <c r="O75" s="17">
        <f>Multi!F597*O$11*LAFs!F$253*(1-Contrib!O$108)*100/(24*Input!$F$14)</f>
        <v>0.37400797821858867</v>
      </c>
      <c r="P75" s="17">
        <f>Multi!G597*P$11*LAFs!G$253*(1-Contrib!P$108)*100/(24*Input!$F$14)</f>
        <v>0</v>
      </c>
      <c r="Q75" s="17">
        <f>Multi!H597*Q$11*LAFs!H$253*(1-Contrib!Q$108)*100/(24*Input!$F$14)</f>
        <v>0</v>
      </c>
      <c r="R75" s="17">
        <f>Multi!I597*R$11*LAFs!I$253*(1-Contrib!R$108)*100/(24*Input!$F$14)</f>
        <v>0</v>
      </c>
      <c r="S75" s="17">
        <f>Multi!J597*S$11*LAFs!J$253*(1-Contrib!S$108)*100/(24*Input!$F$14)</f>
        <v>0</v>
      </c>
      <c r="T75" s="17">
        <f t="shared" si="0"/>
        <v>3.5760212550417743</v>
      </c>
      <c r="U75" s="6"/>
    </row>
    <row r="76" spans="1:21" x14ac:dyDescent="0.2">
      <c r="A76" s="5" t="s">
        <v>64</v>
      </c>
      <c r="B76" s="17">
        <f>Multi!B598*B$11*LAFs!B$262*(1-Contrib!B$117)*100/(24*Input!$F$14)</f>
        <v>0</v>
      </c>
      <c r="C76" s="17">
        <f>Multi!C598*C$11*LAFs!C$262*(1-Contrib!C$117)*100/(24*Input!$F$14)</f>
        <v>-0.77454588427982929</v>
      </c>
      <c r="D76" s="17">
        <f>Multi!D598*D$11*LAFs!D$262*(1-Contrib!D$117)*100/(24*Input!$F$14)</f>
        <v>-0.71442935522671336</v>
      </c>
      <c r="E76" s="17">
        <f>Multi!E598*E$11*LAFs!E$262*(1-Contrib!E$117)*100/(24*Input!$F$14)</f>
        <v>-0.9816504509034597</v>
      </c>
      <c r="F76" s="17">
        <f>Multi!F598*F$11*LAFs!F$262*(1-Contrib!F$117)*100/(24*Input!$F$14)</f>
        <v>-1.2155803890281713</v>
      </c>
      <c r="G76" s="17">
        <f>Multi!G598*G$11*LAFs!G$262*(1-Contrib!G$117)*100/(24*Input!$F$14)</f>
        <v>0</v>
      </c>
      <c r="H76" s="17">
        <f>Multi!H598*H$11*LAFs!H$262*(1-Contrib!H$117)*100/(24*Input!$F$14)</f>
        <v>-1.2361648136803307</v>
      </c>
      <c r="I76" s="17">
        <f>Multi!I598*I$11*LAFs!I$262*(1-Contrib!I$117)*100/(24*Input!$F$14)</f>
        <v>-1.0684822452025611</v>
      </c>
      <c r="J76" s="17">
        <f>Multi!J598*J$11*LAFs!J$262*(1-Contrib!J$117)*100/(24*Input!$F$14)</f>
        <v>0</v>
      </c>
      <c r="K76" s="17">
        <f>Multi!B598*K$11*LAFs!B$262*(1-Contrib!K$117)*100/(24*Input!$F$14)</f>
        <v>-0.61184780347932377</v>
      </c>
      <c r="L76" s="17">
        <f>Multi!C598*L$11*LAFs!C$262*(1-Contrib!L$117)*100/(24*Input!$F$14)</f>
        <v>-0.25571457544169063</v>
      </c>
      <c r="M76" s="17">
        <f>Multi!D598*M$11*LAFs!D$262*(1-Contrib!M$117)*100/(24*Input!$F$14)</f>
        <v>-0.23586723906582302</v>
      </c>
      <c r="N76" s="17">
        <f>Multi!E598*N$11*LAFs!E$262*(1-Contrib!N$117)*100/(24*Input!$F$14)</f>
        <v>-0.32408968064987165</v>
      </c>
      <c r="O76" s="17">
        <f>Multi!F598*O$11*LAFs!F$262*(1-Contrib!O$117)*100/(24*Input!$F$14)</f>
        <v>-0.40132112171069595</v>
      </c>
      <c r="P76" s="17">
        <f>Multi!G598*P$11*LAFs!G$262*(1-Contrib!P$117)*100/(24*Input!$F$14)</f>
        <v>0</v>
      </c>
      <c r="Q76" s="17">
        <f>Multi!H598*Q$11*LAFs!H$262*(1-Contrib!Q$117)*100/(24*Input!$F$14)</f>
        <v>-0.58302431863973769</v>
      </c>
      <c r="R76" s="17">
        <f>Multi!I598*R$11*LAFs!I$262*(1-Contrib!R$117)*100/(24*Input!$F$14)</f>
        <v>-0.50393857363826733</v>
      </c>
      <c r="S76" s="17">
        <f>Multi!J598*S$11*LAFs!J$262*(1-Contrib!S$117)*100/(24*Input!$F$14)</f>
        <v>0</v>
      </c>
      <c r="T76" s="17">
        <f t="shared" si="0"/>
        <v>-8.9066564509464765</v>
      </c>
      <c r="U76" s="6"/>
    </row>
    <row r="77" spans="1:21" x14ac:dyDescent="0.2">
      <c r="A77" s="5" t="s">
        <v>66</v>
      </c>
      <c r="B77" s="17">
        <f>Multi!B599*B$11*LAFs!B$264*(1-Contrib!B$119)*100/(24*Input!$F$14)</f>
        <v>0</v>
      </c>
      <c r="C77" s="17">
        <f>Multi!C599*C$11*LAFs!C$264*(1-Contrib!C$119)*100/(24*Input!$F$14)</f>
        <v>-0.73940314905842142</v>
      </c>
      <c r="D77" s="17">
        <f>Multi!D599*D$11*LAFs!D$264*(1-Contrib!D$119)*100/(24*Input!$F$14)</f>
        <v>-0.68201423021642693</v>
      </c>
      <c r="E77" s="17">
        <f>Multi!E599*E$11*LAFs!E$264*(1-Contrib!E$119)*100/(24*Input!$F$14)</f>
        <v>-0.93711095676083433</v>
      </c>
      <c r="F77" s="17">
        <f>Multi!F599*F$11*LAFs!F$264*(1-Contrib!F$119)*100/(24*Input!$F$14)</f>
        <v>-1.1604270138454049</v>
      </c>
      <c r="G77" s="17">
        <f>Multi!G599*G$11*LAFs!G$264*(1-Contrib!G$119)*100/(24*Input!$F$14)</f>
        <v>0</v>
      </c>
      <c r="H77" s="17">
        <f>Multi!H599*H$11*LAFs!H$264*(1-Contrib!H$119)*100/(24*Input!$F$14)</f>
        <v>-1.180077480936214</v>
      </c>
      <c r="I77" s="17">
        <f>Multi!I599*I$11*LAFs!I$264*(1-Contrib!I$119)*100/(24*Input!$F$14)</f>
        <v>0</v>
      </c>
      <c r="J77" s="17">
        <f>Multi!J599*J$11*LAFs!J$264*(1-Contrib!J$119)*100/(24*Input!$F$14)</f>
        <v>0</v>
      </c>
      <c r="K77" s="17">
        <f>Multi!B599*K$11*LAFs!B$264*(1-Contrib!K$119)*100/(24*Input!$F$14)</f>
        <v>-0.5840870138477755</v>
      </c>
      <c r="L77" s="17">
        <f>Multi!C599*L$11*LAFs!C$264*(1-Contrib!L$119)*100/(24*Input!$F$14)</f>
        <v>-0.24411228073018018</v>
      </c>
      <c r="M77" s="17">
        <f>Multi!D599*M$11*LAFs!D$264*(1-Contrib!M$119)*100/(24*Input!$F$14)</f>
        <v>-0.22516545870893456</v>
      </c>
      <c r="N77" s="17">
        <f>Multi!E599*N$11*LAFs!E$264*(1-Contrib!N$119)*100/(24*Input!$F$14)</f>
        <v>-0.3093850671902586</v>
      </c>
      <c r="O77" s="17">
        <f>Multi!F599*O$11*LAFs!F$264*(1-Contrib!O$119)*100/(24*Input!$F$14)</f>
        <v>-0.3831123593826245</v>
      </c>
      <c r="P77" s="17">
        <f>Multi!G599*P$11*LAFs!G$264*(1-Contrib!P$119)*100/(24*Input!$F$14)</f>
        <v>0</v>
      </c>
      <c r="Q77" s="17">
        <f>Multi!H599*Q$11*LAFs!H$264*(1-Contrib!Q$119)*100/(24*Input!$F$14)</f>
        <v>-0.55657130962704549</v>
      </c>
      <c r="R77" s="17">
        <f>Multi!I599*R$11*LAFs!I$264*(1-Contrib!R$119)*100/(24*Input!$F$14)</f>
        <v>0</v>
      </c>
      <c r="S77" s="17">
        <f>Multi!J599*S$11*LAFs!J$264*(1-Contrib!S$119)*100/(24*Input!$F$14)</f>
        <v>0</v>
      </c>
      <c r="T77" s="17">
        <f t="shared" si="0"/>
        <v>-7.0014663203041207</v>
      </c>
      <c r="U77" s="6"/>
    </row>
    <row r="78" spans="1:21" x14ac:dyDescent="0.2">
      <c r="A78" s="5" t="s">
        <v>76</v>
      </c>
      <c r="B78" s="17">
        <f>Multi!B600*B$11*LAFs!B$266*(1-Contrib!B$121)*100/(24*Input!$F$14)</f>
        <v>0</v>
      </c>
      <c r="C78" s="17">
        <f>Multi!C600*C$11*LAFs!C$266*(1-Contrib!C$121)*100/(24*Input!$F$14)</f>
        <v>-0.73026603790085542</v>
      </c>
      <c r="D78" s="17">
        <f>Multi!D600*D$11*LAFs!D$266*(1-Contrib!D$121)*100/(24*Input!$F$14)</f>
        <v>-0.67358629771375234</v>
      </c>
      <c r="E78" s="17">
        <f>Multi!E600*E$11*LAFs!E$266*(1-Contrib!E$121)*100/(24*Input!$F$14)</f>
        <v>-0.92553068828375162</v>
      </c>
      <c r="F78" s="17">
        <f>Multi!F600*F$11*LAFs!F$266*(1-Contrib!F$121)*100/(24*Input!$F$14)</f>
        <v>-0.49281746860809089</v>
      </c>
      <c r="G78" s="17">
        <f>Multi!G600*G$11*LAFs!G$266*(1-Contrib!G$121)*100/(24*Input!$F$14)</f>
        <v>0</v>
      </c>
      <c r="H78" s="17">
        <f>Multi!H600*H$11*LAFs!H$266*(1-Contrib!H$121)*100/(24*Input!$F$14)</f>
        <v>0</v>
      </c>
      <c r="I78" s="17">
        <f>Multi!I600*I$11*LAFs!I$266*(1-Contrib!I$121)*100/(24*Input!$F$14)</f>
        <v>0</v>
      </c>
      <c r="J78" s="17">
        <f>Multi!J600*J$11*LAFs!J$266*(1-Contrib!J$121)*100/(24*Input!$F$14)</f>
        <v>0</v>
      </c>
      <c r="K78" s="17">
        <f>Multi!B600*K$11*LAFs!B$266*(1-Contrib!K$121)*100/(24*Input!$F$14)</f>
        <v>-0.57686920854357282</v>
      </c>
      <c r="L78" s="17">
        <f>Multi!C600*L$11*LAFs!C$266*(1-Contrib!L$121)*100/(24*Input!$F$14)</f>
        <v>-0.24109568410518747</v>
      </c>
      <c r="M78" s="17">
        <f>Multi!D600*M$11*LAFs!D$266*(1-Contrib!M$121)*100/(24*Input!$F$14)</f>
        <v>-0.22238299581614349</v>
      </c>
      <c r="N78" s="17">
        <f>Multi!E600*N$11*LAFs!E$266*(1-Contrib!N$121)*100/(24*Input!$F$14)</f>
        <v>-0.30556186769075916</v>
      </c>
      <c r="O78" s="17">
        <f>Multi!F600*O$11*LAFs!F$266*(1-Contrib!O$121)*100/(24*Input!$F$14)</f>
        <v>-0.37837808117732585</v>
      </c>
      <c r="P78" s="17">
        <f>Multi!G600*P$11*LAFs!G$266*(1-Contrib!P$121)*100/(24*Input!$F$14)</f>
        <v>0</v>
      </c>
      <c r="Q78" s="17">
        <f>Multi!H600*Q$11*LAFs!H$266*(1-Contrib!Q$121)*100/(24*Input!$F$14)</f>
        <v>0</v>
      </c>
      <c r="R78" s="17">
        <f>Multi!I600*R$11*LAFs!I$266*(1-Contrib!R$121)*100/(24*Input!$F$14)</f>
        <v>0</v>
      </c>
      <c r="S78" s="17">
        <f>Multi!J600*S$11*LAFs!J$266*(1-Contrib!S$121)*100/(24*Input!$F$14)</f>
        <v>0</v>
      </c>
      <c r="T78" s="17">
        <f t="shared" si="0"/>
        <v>-4.5464883298394394</v>
      </c>
      <c r="U78" s="6"/>
    </row>
    <row r="79" spans="1:21" x14ac:dyDescent="0.2">
      <c r="A79" s="5" t="s">
        <v>78</v>
      </c>
      <c r="B79" s="17">
        <f>Multi!B601*B$11*LAFs!B$268*(1-Contrib!B$123)*100/(24*Input!$F$14)</f>
        <v>0</v>
      </c>
      <c r="C79" s="17">
        <f>Multi!C601*C$11*LAFs!C$268*(1-Contrib!C$123)*100/(24*Input!$F$14)</f>
        <v>-0.72183178144771754</v>
      </c>
      <c r="D79" s="17">
        <f>Multi!D601*D$11*LAFs!D$268*(1-Contrib!D$123)*100/(24*Input!$F$14)</f>
        <v>-0.66580666771128372</v>
      </c>
      <c r="E79" s="17">
        <f>Multi!E601*E$11*LAFs!E$268*(1-Contrib!E$123)*100/(24*Input!$F$14)</f>
        <v>-0.39338172016649436</v>
      </c>
      <c r="F79" s="17">
        <f>Multi!F601*F$11*LAFs!F$268*(1-Contrib!F$123)*100/(24*Input!$F$14)</f>
        <v>0</v>
      </c>
      <c r="G79" s="17">
        <f>Multi!G601*G$11*LAFs!G$268*(1-Contrib!G$123)*100/(24*Input!$F$14)</f>
        <v>0</v>
      </c>
      <c r="H79" s="17">
        <f>Multi!H601*H$11*LAFs!H$268*(1-Contrib!H$123)*100/(24*Input!$F$14)</f>
        <v>0</v>
      </c>
      <c r="I79" s="17">
        <f>Multi!I601*I$11*LAFs!I$268*(1-Contrib!I$123)*100/(24*Input!$F$14)</f>
        <v>0</v>
      </c>
      <c r="J79" s="17">
        <f>Multi!J601*J$11*LAFs!J$268*(1-Contrib!J$123)*100/(24*Input!$F$14)</f>
        <v>0</v>
      </c>
      <c r="K79" s="17">
        <f>Multi!B601*K$11*LAFs!B$268*(1-Contrib!K$123)*100/(24*Input!$F$14)</f>
        <v>-0.57020661903200132</v>
      </c>
      <c r="L79" s="17">
        <f>Multi!C601*L$11*LAFs!C$268*(1-Contrib!L$123)*100/(24*Input!$F$14)</f>
        <v>-0.23831113337442489</v>
      </c>
      <c r="M79" s="17">
        <f>Multi!D601*M$11*LAFs!D$268*(1-Contrib!M$123)*100/(24*Input!$F$14)</f>
        <v>-0.21981456853049028</v>
      </c>
      <c r="N79" s="17">
        <f>Multi!E601*N$11*LAFs!E$268*(1-Contrib!N$123)*100/(24*Input!$F$14)</f>
        <v>-0.30203276046045202</v>
      </c>
      <c r="O79" s="17">
        <f>Multi!F601*O$11*LAFs!F$268*(1-Contrib!O$123)*100/(24*Input!$F$14)</f>
        <v>0</v>
      </c>
      <c r="P79" s="17">
        <f>Multi!G601*P$11*LAFs!G$268*(1-Contrib!P$123)*100/(24*Input!$F$14)</f>
        <v>0</v>
      </c>
      <c r="Q79" s="17">
        <f>Multi!H601*Q$11*LAFs!H$268*(1-Contrib!Q$123)*100/(24*Input!$F$14)</f>
        <v>0</v>
      </c>
      <c r="R79" s="17">
        <f>Multi!I601*R$11*LAFs!I$268*(1-Contrib!R$123)*100/(24*Input!$F$14)</f>
        <v>0</v>
      </c>
      <c r="S79" s="17">
        <f>Multi!J601*S$11*LAFs!J$268*(1-Contrib!S$123)*100/(24*Input!$F$14)</f>
        <v>0</v>
      </c>
      <c r="T79" s="17">
        <f t="shared" si="0"/>
        <v>-3.1113852507228641</v>
      </c>
      <c r="U79" s="6"/>
    </row>
    <row r="80" spans="1:21" x14ac:dyDescent="0.2">
      <c r="A80" s="5" t="s">
        <v>96</v>
      </c>
      <c r="B80" s="17">
        <f>Multi!B602*B$11*LAFs!B$254*(1-Contrib!B$109)*100/(24*Input!$F$14)</f>
        <v>0</v>
      </c>
      <c r="C80" s="17">
        <f>Multi!C602*C$11*LAFs!C$254*(1-Contrib!C$109)*100/(24*Input!$F$14)</f>
        <v>6.8383530034273901E-2</v>
      </c>
      <c r="D80" s="17">
        <f>Multi!D602*D$11*LAFs!D$254*(1-Contrib!D$109)*100/(24*Input!$F$14)</f>
        <v>6.3075929085774335E-2</v>
      </c>
      <c r="E80" s="17">
        <f>Multi!E602*E$11*LAFs!E$254*(1-Contrib!E$109)*100/(24*Input!$F$14)</f>
        <v>9.6143215334673349E-2</v>
      </c>
      <c r="F80" s="17">
        <f>Multi!F602*F$11*LAFs!F$254*(1-Contrib!F$109)*100/(24*Input!$F$14)</f>
        <v>0.11905440168787235</v>
      </c>
      <c r="G80" s="17">
        <f>Multi!G602*G$11*LAFs!G$254*(1-Contrib!G$109)*100/(24*Input!$F$14)</f>
        <v>0</v>
      </c>
      <c r="H80" s="17">
        <f>Multi!H602*H$11*LAFs!H$254*(1-Contrib!H$109)*100/(24*Input!$F$14)</f>
        <v>0.12107044800054047</v>
      </c>
      <c r="I80" s="17">
        <f>Multi!I602*I$11*LAFs!I$254*(1-Contrib!I$109)*100/(24*Input!$F$14)</f>
        <v>0.10464755401196045</v>
      </c>
      <c r="J80" s="17">
        <f>Multi!J602*J$11*LAFs!J$254*(1-Contrib!J$109)*100/(24*Input!$F$14)</f>
        <v>2.6664879981730099E-3</v>
      </c>
      <c r="K80" s="17">
        <f>Multi!B602*K$11*LAFs!B$254*(1-Contrib!K$109)*100/(24*Input!$F$14)</f>
        <v>4.7198650083971935E-2</v>
      </c>
      <c r="L80" s="17">
        <f>Multi!C602*L$11*LAFs!C$254*(1-Contrib!L$109)*100/(24*Input!$F$14)</f>
        <v>2.2576668090073845E-2</v>
      </c>
      <c r="M80" s="17">
        <f>Multi!D602*M$11*LAFs!D$254*(1-Contrib!M$109)*100/(24*Input!$F$14)</f>
        <v>2.0824375616889476E-2</v>
      </c>
      <c r="N80" s="17">
        <f>Multi!E602*N$11*LAFs!E$254*(1-Contrib!N$109)*100/(24*Input!$F$14)</f>
        <v>3.1741465534691093E-2</v>
      </c>
      <c r="O80" s="17">
        <f>Multi!F602*O$11*LAFs!F$254*(1-Contrib!O$109)*100/(24*Input!$F$14)</f>
        <v>3.9305541995598464E-2</v>
      </c>
      <c r="P80" s="17">
        <f>Multi!G602*P$11*LAFs!G$254*(1-Contrib!P$109)*100/(24*Input!$F$14)</f>
        <v>0</v>
      </c>
      <c r="Q80" s="17">
        <f>Multi!H602*Q$11*LAFs!H$254*(1-Contrib!Q$109)*100/(24*Input!$F$14)</f>
        <v>5.7101621621772305E-2</v>
      </c>
      <c r="R80" s="17">
        <f>Multi!I602*R$11*LAFs!I$254*(1-Contrib!R$109)*100/(24*Input!$F$14)</f>
        <v>4.9355933933673629E-2</v>
      </c>
      <c r="S80" s="17">
        <f>Multi!J602*S$11*LAFs!J$254*(1-Contrib!S$109)*100/(24*Input!$F$14)</f>
        <v>2.9344499799266913E-2</v>
      </c>
      <c r="T80" s="17">
        <f t="shared" si="0"/>
        <v>0.87249032282920558</v>
      </c>
      <c r="U80" s="6"/>
    </row>
    <row r="81" spans="1:21" x14ac:dyDescent="0.2">
      <c r="A81" s="5" t="s">
        <v>97</v>
      </c>
      <c r="B81" s="17">
        <f>Multi!B603*B$11*LAFs!B$255*(1-Contrib!B$110)*100/(24*Input!$F$14)</f>
        <v>0</v>
      </c>
      <c r="C81" s="17">
        <f>Multi!C603*C$11*LAFs!C$255*(1-Contrib!C$110)*100/(24*Input!$F$14)</f>
        <v>9.2166799774346761E-2</v>
      </c>
      <c r="D81" s="17">
        <f>Multi!D603*D$11*LAFs!D$255*(1-Contrib!D$110)*100/(24*Input!$F$14)</f>
        <v>8.5013255731544154E-2</v>
      </c>
      <c r="E81" s="17">
        <f>Multi!E603*E$11*LAFs!E$255*(1-Contrib!E$110)*100/(24*Input!$F$14)</f>
        <v>0.1234435411933323</v>
      </c>
      <c r="F81" s="17">
        <f>Multi!F603*F$11*LAFs!F$255*(1-Contrib!F$110)*100/(24*Input!$F$14)</f>
        <v>0.15286046849843821</v>
      </c>
      <c r="G81" s="17">
        <f>Multi!G603*G$11*LAFs!G$255*(1-Contrib!G$110)*100/(24*Input!$F$14)</f>
        <v>0</v>
      </c>
      <c r="H81" s="17">
        <f>Multi!H603*H$11*LAFs!H$255*(1-Contrib!H$110)*100/(24*Input!$F$14)</f>
        <v>0.15544898080457659</v>
      </c>
      <c r="I81" s="17">
        <f>Multi!I603*I$11*LAFs!I$255*(1-Contrib!I$110)*100/(24*Input!$F$14)</f>
        <v>0.13436272751529346</v>
      </c>
      <c r="J81" s="17">
        <f>Multi!J603*J$11*LAFs!J$255*(1-Contrib!J$110)*100/(24*Input!$F$14)</f>
        <v>3.4236500193819356E-3</v>
      </c>
      <c r="K81" s="17">
        <f>Multi!B603*K$11*LAFs!B$255*(1-Contrib!K$110)*100/(24*Input!$F$14)</f>
        <v>7.0411786598146842E-2</v>
      </c>
      <c r="L81" s="17">
        <f>Multi!C603*L$11*LAFs!C$255*(1-Contrib!L$110)*100/(24*Input!$F$14)</f>
        <v>3.0428660912749175E-2</v>
      </c>
      <c r="M81" s="17">
        <f>Multi!D603*M$11*LAFs!D$255*(1-Contrib!M$110)*100/(24*Input!$F$14)</f>
        <v>2.8066934493520258E-2</v>
      </c>
      <c r="N81" s="17">
        <f>Multi!E603*N$11*LAFs!E$255*(1-Contrib!N$110)*100/(24*Input!$F$14)</f>
        <v>4.0754606496453197E-2</v>
      </c>
      <c r="O81" s="17">
        <f>Multi!F603*O$11*LAFs!F$255*(1-Contrib!O$110)*100/(24*Input!$F$14)</f>
        <v>5.0466538648308211E-2</v>
      </c>
      <c r="P81" s="17">
        <f>Multi!G603*P$11*LAFs!G$255*(1-Contrib!P$110)*100/(24*Input!$F$14)</f>
        <v>0</v>
      </c>
      <c r="Q81" s="17">
        <f>Multi!H603*Q$11*LAFs!H$255*(1-Contrib!Q$110)*100/(24*Input!$F$14)</f>
        <v>7.331590020508931E-2</v>
      </c>
      <c r="R81" s="17">
        <f>Multi!I603*R$11*LAFs!I$255*(1-Contrib!R$110)*100/(24*Input!$F$14)</f>
        <v>6.3370787449414032E-2</v>
      </c>
      <c r="S81" s="17">
        <f>Multi!J603*S$11*LAFs!J$255*(1-Contrib!S$110)*100/(24*Input!$F$14)</f>
        <v>3.7677010875484501E-2</v>
      </c>
      <c r="T81" s="17">
        <f t="shared" si="0"/>
        <v>1.1412116492160789</v>
      </c>
      <c r="U81" s="6"/>
    </row>
    <row r="82" spans="1:21" x14ac:dyDescent="0.2">
      <c r="A82" s="5" t="s">
        <v>98</v>
      </c>
      <c r="B82" s="17">
        <f>Multi!B604*B$11*LAFs!B$256*(1-Contrib!B$111)*100/(24*Input!$F$14)</f>
        <v>0</v>
      </c>
      <c r="C82" s="17">
        <f>Multi!C604*C$11*LAFs!C$256*(1-Contrib!C$111)*100/(24*Input!$F$14)</f>
        <v>0.16664509724887627</v>
      </c>
      <c r="D82" s="17">
        <f>Multi!D604*D$11*LAFs!D$256*(1-Contrib!D$111)*100/(24*Input!$F$14)</f>
        <v>0.15371090570044887</v>
      </c>
      <c r="E82" s="17">
        <f>Multi!E604*E$11*LAFs!E$256*(1-Contrib!E$111)*100/(24*Input!$F$14)</f>
        <v>0.22180897365565044</v>
      </c>
      <c r="F82" s="17">
        <f>Multi!F604*F$11*LAFs!F$256*(1-Contrib!F$111)*100/(24*Input!$F$14)</f>
        <v>0.27466664762199705</v>
      </c>
      <c r="G82" s="17">
        <f>Multi!G604*G$11*LAFs!G$256*(1-Contrib!G$111)*100/(24*Input!$F$14)</f>
        <v>0</v>
      </c>
      <c r="H82" s="17">
        <f>Multi!H604*H$11*LAFs!H$256*(1-Contrib!H$111)*100/(24*Input!$F$14)</f>
        <v>0.2793178043562351</v>
      </c>
      <c r="I82" s="17">
        <f>Multi!I604*I$11*LAFs!I$256*(1-Contrib!I$111)*100/(24*Input!$F$14)</f>
        <v>0.24142906465284439</v>
      </c>
      <c r="J82" s="17">
        <f>Multi!J604*J$11*LAFs!J$256*(1-Contrib!J$111)*100/(24*Input!$F$14)</f>
        <v>6.1517701907621005E-3</v>
      </c>
      <c r="K82" s="17">
        <f>Multi!B604*K$11*LAFs!B$256*(1-Contrib!K$111)*100/(24*Input!$F$14)</f>
        <v>0.12869898732759896</v>
      </c>
      <c r="L82" s="17">
        <f>Multi!C604*L$11*LAFs!C$256*(1-Contrib!L$111)*100/(24*Input!$F$14)</f>
        <v>5.501750271652097E-2</v>
      </c>
      <c r="M82" s="17">
        <f>Multi!D604*M$11*LAFs!D$256*(1-Contrib!M$111)*100/(24*Input!$F$14)</f>
        <v>5.074730857100191E-2</v>
      </c>
      <c r="N82" s="17">
        <f>Multi!E604*N$11*LAFs!E$256*(1-Contrib!N$111)*100/(24*Input!$F$14)</f>
        <v>7.3229731999995981E-2</v>
      </c>
      <c r="O82" s="17">
        <f>Multi!F604*O$11*LAFs!F$256*(1-Contrib!O$111)*100/(24*Input!$F$14)</f>
        <v>9.0680573753170124E-2</v>
      </c>
      <c r="P82" s="17">
        <f>Multi!G604*P$11*LAFs!G$256*(1-Contrib!P$111)*100/(24*Input!$F$14)</f>
        <v>0</v>
      </c>
      <c r="Q82" s="17">
        <f>Multi!H604*Q$11*LAFs!H$256*(1-Contrib!Q$111)*100/(24*Input!$F$14)</f>
        <v>0.13173734664385456</v>
      </c>
      <c r="R82" s="17">
        <f>Multi!I604*R$11*LAFs!I$256*(1-Contrib!R$111)*100/(24*Input!$F$14)</f>
        <v>0.11386751536794162</v>
      </c>
      <c r="S82" s="17">
        <f>Multi!J604*S$11*LAFs!J$256*(1-Contrib!S$111)*100/(24*Input!$F$14)</f>
        <v>6.7699768103828523E-2</v>
      </c>
      <c r="T82" s="17">
        <f t="shared" si="0"/>
        <v>2.0554089979107268</v>
      </c>
      <c r="U82" s="6"/>
    </row>
    <row r="83" spans="1:21" x14ac:dyDescent="0.2">
      <c r="A83" s="5" t="s">
        <v>99</v>
      </c>
      <c r="B83" s="17">
        <f>Multi!B605*B$11*LAFs!B$257*(1-Contrib!B$112)*100/(24*Input!$F$14)</f>
        <v>0</v>
      </c>
      <c r="C83" s="17">
        <f>Multi!C605*C$11*LAFs!C$257*(1-Contrib!C$112)*100/(24*Input!$F$14)</f>
        <v>5.4210912122901266E-2</v>
      </c>
      <c r="D83" s="17">
        <f>Multi!D605*D$11*LAFs!D$257*(1-Contrib!D$112)*100/(24*Input!$F$14)</f>
        <v>5.0003321662766671E-2</v>
      </c>
      <c r="E83" s="17">
        <f>Multi!E605*E$11*LAFs!E$257*(1-Contrib!E$112)*100/(24*Input!$F$14)</f>
        <v>8.0732080888853641E-2</v>
      </c>
      <c r="F83" s="17">
        <f>Multi!F605*F$11*LAFs!F$257*(1-Contrib!F$112)*100/(24*Input!$F$14)</f>
        <v>9.9970752525613354E-2</v>
      </c>
      <c r="G83" s="17">
        <f>Multi!G605*G$11*LAFs!G$257*(1-Contrib!G$112)*100/(24*Input!$F$14)</f>
        <v>0</v>
      </c>
      <c r="H83" s="17">
        <f>Multi!H605*H$11*LAFs!H$257*(1-Contrib!H$112)*100/(24*Input!$F$14)</f>
        <v>0.10166363967759209</v>
      </c>
      <c r="I83" s="17">
        <f>Multi!I605*I$11*LAFs!I$257*(1-Contrib!I$112)*100/(24*Input!$F$14)</f>
        <v>8.7873229181127777E-2</v>
      </c>
      <c r="J83" s="17">
        <f>Multi!J605*J$11*LAFs!J$257*(1-Contrib!J$112)*100/(24*Input!$F$14)</f>
        <v>2.2390672499177887E-3</v>
      </c>
      <c r="K83" s="17">
        <f>Multi!B605*K$11*LAFs!B$257*(1-Contrib!K$112)*100/(24*Input!$F$14)</f>
        <v>3.2406405502906334E-2</v>
      </c>
      <c r="L83" s="17">
        <f>Multi!C605*L$11*LAFs!C$257*(1-Contrib!L$112)*100/(24*Input!$F$14)</f>
        <v>1.7897610276121769E-2</v>
      </c>
      <c r="M83" s="17">
        <f>Multi!D605*M$11*LAFs!D$257*(1-Contrib!M$112)*100/(24*Input!$F$14)</f>
        <v>1.6508483782800811E-2</v>
      </c>
      <c r="N83" s="17">
        <f>Multi!E605*N$11*LAFs!E$257*(1-Contrib!N$112)*100/(24*Input!$F$14)</f>
        <v>2.6653514282388206E-2</v>
      </c>
      <c r="O83" s="17">
        <f>Multi!F605*O$11*LAFs!F$257*(1-Contrib!O$112)*100/(24*Input!$F$14)</f>
        <v>3.3005118299018352E-2</v>
      </c>
      <c r="P83" s="17">
        <f>Multi!G605*P$11*LAFs!G$257*(1-Contrib!P$112)*100/(24*Input!$F$14)</f>
        <v>0</v>
      </c>
      <c r="Q83" s="17">
        <f>Multi!H605*Q$11*LAFs!H$257*(1-Contrib!Q$112)*100/(24*Input!$F$14)</f>
        <v>4.7948601673103164E-2</v>
      </c>
      <c r="R83" s="17">
        <f>Multi!I605*R$11*LAFs!I$257*(1-Contrib!R$112)*100/(24*Input!$F$14)</f>
        <v>4.1444497532227176E-2</v>
      </c>
      <c r="S83" s="17">
        <f>Multi!J605*S$11*LAFs!J$257*(1-Contrib!S$112)*100/(24*Input!$F$14)</f>
        <v>2.4640766622904781E-2</v>
      </c>
      <c r="T83" s="17">
        <f t="shared" si="0"/>
        <v>0.71719800128024314</v>
      </c>
      <c r="U83" s="6"/>
    </row>
    <row r="84" spans="1:21" x14ac:dyDescent="0.2">
      <c r="A84" s="5" t="s">
        <v>100</v>
      </c>
      <c r="B84" s="17">
        <f>Multi!B606*B$11*LAFs!B$258*(1-Contrib!B$113)*100/(24*Input!$F$14)</f>
        <v>0</v>
      </c>
      <c r="C84" s="17">
        <f>Multi!C606*C$11*LAFs!C$258*(1-Contrib!C$113)*100/(24*Input!$F$14)</f>
        <v>2.1711707173295904</v>
      </c>
      <c r="D84" s="17">
        <f>Multi!D606*D$11*LAFs!D$258*(1-Contrib!D$113)*100/(24*Input!$F$14)</f>
        <v>2.00265488094505</v>
      </c>
      <c r="E84" s="17">
        <f>Multi!E606*E$11*LAFs!E$258*(1-Contrib!E$113)*100/(24*Input!$F$14)</f>
        <v>2.833170628369444</v>
      </c>
      <c r="F84" s="17">
        <f>Multi!F606*F$11*LAFs!F$258*(1-Contrib!F$113)*100/(24*Input!$F$14)</f>
        <v>3.5083227960083856</v>
      </c>
      <c r="G84" s="17">
        <f>Multi!G606*G$11*LAFs!G$258*(1-Contrib!G$113)*100/(24*Input!$F$14)</f>
        <v>0</v>
      </c>
      <c r="H84" s="17">
        <f>Multi!H606*H$11*LAFs!H$258*(1-Contrib!H$113)*100/(24*Input!$F$14)</f>
        <v>3.567732117598069</v>
      </c>
      <c r="I84" s="17">
        <f>Multi!I606*I$11*LAFs!I$258*(1-Contrib!I$113)*100/(24*Input!$F$14)</f>
        <v>3.0837784582649204</v>
      </c>
      <c r="J84" s="17">
        <f>Multi!J606*J$11*LAFs!J$258*(1-Contrib!J$113)*100/(24*Input!$F$14)</f>
        <v>7.8576688443650261E-2</v>
      </c>
      <c r="K84" s="17">
        <f>Multi!B606*K$11*LAFs!B$258*(1-Contrib!K$113)*100/(24*Input!$F$14)</f>
        <v>1.7378147809429405</v>
      </c>
      <c r="L84" s="17">
        <f>Multi!C606*L$11*LAFs!C$258*(1-Contrib!L$113)*100/(24*Input!$F$14)</f>
        <v>0.71680711170467415</v>
      </c>
      <c r="M84" s="17">
        <f>Multi!D606*M$11*LAFs!D$258*(1-Contrib!M$113)*100/(24*Input!$F$14)</f>
        <v>0.66117198868502114</v>
      </c>
      <c r="N84" s="17">
        <f>Multi!E606*N$11*LAFs!E$258*(1-Contrib!N$113)*100/(24*Input!$F$14)</f>
        <v>0.93536488811244856</v>
      </c>
      <c r="O84" s="17">
        <f>Multi!F606*O$11*LAFs!F$258*(1-Contrib!O$113)*100/(24*Input!$F$14)</f>
        <v>1.1582648523500165</v>
      </c>
      <c r="P84" s="17">
        <f>Multi!G606*P$11*LAFs!G$258*(1-Contrib!P$113)*100/(24*Input!$F$14)</f>
        <v>0</v>
      </c>
      <c r="Q84" s="17">
        <f>Multi!H606*Q$11*LAFs!H$258*(1-Contrib!Q$113)*100/(24*Input!$F$14)</f>
        <v>1.6826838653972769</v>
      </c>
      <c r="R84" s="17">
        <f>Multi!I606*R$11*LAFs!I$258*(1-Contrib!R$113)*100/(24*Input!$F$14)</f>
        <v>1.4544321392816664</v>
      </c>
      <c r="S84" s="17">
        <f>Multi!J606*S$11*LAFs!J$258*(1-Contrib!S$113)*100/(24*Input!$F$14)</f>
        <v>0.86473054438707719</v>
      </c>
      <c r="T84" s="17">
        <f t="shared" si="0"/>
        <v>26.45667645782023</v>
      </c>
      <c r="U84" s="6"/>
    </row>
    <row r="86" spans="1:21" ht="16.5" x14ac:dyDescent="0.25">
      <c r="A86" s="3" t="s">
        <v>805</v>
      </c>
    </row>
    <row r="87" spans="1:21" x14ac:dyDescent="0.2">
      <c r="A87" s="10" t="s">
        <v>238</v>
      </c>
    </row>
    <row r="88" spans="1:21" x14ac:dyDescent="0.2">
      <c r="A88" s="11" t="s">
        <v>806</v>
      </c>
    </row>
    <row r="89" spans="1:21" x14ac:dyDescent="0.2">
      <c r="A89" s="11" t="s">
        <v>800</v>
      </c>
    </row>
    <row r="90" spans="1:21" x14ac:dyDescent="0.2">
      <c r="A90" s="11" t="s">
        <v>619</v>
      </c>
    </row>
    <row r="91" spans="1:21" x14ac:dyDescent="0.2">
      <c r="A91" s="11" t="s">
        <v>796</v>
      </c>
    </row>
    <row r="92" spans="1:21" x14ac:dyDescent="0.2">
      <c r="A92" s="11" t="s">
        <v>552</v>
      </c>
    </row>
    <row r="93" spans="1:21" x14ac:dyDescent="0.2">
      <c r="A93" s="11" t="s">
        <v>807</v>
      </c>
    </row>
    <row r="94" spans="1:21" x14ac:dyDescent="0.2">
      <c r="A94" s="18" t="s">
        <v>241</v>
      </c>
      <c r="B94" s="10" t="s">
        <v>371</v>
      </c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8" t="s">
        <v>372</v>
      </c>
    </row>
    <row r="95" spans="1:21" x14ac:dyDescent="0.2">
      <c r="A95" s="18" t="s">
        <v>244</v>
      </c>
      <c r="B95" s="10" t="s">
        <v>802</v>
      </c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8" t="s">
        <v>426</v>
      </c>
    </row>
    <row r="97" spans="1:21" x14ac:dyDescent="0.2">
      <c r="B97" s="19" t="s">
        <v>808</v>
      </c>
      <c r="C97" s="19"/>
      <c r="D97" s="19"/>
      <c r="E97" s="19"/>
      <c r="F97" s="19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</row>
    <row r="98" spans="1:21" ht="38.25" x14ac:dyDescent="0.2">
      <c r="B98" s="4" t="s">
        <v>21</v>
      </c>
      <c r="C98" s="4" t="s">
        <v>191</v>
      </c>
      <c r="D98" s="4" t="s">
        <v>192</v>
      </c>
      <c r="E98" s="4" t="s">
        <v>193</v>
      </c>
      <c r="F98" s="4" t="s">
        <v>194</v>
      </c>
      <c r="G98" s="4" t="s">
        <v>195</v>
      </c>
      <c r="H98" s="4" t="s">
        <v>196</v>
      </c>
      <c r="I98" s="4" t="s">
        <v>197</v>
      </c>
      <c r="J98" s="4" t="s">
        <v>198</v>
      </c>
      <c r="K98" s="4" t="s">
        <v>179</v>
      </c>
      <c r="L98" s="4" t="s">
        <v>699</v>
      </c>
      <c r="M98" s="4" t="s">
        <v>700</v>
      </c>
      <c r="N98" s="4" t="s">
        <v>701</v>
      </c>
      <c r="O98" s="4" t="s">
        <v>702</v>
      </c>
      <c r="P98" s="4" t="s">
        <v>703</v>
      </c>
      <c r="Q98" s="4" t="s">
        <v>704</v>
      </c>
      <c r="R98" s="4" t="s">
        <v>705</v>
      </c>
      <c r="S98" s="4" t="s">
        <v>706</v>
      </c>
      <c r="T98" s="4" t="s">
        <v>809</v>
      </c>
    </row>
    <row r="99" spans="1:21" x14ac:dyDescent="0.2">
      <c r="A99" s="5" t="s">
        <v>54</v>
      </c>
      <c r="B99" s="17">
        <f>Multi!B615*B$11*LAFs!B$242*(1-Contrib!B$97)*100/(24*Input!$F$14)</f>
        <v>0</v>
      </c>
      <c r="C99" s="17">
        <f>Multi!C615*C$11*LAFs!C$242*(1-Contrib!C$97)*100/(24*Input!$F$14)</f>
        <v>1.6314960960770779E-2</v>
      </c>
      <c r="D99" s="17">
        <f>Multi!D615*D$11*LAFs!D$242*(1-Contrib!D$97)*100/(24*Input!$F$14)</f>
        <v>1.5048672101059681E-2</v>
      </c>
      <c r="E99" s="17">
        <f>Multi!E615*E$11*LAFs!E$242*(1-Contrib!E$97)*100/(24*Input!$F$14)</f>
        <v>2.4690471456347212E-2</v>
      </c>
      <c r="F99" s="17">
        <f>Multi!F615*F$11*LAFs!F$242*(1-Contrib!F$97)*100/(24*Input!$F$14)</f>
        <v>3.0574277096875855E-2</v>
      </c>
      <c r="G99" s="17">
        <f>Multi!G615*G$11*LAFs!G$242*(1-Contrib!G$97)*100/(24*Input!$F$14)</f>
        <v>0</v>
      </c>
      <c r="H99" s="17">
        <f>Multi!H615*H$11*LAFs!H$242*(1-Contrib!H$97)*100/(24*Input!$F$14)</f>
        <v>3.1092016531367745E-2</v>
      </c>
      <c r="I99" s="17">
        <f>Multi!I615*I$11*LAFs!I$242*(1-Contrib!I$97)*100/(24*Input!$F$14)</f>
        <v>2.6874464685986366E-2</v>
      </c>
      <c r="J99" s="17">
        <f>Multi!J615*J$11*LAFs!J$242*(1-Contrib!J$97)*100/(24*Input!$F$14)</f>
        <v>6.8477890591037399E-4</v>
      </c>
      <c r="K99" s="17">
        <f>Multi!B615*K$11*LAFs!B$242*(1-Contrib!K$97)*100/(24*Input!$F$14)</f>
        <v>9.6031300062019952E-3</v>
      </c>
      <c r="L99" s="17">
        <f>Multi!C615*L$11*LAFs!C$242*(1-Contrib!L$97)*100/(24*Input!$F$14)</f>
        <v>5.3863475361570689E-3</v>
      </c>
      <c r="M99" s="17">
        <f>Multi!D615*M$11*LAFs!D$242*(1-Contrib!M$97)*100/(24*Input!$F$14)</f>
        <v>4.9682851273061832E-3</v>
      </c>
      <c r="N99" s="17">
        <f>Multi!E615*N$11*LAFs!E$242*(1-Contrib!N$97)*100/(24*Input!$F$14)</f>
        <v>8.1515034216281222E-3</v>
      </c>
      <c r="O99" s="17">
        <f>Multi!F615*O$11*LAFs!F$242*(1-Contrib!O$97)*100/(24*Input!$F$14)</f>
        <v>1.0094028573315112E-2</v>
      </c>
      <c r="P99" s="17">
        <f>Multi!G615*P$11*LAFs!G$242*(1-Contrib!P$97)*100/(24*Input!$F$14)</f>
        <v>0</v>
      </c>
      <c r="Q99" s="17">
        <f>Multi!H615*Q$11*LAFs!H$242*(1-Contrib!Q$97)*100/(24*Input!$F$14)</f>
        <v>1.4664227255722431E-2</v>
      </c>
      <c r="R99" s="17">
        <f>Multi!I615*R$11*LAFs!I$242*(1-Contrib!R$97)*100/(24*Input!$F$14)</f>
        <v>1.2675062652613828E-2</v>
      </c>
      <c r="S99" s="17">
        <f>Multi!J615*S$11*LAFs!J$242*(1-Contrib!S$97)*100/(24*Input!$F$14)</f>
        <v>7.5359403383016442E-3</v>
      </c>
      <c r="T99" s="17">
        <f t="shared" ref="T99:T112" si="1">SUM($B99:$S99)</f>
        <v>0.21835816664956442</v>
      </c>
      <c r="U99" s="6"/>
    </row>
    <row r="100" spans="1:21" x14ac:dyDescent="0.2">
      <c r="A100" s="5" t="s">
        <v>56</v>
      </c>
      <c r="B100" s="17">
        <f>Multi!B616*B$11*LAFs!B$245*(1-Contrib!B$100)*100/(24*Input!$F$14)</f>
        <v>0</v>
      </c>
      <c r="C100" s="17">
        <f>Multi!C616*C$11*LAFs!C$245*(1-Contrib!C$100)*100/(24*Input!$F$14)</f>
        <v>1.4072731843893337E-2</v>
      </c>
      <c r="D100" s="17">
        <f>Multi!D616*D$11*LAFs!D$245*(1-Contrib!D$100)*100/(24*Input!$F$14)</f>
        <v>1.2980474032031439E-2</v>
      </c>
      <c r="E100" s="17">
        <f>Multi!E616*E$11*LAFs!E$245*(1-Contrib!E$100)*100/(24*Input!$F$14)</f>
        <v>2.1297163060331428E-2</v>
      </c>
      <c r="F100" s="17">
        <f>Multi!F616*F$11*LAFs!F$245*(1-Contrib!F$100)*100/(24*Input!$F$14)</f>
        <v>2.6372334199253653E-2</v>
      </c>
      <c r="G100" s="17">
        <f>Multi!G616*G$11*LAFs!G$245*(1-Contrib!G$100)*100/(24*Input!$F$14)</f>
        <v>0</v>
      </c>
      <c r="H100" s="17">
        <f>Multi!H616*H$11*LAFs!H$245*(1-Contrib!H$100)*100/(24*Input!$F$14)</f>
        <v>2.6818918671268788E-2</v>
      </c>
      <c r="I100" s="17">
        <f>Multi!I616*I$11*LAFs!I$245*(1-Contrib!I$100)*100/(24*Input!$F$14)</f>
        <v>2.318100152880781E-2</v>
      </c>
      <c r="J100" s="17">
        <f>Multi!J616*J$11*LAFs!J$245*(1-Contrib!J$100)*100/(24*Input!$F$14)</f>
        <v>5.9066705328947853E-4</v>
      </c>
      <c r="K100" s="17">
        <f>Multi!B616*K$11*LAFs!B$245*(1-Contrib!K$100)*100/(24*Input!$F$14)</f>
        <v>8.2833341596265601E-3</v>
      </c>
      <c r="L100" s="17">
        <f>Multi!C616*L$11*LAFs!C$245*(1-Contrib!L$100)*100/(24*Input!$F$14)</f>
        <v>4.6460806542299501E-3</v>
      </c>
      <c r="M100" s="17">
        <f>Multi!D616*M$11*LAFs!D$245*(1-Contrib!M$100)*100/(24*Input!$F$14)</f>
        <v>4.2854742030152063E-3</v>
      </c>
      <c r="N100" s="17">
        <f>Multi!E616*N$11*LAFs!E$245*(1-Contrib!N$100)*100/(24*Input!$F$14)</f>
        <v>7.0312103138328334E-3</v>
      </c>
      <c r="O100" s="17">
        <f>Multi!F616*O$11*LAFs!F$245*(1-Contrib!O$100)*100/(24*Input!$F$14)</f>
        <v>8.7067666100103126E-3</v>
      </c>
      <c r="P100" s="17">
        <f>Multi!G616*P$11*LAFs!G$245*(1-Contrib!P$100)*100/(24*Input!$F$14)</f>
        <v>0</v>
      </c>
      <c r="Q100" s="17">
        <f>Multi!H616*Q$11*LAFs!H$245*(1-Contrib!Q$100)*100/(24*Input!$F$14)</f>
        <v>1.2648864950636335E-2</v>
      </c>
      <c r="R100" s="17">
        <f>Multi!I616*R$11*LAFs!I$245*(1-Contrib!R$100)*100/(24*Input!$F$14)</f>
        <v>1.0933079045894006E-2</v>
      </c>
      <c r="S100" s="17">
        <f>Multi!J616*S$11*LAFs!J$245*(1-Contrib!S$100)*100/(24*Input!$F$14)</f>
        <v>6.5002464809751906E-3</v>
      </c>
      <c r="T100" s="17">
        <f t="shared" si="1"/>
        <v>0.18834834680709631</v>
      </c>
      <c r="U100" s="6"/>
    </row>
    <row r="101" spans="1:21" x14ac:dyDescent="0.2">
      <c r="A101" s="5" t="s">
        <v>57</v>
      </c>
      <c r="B101" s="17">
        <f>Multi!B617*B$11*LAFs!B$247*(1-Contrib!B$102)*100/(24*Input!$F$14)</f>
        <v>0</v>
      </c>
      <c r="C101" s="17">
        <f>Multi!C617*C$11*LAFs!C$247*(1-Contrib!C$102)*100/(24*Input!$F$14)</f>
        <v>1.2621371314685966E-2</v>
      </c>
      <c r="D101" s="17">
        <f>Multi!D617*D$11*LAFs!D$247*(1-Contrib!D$102)*100/(24*Input!$F$14)</f>
        <v>1.1641761131830276E-2</v>
      </c>
      <c r="E101" s="17">
        <f>Multi!E617*E$11*LAFs!E$247*(1-Contrib!E$102)*100/(24*Input!$F$14)</f>
        <v>1.9100726562234497E-2</v>
      </c>
      <c r="F101" s="17">
        <f>Multi!F617*F$11*LAFs!F$247*(1-Contrib!F$102)*100/(24*Input!$F$14)</f>
        <v>2.3652480986355862E-2</v>
      </c>
      <c r="G101" s="17">
        <f>Multi!G617*G$11*LAFs!G$247*(1-Contrib!G$102)*100/(24*Input!$F$14)</f>
        <v>0</v>
      </c>
      <c r="H101" s="17">
        <f>Multi!H617*H$11*LAFs!H$247*(1-Contrib!H$102)*100/(24*Input!$F$14)</f>
        <v>2.4053007942116896E-2</v>
      </c>
      <c r="I101" s="17">
        <f>Multi!I617*I$11*LAFs!I$247*(1-Contrib!I$102)*100/(24*Input!$F$14)</f>
        <v>2.079027945582191E-2</v>
      </c>
      <c r="J101" s="17">
        <f>Multi!J617*J$11*LAFs!J$247*(1-Contrib!J$102)*100/(24*Input!$F$14)</f>
        <v>5.2974989402309377E-4</v>
      </c>
      <c r="K101" s="17">
        <f>Multi!B617*K$11*LAFs!B$247*(1-Contrib!K$102)*100/(24*Input!$F$14)</f>
        <v>7.4290505434192414E-3</v>
      </c>
      <c r="L101" s="17">
        <f>Multi!C617*L$11*LAFs!C$247*(1-Contrib!L$102)*100/(24*Input!$F$14)</f>
        <v>4.1669172514262939E-3</v>
      </c>
      <c r="M101" s="17">
        <f>Multi!D617*M$11*LAFs!D$247*(1-Contrib!M$102)*100/(24*Input!$F$14)</f>
        <v>3.8435011606672374E-3</v>
      </c>
      <c r="N101" s="17">
        <f>Multi!E617*N$11*LAFs!E$247*(1-Contrib!N$102)*100/(24*Input!$F$14)</f>
        <v>6.3060617616360554E-3</v>
      </c>
      <c r="O101" s="17">
        <f>Multi!F617*O$11*LAFs!F$247*(1-Contrib!O$102)*100/(24*Input!$F$14)</f>
        <v>7.808813210843318E-3</v>
      </c>
      <c r="P101" s="17">
        <f>Multi!G617*P$11*LAFs!G$247*(1-Contrib!P$102)*100/(24*Input!$F$14)</f>
        <v>0</v>
      </c>
      <c r="Q101" s="17">
        <f>Multi!H617*Q$11*LAFs!H$247*(1-Contrib!Q$102)*100/(24*Input!$F$14)</f>
        <v>1.1344351830350147E-2</v>
      </c>
      <c r="R101" s="17">
        <f>Multi!I617*R$11*LAFs!I$247*(1-Contrib!R$102)*100/(24*Input!$F$14)</f>
        <v>9.805519765582674E-3</v>
      </c>
      <c r="S101" s="17">
        <f>Multi!J617*S$11*LAFs!J$247*(1-Contrib!S$102)*100/(24*Input!$F$14)</f>
        <v>5.8298577265202163E-3</v>
      </c>
      <c r="T101" s="17">
        <f t="shared" si="1"/>
        <v>0.1689234505375137</v>
      </c>
      <c r="U101" s="6"/>
    </row>
    <row r="102" spans="1:21" x14ac:dyDescent="0.2">
      <c r="A102" s="5" t="s">
        <v>58</v>
      </c>
      <c r="B102" s="17">
        <f>Multi!B618*B$11*LAFs!B$248*(1-Contrib!B$103)*100/(24*Input!$F$14)</f>
        <v>0</v>
      </c>
      <c r="C102" s="17">
        <f>Multi!C618*C$11*LAFs!C$248*(1-Contrib!C$103)*100/(24*Input!$F$14)</f>
        <v>1.2072930352646621E-2</v>
      </c>
      <c r="D102" s="17">
        <f>Multi!D618*D$11*LAFs!D$248*(1-Contrib!D$103)*100/(24*Input!$F$14)</f>
        <v>1.1135887521445009E-2</v>
      </c>
      <c r="E102" s="17">
        <f>Multi!E618*E$11*LAFs!E$248*(1-Contrib!E$103)*100/(24*Input!$F$14)</f>
        <v>1.8270735859144002E-2</v>
      </c>
      <c r="F102" s="17">
        <f>Multi!F618*F$11*LAFs!F$248*(1-Contrib!F$103)*100/(24*Input!$F$14)</f>
        <v>2.2624701270242093E-2</v>
      </c>
      <c r="G102" s="17">
        <f>Multi!G618*G$11*LAFs!G$248*(1-Contrib!G$103)*100/(24*Input!$F$14)</f>
        <v>0</v>
      </c>
      <c r="H102" s="17">
        <f>Multi!H618*H$11*LAFs!H$248*(1-Contrib!H$103)*100/(24*Input!$F$14)</f>
        <v>2.3007823984937448E-2</v>
      </c>
      <c r="I102" s="17">
        <f>Multi!I618*I$11*LAFs!I$248*(1-Contrib!I$103)*100/(24*Input!$F$14)</f>
        <v>8.5229451456607722E-4</v>
      </c>
      <c r="J102" s="17">
        <f>Multi!J618*J$11*LAFs!J$248*(1-Contrib!J$103)*100/(24*Input!$F$14)</f>
        <v>0</v>
      </c>
      <c r="K102" s="17">
        <f>Multi!B618*K$11*LAFs!B$248*(1-Contrib!K$103)*100/(24*Input!$F$14)</f>
        <v>7.1062333529978722E-3</v>
      </c>
      <c r="L102" s="17">
        <f>Multi!C618*L$11*LAFs!C$248*(1-Contrib!L$103)*100/(24*Input!$F$14)</f>
        <v>3.9858507057133523E-3</v>
      </c>
      <c r="M102" s="17">
        <f>Multi!D618*M$11*LAFs!D$248*(1-Contrib!M$103)*100/(24*Input!$F$14)</f>
        <v>3.6764881300227039E-3</v>
      </c>
      <c r="N102" s="17">
        <f>Multi!E618*N$11*LAFs!E$248*(1-Contrib!N$103)*100/(24*Input!$F$14)</f>
        <v>6.0320422044103711E-3</v>
      </c>
      <c r="O102" s="17">
        <f>Multi!F618*O$11*LAFs!F$248*(1-Contrib!O$103)*100/(24*Input!$F$14)</f>
        <v>7.4694940574041623E-3</v>
      </c>
      <c r="P102" s="17">
        <f>Multi!G618*P$11*LAFs!G$248*(1-Contrib!P$103)*100/(24*Input!$F$14)</f>
        <v>0</v>
      </c>
      <c r="Q102" s="17">
        <f>Multi!H618*Q$11*LAFs!H$248*(1-Contrib!Q$103)*100/(24*Input!$F$14)</f>
        <v>1.0851401652716865E-2</v>
      </c>
      <c r="R102" s="17">
        <f>Multi!I618*R$11*LAFs!I$248*(1-Contrib!R$103)*100/(24*Input!$F$14)</f>
        <v>9.3794370080558E-3</v>
      </c>
      <c r="S102" s="17">
        <f>Multi!J618*S$11*LAFs!J$248*(1-Contrib!S$103)*100/(24*Input!$F$14)</f>
        <v>0</v>
      </c>
      <c r="T102" s="17">
        <f t="shared" si="1"/>
        <v>0.13646532061430236</v>
      </c>
      <c r="U102" s="6"/>
    </row>
    <row r="103" spans="1:21" x14ac:dyDescent="0.2">
      <c r="A103" s="5" t="s">
        <v>72</v>
      </c>
      <c r="B103" s="17">
        <f>Multi!B619*B$11*LAFs!B$249*(1-Contrib!B$104)*100/(24*Input!$F$14)</f>
        <v>0</v>
      </c>
      <c r="C103" s="17">
        <f>Multi!C619*C$11*LAFs!C$249*(1-Contrib!C$104)*100/(24*Input!$F$14)</f>
        <v>1.2720056224500566E-2</v>
      </c>
      <c r="D103" s="17">
        <f>Multi!D619*D$11*LAFs!D$249*(1-Contrib!D$104)*100/(24*Input!$F$14)</f>
        <v>1.1732786593226935E-2</v>
      </c>
      <c r="E103" s="17">
        <f>Multi!E619*E$11*LAFs!E$249*(1-Contrib!E$104)*100/(24*Input!$F$14)</f>
        <v>1.9250072733200417E-2</v>
      </c>
      <c r="F103" s="17">
        <f>Multi!F619*F$11*LAFs!F$249*(1-Contrib!F$104)*100/(24*Input!$F$14)</f>
        <v>1.0250089202864965E-2</v>
      </c>
      <c r="G103" s="17">
        <f>Multi!G619*G$11*LAFs!G$249*(1-Contrib!G$104)*100/(24*Input!$F$14)</f>
        <v>0</v>
      </c>
      <c r="H103" s="17">
        <f>Multi!H619*H$11*LAFs!H$249*(1-Contrib!H$104)*100/(24*Input!$F$14)</f>
        <v>3.116709691243791E-3</v>
      </c>
      <c r="I103" s="17">
        <f>Multi!I619*I$11*LAFs!I$249*(1-Contrib!I$104)*100/(24*Input!$F$14)</f>
        <v>0</v>
      </c>
      <c r="J103" s="17">
        <f>Multi!J619*J$11*LAFs!J$249*(1-Contrib!J$104)*100/(24*Input!$F$14)</f>
        <v>0</v>
      </c>
      <c r="K103" s="17">
        <f>Multi!B619*K$11*LAFs!B$249*(1-Contrib!K$104)*100/(24*Input!$F$14)</f>
        <v>7.48713735226167E-3</v>
      </c>
      <c r="L103" s="17">
        <f>Multi!C619*L$11*LAFs!C$249*(1-Contrib!L$104)*100/(24*Input!$F$14)</f>
        <v>4.1994978516565898E-3</v>
      </c>
      <c r="M103" s="17">
        <f>Multi!D619*M$11*LAFs!D$249*(1-Contrib!M$104)*100/(24*Input!$F$14)</f>
        <v>3.8735530112907449E-3</v>
      </c>
      <c r="N103" s="17">
        <f>Multi!E619*N$11*LAFs!E$249*(1-Contrib!N$104)*100/(24*Input!$F$14)</f>
        <v>6.3553680628862397E-3</v>
      </c>
      <c r="O103" s="17">
        <f>Multi!F619*O$11*LAFs!F$249*(1-Contrib!O$104)*100/(24*Input!$F$14)</f>
        <v>7.8698693360659752E-3</v>
      </c>
      <c r="P103" s="17">
        <f>Multi!G619*P$11*LAFs!G$249*(1-Contrib!P$104)*100/(24*Input!$F$14)</f>
        <v>0</v>
      </c>
      <c r="Q103" s="17">
        <f>Multi!H619*Q$11*LAFs!H$249*(1-Contrib!Q$104)*100/(24*Input!$F$14)</f>
        <v>1.1433051885943991E-2</v>
      </c>
      <c r="R103" s="17">
        <f>Multi!I619*R$11*LAFs!I$249*(1-Contrib!R$104)*100/(24*Input!$F$14)</f>
        <v>0</v>
      </c>
      <c r="S103" s="17">
        <f>Multi!J619*S$11*LAFs!J$249*(1-Contrib!S$104)*100/(24*Input!$F$14)</f>
        <v>0</v>
      </c>
      <c r="T103" s="17">
        <f t="shared" si="1"/>
        <v>9.8288191945141878E-2</v>
      </c>
      <c r="U103" s="6"/>
    </row>
    <row r="104" spans="1:21" x14ac:dyDescent="0.2">
      <c r="A104" s="5" t="s">
        <v>59</v>
      </c>
      <c r="B104" s="17">
        <f>Multi!B620*B$11*LAFs!B$250*(1-Contrib!B$105)*100/(24*Input!$F$14)</f>
        <v>0</v>
      </c>
      <c r="C104" s="17">
        <f>Multi!C620*C$11*LAFs!C$250*(1-Contrib!C$105)*100/(24*Input!$F$14)</f>
        <v>6.384665506149162E-2</v>
      </c>
      <c r="D104" s="17">
        <f>Multi!D620*D$11*LAFs!D$250*(1-Contrib!D$105)*100/(24*Input!$F$14)</f>
        <v>5.8891184544057749E-2</v>
      </c>
      <c r="E104" s="17">
        <f>Multi!E620*E$11*LAFs!E$250*(1-Contrib!E$105)*100/(24*Input!$F$14)</f>
        <v>0.10750401332804257</v>
      </c>
      <c r="F104" s="17">
        <f>Multi!F620*F$11*LAFs!F$250*(1-Contrib!F$105)*100/(24*Input!$F$14)</f>
        <v>0.13312250834614389</v>
      </c>
      <c r="G104" s="17">
        <f>Multi!G620*G$11*LAFs!G$250*(1-Contrib!G$105)*100/(24*Input!$F$14)</f>
        <v>0</v>
      </c>
      <c r="H104" s="17">
        <f>Multi!H620*H$11*LAFs!H$250*(1-Contrib!H$105)*100/(24*Input!$F$14)</f>
        <v>0.13537678150429217</v>
      </c>
      <c r="I104" s="17">
        <f>Multi!I620*I$11*LAFs!I$250*(1-Contrib!I$105)*100/(24*Input!$F$14)</f>
        <v>0.11701327027692621</v>
      </c>
      <c r="J104" s="17">
        <f>Multi!J620*J$11*LAFs!J$250*(1-Contrib!J$105)*100/(24*Input!$F$14)</f>
        <v>2.9815745218921921E-3</v>
      </c>
      <c r="K104" s="17">
        <f>Multi!B620*K$11*LAFs!B$250*(1-Contrib!K$105)*100/(24*Input!$F$14)</f>
        <v>3.1775523491637418E-2</v>
      </c>
      <c r="L104" s="17">
        <f>Multi!C620*L$11*LAFs!C$250*(1-Contrib!L$105)*100/(24*Input!$F$14)</f>
        <v>2.1078829058141277E-2</v>
      </c>
      <c r="M104" s="17">
        <f>Multi!D620*M$11*LAFs!D$250*(1-Contrib!M$105)*100/(24*Input!$F$14)</f>
        <v>1.9442791651967928E-2</v>
      </c>
      <c r="N104" s="17">
        <f>Multi!E620*N$11*LAFs!E$250*(1-Contrib!N$105)*100/(24*Input!$F$14)</f>
        <v>3.5492207349366658E-2</v>
      </c>
      <c r="O104" s="17">
        <f>Multi!F620*O$11*LAFs!F$250*(1-Contrib!O$105)*100/(24*Input!$F$14)</f>
        <v>4.3950095655235041E-2</v>
      </c>
      <c r="P104" s="17">
        <f>Multi!G620*P$11*LAFs!G$250*(1-Contrib!P$105)*100/(24*Input!$F$14)</f>
        <v>0</v>
      </c>
      <c r="Q104" s="17">
        <f>Multi!H620*Q$11*LAFs!H$250*(1-Contrib!Q$105)*100/(24*Input!$F$14)</f>
        <v>6.3849055500289603E-2</v>
      </c>
      <c r="R104" s="17">
        <f>Multi!I620*R$11*LAFs!I$250*(1-Contrib!R$105)*100/(24*Input!$F$14)</f>
        <v>5.5188095810543195E-2</v>
      </c>
      <c r="S104" s="17">
        <f>Multi!J620*S$11*LAFs!J$250*(1-Contrib!S$105)*100/(24*Input!$F$14)</f>
        <v>3.2812003286387191E-2</v>
      </c>
      <c r="T104" s="17">
        <f t="shared" si="1"/>
        <v>0.92232458938641471</v>
      </c>
      <c r="U104" s="6"/>
    </row>
    <row r="105" spans="1:21" x14ac:dyDescent="0.2">
      <c r="A105" s="5" t="s">
        <v>60</v>
      </c>
      <c r="B105" s="17">
        <f>Multi!B621*B$11*LAFs!B$251*(1-Contrib!B$106)*100/(24*Input!$F$14)</f>
        <v>0</v>
      </c>
      <c r="C105" s="17">
        <f>Multi!C621*C$11*LAFs!C$251*(1-Contrib!C$106)*100/(24*Input!$F$14)</f>
        <v>7.2627535780601146E-2</v>
      </c>
      <c r="D105" s="17">
        <f>Multi!D621*D$11*LAFs!D$251*(1-Contrib!D$106)*100/(24*Input!$F$14)</f>
        <v>6.6990535502857315E-2</v>
      </c>
      <c r="E105" s="17">
        <f>Multi!E621*E$11*LAFs!E$251*(1-Contrib!E$106)*100/(24*Input!$F$14)</f>
        <v>0.12228912488870215</v>
      </c>
      <c r="F105" s="17">
        <f>Multi!F621*F$11*LAFs!F$251*(1-Contrib!F$106)*100/(24*Input!$F$14)</f>
        <v>0.15143095168887402</v>
      </c>
      <c r="G105" s="17">
        <f>Multi!G621*G$11*LAFs!G$251*(1-Contrib!G$106)*100/(24*Input!$F$14)</f>
        <v>0</v>
      </c>
      <c r="H105" s="17">
        <f>Multi!H621*H$11*LAFs!H$251*(1-Contrib!H$106)*100/(24*Input!$F$14)</f>
        <v>0.15399525680861723</v>
      </c>
      <c r="I105" s="17">
        <f>Multi!I621*I$11*LAFs!I$251*(1-Contrib!I$106)*100/(24*Input!$F$14)</f>
        <v>5.7045513184168966E-3</v>
      </c>
      <c r="J105" s="17">
        <f>Multi!J621*J$11*LAFs!J$251*(1-Contrib!J$106)*100/(24*Input!$F$14)</f>
        <v>0</v>
      </c>
      <c r="K105" s="17">
        <f>Multi!B621*K$11*LAFs!B$251*(1-Contrib!K$106)*100/(24*Input!$F$14)</f>
        <v>3.6145636245369088E-2</v>
      </c>
      <c r="L105" s="17">
        <f>Multi!C621*L$11*LAFs!C$251*(1-Contrib!L$106)*100/(24*Input!$F$14)</f>
        <v>2.3977817007937153E-2</v>
      </c>
      <c r="M105" s="17">
        <f>Multi!D621*M$11*LAFs!D$251*(1-Contrib!M$106)*100/(24*Input!$F$14)</f>
        <v>2.2116774089700985E-2</v>
      </c>
      <c r="N105" s="17">
        <f>Multi!E621*N$11*LAFs!E$251*(1-Contrib!N$106)*100/(24*Input!$F$14)</f>
        <v>4.0373478559151015E-2</v>
      </c>
      <c r="O105" s="17">
        <f>Multi!F621*O$11*LAFs!F$251*(1-Contrib!O$106)*100/(24*Input!$F$14)</f>
        <v>4.9994586900240556E-2</v>
      </c>
      <c r="P105" s="17">
        <f>Multi!G621*P$11*LAFs!G$251*(1-Contrib!P$106)*100/(24*Input!$F$14)</f>
        <v>0</v>
      </c>
      <c r="Q105" s="17">
        <f>Multi!H621*Q$11*LAFs!H$251*(1-Contrib!Q$106)*100/(24*Input!$F$14)</f>
        <v>7.2630266353636216E-2</v>
      </c>
      <c r="R105" s="17">
        <f>Multi!I621*R$11*LAFs!I$251*(1-Contrib!R$106)*100/(24*Input!$F$14)</f>
        <v>6.2778158061422951E-2</v>
      </c>
      <c r="S105" s="17">
        <f>Multi!J621*S$11*LAFs!J$251*(1-Contrib!S$106)*100/(24*Input!$F$14)</f>
        <v>0</v>
      </c>
      <c r="T105" s="17">
        <f t="shared" si="1"/>
        <v>0.88105467320552655</v>
      </c>
      <c r="U105" s="6"/>
    </row>
    <row r="106" spans="1:21" x14ac:dyDescent="0.2">
      <c r="A106" s="5" t="s">
        <v>73</v>
      </c>
      <c r="B106" s="17">
        <f>Multi!B622*B$11*LAFs!B$252*(1-Contrib!B$107)*100/(24*Input!$F$14)</f>
        <v>0</v>
      </c>
      <c r="C106" s="17">
        <f>Multi!C622*C$11*LAFs!C$252*(1-Contrib!C$107)*100/(24*Input!$F$14)</f>
        <v>6.7366173771238338E-2</v>
      </c>
      <c r="D106" s="17">
        <f>Multi!D622*D$11*LAFs!D$252*(1-Contrib!D$107)*100/(24*Input!$F$14)</f>
        <v>6.2137535126438839E-2</v>
      </c>
      <c r="E106" s="17">
        <f>Multi!E622*E$11*LAFs!E$252*(1-Contrib!E$107)*100/(24*Input!$F$14)</f>
        <v>0.11343012466334276</v>
      </c>
      <c r="F106" s="17">
        <f>Multi!F622*F$11*LAFs!F$252*(1-Contrib!F$107)*100/(24*Input!$F$14)</f>
        <v>6.03981560072816E-2</v>
      </c>
      <c r="G106" s="17">
        <f>Multi!G622*G$11*LAFs!G$252*(1-Contrib!G$107)*100/(24*Input!$F$14)</f>
        <v>0</v>
      </c>
      <c r="H106" s="17">
        <f>Multi!H622*H$11*LAFs!H$252*(1-Contrib!H$107)*100/(24*Input!$F$14)</f>
        <v>1.8365061458053823E-2</v>
      </c>
      <c r="I106" s="17">
        <f>Multi!I622*I$11*LAFs!I$252*(1-Contrib!I$107)*100/(24*Input!$F$14)</f>
        <v>0</v>
      </c>
      <c r="J106" s="17">
        <f>Multi!J622*J$11*LAFs!J$252*(1-Contrib!J$107)*100/(24*Input!$F$14)</f>
        <v>0</v>
      </c>
      <c r="K106" s="17">
        <f>Multi!B622*K$11*LAFs!B$252*(1-Contrib!K$107)*100/(24*Input!$F$14)</f>
        <v>3.3527135214022952E-2</v>
      </c>
      <c r="L106" s="17">
        <f>Multi!C622*L$11*LAFs!C$252*(1-Contrib!L$107)*100/(24*Input!$F$14)</f>
        <v>2.2240790216141334E-2</v>
      </c>
      <c r="M106" s="17">
        <f>Multi!D622*M$11*LAFs!D$252*(1-Contrib!M$107)*100/(24*Input!$F$14)</f>
        <v>2.0514566969295097E-2</v>
      </c>
      <c r="N106" s="17">
        <f>Multi!E622*N$11*LAFs!E$252*(1-Contrib!N$107)*100/(24*Input!$F$14)</f>
        <v>3.7448699630692875E-2</v>
      </c>
      <c r="O106" s="17">
        <f>Multi!F622*O$11*LAFs!F$252*(1-Contrib!O$107)*100/(24*Input!$F$14)</f>
        <v>4.6372825300269385E-2</v>
      </c>
      <c r="P106" s="17">
        <f>Multi!G622*P$11*LAFs!G$252*(1-Contrib!P$107)*100/(24*Input!$F$14)</f>
        <v>0</v>
      </c>
      <c r="Q106" s="17">
        <f>Multi!H622*Q$11*LAFs!H$252*(1-Contrib!Q$107)*100/(24*Input!$F$14)</f>
        <v>6.7368706533166706E-2</v>
      </c>
      <c r="R106" s="17">
        <f>Multi!I622*R$11*LAFs!I$252*(1-Contrib!R$107)*100/(24*Input!$F$14)</f>
        <v>0</v>
      </c>
      <c r="S106" s="17">
        <f>Multi!J622*S$11*LAFs!J$252*(1-Contrib!S$107)*100/(24*Input!$F$14)</f>
        <v>0</v>
      </c>
      <c r="T106" s="17">
        <f t="shared" si="1"/>
        <v>0.54916977488994367</v>
      </c>
      <c r="U106" s="6"/>
    </row>
    <row r="107" spans="1:21" x14ac:dyDescent="0.2">
      <c r="A107" s="5" t="s">
        <v>74</v>
      </c>
      <c r="B107" s="17">
        <f>Multi!B623*B$11*LAFs!B$253*(1-Contrib!B$108)*100/(24*Input!$F$14)</f>
        <v>0</v>
      </c>
      <c r="C107" s="17">
        <f>Multi!C623*C$11*LAFs!C$253*(1-Contrib!C$108)*100/(24*Input!$F$14)</f>
        <v>6.2462125284811161E-2</v>
      </c>
      <c r="D107" s="17">
        <f>Multi!D623*D$11*LAFs!D$253*(1-Contrib!D$108)*100/(24*Input!$F$14)</f>
        <v>5.7614115314562439E-2</v>
      </c>
      <c r="E107" s="17">
        <f>Multi!E623*E$11*LAFs!E$253*(1-Contrib!E$108)*100/(24*Input!$F$14)</f>
        <v>4.5224288278517544E-2</v>
      </c>
      <c r="F107" s="17">
        <f>Multi!F623*F$11*LAFs!F$253*(1-Contrib!F$108)*100/(24*Input!$F$14)</f>
        <v>1.0418857227883591E-2</v>
      </c>
      <c r="G107" s="17">
        <f>Multi!G623*G$11*LAFs!G$253*(1-Contrib!G$108)*100/(24*Input!$F$14)</f>
        <v>0</v>
      </c>
      <c r="H107" s="17">
        <f>Multi!H623*H$11*LAFs!H$253*(1-Contrib!H$108)*100/(24*Input!$F$14)</f>
        <v>0</v>
      </c>
      <c r="I107" s="17">
        <f>Multi!I623*I$11*LAFs!I$253*(1-Contrib!I$108)*100/(24*Input!$F$14)</f>
        <v>0</v>
      </c>
      <c r="J107" s="17">
        <f>Multi!J623*J$11*LAFs!J$253*(1-Contrib!J$108)*100/(24*Input!$F$14)</f>
        <v>0</v>
      </c>
      <c r="K107" s="17">
        <f>Multi!B623*K$11*LAFs!B$253*(1-Contrib!K$108)*100/(24*Input!$F$14)</f>
        <v>3.1086463768752792E-2</v>
      </c>
      <c r="L107" s="17">
        <f>Multi!C623*L$11*LAFs!C$253*(1-Contrib!L$108)*100/(24*Input!$F$14)</f>
        <v>2.0621729677438465E-2</v>
      </c>
      <c r="M107" s="17">
        <f>Multi!D623*M$11*LAFs!D$253*(1-Contrib!M$108)*100/(24*Input!$F$14)</f>
        <v>1.902117012836552E-2</v>
      </c>
      <c r="N107" s="17">
        <f>Multi!E623*N$11*LAFs!E$253*(1-Contrib!N$108)*100/(24*Input!$F$14)</f>
        <v>3.472255046024713E-2</v>
      </c>
      <c r="O107" s="17">
        <f>Multi!F623*O$11*LAFs!F$253*(1-Contrib!O$108)*100/(24*Input!$F$14)</f>
        <v>4.2997027462954314E-2</v>
      </c>
      <c r="P107" s="17">
        <f>Multi!G623*P$11*LAFs!G$253*(1-Contrib!P$108)*100/(24*Input!$F$14)</f>
        <v>0</v>
      </c>
      <c r="Q107" s="17">
        <f>Multi!H623*Q$11*LAFs!H$253*(1-Contrib!Q$108)*100/(24*Input!$F$14)</f>
        <v>0</v>
      </c>
      <c r="R107" s="17">
        <f>Multi!I623*R$11*LAFs!I$253*(1-Contrib!R$108)*100/(24*Input!$F$14)</f>
        <v>0</v>
      </c>
      <c r="S107" s="17">
        <f>Multi!J623*S$11*LAFs!J$253*(1-Contrib!S$108)*100/(24*Input!$F$14)</f>
        <v>0</v>
      </c>
      <c r="T107" s="17">
        <f t="shared" si="1"/>
        <v>0.32416832760353298</v>
      </c>
      <c r="U107" s="6"/>
    </row>
    <row r="108" spans="1:21" x14ac:dyDescent="0.2">
      <c r="A108" s="5" t="s">
        <v>64</v>
      </c>
      <c r="B108" s="17">
        <f>Multi!B624*B$11*LAFs!B$262*(1-Contrib!B$117)*100/(24*Input!$F$14)</f>
        <v>0</v>
      </c>
      <c r="C108" s="17">
        <f>Multi!C624*C$11*LAFs!C$262*(1-Contrib!C$117)*100/(24*Input!$F$14)</f>
        <v>-6.7023624210186872E-2</v>
      </c>
      <c r="D108" s="17">
        <f>Multi!D624*D$11*LAFs!D$262*(1-Contrib!D$117)*100/(24*Input!$F$14)</f>
        <v>-6.1821572616015397E-2</v>
      </c>
      <c r="E108" s="17">
        <f>Multi!E624*E$11*LAFs!E$262*(1-Contrib!E$117)*100/(24*Input!$F$14)</f>
        <v>-0.11285334499428532</v>
      </c>
      <c r="F108" s="17">
        <f>Multi!F624*F$11*LAFs!F$262*(1-Contrib!F$117)*100/(24*Input!$F$14)</f>
        <v>-0.13974660011109694</v>
      </c>
      <c r="G108" s="17">
        <f>Multi!G624*G$11*LAFs!G$262*(1-Contrib!G$117)*100/(24*Input!$F$14)</f>
        <v>0</v>
      </c>
      <c r="H108" s="17">
        <f>Multi!H624*H$11*LAFs!H$262*(1-Contrib!H$117)*100/(24*Input!$F$14)</f>
        <v>-0.14211304447491402</v>
      </c>
      <c r="I108" s="17">
        <f>Multi!I624*I$11*LAFs!I$262*(1-Contrib!I$117)*100/(24*Input!$F$14)</f>
        <v>-0.12283577655074268</v>
      </c>
      <c r="J108" s="17">
        <f>Multi!J624*J$11*LAFs!J$262*(1-Contrib!J$117)*100/(24*Input!$F$14)</f>
        <v>0</v>
      </c>
      <c r="K108" s="17">
        <f>Multi!B624*K$11*LAFs!B$262*(1-Contrib!K$117)*100/(24*Input!$F$14)</f>
        <v>-3.3356653430540971E-2</v>
      </c>
      <c r="L108" s="17">
        <f>Multi!C624*L$11*LAFs!C$262*(1-Contrib!L$117)*100/(24*Input!$F$14)</f>
        <v>-2.2127698251740203E-2</v>
      </c>
      <c r="M108" s="17">
        <f>Multi!D624*M$11*LAFs!D$262*(1-Contrib!M$117)*100/(24*Input!$F$14)</f>
        <v>-2.0410252659648298E-2</v>
      </c>
      <c r="N108" s="17">
        <f>Multi!E624*N$11*LAFs!E$262*(1-Contrib!N$117)*100/(24*Input!$F$14)</f>
        <v>-3.7258277124822152E-2</v>
      </c>
      <c r="O108" s="17">
        <f>Multi!F624*O$11*LAFs!F$262*(1-Contrib!O$117)*100/(24*Input!$F$14)</f>
        <v>-4.6137024599976297E-2</v>
      </c>
      <c r="P108" s="17">
        <f>Multi!G624*P$11*LAFs!G$262*(1-Contrib!P$117)*100/(24*Input!$F$14)</f>
        <v>0</v>
      </c>
      <c r="Q108" s="17">
        <f>Multi!H624*Q$11*LAFs!H$262*(1-Contrib!Q$117)*100/(24*Input!$F$14)</f>
        <v>-6.7026144093300266E-2</v>
      </c>
      <c r="R108" s="17">
        <f>Multi!I624*R$11*LAFs!I$262*(1-Contrib!R$117)*100/(24*Input!$F$14)</f>
        <v>-5.7934220530725777E-2</v>
      </c>
      <c r="S108" s="17">
        <f>Multi!J624*S$11*LAFs!J$262*(1-Contrib!S$117)*100/(24*Input!$F$14)</f>
        <v>0</v>
      </c>
      <c r="T108" s="17">
        <f t="shared" si="1"/>
        <v>-0.9306442336479952</v>
      </c>
      <c r="U108" s="6"/>
    </row>
    <row r="109" spans="1:21" x14ac:dyDescent="0.2">
      <c r="A109" s="5" t="s">
        <v>66</v>
      </c>
      <c r="B109" s="17">
        <f>Multi!B625*B$11*LAFs!B$264*(1-Contrib!B$119)*100/(24*Input!$F$14)</f>
        <v>0</v>
      </c>
      <c r="C109" s="17">
        <f>Multi!C625*C$11*LAFs!C$264*(1-Contrib!C$119)*100/(24*Input!$F$14)</f>
        <v>-6.398262492660306E-2</v>
      </c>
      <c r="D109" s="17">
        <f>Multi!D625*D$11*LAFs!D$264*(1-Contrib!D$119)*100/(24*Input!$F$14)</f>
        <v>-5.9016601081713436E-2</v>
      </c>
      <c r="E109" s="17">
        <f>Multi!E625*E$11*LAFs!E$264*(1-Contrib!E$119)*100/(24*Input!$F$14)</f>
        <v>-0.10773295729037037</v>
      </c>
      <c r="F109" s="17">
        <f>Multi!F625*F$11*LAFs!F$264*(1-Contrib!F$119)*100/(24*Input!$F$14)</f>
        <v>-0.13340601026939564</v>
      </c>
      <c r="G109" s="17">
        <f>Multi!G625*G$11*LAFs!G$264*(1-Contrib!G$119)*100/(24*Input!$F$14)</f>
        <v>0</v>
      </c>
      <c r="H109" s="17">
        <f>Multi!H625*H$11*LAFs!H$264*(1-Contrib!H$119)*100/(24*Input!$F$14)</f>
        <v>-0.13566508419928272</v>
      </c>
      <c r="I109" s="17">
        <f>Multi!I625*I$11*LAFs!I$264*(1-Contrib!I$119)*100/(24*Input!$F$14)</f>
        <v>0</v>
      </c>
      <c r="J109" s="17">
        <f>Multi!J625*J$11*LAFs!J$264*(1-Contrib!J$119)*100/(24*Input!$F$14)</f>
        <v>0</v>
      </c>
      <c r="K109" s="17">
        <f>Multi!B625*K$11*LAFs!B$264*(1-Contrib!K$119)*100/(24*Input!$F$14)</f>
        <v>-3.1843193656015512E-2</v>
      </c>
      <c r="L109" s="17">
        <f>Multi!C625*L$11*LAFs!C$264*(1-Contrib!L$119)*100/(24*Input!$F$14)</f>
        <v>-2.112371920220571E-2</v>
      </c>
      <c r="M109" s="17">
        <f>Multi!D625*M$11*LAFs!D$264*(1-Contrib!M$119)*100/(24*Input!$F$14)</f>
        <v>-1.9484197638793114E-2</v>
      </c>
      <c r="N109" s="17">
        <f>Multi!E625*N$11*LAFs!E$264*(1-Contrib!N$119)*100/(24*Input!$F$14)</f>
        <v>-3.556779268177214E-2</v>
      </c>
      <c r="O109" s="17">
        <f>Multi!F625*O$11*LAFs!F$264*(1-Contrib!O$119)*100/(24*Input!$F$14)</f>
        <v>-4.4043693175294982E-2</v>
      </c>
      <c r="P109" s="17">
        <f>Multi!G625*P$11*LAFs!G$264*(1-Contrib!P$119)*100/(24*Input!$F$14)</f>
        <v>0</v>
      </c>
      <c r="Q109" s="17">
        <f>Multi!H625*Q$11*LAFs!H$264*(1-Contrib!Q$119)*100/(24*Input!$F$14)</f>
        <v>-6.3985030477451785E-2</v>
      </c>
      <c r="R109" s="17">
        <f>Multi!I625*R$11*LAFs!I$264*(1-Contrib!R$119)*100/(24*Input!$F$14)</f>
        <v>0</v>
      </c>
      <c r="S109" s="17">
        <f>Multi!J625*S$11*LAFs!J$264*(1-Contrib!S$119)*100/(24*Input!$F$14)</f>
        <v>0</v>
      </c>
      <c r="T109" s="17">
        <f t="shared" si="1"/>
        <v>-0.71585090459889844</v>
      </c>
      <c r="U109" s="6"/>
    </row>
    <row r="110" spans="1:21" x14ac:dyDescent="0.2">
      <c r="A110" s="5" t="s">
        <v>76</v>
      </c>
      <c r="B110" s="17">
        <f>Multi!B626*B$11*LAFs!B$266*(1-Contrib!B$121)*100/(24*Input!$F$14)</f>
        <v>0</v>
      </c>
      <c r="C110" s="17">
        <f>Multi!C626*C$11*LAFs!C$266*(1-Contrib!C$121)*100/(24*Input!$F$14)</f>
        <v>-6.3191965112871271E-2</v>
      </c>
      <c r="D110" s="17">
        <f>Multi!D626*D$11*LAFs!D$266*(1-Contrib!D$121)*100/(24*Input!$F$14)</f>
        <v>-5.8287308482794918E-2</v>
      </c>
      <c r="E110" s="17">
        <f>Multi!E626*E$11*LAFs!E$266*(1-Contrib!E$121)*100/(24*Input!$F$14)</f>
        <v>-0.10640165648735246</v>
      </c>
      <c r="F110" s="17">
        <f>Multi!F626*F$11*LAFs!F$266*(1-Contrib!F$121)*100/(24*Input!$F$14)</f>
        <v>-5.6655706471537913E-2</v>
      </c>
      <c r="G110" s="17">
        <f>Multi!G626*G$11*LAFs!G$266*(1-Contrib!G$121)*100/(24*Input!$F$14)</f>
        <v>0</v>
      </c>
      <c r="H110" s="17">
        <f>Multi!H626*H$11*LAFs!H$266*(1-Contrib!H$121)*100/(24*Input!$F$14)</f>
        <v>0</v>
      </c>
      <c r="I110" s="17">
        <f>Multi!I626*I$11*LAFs!I$266*(1-Contrib!I$121)*100/(24*Input!$F$14)</f>
        <v>0</v>
      </c>
      <c r="J110" s="17">
        <f>Multi!J626*J$11*LAFs!J$266*(1-Contrib!J$121)*100/(24*Input!$F$14)</f>
        <v>0</v>
      </c>
      <c r="K110" s="17">
        <f>Multi!B626*K$11*LAFs!B$266*(1-Contrib!K$121)*100/(24*Input!$F$14)</f>
        <v>-3.1449694114638896E-2</v>
      </c>
      <c r="L110" s="17">
        <f>Multi!C626*L$11*LAFs!C$266*(1-Contrib!L$121)*100/(24*Input!$F$14)</f>
        <v>-2.0862684649326745E-2</v>
      </c>
      <c r="M110" s="17">
        <f>Multi!D626*M$11*LAFs!D$266*(1-Contrib!M$121)*100/(24*Input!$F$14)</f>
        <v>-1.9243423333370761E-2</v>
      </c>
      <c r="N110" s="17">
        <f>Multi!E626*N$11*LAFs!E$266*(1-Contrib!N$121)*100/(24*Input!$F$14)</f>
        <v>-3.5128266726579128E-2</v>
      </c>
      <c r="O110" s="17">
        <f>Multi!F626*O$11*LAFs!F$266*(1-Contrib!O$121)*100/(24*Input!$F$14)</f>
        <v>-4.3499427004877834E-2</v>
      </c>
      <c r="P110" s="17">
        <f>Multi!G626*P$11*LAFs!G$266*(1-Contrib!P$121)*100/(24*Input!$F$14)</f>
        <v>0</v>
      </c>
      <c r="Q110" s="17">
        <f>Multi!H626*Q$11*LAFs!H$266*(1-Contrib!Q$121)*100/(24*Input!$F$14)</f>
        <v>0</v>
      </c>
      <c r="R110" s="17">
        <f>Multi!I626*R$11*LAFs!I$266*(1-Contrib!R$121)*100/(24*Input!$F$14)</f>
        <v>0</v>
      </c>
      <c r="S110" s="17">
        <f>Multi!J626*S$11*LAFs!J$266*(1-Contrib!S$121)*100/(24*Input!$F$14)</f>
        <v>0</v>
      </c>
      <c r="T110" s="17">
        <f t="shared" si="1"/>
        <v>-0.43472013238334989</v>
      </c>
      <c r="U110" s="6"/>
    </row>
    <row r="111" spans="1:21" x14ac:dyDescent="0.2">
      <c r="A111" s="5" t="s">
        <v>78</v>
      </c>
      <c r="B111" s="17">
        <f>Multi!B627*B$11*LAFs!B$268*(1-Contrib!B$123)*100/(24*Input!$F$14)</f>
        <v>0</v>
      </c>
      <c r="C111" s="17">
        <f>Multi!C627*C$11*LAFs!C$268*(1-Contrib!C$123)*100/(24*Input!$F$14)</f>
        <v>-6.2462125284811161E-2</v>
      </c>
      <c r="D111" s="17">
        <f>Multi!D627*D$11*LAFs!D$268*(1-Contrib!D$123)*100/(24*Input!$F$14)</f>
        <v>-5.7614115314562439E-2</v>
      </c>
      <c r="E111" s="17">
        <f>Multi!E627*E$11*LAFs!E$268*(1-Contrib!E$123)*100/(24*Input!$F$14)</f>
        <v>-4.5224288278517544E-2</v>
      </c>
      <c r="F111" s="17">
        <f>Multi!F627*F$11*LAFs!F$268*(1-Contrib!F$123)*100/(24*Input!$F$14)</f>
        <v>0</v>
      </c>
      <c r="G111" s="17">
        <f>Multi!G627*G$11*LAFs!G$268*(1-Contrib!G$123)*100/(24*Input!$F$14)</f>
        <v>0</v>
      </c>
      <c r="H111" s="17">
        <f>Multi!H627*H$11*LAFs!H$268*(1-Contrib!H$123)*100/(24*Input!$F$14)</f>
        <v>0</v>
      </c>
      <c r="I111" s="17">
        <f>Multi!I627*I$11*LAFs!I$268*(1-Contrib!I$123)*100/(24*Input!$F$14)</f>
        <v>0</v>
      </c>
      <c r="J111" s="17">
        <f>Multi!J627*J$11*LAFs!J$268*(1-Contrib!J$123)*100/(24*Input!$F$14)</f>
        <v>0</v>
      </c>
      <c r="K111" s="17">
        <f>Multi!B627*K$11*LAFs!B$268*(1-Contrib!K$123)*100/(24*Input!$F$14)</f>
        <v>-3.1086463768752792E-2</v>
      </c>
      <c r="L111" s="17">
        <f>Multi!C627*L$11*LAFs!C$268*(1-Contrib!L$123)*100/(24*Input!$F$14)</f>
        <v>-2.0621729677438465E-2</v>
      </c>
      <c r="M111" s="17">
        <f>Multi!D627*M$11*LAFs!D$268*(1-Contrib!M$123)*100/(24*Input!$F$14)</f>
        <v>-1.902117012836552E-2</v>
      </c>
      <c r="N111" s="17">
        <f>Multi!E627*N$11*LAFs!E$268*(1-Contrib!N$123)*100/(24*Input!$F$14)</f>
        <v>-3.472255046024713E-2</v>
      </c>
      <c r="O111" s="17">
        <f>Multi!F627*O$11*LAFs!F$268*(1-Contrib!O$123)*100/(24*Input!$F$14)</f>
        <v>0</v>
      </c>
      <c r="P111" s="17">
        <f>Multi!G627*P$11*LAFs!G$268*(1-Contrib!P$123)*100/(24*Input!$F$14)</f>
        <v>0</v>
      </c>
      <c r="Q111" s="17">
        <f>Multi!H627*Q$11*LAFs!H$268*(1-Contrib!Q$123)*100/(24*Input!$F$14)</f>
        <v>0</v>
      </c>
      <c r="R111" s="17">
        <f>Multi!I627*R$11*LAFs!I$268*(1-Contrib!R$123)*100/(24*Input!$F$14)</f>
        <v>0</v>
      </c>
      <c r="S111" s="17">
        <f>Multi!J627*S$11*LAFs!J$268*(1-Contrib!S$123)*100/(24*Input!$F$14)</f>
        <v>0</v>
      </c>
      <c r="T111" s="17">
        <f t="shared" si="1"/>
        <v>-0.27075244291269507</v>
      </c>
      <c r="U111" s="6"/>
    </row>
    <row r="112" spans="1:21" x14ac:dyDescent="0.2">
      <c r="A112" s="5" t="s">
        <v>100</v>
      </c>
      <c r="B112" s="17">
        <f>Multi!B628*B$11*LAFs!B$258*(1-Contrib!B$113)*100/(24*Input!$F$14)</f>
        <v>0</v>
      </c>
      <c r="C112" s="17">
        <f>Multi!C628*C$11*LAFs!C$258*(1-Contrib!C$113)*100/(24*Input!$F$14)</f>
        <v>5.714137030271698E-2</v>
      </c>
      <c r="D112" s="17">
        <f>Multi!D628*D$11*LAFs!D$258*(1-Contrib!D$113)*100/(24*Input!$F$14)</f>
        <v>5.2706331762512056E-2</v>
      </c>
      <c r="E112" s="17">
        <f>Multi!E628*E$11*LAFs!E$258*(1-Contrib!E$113)*100/(24*Input!$F$14)</f>
        <v>9.0919081090155243E-2</v>
      </c>
      <c r="F112" s="17">
        <f>Multi!F628*F$11*LAFs!F$258*(1-Contrib!F$113)*100/(24*Input!$F$14)</f>
        <v>0.11258534222638869</v>
      </c>
      <c r="G112" s="17">
        <f>Multi!G628*G$11*LAFs!G$258*(1-Contrib!G$113)*100/(24*Input!$F$14)</f>
        <v>0</v>
      </c>
      <c r="H112" s="17">
        <f>Multi!H628*H$11*LAFs!H$258*(1-Contrib!H$113)*100/(24*Input!$F$14)</f>
        <v>0.11449184262316578</v>
      </c>
      <c r="I112" s="17">
        <f>Multi!I628*I$11*LAFs!I$258*(1-Contrib!I$113)*100/(24*Input!$F$14)</f>
        <v>9.8961319485520768E-2</v>
      </c>
      <c r="J112" s="17">
        <f>Multi!J628*J$11*LAFs!J$258*(1-Contrib!J$113)*100/(24*Input!$F$14)</f>
        <v>2.5215990300293738E-3</v>
      </c>
      <c r="K112" s="17">
        <f>Multi!B628*K$11*LAFs!B$258*(1-Contrib!K$113)*100/(24*Input!$F$14)</f>
        <v>2.7631230704539999E-2</v>
      </c>
      <c r="L112" s="17">
        <f>Multi!C628*L$11*LAFs!C$258*(1-Contrib!L$113)*100/(24*Input!$F$14)</f>
        <v>1.8865094429753239E-2</v>
      </c>
      <c r="M112" s="17">
        <f>Multi!D628*M$11*LAFs!D$258*(1-Contrib!M$113)*100/(24*Input!$F$14)</f>
        <v>1.7400876466177686E-2</v>
      </c>
      <c r="N112" s="17">
        <f>Multi!E628*N$11*LAFs!E$258*(1-Contrib!N$113)*100/(24*Input!$F$14)</f>
        <v>3.0016729405430712E-2</v>
      </c>
      <c r="O112" s="17">
        <f>Multi!F628*O$11*LAFs!F$258*(1-Contrib!O$113)*100/(24*Input!$F$14)</f>
        <v>3.7169796615919064E-2</v>
      </c>
      <c r="P112" s="17">
        <f>Multi!G628*P$11*LAFs!G$258*(1-Contrib!P$113)*100/(24*Input!$F$14)</f>
        <v>0</v>
      </c>
      <c r="Q112" s="17">
        <f>Multi!H628*Q$11*LAFs!H$258*(1-Contrib!Q$113)*100/(24*Input!$F$14)</f>
        <v>5.3998890598127881E-2</v>
      </c>
      <c r="R112" s="17">
        <f>Multi!I628*R$11*LAFs!I$258*(1-Contrib!R$113)*100/(24*Input!$F$14)</f>
        <v>4.6674080370366702E-2</v>
      </c>
      <c r="S112" s="17">
        <f>Multi!J628*S$11*LAFs!J$258*(1-Contrib!S$113)*100/(24*Input!$F$14)</f>
        <v>2.7750007605969951E-2</v>
      </c>
      <c r="T112" s="17">
        <f t="shared" si="1"/>
        <v>0.78883359271677411</v>
      </c>
      <c r="U112" s="6"/>
    </row>
    <row r="114" spans="1:21" ht="16.5" x14ac:dyDescent="0.25">
      <c r="A114" s="3" t="s">
        <v>810</v>
      </c>
    </row>
    <row r="115" spans="1:21" x14ac:dyDescent="0.2">
      <c r="A115" s="10" t="s">
        <v>238</v>
      </c>
    </row>
    <row r="116" spans="1:21" x14ac:dyDescent="0.2">
      <c r="A116" s="11" t="s">
        <v>811</v>
      </c>
    </row>
    <row r="117" spans="1:21" x14ac:dyDescent="0.2">
      <c r="A117" s="11" t="s">
        <v>800</v>
      </c>
    </row>
    <row r="118" spans="1:21" x14ac:dyDescent="0.2">
      <c r="A118" s="11" t="s">
        <v>619</v>
      </c>
    </row>
    <row r="119" spans="1:21" x14ac:dyDescent="0.2">
      <c r="A119" s="11" t="s">
        <v>796</v>
      </c>
    </row>
    <row r="120" spans="1:21" x14ac:dyDescent="0.2">
      <c r="A120" s="11" t="s">
        <v>552</v>
      </c>
    </row>
    <row r="121" spans="1:21" x14ac:dyDescent="0.2">
      <c r="A121" s="11" t="s">
        <v>812</v>
      </c>
    </row>
    <row r="122" spans="1:21" x14ac:dyDescent="0.2">
      <c r="A122" s="18" t="s">
        <v>241</v>
      </c>
      <c r="B122" s="10" t="s">
        <v>371</v>
      </c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8" t="s">
        <v>372</v>
      </c>
    </row>
    <row r="123" spans="1:21" x14ac:dyDescent="0.2">
      <c r="A123" s="18" t="s">
        <v>244</v>
      </c>
      <c r="B123" s="10" t="s">
        <v>802</v>
      </c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8" t="s">
        <v>426</v>
      </c>
    </row>
    <row r="125" spans="1:21" x14ac:dyDescent="0.2">
      <c r="B125" s="19" t="s">
        <v>813</v>
      </c>
      <c r="C125" s="19"/>
      <c r="D125" s="19"/>
      <c r="E125" s="19"/>
      <c r="F125" s="19"/>
      <c r="G125" s="19"/>
      <c r="H125" s="19"/>
      <c r="I125" s="19"/>
      <c r="J125" s="19"/>
      <c r="K125" s="19"/>
      <c r="L125" s="19"/>
      <c r="M125" s="19"/>
      <c r="N125" s="19"/>
      <c r="O125" s="19"/>
      <c r="P125" s="19"/>
      <c r="Q125" s="19"/>
      <c r="R125" s="19"/>
      <c r="S125" s="19"/>
    </row>
    <row r="126" spans="1:21" ht="38.25" x14ac:dyDescent="0.2">
      <c r="B126" s="4" t="s">
        <v>21</v>
      </c>
      <c r="C126" s="4" t="s">
        <v>191</v>
      </c>
      <c r="D126" s="4" t="s">
        <v>192</v>
      </c>
      <c r="E126" s="4" t="s">
        <v>193</v>
      </c>
      <c r="F126" s="4" t="s">
        <v>194</v>
      </c>
      <c r="G126" s="4" t="s">
        <v>195</v>
      </c>
      <c r="H126" s="4" t="s">
        <v>196</v>
      </c>
      <c r="I126" s="4" t="s">
        <v>197</v>
      </c>
      <c r="J126" s="4" t="s">
        <v>198</v>
      </c>
      <c r="K126" s="4" t="s">
        <v>179</v>
      </c>
      <c r="L126" s="4" t="s">
        <v>699</v>
      </c>
      <c r="M126" s="4" t="s">
        <v>700</v>
      </c>
      <c r="N126" s="4" t="s">
        <v>701</v>
      </c>
      <c r="O126" s="4" t="s">
        <v>702</v>
      </c>
      <c r="P126" s="4" t="s">
        <v>703</v>
      </c>
      <c r="Q126" s="4" t="s">
        <v>704</v>
      </c>
      <c r="R126" s="4" t="s">
        <v>705</v>
      </c>
      <c r="S126" s="4" t="s">
        <v>706</v>
      </c>
      <c r="T126" s="4" t="s">
        <v>814</v>
      </c>
    </row>
    <row r="127" spans="1:21" x14ac:dyDescent="0.2">
      <c r="A127" s="5" t="s">
        <v>59</v>
      </c>
      <c r="B127" s="17">
        <f>Multi!B637*B$11*LAFs!B$250*(1-Contrib!B$105)*100/(24*Input!$F$14)</f>
        <v>0</v>
      </c>
      <c r="C127" s="17">
        <f>Multi!C637*C$11*LAFs!C$250*(1-Contrib!C$105)*100/(24*Input!$F$14)</f>
        <v>9.5408988286650228E-3</v>
      </c>
      <c r="D127" s="17">
        <f>Multi!D637*D$11*LAFs!D$250*(1-Contrib!D$105)*100/(24*Input!$F$14)</f>
        <v>8.8003801153552479E-3</v>
      </c>
      <c r="E127" s="17">
        <f>Multi!E637*E$11*LAFs!E$250*(1-Contrib!E$105)*100/(24*Input!$F$14)</f>
        <v>1.443885098857884E-2</v>
      </c>
      <c r="F127" s="17">
        <f>Multi!F637*F$11*LAFs!F$250*(1-Contrib!F$105)*100/(24*Input!$F$14)</f>
        <v>1.7879667946633045E-2</v>
      </c>
      <c r="G127" s="17">
        <f>Multi!G637*G$11*LAFs!G$250*(1-Contrib!G$105)*100/(24*Input!$F$14)</f>
        <v>0</v>
      </c>
      <c r="H127" s="17">
        <f>Multi!H637*H$11*LAFs!H$250*(1-Contrib!H$105)*100/(24*Input!$F$14)</f>
        <v>1.8182439101033895E-2</v>
      </c>
      <c r="I127" s="17">
        <f>Multi!I637*I$11*LAFs!I$250*(1-Contrib!I$105)*100/(24*Input!$F$14)</f>
        <v>1.5716038135797861E-2</v>
      </c>
      <c r="J127" s="17">
        <f>Multi!J637*J$11*LAFs!J$250*(1-Contrib!J$105)*100/(24*Input!$F$14)</f>
        <v>4.0045491233502405E-4</v>
      </c>
      <c r="K127" s="17">
        <f>Multi!B637*K$11*LAFs!B$250*(1-Contrib!K$105)*100/(24*Input!$F$14)</f>
        <v>5.615857252003008E-3</v>
      </c>
      <c r="L127" s="17">
        <f>Multi!C637*L$11*LAFs!C$250*(1-Contrib!L$105)*100/(24*Input!$F$14)</f>
        <v>3.1499062132034567E-3</v>
      </c>
      <c r="M127" s="17">
        <f>Multi!D637*M$11*LAFs!D$250*(1-Contrib!M$105)*100/(24*Input!$F$14)</f>
        <v>2.9054256314536703E-3</v>
      </c>
      <c r="N127" s="17">
        <f>Multi!E637*N$11*LAFs!E$250*(1-Contrib!N$105)*100/(24*Input!$F$14)</f>
        <v>4.7669540634681607E-3</v>
      </c>
      <c r="O127" s="17">
        <f>Multi!F637*O$11*LAFs!F$250*(1-Contrib!O$105)*100/(24*Input!$F$14)</f>
        <v>5.9029320157872808E-3</v>
      </c>
      <c r="P127" s="17">
        <f>Multi!G637*P$11*LAFs!G$250*(1-Contrib!P$105)*100/(24*Input!$F$14)</f>
        <v>0</v>
      </c>
      <c r="Q127" s="17">
        <f>Multi!H637*Q$11*LAFs!H$250*(1-Contrib!Q$105)*100/(24*Input!$F$14)</f>
        <v>8.5755588985969612E-3</v>
      </c>
      <c r="R127" s="17">
        <f>Multi!I637*R$11*LAFs!I$250*(1-Contrib!R$105)*100/(24*Input!$F$14)</f>
        <v>7.4123064533441457E-3</v>
      </c>
      <c r="S127" s="17">
        <f>Multi!J637*S$11*LAFs!J$250*(1-Contrib!S$105)*100/(24*Input!$F$14)</f>
        <v>4.4069761809098973E-3</v>
      </c>
      <c r="T127" s="17">
        <f t="shared" ref="T127:T135" si="2">SUM($B127:$S127)</f>
        <v>0.12769464673716552</v>
      </c>
      <c r="U127" s="6"/>
    </row>
    <row r="128" spans="1:21" x14ac:dyDescent="0.2">
      <c r="A128" s="5" t="s">
        <v>60</v>
      </c>
      <c r="B128" s="17">
        <f>Multi!B638*B$11*LAFs!B$251*(1-Contrib!B$106)*100/(24*Input!$F$14)</f>
        <v>0</v>
      </c>
      <c r="C128" s="17">
        <f>Multi!C638*C$11*LAFs!C$251*(1-Contrib!C$106)*100/(24*Input!$F$14)</f>
        <v>1.085306615343579E-2</v>
      </c>
      <c r="D128" s="17">
        <f>Multi!D638*D$11*LAFs!D$251*(1-Contrib!D$106)*100/(24*Input!$F$14)</f>
        <v>1.001070331868255E-2</v>
      </c>
      <c r="E128" s="17">
        <f>Multi!E638*E$11*LAFs!E$251*(1-Contrib!E$106)*100/(24*Input!$F$14)</f>
        <v>1.6424637528681812E-2</v>
      </c>
      <c r="F128" s="17">
        <f>Multi!F638*F$11*LAFs!F$251*(1-Contrib!F$106)*100/(24*Input!$F$14)</f>
        <v>2.0338672750964022E-2</v>
      </c>
      <c r="G128" s="17">
        <f>Multi!G638*G$11*LAFs!G$251*(1-Contrib!G$106)*100/(24*Input!$F$14)</f>
        <v>0</v>
      </c>
      <c r="H128" s="17">
        <f>Multi!H638*H$11*LAFs!H$251*(1-Contrib!H$106)*100/(24*Input!$F$14)</f>
        <v>2.0683084260516141E-2</v>
      </c>
      <c r="I128" s="17">
        <f>Multi!I638*I$11*LAFs!I$251*(1-Contrib!I$106)*100/(24*Input!$F$14)</f>
        <v>7.6617759554690882E-4</v>
      </c>
      <c r="J128" s="17">
        <f>Multi!J638*J$11*LAFs!J$251*(1-Contrib!J$106)*100/(24*Input!$F$14)</f>
        <v>0</v>
      </c>
      <c r="K128" s="17">
        <f>Multi!B638*K$11*LAFs!B$251*(1-Contrib!K$106)*100/(24*Input!$F$14)</f>
        <v>6.388210519654873E-3</v>
      </c>
      <c r="L128" s="17">
        <f>Multi!C638*L$11*LAFs!C$251*(1-Contrib!L$106)*100/(24*Input!$F$14)</f>
        <v>3.5831152937399833E-3</v>
      </c>
      <c r="M128" s="17">
        <f>Multi!D638*M$11*LAFs!D$251*(1-Contrib!M$106)*100/(24*Input!$F$14)</f>
        <v>3.3050111051713929E-3</v>
      </c>
      <c r="N128" s="17">
        <f>Multi!E638*N$11*LAFs!E$251*(1-Contrib!N$106)*100/(24*Input!$F$14)</f>
        <v>5.4225570074982639E-3</v>
      </c>
      <c r="O128" s="17">
        <f>Multi!F638*O$11*LAFs!F$251*(1-Contrib!O$106)*100/(24*Input!$F$14)</f>
        <v>6.7147669016355644E-3</v>
      </c>
      <c r="P128" s="17">
        <f>Multi!G638*P$11*LAFs!G$251*(1-Contrib!P$106)*100/(24*Input!$F$14)</f>
        <v>0</v>
      </c>
      <c r="Q128" s="17">
        <f>Multi!H638*Q$11*LAFs!H$251*(1-Contrib!Q$106)*100/(24*Input!$F$14)</f>
        <v>9.754962263045024E-3</v>
      </c>
      <c r="R128" s="17">
        <f>Multi!I638*R$11*LAFs!I$251*(1-Contrib!R$106)*100/(24*Input!$F$14)</f>
        <v>8.4317267934953238E-3</v>
      </c>
      <c r="S128" s="17">
        <f>Multi!J638*S$11*LAFs!J$251*(1-Contrib!S$106)*100/(24*Input!$F$14)</f>
        <v>0</v>
      </c>
      <c r="T128" s="17">
        <f t="shared" si="2"/>
        <v>0.12267669149206767</v>
      </c>
      <c r="U128" s="6"/>
    </row>
    <row r="129" spans="1:21" x14ac:dyDescent="0.2">
      <c r="A129" s="5" t="s">
        <v>73</v>
      </c>
      <c r="B129" s="17">
        <f>Multi!B639*B$11*LAFs!B$252*(1-Contrib!B$107)*100/(24*Input!$F$14)</f>
        <v>0</v>
      </c>
      <c r="C129" s="17">
        <f>Multi!C639*C$11*LAFs!C$252*(1-Contrib!C$107)*100/(24*Input!$F$14)</f>
        <v>1.0066836669934024E-2</v>
      </c>
      <c r="D129" s="17">
        <f>Multi!D639*D$11*LAFs!D$252*(1-Contrib!D$107)*100/(24*Input!$F$14)</f>
        <v>9.2854971890538682E-3</v>
      </c>
      <c r="E129" s="17">
        <f>Multi!E639*E$11*LAFs!E$252*(1-Contrib!E$107)*100/(24*Input!$F$14)</f>
        <v>1.5234786283115488E-2</v>
      </c>
      <c r="F129" s="17">
        <f>Multi!F639*F$11*LAFs!F$252*(1-Contrib!F$107)*100/(24*Input!$F$14)</f>
        <v>8.1120690063260503E-3</v>
      </c>
      <c r="G129" s="17">
        <f>Multi!G639*G$11*LAFs!G$252*(1-Contrib!G$107)*100/(24*Input!$F$14)</f>
        <v>0</v>
      </c>
      <c r="H129" s="17">
        <f>Multi!H639*H$11*LAFs!H$252*(1-Contrib!H$107)*100/(24*Input!$F$14)</f>
        <v>2.4666091765316589E-3</v>
      </c>
      <c r="I129" s="17">
        <f>Multi!I639*I$11*LAFs!I$252*(1-Contrib!I$107)*100/(24*Input!$F$14)</f>
        <v>0</v>
      </c>
      <c r="J129" s="17">
        <f>Multi!J639*J$11*LAFs!J$252*(1-Contrib!J$107)*100/(24*Input!$F$14)</f>
        <v>0</v>
      </c>
      <c r="K129" s="17">
        <f>Multi!B639*K$11*LAFs!B$252*(1-Contrib!K$107)*100/(24*Input!$F$14)</f>
        <v>5.9254289069417881E-3</v>
      </c>
      <c r="L129" s="17">
        <f>Multi!C639*L$11*LAFs!C$252*(1-Contrib!L$107)*100/(24*Input!$F$14)</f>
        <v>3.3235434043866106E-3</v>
      </c>
      <c r="M129" s="17">
        <f>Multi!D639*M$11*LAFs!D$252*(1-Contrib!M$107)*100/(24*Input!$F$14)</f>
        <v>3.0655859383613756E-3</v>
      </c>
      <c r="N129" s="17">
        <f>Multi!E639*N$11*LAFs!E$252*(1-Contrib!N$107)*100/(24*Input!$F$14)</f>
        <v>5.0297303044273909E-3</v>
      </c>
      <c r="O129" s="17">
        <f>Multi!F639*O$11*LAFs!F$252*(1-Contrib!O$107)*100/(24*Input!$F$14)</f>
        <v>6.2283285405060331E-3</v>
      </c>
      <c r="P129" s="17">
        <f>Multi!G639*P$11*LAFs!G$252*(1-Contrib!P$107)*100/(24*Input!$F$14)</f>
        <v>0</v>
      </c>
      <c r="Q129" s="17">
        <f>Multi!H639*Q$11*LAFs!H$252*(1-Contrib!Q$107)*100/(24*Input!$F$14)</f>
        <v>9.0482828018473103E-3</v>
      </c>
      <c r="R129" s="17">
        <f>Multi!I639*R$11*LAFs!I$252*(1-Contrib!R$107)*100/(24*Input!$F$14)</f>
        <v>0</v>
      </c>
      <c r="S129" s="17">
        <f>Multi!J639*S$11*LAFs!J$252*(1-Contrib!S$107)*100/(24*Input!$F$14)</f>
        <v>0</v>
      </c>
      <c r="T129" s="17">
        <f t="shared" si="2"/>
        <v>7.7786698221431611E-2</v>
      </c>
      <c r="U129" s="6"/>
    </row>
    <row r="130" spans="1:21" x14ac:dyDescent="0.2">
      <c r="A130" s="5" t="s">
        <v>74</v>
      </c>
      <c r="B130" s="17">
        <f>Multi!B640*B$11*LAFs!B$253*(1-Contrib!B$108)*100/(24*Input!$F$14)</f>
        <v>0</v>
      </c>
      <c r="C130" s="17">
        <f>Multi!C640*C$11*LAFs!C$253*(1-Contrib!C$108)*100/(24*Input!$F$14)</f>
        <v>9.3340021868306162E-3</v>
      </c>
      <c r="D130" s="17">
        <f>Multi!D640*D$11*LAFs!D$253*(1-Contrib!D$108)*100/(24*Input!$F$14)</f>
        <v>8.6095417965101825E-3</v>
      </c>
      <c r="E130" s="17">
        <f>Multi!E640*E$11*LAFs!E$253*(1-Contrib!E$108)*100/(24*Input!$F$14)</f>
        <v>6.0740686724456896E-3</v>
      </c>
      <c r="F130" s="17">
        <f>Multi!F640*F$11*LAFs!F$253*(1-Contrib!F$108)*100/(24*Input!$F$14)</f>
        <v>1.3993554503462166E-3</v>
      </c>
      <c r="G130" s="17">
        <f>Multi!G640*G$11*LAFs!G$253*(1-Contrib!G$108)*100/(24*Input!$F$14)</f>
        <v>0</v>
      </c>
      <c r="H130" s="17">
        <f>Multi!H640*H$11*LAFs!H$253*(1-Contrib!H$108)*100/(24*Input!$F$14)</f>
        <v>0</v>
      </c>
      <c r="I130" s="17">
        <f>Multi!I640*I$11*LAFs!I$253*(1-Contrib!I$108)*100/(24*Input!$F$14)</f>
        <v>0</v>
      </c>
      <c r="J130" s="17">
        <f>Multi!J640*J$11*LAFs!J$253*(1-Contrib!J$108)*100/(24*Input!$F$14)</f>
        <v>0</v>
      </c>
      <c r="K130" s="17">
        <f>Multi!B640*K$11*LAFs!B$253*(1-Contrib!K$108)*100/(24*Input!$F$14)</f>
        <v>5.4940760626909502E-3</v>
      </c>
      <c r="L130" s="17">
        <f>Multi!C640*L$11*LAFs!C$253*(1-Contrib!L$108)*100/(24*Input!$F$14)</f>
        <v>3.0815997538951238E-3</v>
      </c>
      <c r="M130" s="17">
        <f>Multi!D640*M$11*LAFs!D$253*(1-Contrib!M$108)*100/(24*Input!$F$14)</f>
        <v>2.8424207912344929E-3</v>
      </c>
      <c r="N130" s="17">
        <f>Multi!E640*N$11*LAFs!E$253*(1-Contrib!N$108)*100/(24*Input!$F$14)</f>
        <v>4.6635815400590166E-3</v>
      </c>
      <c r="O130" s="17">
        <f>Multi!F640*O$11*LAFs!F$253*(1-Contrib!O$108)*100/(24*Input!$F$14)</f>
        <v>5.7749255425005169E-3</v>
      </c>
      <c r="P130" s="17">
        <f>Multi!G640*P$11*LAFs!G$253*(1-Contrib!P$108)*100/(24*Input!$F$14)</f>
        <v>0</v>
      </c>
      <c r="Q130" s="17">
        <f>Multi!H640*Q$11*LAFs!H$253*(1-Contrib!Q$108)*100/(24*Input!$F$14)</f>
        <v>0</v>
      </c>
      <c r="R130" s="17">
        <f>Multi!I640*R$11*LAFs!I$253*(1-Contrib!R$108)*100/(24*Input!$F$14)</f>
        <v>0</v>
      </c>
      <c r="S130" s="17">
        <f>Multi!J640*S$11*LAFs!J$253*(1-Contrib!S$108)*100/(24*Input!$F$14)</f>
        <v>0</v>
      </c>
      <c r="T130" s="17">
        <f t="shared" si="2"/>
        <v>4.7273571796512807E-2</v>
      </c>
      <c r="U130" s="6"/>
    </row>
    <row r="131" spans="1:21" x14ac:dyDescent="0.2">
      <c r="A131" s="5" t="s">
        <v>64</v>
      </c>
      <c r="B131" s="17">
        <f>Multi!B641*B$11*LAFs!B$262*(1-Contrib!B$117)*100/(24*Input!$F$14)</f>
        <v>0</v>
      </c>
      <c r="C131" s="17">
        <f>Multi!C641*C$11*LAFs!C$262*(1-Contrib!C$117)*100/(24*Input!$F$14)</f>
        <v>-1.0015647916151255E-2</v>
      </c>
      <c r="D131" s="17">
        <f>Multi!D641*D$11*LAFs!D$262*(1-Contrib!D$117)*100/(24*Input!$F$14)</f>
        <v>-9.238281460325435E-3</v>
      </c>
      <c r="E131" s="17">
        <f>Multi!E641*E$11*LAFs!E$262*(1-Contrib!E$117)*100/(24*Input!$F$14)</f>
        <v>-1.5157319075734586E-2</v>
      </c>
      <c r="F131" s="17">
        <f>Multi!F641*F$11*LAFs!F$262*(1-Contrib!F$117)*100/(24*Input!$F$14)</f>
        <v>-1.8769348908003067E-2</v>
      </c>
      <c r="G131" s="17">
        <f>Multi!G641*G$11*LAFs!G$262*(1-Contrib!G$117)*100/(24*Input!$F$14)</f>
        <v>0</v>
      </c>
      <c r="H131" s="17">
        <f>Multi!H641*H$11*LAFs!H$262*(1-Contrib!H$117)*100/(24*Input!$F$14)</f>
        <v>-1.9087185763429604E-2</v>
      </c>
      <c r="I131" s="17">
        <f>Multi!I641*I$11*LAFs!I$262*(1-Contrib!I$117)*100/(24*Input!$F$14)</f>
        <v>-1.6498058247095153E-2</v>
      </c>
      <c r="J131" s="17">
        <f>Multi!J641*J$11*LAFs!J$262*(1-Contrib!J$117)*100/(24*Input!$F$14)</f>
        <v>0</v>
      </c>
      <c r="K131" s="17">
        <f>Multi!B641*K$11*LAFs!B$262*(1-Contrib!K$117)*100/(24*Input!$F$14)</f>
        <v>-5.8952987547083039E-3</v>
      </c>
      <c r="L131" s="17">
        <f>Multi!C641*L$11*LAFs!C$262*(1-Contrib!L$117)*100/(24*Input!$F$14)</f>
        <v>-3.3066435528650694E-3</v>
      </c>
      <c r="M131" s="17">
        <f>Multi!D641*M$11*LAFs!D$262*(1-Contrib!M$117)*100/(24*Input!$F$14)</f>
        <v>-3.0499977720938759E-3</v>
      </c>
      <c r="N131" s="17">
        <f>Multi!E641*N$11*LAFs!E$262*(1-Contrib!N$117)*100/(24*Input!$F$14)</f>
        <v>-5.0041546807643982E-3</v>
      </c>
      <c r="O131" s="17">
        <f>Multi!F641*O$11*LAFs!F$262*(1-Contrib!O$117)*100/(24*Input!$F$14)</f>
        <v>-6.196658177055084E-3</v>
      </c>
      <c r="P131" s="17">
        <f>Multi!G641*P$11*LAFs!G$262*(1-Contrib!P$117)*100/(24*Input!$F$14)</f>
        <v>0</v>
      </c>
      <c r="Q131" s="17">
        <f>Multi!H641*Q$11*LAFs!H$262*(1-Contrib!Q$117)*100/(24*Input!$F$14)</f>
        <v>-9.0022732821057293E-3</v>
      </c>
      <c r="R131" s="17">
        <f>Multi!I641*R$11*LAFs!I$262*(1-Contrib!R$117)*100/(24*Input!$F$14)</f>
        <v>-7.7811381313744026E-3</v>
      </c>
      <c r="S131" s="17">
        <f>Multi!J641*S$11*LAFs!J$262*(1-Contrib!S$117)*100/(24*Input!$F$14)</f>
        <v>0</v>
      </c>
      <c r="T131" s="17">
        <f t="shared" si="2"/>
        <v>-0.12900200572170595</v>
      </c>
      <c r="U131" s="6"/>
    </row>
    <row r="132" spans="1:21" x14ac:dyDescent="0.2">
      <c r="A132" s="5" t="s">
        <v>66</v>
      </c>
      <c r="B132" s="17">
        <f>Multi!B642*B$11*LAFs!B$264*(1-Contrib!B$119)*100/(24*Input!$F$14)</f>
        <v>0</v>
      </c>
      <c r="C132" s="17">
        <f>Multi!C642*C$11*LAFs!C$264*(1-Contrib!C$119)*100/(24*Input!$F$14)</f>
        <v>-9.5612174299374939E-3</v>
      </c>
      <c r="D132" s="17">
        <f>Multi!D642*D$11*LAFs!D$264*(1-Contrib!D$119)*100/(24*Input!$F$14)</f>
        <v>-8.8191216844485994E-3</v>
      </c>
      <c r="E132" s="17">
        <f>Multi!E642*E$11*LAFs!E$264*(1-Contrib!E$119)*100/(24*Input!$F$14)</f>
        <v>-1.4469600424385465E-2</v>
      </c>
      <c r="F132" s="17">
        <f>Multi!F642*F$11*LAFs!F$264*(1-Contrib!F$119)*100/(24*Input!$F$14)</f>
        <v>-1.7917745055552832E-2</v>
      </c>
      <c r="G132" s="17">
        <f>Multi!G642*G$11*LAFs!G$264*(1-Contrib!G$119)*100/(24*Input!$F$14)</f>
        <v>0</v>
      </c>
      <c r="H132" s="17">
        <f>Multi!H642*H$11*LAFs!H$264*(1-Contrib!H$119)*100/(24*Input!$F$14)</f>
        <v>-1.8221161001023539E-2</v>
      </c>
      <c r="I132" s="17">
        <f>Multi!I642*I$11*LAFs!I$264*(1-Contrib!I$119)*100/(24*Input!$F$14)</f>
        <v>0</v>
      </c>
      <c r="J132" s="17">
        <f>Multi!J642*J$11*LAFs!J$264*(1-Contrib!J$119)*100/(24*Input!$F$14)</f>
        <v>0</v>
      </c>
      <c r="K132" s="17">
        <f>Multi!B642*K$11*LAFs!B$264*(1-Contrib!K$119)*100/(24*Input!$F$14)</f>
        <v>-5.6278169600300684E-3</v>
      </c>
      <c r="L132" s="17">
        <f>Multi!C642*L$11*LAFs!C$264*(1-Contrib!L$119)*100/(24*Input!$F$14)</f>
        <v>-3.1566143535517728E-3</v>
      </c>
      <c r="M132" s="17">
        <f>Multi!D642*M$11*LAFs!D$264*(1-Contrib!M$119)*100/(24*Input!$F$14)</f>
        <v>-2.9116131181876202E-3</v>
      </c>
      <c r="N132" s="17">
        <f>Multi!E642*N$11*LAFs!E$264*(1-Contrib!N$119)*100/(24*Input!$F$14)</f>
        <v>-4.7771059202941441E-3</v>
      </c>
      <c r="O132" s="17">
        <f>Multi!F642*O$11*LAFs!F$264*(1-Contrib!O$119)*100/(24*Input!$F$14)</f>
        <v>-5.9155030873520396E-3</v>
      </c>
      <c r="P132" s="17">
        <f>Multi!G642*P$11*LAFs!G$264*(1-Contrib!P$119)*100/(24*Input!$F$14)</f>
        <v>0</v>
      </c>
      <c r="Q132" s="17">
        <f>Multi!H642*Q$11*LAFs!H$264*(1-Contrib!Q$119)*100/(24*Input!$F$14)</f>
        <v>-8.5938216812842354E-3</v>
      </c>
      <c r="R132" s="17">
        <f>Multi!I642*R$11*LAFs!I$264*(1-Contrib!R$119)*100/(24*Input!$F$14)</f>
        <v>0</v>
      </c>
      <c r="S132" s="17">
        <f>Multi!J642*S$11*LAFs!J$264*(1-Contrib!S$119)*100/(24*Input!$F$14)</f>
        <v>0</v>
      </c>
      <c r="T132" s="17">
        <f t="shared" si="2"/>
        <v>-9.9971320716047821E-2</v>
      </c>
      <c r="U132" s="6"/>
    </row>
    <row r="133" spans="1:21" x14ac:dyDescent="0.2">
      <c r="A133" s="5" t="s">
        <v>76</v>
      </c>
      <c r="B133" s="17">
        <f>Multi!B643*B$11*LAFs!B$266*(1-Contrib!B$121)*100/(24*Input!$F$14)</f>
        <v>0</v>
      </c>
      <c r="C133" s="17">
        <f>Multi!C643*C$11*LAFs!C$266*(1-Contrib!C$121)*100/(24*Input!$F$14)</f>
        <v>-9.4430655035219191E-3</v>
      </c>
      <c r="D133" s="17">
        <f>Multi!D643*D$11*LAFs!D$266*(1-Contrib!D$121)*100/(24*Input!$F$14)</f>
        <v>-8.7101401427206217E-3</v>
      </c>
      <c r="E133" s="17">
        <f>Multi!E643*E$11*LAFs!E$266*(1-Contrib!E$121)*100/(24*Input!$F$14)</f>
        <v>-1.4290793575034693E-2</v>
      </c>
      <c r="F133" s="17">
        <f>Multi!F643*F$11*LAFs!F$266*(1-Contrib!F$121)*100/(24*Input!$F$14)</f>
        <v>-7.6094210631837845E-3</v>
      </c>
      <c r="G133" s="17">
        <f>Multi!G643*G$11*LAFs!G$266*(1-Contrib!G$121)*100/(24*Input!$F$14)</f>
        <v>0</v>
      </c>
      <c r="H133" s="17">
        <f>Multi!H643*H$11*LAFs!H$266*(1-Contrib!H$121)*100/(24*Input!$F$14)</f>
        <v>0</v>
      </c>
      <c r="I133" s="17">
        <f>Multi!I643*I$11*LAFs!I$266*(1-Contrib!I$121)*100/(24*Input!$F$14)</f>
        <v>0</v>
      </c>
      <c r="J133" s="17">
        <f>Multi!J643*J$11*LAFs!J$266*(1-Contrib!J$121)*100/(24*Input!$F$14)</f>
        <v>0</v>
      </c>
      <c r="K133" s="17">
        <f>Multi!B643*K$11*LAFs!B$266*(1-Contrib!K$121)*100/(24*Input!$F$14)</f>
        <v>-5.5582716934137267E-3</v>
      </c>
      <c r="L133" s="17">
        <f>Multi!C643*L$11*LAFs!C$266*(1-Contrib!L$121)*100/(24*Input!$F$14)</f>
        <v>-3.1176067617303144E-3</v>
      </c>
      <c r="M133" s="17">
        <f>Multi!D643*M$11*LAFs!D$266*(1-Contrib!M$121)*100/(24*Input!$F$14)</f>
        <v>-2.8756331081719933E-3</v>
      </c>
      <c r="N133" s="17">
        <f>Multi!E643*N$11*LAFs!E$266*(1-Contrib!N$121)*100/(24*Input!$F$14)</f>
        <v>-4.7180732425718772E-3</v>
      </c>
      <c r="O133" s="17">
        <f>Multi!F643*O$11*LAFs!F$266*(1-Contrib!O$121)*100/(24*Input!$F$14)</f>
        <v>-5.8424027640292487E-3</v>
      </c>
      <c r="P133" s="17">
        <f>Multi!G643*P$11*LAFs!G$266*(1-Contrib!P$121)*100/(24*Input!$F$14)</f>
        <v>0</v>
      </c>
      <c r="Q133" s="17">
        <f>Multi!H643*Q$11*LAFs!H$266*(1-Contrib!Q$121)*100/(24*Input!$F$14)</f>
        <v>0</v>
      </c>
      <c r="R133" s="17">
        <f>Multi!I643*R$11*LAFs!I$266*(1-Contrib!R$121)*100/(24*Input!$F$14)</f>
        <v>0</v>
      </c>
      <c r="S133" s="17">
        <f>Multi!J643*S$11*LAFs!J$266*(1-Contrib!S$121)*100/(24*Input!$F$14)</f>
        <v>0</v>
      </c>
      <c r="T133" s="17">
        <f t="shared" si="2"/>
        <v>-6.2165407854378171E-2</v>
      </c>
      <c r="U133" s="6"/>
    </row>
    <row r="134" spans="1:21" x14ac:dyDescent="0.2">
      <c r="A134" s="5" t="s">
        <v>78</v>
      </c>
      <c r="B134" s="17">
        <f>Multi!B644*B$11*LAFs!B$268*(1-Contrib!B$123)*100/(24*Input!$F$14)</f>
        <v>0</v>
      </c>
      <c r="C134" s="17">
        <f>Multi!C644*C$11*LAFs!C$268*(1-Contrib!C$123)*100/(24*Input!$F$14)</f>
        <v>-9.3340021868306162E-3</v>
      </c>
      <c r="D134" s="17">
        <f>Multi!D644*D$11*LAFs!D$268*(1-Contrib!D$123)*100/(24*Input!$F$14)</f>
        <v>-8.6095417965101825E-3</v>
      </c>
      <c r="E134" s="17">
        <f>Multi!E644*E$11*LAFs!E$268*(1-Contrib!E$123)*100/(24*Input!$F$14)</f>
        <v>-6.0740686724456896E-3</v>
      </c>
      <c r="F134" s="17">
        <f>Multi!F644*F$11*LAFs!F$268*(1-Contrib!F$123)*100/(24*Input!$F$14)</f>
        <v>0</v>
      </c>
      <c r="G134" s="17">
        <f>Multi!G644*G$11*LAFs!G$268*(1-Contrib!G$123)*100/(24*Input!$F$14)</f>
        <v>0</v>
      </c>
      <c r="H134" s="17">
        <f>Multi!H644*H$11*LAFs!H$268*(1-Contrib!H$123)*100/(24*Input!$F$14)</f>
        <v>0</v>
      </c>
      <c r="I134" s="17">
        <f>Multi!I644*I$11*LAFs!I$268*(1-Contrib!I$123)*100/(24*Input!$F$14)</f>
        <v>0</v>
      </c>
      <c r="J134" s="17">
        <f>Multi!J644*J$11*LAFs!J$268*(1-Contrib!J$123)*100/(24*Input!$F$14)</f>
        <v>0</v>
      </c>
      <c r="K134" s="17">
        <f>Multi!B644*K$11*LAFs!B$268*(1-Contrib!K$123)*100/(24*Input!$F$14)</f>
        <v>-5.4940760626909502E-3</v>
      </c>
      <c r="L134" s="17">
        <f>Multi!C644*L$11*LAFs!C$268*(1-Contrib!L$123)*100/(24*Input!$F$14)</f>
        <v>-3.0815997538951238E-3</v>
      </c>
      <c r="M134" s="17">
        <f>Multi!D644*M$11*LAFs!D$268*(1-Contrib!M$123)*100/(24*Input!$F$14)</f>
        <v>-2.8424207912344929E-3</v>
      </c>
      <c r="N134" s="17">
        <f>Multi!E644*N$11*LAFs!E$268*(1-Contrib!N$123)*100/(24*Input!$F$14)</f>
        <v>-4.6635815400590166E-3</v>
      </c>
      <c r="O134" s="17">
        <f>Multi!F644*O$11*LAFs!F$268*(1-Contrib!O$123)*100/(24*Input!$F$14)</f>
        <v>0</v>
      </c>
      <c r="P134" s="17">
        <f>Multi!G644*P$11*LAFs!G$268*(1-Contrib!P$123)*100/(24*Input!$F$14)</f>
        <v>0</v>
      </c>
      <c r="Q134" s="17">
        <f>Multi!H644*Q$11*LAFs!H$268*(1-Contrib!Q$123)*100/(24*Input!$F$14)</f>
        <v>0</v>
      </c>
      <c r="R134" s="17">
        <f>Multi!I644*R$11*LAFs!I$268*(1-Contrib!R$123)*100/(24*Input!$F$14)</f>
        <v>0</v>
      </c>
      <c r="S134" s="17">
        <f>Multi!J644*S$11*LAFs!J$268*(1-Contrib!S$123)*100/(24*Input!$F$14)</f>
        <v>0</v>
      </c>
      <c r="T134" s="17">
        <f t="shared" si="2"/>
        <v>-4.0099290803666074E-2</v>
      </c>
      <c r="U134" s="6"/>
    </row>
    <row r="135" spans="1:21" x14ac:dyDescent="0.2">
      <c r="A135" s="5" t="s">
        <v>100</v>
      </c>
      <c r="B135" s="17">
        <f>Multi!B645*B$11*LAFs!B$258*(1-Contrib!B$113)*100/(24*Input!$F$14)</f>
        <v>0</v>
      </c>
      <c r="C135" s="17">
        <f>Multi!C645*C$11*LAFs!C$258*(1-Contrib!C$113)*100/(24*Input!$F$14)</f>
        <v>9.3741910503643694E-3</v>
      </c>
      <c r="D135" s="17">
        <f>Multi!D645*D$11*LAFs!D$258*(1-Contrib!D$113)*100/(24*Input!$F$14)</f>
        <v>8.6466113936050134E-3</v>
      </c>
      <c r="E135" s="17">
        <f>Multi!E645*E$11*LAFs!E$258*(1-Contrib!E$113)*100/(24*Input!$F$14)</f>
        <v>1.418656147029065E-2</v>
      </c>
      <c r="F135" s="17">
        <f>Multi!F645*F$11*LAFs!F$258*(1-Contrib!F$113)*100/(24*Input!$F$14)</f>
        <v>1.7567257158754086E-2</v>
      </c>
      <c r="G135" s="17">
        <f>Multi!G645*G$11*LAFs!G$258*(1-Contrib!G$113)*100/(24*Input!$F$14)</f>
        <v>0</v>
      </c>
      <c r="H135" s="17">
        <f>Multi!H645*H$11*LAFs!H$258*(1-Contrib!H$113)*100/(24*Input!$F$14)</f>
        <v>1.7864738003783659E-2</v>
      </c>
      <c r="I135" s="17">
        <f>Multi!I645*I$11*LAFs!I$258*(1-Contrib!I$113)*100/(24*Input!$F$14)</f>
        <v>1.5441432372928257E-2</v>
      </c>
      <c r="J135" s="17">
        <f>Multi!J645*J$11*LAFs!J$258*(1-Contrib!J$113)*100/(24*Input!$F$14)</f>
        <v>3.9345777821340626E-4</v>
      </c>
      <c r="K135" s="17">
        <f>Multi!B645*K$11*LAFs!B$258*(1-Contrib!K$113)*100/(24*Input!$F$14)</f>
        <v>5.5177315824463521E-3</v>
      </c>
      <c r="L135" s="17">
        <f>Multi!C645*L$11*LAFs!C$258*(1-Contrib!L$113)*100/(24*Input!$F$14)</f>
        <v>3.0948680164791706E-3</v>
      </c>
      <c r="M135" s="17">
        <f>Multi!D645*M$11*LAFs!D$258*(1-Contrib!M$113)*100/(24*Input!$F$14)</f>
        <v>2.8546592350443298E-3</v>
      </c>
      <c r="N135" s="17">
        <f>Multi!E645*N$11*LAFs!E$258*(1-Contrib!N$113)*100/(24*Input!$F$14)</f>
        <v>4.6836612484563852E-3</v>
      </c>
      <c r="O135" s="17">
        <f>Multi!F645*O$11*LAFs!F$258*(1-Contrib!O$113)*100/(24*Input!$F$14)</f>
        <v>5.7997902993218295E-3</v>
      </c>
      <c r="P135" s="17">
        <f>Multi!G645*P$11*LAFs!G$258*(1-Contrib!P$113)*100/(24*Input!$F$14)</f>
        <v>0</v>
      </c>
      <c r="Q135" s="17">
        <f>Multi!H645*Q$11*LAFs!H$258*(1-Contrib!Q$113)*100/(24*Input!$F$14)</f>
        <v>8.425718469792039E-3</v>
      </c>
      <c r="R135" s="17">
        <f>Multi!I645*R$11*LAFs!I$258*(1-Contrib!R$113)*100/(24*Input!$F$14)</f>
        <v>7.282791492216157E-3</v>
      </c>
      <c r="S135" s="17">
        <f>Multi!J645*S$11*LAFs!J$258*(1-Contrib!S$113)*100/(24*Input!$F$14)</f>
        <v>4.3299732463503021E-3</v>
      </c>
      <c r="T135" s="17">
        <f t="shared" si="2"/>
        <v>0.125463442818046</v>
      </c>
      <c r="U135" s="6"/>
    </row>
  </sheetData>
  <sheetProtection sheet="1" objects="1"/>
  <hyperlinks>
    <hyperlink ref="A6" location="'DRM'!B130" display="'DRM'!B130"/>
    <hyperlink ref="A7" location="'Otex'!B108" display="'Otex'!B108"/>
    <hyperlink ref="A15" location="'Yard'!B11" display="'Yard'!B11"/>
    <hyperlink ref="A16" location="'Loads'!B45" display="'Loads'!B45"/>
    <hyperlink ref="A17" location="'LAFs'!B241" display="'LAFs'!B241"/>
    <hyperlink ref="A18" location="'Contrib'!B96" display="'Contrib'!B96"/>
    <hyperlink ref="A19" location="'Input'!F14" display="'Input'!F14"/>
    <hyperlink ref="A54" location="'Multi'!B587" display="'Multi'!B587"/>
    <hyperlink ref="A55" location="'Yard'!B11" display="'Yard'!B11"/>
    <hyperlink ref="A56" location="'LAFs'!B241" display="'LAFs'!B241"/>
    <hyperlink ref="A57" location="'Contrib'!B96" display="'Contrib'!B96"/>
    <hyperlink ref="A58" location="'Input'!F14" display="'Input'!F14"/>
    <hyperlink ref="A59" location="'Yard'!B65" display="'Yard'!B65"/>
    <hyperlink ref="A88" location="'Multi'!B615" display="'Multi'!B615"/>
    <hyperlink ref="A89" location="'Yard'!B11" display="'Yard'!B11"/>
    <hyperlink ref="A90" location="'LAFs'!B241" display="'LAFs'!B241"/>
    <hyperlink ref="A91" location="'Contrib'!B96" display="'Contrib'!B96"/>
    <hyperlink ref="A92" location="'Input'!F14" display="'Input'!F14"/>
    <hyperlink ref="A93" location="'Yard'!B99" display="'Yard'!B99"/>
    <hyperlink ref="A116" location="'Multi'!B637" display="'Multi'!B637"/>
    <hyperlink ref="A117" location="'Yard'!B11" display="'Yard'!B11"/>
    <hyperlink ref="A118" location="'LAFs'!B241" display="'LAFs'!B241"/>
    <hyperlink ref="A119" location="'Contrib'!B96" display="'Contrib'!B96"/>
    <hyperlink ref="A120" location="'Input'!F14" display="'Input'!F14"/>
    <hyperlink ref="A121" location="'Yard'!B127" display="'Yard'!B127"/>
  </hyperlinks>
  <pageMargins left="0.75" right="0.75" top="1" bottom="1" header="0.5" footer="0.5"/>
  <pageSetup paperSize="9" scale="34" fitToHeight="0" orientation="landscape" blackAndWhite="1" r:id="rId1"/>
  <headerFooter alignWithMargins="0">
    <oddHeader>&amp;L&amp;A&amp;Cr6140&amp;R&amp;P of &amp;N</oddHeader>
    <oddFooter>&amp;F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35"/>
  <sheetViews>
    <sheetView showGridLines="0" workbookViewId="0">
      <pane xSplit="1" ySplit="1" topLeftCell="B2" activePane="bottomRight" state="frozen"/>
      <selection pane="topRight"/>
      <selection pane="bottomLeft"/>
      <selection pane="bottomRight"/>
    </sheetView>
  </sheetViews>
  <sheetFormatPr defaultRowHeight="12.75" x14ac:dyDescent="0.2"/>
  <cols>
    <col min="1" max="1" width="50.7109375" customWidth="1"/>
    <col min="2" max="251" width="16.7109375" customWidth="1"/>
  </cols>
  <sheetData>
    <row r="1" spans="1:20" ht="19.5" x14ac:dyDescent="0.3">
      <c r="A1" s="15" t="str">
        <f>"r6140: Allocation to standing charges"&amp;" for "&amp;Input!B7&amp;" in "&amp;Input!C7&amp;" ("&amp;Input!D7&amp;")"</f>
        <v>r6140: Allocation to standing charges for Electricity North West  in 2013/14 (April 2013 Indicative)</v>
      </c>
    </row>
    <row r="2" spans="1:20" x14ac:dyDescent="0.2">
      <c r="A2" s="10" t="s">
        <v>815</v>
      </c>
    </row>
    <row r="4" spans="1:20" ht="16.5" x14ac:dyDescent="0.25">
      <c r="A4" s="3" t="s">
        <v>816</v>
      </c>
    </row>
    <row r="5" spans="1:20" x14ac:dyDescent="0.2">
      <c r="A5" s="10" t="s">
        <v>238</v>
      </c>
    </row>
    <row r="6" spans="1:20" x14ac:dyDescent="0.2">
      <c r="A6" s="11" t="s">
        <v>795</v>
      </c>
    </row>
    <row r="7" spans="1:20" x14ac:dyDescent="0.2">
      <c r="A7" s="11" t="s">
        <v>817</v>
      </c>
    </row>
    <row r="8" spans="1:20" x14ac:dyDescent="0.2">
      <c r="A8" s="10" t="s">
        <v>818</v>
      </c>
    </row>
    <row r="10" spans="1:20" ht="25.5" x14ac:dyDescent="0.2">
      <c r="B10" s="4" t="s">
        <v>21</v>
      </c>
      <c r="C10" s="4" t="s">
        <v>191</v>
      </c>
      <c r="D10" s="4" t="s">
        <v>192</v>
      </c>
      <c r="E10" s="4" t="s">
        <v>193</v>
      </c>
      <c r="F10" s="4" t="s">
        <v>194</v>
      </c>
      <c r="G10" s="4" t="s">
        <v>195</v>
      </c>
      <c r="H10" s="4" t="s">
        <v>196</v>
      </c>
      <c r="I10" s="4" t="s">
        <v>197</v>
      </c>
      <c r="J10" s="4" t="s">
        <v>198</v>
      </c>
      <c r="K10" s="4" t="s">
        <v>179</v>
      </c>
      <c r="L10" s="4" t="s">
        <v>699</v>
      </c>
      <c r="M10" s="4" t="s">
        <v>700</v>
      </c>
      <c r="N10" s="4" t="s">
        <v>701</v>
      </c>
      <c r="O10" s="4" t="s">
        <v>702</v>
      </c>
      <c r="P10" s="4" t="s">
        <v>703</v>
      </c>
      <c r="Q10" s="4" t="s">
        <v>704</v>
      </c>
      <c r="R10" s="4" t="s">
        <v>705</v>
      </c>
      <c r="S10" s="4" t="s">
        <v>706</v>
      </c>
    </row>
    <row r="11" spans="1:20" ht="25.5" x14ac:dyDescent="0.2">
      <c r="A11" s="5" t="s">
        <v>819</v>
      </c>
      <c r="B11" s="17">
        <f>Yard!B11/(1+AMD!B213)</f>
        <v>0</v>
      </c>
      <c r="C11" s="17">
        <f>Yard!C11/(1+AMD!C213)</f>
        <v>5.184167631222433</v>
      </c>
      <c r="D11" s="17">
        <f>Yard!D11/(1+AMD!D213)</f>
        <v>4.8054697195397429</v>
      </c>
      <c r="E11" s="17">
        <f>Yard!E11/(1+AMD!E213)</f>
        <v>6.7907285914369142</v>
      </c>
      <c r="F11" s="17">
        <f>Yard!F11/(1+AMD!F213)</f>
        <v>8.45839357352612</v>
      </c>
      <c r="G11" s="17">
        <f>Yard!G11/(1+AMD!G213)</f>
        <v>0</v>
      </c>
      <c r="H11" s="17">
        <f>Yard!H11/(1+AMD!H213)</f>
        <v>9.3182853670004349</v>
      </c>
      <c r="I11" s="17">
        <f>Yard!I11/(1+AMD!I213)</f>
        <v>8.1550594414292341</v>
      </c>
      <c r="J11" s="17">
        <f>Yard!J11/(1+AMD!J213)</f>
        <v>5.5968472333250885</v>
      </c>
      <c r="K11" s="17">
        <f>Yard!K11/(1+AMD!B213)</f>
        <v>3.6953380459876417</v>
      </c>
      <c r="L11" s="17">
        <f>Yard!L11/(1+AMD!C213)</f>
        <v>1.7115412420907785</v>
      </c>
      <c r="M11" s="17">
        <f>Yard!M11/(1+AMD!D213)</f>
        <v>1.5865149813203996</v>
      </c>
      <c r="N11" s="17">
        <f>Yard!N11/(1+AMD!E213)</f>
        <v>2.2419437168833745</v>
      </c>
      <c r="O11" s="17">
        <f>Yard!O11/(1+AMD!F213)</f>
        <v>2.7925195465779895</v>
      </c>
      <c r="P11" s="17">
        <f>Yard!P11/(1+AMD!G213)</f>
        <v>0</v>
      </c>
      <c r="Q11" s="17">
        <f>Yard!Q11/(1+AMD!H213)</f>
        <v>3.0764108813031474</v>
      </c>
      <c r="R11" s="17">
        <f>Yard!R11/(1+AMD!I213)</f>
        <v>2.6923744675317671</v>
      </c>
      <c r="S11" s="17">
        <f>Yard!S11/(1+AMD!J213)</f>
        <v>1.8477864812521048</v>
      </c>
      <c r="T11" s="6"/>
    </row>
    <row r="13" spans="1:20" ht="16.5" x14ac:dyDescent="0.25">
      <c r="A13" s="3" t="s">
        <v>820</v>
      </c>
    </row>
    <row r="14" spans="1:20" x14ac:dyDescent="0.2">
      <c r="A14" s="10" t="s">
        <v>821</v>
      </c>
    </row>
    <row r="15" spans="1:20" x14ac:dyDescent="0.2">
      <c r="A15" s="10" t="s">
        <v>238</v>
      </c>
    </row>
    <row r="16" spans="1:20" x14ac:dyDescent="0.2">
      <c r="A16" s="11" t="s">
        <v>822</v>
      </c>
    </row>
    <row r="17" spans="1:20" x14ac:dyDescent="0.2">
      <c r="A17" s="11" t="s">
        <v>823</v>
      </c>
    </row>
    <row r="18" spans="1:20" x14ac:dyDescent="0.2">
      <c r="A18" s="11" t="s">
        <v>824</v>
      </c>
    </row>
    <row r="19" spans="1:20" x14ac:dyDescent="0.2">
      <c r="A19" s="11" t="s">
        <v>825</v>
      </c>
    </row>
    <row r="20" spans="1:20" x14ac:dyDescent="0.2">
      <c r="A20" s="11" t="s">
        <v>552</v>
      </c>
    </row>
    <row r="21" spans="1:20" x14ac:dyDescent="0.2">
      <c r="A21" s="11" t="s">
        <v>826</v>
      </c>
    </row>
    <row r="22" spans="1:20" x14ac:dyDescent="0.2">
      <c r="A22" s="10" t="s">
        <v>827</v>
      </c>
    </row>
    <row r="24" spans="1:20" ht="25.5" x14ac:dyDescent="0.2">
      <c r="B24" s="4" t="s">
        <v>21</v>
      </c>
      <c r="C24" s="4" t="s">
        <v>191</v>
      </c>
      <c r="D24" s="4" t="s">
        <v>192</v>
      </c>
      <c r="E24" s="4" t="s">
        <v>193</v>
      </c>
      <c r="F24" s="4" t="s">
        <v>194</v>
      </c>
      <c r="G24" s="4" t="s">
        <v>195</v>
      </c>
      <c r="H24" s="4" t="s">
        <v>196</v>
      </c>
      <c r="I24" s="4" t="s">
        <v>197</v>
      </c>
      <c r="J24" s="4" t="s">
        <v>198</v>
      </c>
      <c r="K24" s="4" t="s">
        <v>179</v>
      </c>
      <c r="L24" s="4" t="s">
        <v>699</v>
      </c>
      <c r="M24" s="4" t="s">
        <v>700</v>
      </c>
      <c r="N24" s="4" t="s">
        <v>701</v>
      </c>
      <c r="O24" s="4" t="s">
        <v>702</v>
      </c>
      <c r="P24" s="4" t="s">
        <v>703</v>
      </c>
      <c r="Q24" s="4" t="s">
        <v>704</v>
      </c>
      <c r="R24" s="4" t="s">
        <v>705</v>
      </c>
      <c r="S24" s="4" t="s">
        <v>706</v>
      </c>
    </row>
    <row r="25" spans="1:20" x14ac:dyDescent="0.2">
      <c r="A25" s="5" t="s">
        <v>53</v>
      </c>
      <c r="B25" s="17">
        <f>100*AMD!B40*LAFs!B$241*B$11*Input!$E$14/Input!$F$14*(1-Contrib!B$96)</f>
        <v>0</v>
      </c>
      <c r="C25" s="17">
        <f>100*AMD!C40*LAFs!C$241*C$11*Input!$E$14/Input!$F$14*(1-Contrib!C$96)</f>
        <v>0</v>
      </c>
      <c r="D25" s="17">
        <f>100*AMD!D40*LAFs!D$241*D$11*Input!$E$14/Input!$F$14*(1-Contrib!D$96)</f>
        <v>0</v>
      </c>
      <c r="E25" s="17">
        <f>100*AMD!E40*LAFs!E$241*E$11*Input!$E$14/Input!$F$14*(1-Contrib!E$96)</f>
        <v>0</v>
      </c>
      <c r="F25" s="17">
        <f>100*AMD!F40*LAFs!F$241*F$11*Input!$E$14/Input!$F$14*(1-Contrib!F$96)</f>
        <v>0</v>
      </c>
      <c r="G25" s="17">
        <f>100*AMD!G40*LAFs!G$241*G$11*Input!$E$14/Input!$F$14*(1-Contrib!G$96)</f>
        <v>0</v>
      </c>
      <c r="H25" s="17">
        <f>100*AMD!H40*LAFs!H$241*H$11*Input!$E$14/Input!$F$14*(1-Contrib!H$96)</f>
        <v>0</v>
      </c>
      <c r="I25" s="17">
        <f>100*AMD!I40*LAFs!I$241*I$11*Input!$E$14/Input!$F$14*(1-Contrib!I$96)</f>
        <v>0</v>
      </c>
      <c r="J25" s="17">
        <f>100*AMD!J40*LAFs!J$241*J$11*Input!$E$14/Input!$F$14*(1-Contrib!J$96)</f>
        <v>4.3701409904045252E-2</v>
      </c>
      <c r="K25" s="17">
        <f>100*AMD!B40*LAFs!B$241*K$11*Input!$E$14/Input!$F$14*(1-Contrib!K$96)</f>
        <v>0</v>
      </c>
      <c r="L25" s="17">
        <f>100*AMD!C40*LAFs!C$241*L$11*Input!$E$14/Input!$F$14*(1-Contrib!L$96)</f>
        <v>0</v>
      </c>
      <c r="M25" s="17">
        <f>100*AMD!D40*LAFs!D$241*M$11*Input!$E$14/Input!$F$14*(1-Contrib!M$96)</f>
        <v>0</v>
      </c>
      <c r="N25" s="17">
        <f>100*AMD!E40*LAFs!E$241*N$11*Input!$E$14/Input!$F$14*(1-Contrib!N$96)</f>
        <v>0</v>
      </c>
      <c r="O25" s="17">
        <f>100*AMD!F40*LAFs!F$241*O$11*Input!$E$14/Input!$F$14*(1-Contrib!O$96)</f>
        <v>0</v>
      </c>
      <c r="P25" s="17">
        <f>100*AMD!G40*LAFs!G$241*P$11*Input!$E$14/Input!$F$14*(1-Contrib!P$96)</f>
        <v>0</v>
      </c>
      <c r="Q25" s="17">
        <f>100*AMD!H40*LAFs!H$241*Q$11*Input!$E$14/Input!$F$14*(1-Contrib!Q$96)</f>
        <v>0</v>
      </c>
      <c r="R25" s="17">
        <f>100*AMD!I40*LAFs!I$241*R$11*Input!$E$14/Input!$F$14*(1-Contrib!R$96)</f>
        <v>0</v>
      </c>
      <c r="S25" s="17">
        <f>100*AMD!J40*LAFs!J$241*S$11*Input!$E$14/Input!$F$14*(1-Contrib!S$96)</f>
        <v>0.48093072799712311</v>
      </c>
      <c r="T25" s="6"/>
    </row>
    <row r="26" spans="1:20" x14ac:dyDescent="0.2">
      <c r="A26" s="5" t="s">
        <v>54</v>
      </c>
      <c r="B26" s="17">
        <f>100*AMD!B41*LAFs!B$242*B$11*Input!$E$14/Input!$F$14*(1-Contrib!B$97)</f>
        <v>0</v>
      </c>
      <c r="C26" s="17">
        <f>100*AMD!C41*LAFs!C$242*C$11*Input!$E$14/Input!$F$14*(1-Contrib!C$97)</f>
        <v>0</v>
      </c>
      <c r="D26" s="17">
        <f>100*AMD!D41*LAFs!D$242*D$11*Input!$E$14/Input!$F$14*(1-Contrib!D$97)</f>
        <v>0</v>
      </c>
      <c r="E26" s="17">
        <f>100*AMD!E41*LAFs!E$242*E$11*Input!$E$14/Input!$F$14*(1-Contrib!E$97)</f>
        <v>0</v>
      </c>
      <c r="F26" s="17">
        <f>100*AMD!F41*LAFs!F$242*F$11*Input!$E$14/Input!$F$14*(1-Contrib!F$97)</f>
        <v>0</v>
      </c>
      <c r="G26" s="17">
        <f>100*AMD!G41*LAFs!G$242*G$11*Input!$E$14/Input!$F$14*(1-Contrib!G$97)</f>
        <v>0</v>
      </c>
      <c r="H26" s="17">
        <f>100*AMD!H41*LAFs!H$242*H$11*Input!$E$14/Input!$F$14*(1-Contrib!H$97)</f>
        <v>0</v>
      </c>
      <c r="I26" s="17">
        <f>100*AMD!I41*LAFs!I$242*I$11*Input!$E$14/Input!$F$14*(1-Contrib!I$97)</f>
        <v>0</v>
      </c>
      <c r="J26" s="17">
        <f>100*AMD!J41*LAFs!J$242*J$11*Input!$E$14/Input!$F$14*(1-Contrib!J$97)</f>
        <v>4.3701409904045252E-2</v>
      </c>
      <c r="K26" s="17">
        <f>100*AMD!B41*LAFs!B$242*K$11*Input!$E$14/Input!$F$14*(1-Contrib!K$97)</f>
        <v>0</v>
      </c>
      <c r="L26" s="17">
        <f>100*AMD!C41*LAFs!C$242*L$11*Input!$E$14/Input!$F$14*(1-Contrib!L$97)</f>
        <v>0</v>
      </c>
      <c r="M26" s="17">
        <f>100*AMD!D41*LAFs!D$242*M$11*Input!$E$14/Input!$F$14*(1-Contrib!M$97)</f>
        <v>0</v>
      </c>
      <c r="N26" s="17">
        <f>100*AMD!E41*LAFs!E$242*N$11*Input!$E$14/Input!$F$14*(1-Contrib!N$97)</f>
        <v>0</v>
      </c>
      <c r="O26" s="17">
        <f>100*AMD!F41*LAFs!F$242*O$11*Input!$E$14/Input!$F$14*(1-Contrib!O$97)</f>
        <v>0</v>
      </c>
      <c r="P26" s="17">
        <f>100*AMD!G41*LAFs!G$242*P$11*Input!$E$14/Input!$F$14*(1-Contrib!P$97)</f>
        <v>0</v>
      </c>
      <c r="Q26" s="17">
        <f>100*AMD!H41*LAFs!H$242*Q$11*Input!$E$14/Input!$F$14*(1-Contrib!Q$97)</f>
        <v>0</v>
      </c>
      <c r="R26" s="17">
        <f>100*AMD!I41*LAFs!I$242*R$11*Input!$E$14/Input!$F$14*(1-Contrib!R$97)</f>
        <v>0</v>
      </c>
      <c r="S26" s="17">
        <f>100*AMD!J41*LAFs!J$242*S$11*Input!$E$14/Input!$F$14*(1-Contrib!S$97)</f>
        <v>0.48093072799712311</v>
      </c>
      <c r="T26" s="6"/>
    </row>
    <row r="27" spans="1:20" x14ac:dyDescent="0.2">
      <c r="A27" s="5" t="s">
        <v>94</v>
      </c>
      <c r="B27" s="17">
        <f>100*AMD!B42*LAFs!B$243*B$11*Input!$E$14/Input!$F$14*(1-Contrib!B$98)</f>
        <v>0</v>
      </c>
      <c r="C27" s="17">
        <f>100*AMD!C42*LAFs!C$243*C$11*Input!$E$14/Input!$F$14*(1-Contrib!C$98)</f>
        <v>0</v>
      </c>
      <c r="D27" s="17">
        <f>100*AMD!D42*LAFs!D$243*D$11*Input!$E$14/Input!$F$14*(1-Contrib!D$98)</f>
        <v>0</v>
      </c>
      <c r="E27" s="17">
        <f>100*AMD!E42*LAFs!E$243*E$11*Input!$E$14/Input!$F$14*(1-Contrib!E$98)</f>
        <v>0</v>
      </c>
      <c r="F27" s="17">
        <f>100*AMD!F42*LAFs!F$243*F$11*Input!$E$14/Input!$F$14*(1-Contrib!F$98)</f>
        <v>0</v>
      </c>
      <c r="G27" s="17">
        <f>100*AMD!G42*LAFs!G$243*G$11*Input!$E$14/Input!$F$14*(1-Contrib!G$98)</f>
        <v>0</v>
      </c>
      <c r="H27" s="17">
        <f>100*AMD!H42*LAFs!H$243*H$11*Input!$E$14/Input!$F$14*(1-Contrib!H$98)</f>
        <v>0</v>
      </c>
      <c r="I27" s="17">
        <f>100*AMD!I42*LAFs!I$243*I$11*Input!$E$14/Input!$F$14*(1-Contrib!I$98)</f>
        <v>0</v>
      </c>
      <c r="J27" s="17">
        <f>100*AMD!J42*LAFs!J$243*J$11*Input!$E$14/Input!$F$14*(1-Contrib!J$98)</f>
        <v>4.3701409904045252E-2</v>
      </c>
      <c r="K27" s="17">
        <f>100*AMD!B42*LAFs!B$243*K$11*Input!$E$14/Input!$F$14*(1-Contrib!K$98)</f>
        <v>0</v>
      </c>
      <c r="L27" s="17">
        <f>100*AMD!C42*LAFs!C$243*L$11*Input!$E$14/Input!$F$14*(1-Contrib!L$98)</f>
        <v>0</v>
      </c>
      <c r="M27" s="17">
        <f>100*AMD!D42*LAFs!D$243*M$11*Input!$E$14/Input!$F$14*(1-Contrib!M$98)</f>
        <v>0</v>
      </c>
      <c r="N27" s="17">
        <f>100*AMD!E42*LAFs!E$243*N$11*Input!$E$14/Input!$F$14*(1-Contrib!N$98)</f>
        <v>0</v>
      </c>
      <c r="O27" s="17">
        <f>100*AMD!F42*LAFs!F$243*O$11*Input!$E$14/Input!$F$14*(1-Contrib!O$98)</f>
        <v>0</v>
      </c>
      <c r="P27" s="17">
        <f>100*AMD!G42*LAFs!G$243*P$11*Input!$E$14/Input!$F$14*(1-Contrib!P$98)</f>
        <v>0</v>
      </c>
      <c r="Q27" s="17">
        <f>100*AMD!H42*LAFs!H$243*Q$11*Input!$E$14/Input!$F$14*(1-Contrib!Q$98)</f>
        <v>0</v>
      </c>
      <c r="R27" s="17">
        <f>100*AMD!I42*LAFs!I$243*R$11*Input!$E$14/Input!$F$14*(1-Contrib!R$98)</f>
        <v>0</v>
      </c>
      <c r="S27" s="17">
        <f>100*AMD!J42*LAFs!J$243*S$11*Input!$E$14/Input!$F$14*(1-Contrib!S$98)</f>
        <v>0.48093072799712311</v>
      </c>
      <c r="T27" s="6"/>
    </row>
    <row r="28" spans="1:20" x14ac:dyDescent="0.2">
      <c r="A28" s="5" t="s">
        <v>55</v>
      </c>
      <c r="B28" s="17">
        <f>100*AMD!B43*LAFs!B$244*B$11*Input!$E$14/Input!$F$14*(1-Contrib!B$99)</f>
        <v>0</v>
      </c>
      <c r="C28" s="17">
        <f>100*AMD!C43*LAFs!C$244*C$11*Input!$E$14/Input!$F$14*(1-Contrib!C$99)</f>
        <v>0</v>
      </c>
      <c r="D28" s="17">
        <f>100*AMD!D43*LAFs!D$244*D$11*Input!$E$14/Input!$F$14*(1-Contrib!D$99)</f>
        <v>0</v>
      </c>
      <c r="E28" s="17">
        <f>100*AMD!E43*LAFs!E$244*E$11*Input!$E$14/Input!$F$14*(1-Contrib!E$99)</f>
        <v>0</v>
      </c>
      <c r="F28" s="17">
        <f>100*AMD!F43*LAFs!F$244*F$11*Input!$E$14/Input!$F$14*(1-Contrib!F$99)</f>
        <v>0</v>
      </c>
      <c r="G28" s="17">
        <f>100*AMD!G43*LAFs!G$244*G$11*Input!$E$14/Input!$F$14*(1-Contrib!G$99)</f>
        <v>0</v>
      </c>
      <c r="H28" s="17">
        <f>100*AMD!H43*LAFs!H$244*H$11*Input!$E$14/Input!$F$14*(1-Contrib!H$99)</f>
        <v>0</v>
      </c>
      <c r="I28" s="17">
        <f>100*AMD!I43*LAFs!I$244*I$11*Input!$E$14/Input!$F$14*(1-Contrib!I$99)</f>
        <v>0</v>
      </c>
      <c r="J28" s="17">
        <f>100*AMD!J43*LAFs!J$244*J$11*Input!$E$14/Input!$F$14*(1-Contrib!J$99)</f>
        <v>4.3701409904045252E-2</v>
      </c>
      <c r="K28" s="17">
        <f>100*AMD!B43*LAFs!B$244*K$11*Input!$E$14/Input!$F$14*(1-Contrib!K$99)</f>
        <v>0</v>
      </c>
      <c r="L28" s="17">
        <f>100*AMD!C43*LAFs!C$244*L$11*Input!$E$14/Input!$F$14*(1-Contrib!L$99)</f>
        <v>0</v>
      </c>
      <c r="M28" s="17">
        <f>100*AMD!D43*LAFs!D$244*M$11*Input!$E$14/Input!$F$14*(1-Contrib!M$99)</f>
        <v>0</v>
      </c>
      <c r="N28" s="17">
        <f>100*AMD!E43*LAFs!E$244*N$11*Input!$E$14/Input!$F$14*(1-Contrib!N$99)</f>
        <v>0</v>
      </c>
      <c r="O28" s="17">
        <f>100*AMD!F43*LAFs!F$244*O$11*Input!$E$14/Input!$F$14*(1-Contrib!O$99)</f>
        <v>0</v>
      </c>
      <c r="P28" s="17">
        <f>100*AMD!G43*LAFs!G$244*P$11*Input!$E$14/Input!$F$14*(1-Contrib!P$99)</f>
        <v>0</v>
      </c>
      <c r="Q28" s="17">
        <f>100*AMD!H43*LAFs!H$244*Q$11*Input!$E$14/Input!$F$14*(1-Contrib!Q$99)</f>
        <v>0</v>
      </c>
      <c r="R28" s="17">
        <f>100*AMD!I43*LAFs!I$244*R$11*Input!$E$14/Input!$F$14*(1-Contrib!R$99)</f>
        <v>0</v>
      </c>
      <c r="S28" s="17">
        <f>100*AMD!J43*LAFs!J$244*S$11*Input!$E$14/Input!$F$14*(1-Contrib!S$99)</f>
        <v>0.48093072799712311</v>
      </c>
      <c r="T28" s="6"/>
    </row>
    <row r="29" spans="1:20" x14ac:dyDescent="0.2">
      <c r="A29" s="5" t="s">
        <v>56</v>
      </c>
      <c r="B29" s="17">
        <f>100*AMD!B44*LAFs!B$245*B$11*Input!$E$14/Input!$F$14*(1-Contrib!B$100)</f>
        <v>0</v>
      </c>
      <c r="C29" s="17">
        <f>100*AMD!C44*LAFs!C$245*C$11*Input!$E$14/Input!$F$14*(1-Contrib!C$100)</f>
        <v>0</v>
      </c>
      <c r="D29" s="17">
        <f>100*AMD!D44*LAFs!D$245*D$11*Input!$E$14/Input!$F$14*(1-Contrib!D$100)</f>
        <v>0</v>
      </c>
      <c r="E29" s="17">
        <f>100*AMD!E44*LAFs!E$245*E$11*Input!$E$14/Input!$F$14*(1-Contrib!E$100)</f>
        <v>0</v>
      </c>
      <c r="F29" s="17">
        <f>100*AMD!F44*LAFs!F$245*F$11*Input!$E$14/Input!$F$14*(1-Contrib!F$100)</f>
        <v>0</v>
      </c>
      <c r="G29" s="17">
        <f>100*AMD!G44*LAFs!G$245*G$11*Input!$E$14/Input!$F$14*(1-Contrib!G$100)</f>
        <v>0</v>
      </c>
      <c r="H29" s="17">
        <f>100*AMD!H44*LAFs!H$245*H$11*Input!$E$14/Input!$F$14*(1-Contrib!H$100)</f>
        <v>0</v>
      </c>
      <c r="I29" s="17">
        <f>100*AMD!I44*LAFs!I$245*I$11*Input!$E$14/Input!$F$14*(1-Contrib!I$100)</f>
        <v>0</v>
      </c>
      <c r="J29" s="17">
        <f>100*AMD!J44*LAFs!J$245*J$11*Input!$E$14/Input!$F$14*(1-Contrib!J$100)</f>
        <v>4.3701409904045252E-2</v>
      </c>
      <c r="K29" s="17">
        <f>100*AMD!B44*LAFs!B$245*K$11*Input!$E$14/Input!$F$14*(1-Contrib!K$100)</f>
        <v>0</v>
      </c>
      <c r="L29" s="17">
        <f>100*AMD!C44*LAFs!C$245*L$11*Input!$E$14/Input!$F$14*(1-Contrib!L$100)</f>
        <v>0</v>
      </c>
      <c r="M29" s="17">
        <f>100*AMD!D44*LAFs!D$245*M$11*Input!$E$14/Input!$F$14*(1-Contrib!M$100)</f>
        <v>0</v>
      </c>
      <c r="N29" s="17">
        <f>100*AMD!E44*LAFs!E$245*N$11*Input!$E$14/Input!$F$14*(1-Contrib!N$100)</f>
        <v>0</v>
      </c>
      <c r="O29" s="17">
        <f>100*AMD!F44*LAFs!F$245*O$11*Input!$E$14/Input!$F$14*(1-Contrib!O$100)</f>
        <v>0</v>
      </c>
      <c r="P29" s="17">
        <f>100*AMD!G44*LAFs!G$245*P$11*Input!$E$14/Input!$F$14*(1-Contrib!P$100)</f>
        <v>0</v>
      </c>
      <c r="Q29" s="17">
        <f>100*AMD!H44*LAFs!H$245*Q$11*Input!$E$14/Input!$F$14*(1-Contrib!Q$100)</f>
        <v>0</v>
      </c>
      <c r="R29" s="17">
        <f>100*AMD!I44*LAFs!I$245*R$11*Input!$E$14/Input!$F$14*(1-Contrib!R$100)</f>
        <v>0</v>
      </c>
      <c r="S29" s="17">
        <f>100*AMD!J44*LAFs!J$245*S$11*Input!$E$14/Input!$F$14*(1-Contrib!S$100)</f>
        <v>0.48093072799712311</v>
      </c>
      <c r="T29" s="6"/>
    </row>
    <row r="30" spans="1:20" x14ac:dyDescent="0.2">
      <c r="A30" s="5" t="s">
        <v>95</v>
      </c>
      <c r="B30" s="17">
        <f>100*AMD!B45*LAFs!B$246*B$11*Input!$E$14/Input!$F$14*(1-Contrib!B$101)</f>
        <v>0</v>
      </c>
      <c r="C30" s="17">
        <f>100*AMD!C45*LAFs!C$246*C$11*Input!$E$14/Input!$F$14*(1-Contrib!C$101)</f>
        <v>0</v>
      </c>
      <c r="D30" s="17">
        <f>100*AMD!D45*LAFs!D$246*D$11*Input!$E$14/Input!$F$14*(1-Contrib!D$101)</f>
        <v>0</v>
      </c>
      <c r="E30" s="17">
        <f>100*AMD!E45*LAFs!E$246*E$11*Input!$E$14/Input!$F$14*(1-Contrib!E$101)</f>
        <v>0</v>
      </c>
      <c r="F30" s="17">
        <f>100*AMD!F45*LAFs!F$246*F$11*Input!$E$14/Input!$F$14*(1-Contrib!F$101)</f>
        <v>0</v>
      </c>
      <c r="G30" s="17">
        <f>100*AMD!G45*LAFs!G$246*G$11*Input!$E$14/Input!$F$14*(1-Contrib!G$101)</f>
        <v>0</v>
      </c>
      <c r="H30" s="17">
        <f>100*AMD!H45*LAFs!H$246*H$11*Input!$E$14/Input!$F$14*(1-Contrib!H$101)</f>
        <v>0</v>
      </c>
      <c r="I30" s="17">
        <f>100*AMD!I45*LAFs!I$246*I$11*Input!$E$14/Input!$F$14*(1-Contrib!I$101)</f>
        <v>0</v>
      </c>
      <c r="J30" s="17">
        <f>100*AMD!J45*LAFs!J$246*J$11*Input!$E$14/Input!$F$14*(1-Contrib!J$101)</f>
        <v>4.3701409904045252E-2</v>
      </c>
      <c r="K30" s="17">
        <f>100*AMD!B45*LAFs!B$246*K$11*Input!$E$14/Input!$F$14*(1-Contrib!K$101)</f>
        <v>0</v>
      </c>
      <c r="L30" s="17">
        <f>100*AMD!C45*LAFs!C$246*L$11*Input!$E$14/Input!$F$14*(1-Contrib!L$101)</f>
        <v>0</v>
      </c>
      <c r="M30" s="17">
        <f>100*AMD!D45*LAFs!D$246*M$11*Input!$E$14/Input!$F$14*(1-Contrib!M$101)</f>
        <v>0</v>
      </c>
      <c r="N30" s="17">
        <f>100*AMD!E45*LAFs!E$246*N$11*Input!$E$14/Input!$F$14*(1-Contrib!N$101)</f>
        <v>0</v>
      </c>
      <c r="O30" s="17">
        <f>100*AMD!F45*LAFs!F$246*O$11*Input!$E$14/Input!$F$14*(1-Contrib!O$101)</f>
        <v>0</v>
      </c>
      <c r="P30" s="17">
        <f>100*AMD!G45*LAFs!G$246*P$11*Input!$E$14/Input!$F$14*(1-Contrib!P$101)</f>
        <v>0</v>
      </c>
      <c r="Q30" s="17">
        <f>100*AMD!H45*LAFs!H$246*Q$11*Input!$E$14/Input!$F$14*(1-Contrib!Q$101)</f>
        <v>0</v>
      </c>
      <c r="R30" s="17">
        <f>100*AMD!I45*LAFs!I$246*R$11*Input!$E$14/Input!$F$14*(1-Contrib!R$101)</f>
        <v>0</v>
      </c>
      <c r="S30" s="17">
        <f>100*AMD!J45*LAFs!J$246*S$11*Input!$E$14/Input!$F$14*(1-Contrib!S$101)</f>
        <v>0.48093072799712311</v>
      </c>
      <c r="T30" s="6"/>
    </row>
    <row r="31" spans="1:20" x14ac:dyDescent="0.2">
      <c r="A31" s="5" t="s">
        <v>57</v>
      </c>
      <c r="B31" s="17">
        <f>100*AMD!B46*LAFs!B$247*B$11*Input!$E$14/Input!$F$14*(1-Contrib!B$102)</f>
        <v>0</v>
      </c>
      <c r="C31" s="17">
        <f>100*AMD!C46*LAFs!C$247*C$11*Input!$E$14/Input!$F$14*(1-Contrib!C$102)</f>
        <v>0</v>
      </c>
      <c r="D31" s="17">
        <f>100*AMD!D46*LAFs!D$247*D$11*Input!$E$14/Input!$F$14*(1-Contrib!D$102)</f>
        <v>0</v>
      </c>
      <c r="E31" s="17">
        <f>100*AMD!E46*LAFs!E$247*E$11*Input!$E$14/Input!$F$14*(1-Contrib!E$102)</f>
        <v>0</v>
      </c>
      <c r="F31" s="17">
        <f>100*AMD!F46*LAFs!F$247*F$11*Input!$E$14/Input!$F$14*(1-Contrib!F$102)</f>
        <v>0</v>
      </c>
      <c r="G31" s="17">
        <f>100*AMD!G46*LAFs!G$247*G$11*Input!$E$14/Input!$F$14*(1-Contrib!G$102)</f>
        <v>0</v>
      </c>
      <c r="H31" s="17">
        <f>100*AMD!H46*LAFs!H$247*H$11*Input!$E$14/Input!$F$14*(1-Contrib!H$102)</f>
        <v>0</v>
      </c>
      <c r="I31" s="17">
        <f>100*AMD!I46*LAFs!I$247*I$11*Input!$E$14/Input!$F$14*(1-Contrib!I$102)</f>
        <v>0</v>
      </c>
      <c r="J31" s="17">
        <f>100*AMD!J46*LAFs!J$247*J$11*Input!$E$14/Input!$F$14*(1-Contrib!J$102)</f>
        <v>4.3701409904045252E-2</v>
      </c>
      <c r="K31" s="17">
        <f>100*AMD!B46*LAFs!B$247*K$11*Input!$E$14/Input!$F$14*(1-Contrib!K$102)</f>
        <v>0</v>
      </c>
      <c r="L31" s="17">
        <f>100*AMD!C46*LAFs!C$247*L$11*Input!$E$14/Input!$F$14*(1-Contrib!L$102)</f>
        <v>0</v>
      </c>
      <c r="M31" s="17">
        <f>100*AMD!D46*LAFs!D$247*M$11*Input!$E$14/Input!$F$14*(1-Contrib!M$102)</f>
        <v>0</v>
      </c>
      <c r="N31" s="17">
        <f>100*AMD!E46*LAFs!E$247*N$11*Input!$E$14/Input!$F$14*(1-Contrib!N$102)</f>
        <v>0</v>
      </c>
      <c r="O31" s="17">
        <f>100*AMD!F46*LAFs!F$247*O$11*Input!$E$14/Input!$F$14*(1-Contrib!O$102)</f>
        <v>0</v>
      </c>
      <c r="P31" s="17">
        <f>100*AMD!G46*LAFs!G$247*P$11*Input!$E$14/Input!$F$14*(1-Contrib!P$102)</f>
        <v>0</v>
      </c>
      <c r="Q31" s="17">
        <f>100*AMD!H46*LAFs!H$247*Q$11*Input!$E$14/Input!$F$14*(1-Contrib!Q$102)</f>
        <v>0</v>
      </c>
      <c r="R31" s="17">
        <f>100*AMD!I46*LAFs!I$247*R$11*Input!$E$14/Input!$F$14*(1-Contrib!R$102)</f>
        <v>0</v>
      </c>
      <c r="S31" s="17">
        <f>100*AMD!J46*LAFs!J$247*S$11*Input!$E$14/Input!$F$14*(1-Contrib!S$102)</f>
        <v>0.48093072799712311</v>
      </c>
      <c r="T31" s="6"/>
    </row>
    <row r="32" spans="1:20" x14ac:dyDescent="0.2">
      <c r="A32" s="5" t="s">
        <v>58</v>
      </c>
      <c r="B32" s="17">
        <f>100*AMD!B47*LAFs!B$248*B$11*Input!$E$14/Input!$F$14*(1-Contrib!B$103)</f>
        <v>0</v>
      </c>
      <c r="C32" s="17">
        <f>100*AMD!C47*LAFs!C$248*C$11*Input!$E$14/Input!$F$14*(1-Contrib!C$103)</f>
        <v>0</v>
      </c>
      <c r="D32" s="17">
        <f>100*AMD!D47*LAFs!D$248*D$11*Input!$E$14/Input!$F$14*(1-Contrib!D$103)</f>
        <v>0</v>
      </c>
      <c r="E32" s="17">
        <f>100*AMD!E47*LAFs!E$248*E$11*Input!$E$14/Input!$F$14*(1-Contrib!E$103)</f>
        <v>0</v>
      </c>
      <c r="F32" s="17">
        <f>100*AMD!F47*LAFs!F$248*F$11*Input!$E$14/Input!$F$14*(1-Contrib!F$103)</f>
        <v>0</v>
      </c>
      <c r="G32" s="17">
        <f>100*AMD!G47*LAFs!G$248*G$11*Input!$E$14/Input!$F$14*(1-Contrib!G$103)</f>
        <v>0</v>
      </c>
      <c r="H32" s="17">
        <f>100*AMD!H47*LAFs!H$248*H$11*Input!$E$14/Input!$F$14*(1-Contrib!H$103)</f>
        <v>0</v>
      </c>
      <c r="I32" s="17">
        <f>100*AMD!I47*LAFs!I$248*I$11*Input!$E$14/Input!$F$14*(1-Contrib!I$103)</f>
        <v>6.3676491528968052E-2</v>
      </c>
      <c r="J32" s="17">
        <f>100*AMD!J47*LAFs!J$248*J$11*Input!$E$14/Input!$F$14*(1-Contrib!J$103)</f>
        <v>0</v>
      </c>
      <c r="K32" s="17">
        <f>100*AMD!B47*LAFs!B$248*K$11*Input!$E$14/Input!$F$14*(1-Contrib!K$103)</f>
        <v>0</v>
      </c>
      <c r="L32" s="17">
        <f>100*AMD!C47*LAFs!C$248*L$11*Input!$E$14/Input!$F$14*(1-Contrib!L$103)</f>
        <v>0</v>
      </c>
      <c r="M32" s="17">
        <f>100*AMD!D47*LAFs!D$248*M$11*Input!$E$14/Input!$F$14*(1-Contrib!M$103)</f>
        <v>0</v>
      </c>
      <c r="N32" s="17">
        <f>100*AMD!E47*LAFs!E$248*N$11*Input!$E$14/Input!$F$14*(1-Contrib!N$103)</f>
        <v>0</v>
      </c>
      <c r="O32" s="17">
        <f>100*AMD!F47*LAFs!F$248*O$11*Input!$E$14/Input!$F$14*(1-Contrib!O$103)</f>
        <v>0</v>
      </c>
      <c r="P32" s="17">
        <f>100*AMD!G47*LAFs!G$248*P$11*Input!$E$14/Input!$F$14*(1-Contrib!P$103)</f>
        <v>0</v>
      </c>
      <c r="Q32" s="17">
        <f>100*AMD!H47*LAFs!H$248*Q$11*Input!$E$14/Input!$F$14*(1-Contrib!Q$103)</f>
        <v>0</v>
      </c>
      <c r="R32" s="17">
        <f>100*AMD!I47*LAFs!I$248*R$11*Input!$E$14/Input!$F$14*(1-Contrib!R$103)</f>
        <v>0.70075499839867905</v>
      </c>
      <c r="S32" s="17">
        <f>100*AMD!J47*LAFs!J$248*S$11*Input!$E$14/Input!$F$14*(1-Contrib!S$103)</f>
        <v>0</v>
      </c>
      <c r="T32" s="6"/>
    </row>
    <row r="33" spans="1:20" x14ac:dyDescent="0.2">
      <c r="A33" s="5" t="s">
        <v>72</v>
      </c>
      <c r="B33" s="17">
        <f>100*AMD!B48*LAFs!B$249*B$11*Input!$E$14/Input!$F$14*(1-Contrib!B$104)</f>
        <v>0</v>
      </c>
      <c r="C33" s="17">
        <f>100*AMD!C48*LAFs!C$249*C$11*Input!$E$14/Input!$F$14*(1-Contrib!C$104)</f>
        <v>0</v>
      </c>
      <c r="D33" s="17">
        <f>100*AMD!D48*LAFs!D$249*D$11*Input!$E$14/Input!$F$14*(1-Contrib!D$104)</f>
        <v>0</v>
      </c>
      <c r="E33" s="17">
        <f>100*AMD!E48*LAFs!E$249*E$11*Input!$E$14/Input!$F$14*(1-Contrib!E$104)</f>
        <v>0.35972193021495469</v>
      </c>
      <c r="F33" s="17">
        <f>100*AMD!F48*LAFs!F$249*F$11*Input!$E$14/Input!$F$14*(1-Contrib!F$104)</f>
        <v>0.95770595883796472</v>
      </c>
      <c r="G33" s="17">
        <f>100*AMD!G48*LAFs!G$249*G$11*Input!$E$14/Input!$F$14*(1-Contrib!G$104)</f>
        <v>0</v>
      </c>
      <c r="H33" s="17">
        <f>100*AMD!H48*LAFs!H$249*H$11*Input!$E$14/Input!$F$14*(1-Contrib!H$104)</f>
        <v>0.21827764352836623</v>
      </c>
      <c r="I33" s="17">
        <f>100*AMD!I48*LAFs!I$249*I$11*Input!$E$14/Input!$F$14*(1-Contrib!I$104)</f>
        <v>0</v>
      </c>
      <c r="J33" s="17">
        <f>100*AMD!J48*LAFs!J$249*J$11*Input!$E$14/Input!$F$14*(1-Contrib!J$104)</f>
        <v>0</v>
      </c>
      <c r="K33" s="17">
        <f>100*AMD!B48*LAFs!B$249*K$11*Input!$E$14/Input!$F$14*(1-Contrib!K$104)</f>
        <v>0</v>
      </c>
      <c r="L33" s="17">
        <f>100*AMD!C48*LAFs!C$249*L$11*Input!$E$14/Input!$F$14*(1-Contrib!L$104)</f>
        <v>0</v>
      </c>
      <c r="M33" s="17">
        <f>100*AMD!D48*LAFs!D$249*M$11*Input!$E$14/Input!$F$14*(1-Contrib!M$104)</f>
        <v>0</v>
      </c>
      <c r="N33" s="17">
        <f>100*AMD!E48*LAFs!E$249*N$11*Input!$E$14/Input!$F$14*(1-Contrib!N$104)</f>
        <v>0.11876138332012581</v>
      </c>
      <c r="O33" s="17">
        <f>100*AMD!F48*LAFs!F$249*O$11*Input!$E$14/Input!$F$14*(1-Contrib!O$104)</f>
        <v>0.73531269916362452</v>
      </c>
      <c r="P33" s="17">
        <f>100*AMD!G48*LAFs!G$249*P$11*Input!$E$14/Input!$F$14*(1-Contrib!P$104)</f>
        <v>0</v>
      </c>
      <c r="Q33" s="17">
        <f>100*AMD!H48*LAFs!H$249*Q$11*Input!$E$14/Input!$F$14*(1-Contrib!Q$104)</f>
        <v>0.80070968143506582</v>
      </c>
      <c r="R33" s="17">
        <f>100*AMD!I48*LAFs!I$249*R$11*Input!$E$14/Input!$F$14*(1-Contrib!R$104)</f>
        <v>0</v>
      </c>
      <c r="S33" s="17">
        <f>100*AMD!J48*LAFs!J$249*S$11*Input!$E$14/Input!$F$14*(1-Contrib!S$104)</f>
        <v>0</v>
      </c>
      <c r="T33" s="6"/>
    </row>
    <row r="34" spans="1:20" x14ac:dyDescent="0.2">
      <c r="A34" s="5" t="s">
        <v>59</v>
      </c>
      <c r="B34" s="17">
        <f>100*AMD!B49*LAFs!B$250*B$11*Input!$E$14/Input!$F$14*(1-Contrib!B$105)</f>
        <v>0</v>
      </c>
      <c r="C34" s="17">
        <f>100*AMD!C49*LAFs!C$250*C$11*Input!$E$14/Input!$F$14*(1-Contrib!C$105)</f>
        <v>0</v>
      </c>
      <c r="D34" s="17">
        <f>100*AMD!D49*LAFs!D$250*D$11*Input!$E$14/Input!$F$14*(1-Contrib!D$105)</f>
        <v>0</v>
      </c>
      <c r="E34" s="17">
        <f>100*AMD!E49*LAFs!E$250*E$11*Input!$E$14/Input!$F$14*(1-Contrib!E$105)</f>
        <v>0</v>
      </c>
      <c r="F34" s="17">
        <f>100*AMD!F49*LAFs!F$250*F$11*Input!$E$14/Input!$F$14*(1-Contrib!F$105)</f>
        <v>0</v>
      </c>
      <c r="G34" s="17">
        <f>100*AMD!G49*LAFs!G$250*G$11*Input!$E$14/Input!$F$14*(1-Contrib!G$105)</f>
        <v>0</v>
      </c>
      <c r="H34" s="17">
        <f>100*AMD!H49*LAFs!H$250*H$11*Input!$E$14/Input!$F$14*(1-Contrib!H$105)</f>
        <v>0.36013126770993864</v>
      </c>
      <c r="I34" s="17">
        <f>100*AMD!I49*LAFs!I$250*I$11*Input!$E$14/Input!$F$14*(1-Contrib!I$105)</f>
        <v>1.5564019507428997</v>
      </c>
      <c r="J34" s="17">
        <f>100*AMD!J49*LAFs!J$250*J$11*Input!$E$14/Input!$F$14*(1-Contrib!J$105)</f>
        <v>4.3701409904045252E-2</v>
      </c>
      <c r="K34" s="17">
        <f>100*AMD!B49*LAFs!B$250*K$11*Input!$E$14/Input!$F$14*(1-Contrib!K$105)</f>
        <v>0</v>
      </c>
      <c r="L34" s="17">
        <f>100*AMD!C49*LAFs!C$250*L$11*Input!$E$14/Input!$F$14*(1-Contrib!L$105)</f>
        <v>0</v>
      </c>
      <c r="M34" s="17">
        <f>100*AMD!D49*LAFs!D$250*M$11*Input!$E$14/Input!$F$14*(1-Contrib!M$105)</f>
        <v>0</v>
      </c>
      <c r="N34" s="17">
        <f>100*AMD!E49*LAFs!E$250*N$11*Input!$E$14/Input!$F$14*(1-Contrib!N$105)</f>
        <v>0</v>
      </c>
      <c r="O34" s="17">
        <f>100*AMD!F49*LAFs!F$250*O$11*Input!$E$14/Input!$F$14*(1-Contrib!O$105)</f>
        <v>0</v>
      </c>
      <c r="P34" s="17">
        <f>100*AMD!G49*LAFs!G$250*P$11*Input!$E$14/Input!$F$14*(1-Contrib!P$105)</f>
        <v>0</v>
      </c>
      <c r="Q34" s="17">
        <f>100*AMD!H49*LAFs!H$250*Q$11*Input!$E$14/Input!$F$14*(1-Contrib!Q$105)</f>
        <v>0.16985217881452214</v>
      </c>
      <c r="R34" s="17">
        <f>100*AMD!I49*LAFs!I$250*R$11*Input!$E$14/Input!$F$14*(1-Contrib!R$105)</f>
        <v>0.73406084433017538</v>
      </c>
      <c r="S34" s="17">
        <f>100*AMD!J49*LAFs!J$250*S$11*Input!$E$14/Input!$F$14*(1-Contrib!S$105)</f>
        <v>0.48093072799712311</v>
      </c>
      <c r="T34" s="6"/>
    </row>
    <row r="35" spans="1:20" x14ac:dyDescent="0.2">
      <c r="A35" s="5" t="s">
        <v>60</v>
      </c>
      <c r="B35" s="17">
        <f>100*AMD!B50*LAFs!B$251*B$11*Input!$E$14/Input!$F$14*(1-Contrib!B$106)</f>
        <v>0</v>
      </c>
      <c r="C35" s="17">
        <f>100*AMD!C50*LAFs!C$251*C$11*Input!$E$14/Input!$F$14*(1-Contrib!C$106)</f>
        <v>0</v>
      </c>
      <c r="D35" s="17">
        <f>100*AMD!D50*LAFs!D$251*D$11*Input!$E$14/Input!$F$14*(1-Contrib!D$106)</f>
        <v>0</v>
      </c>
      <c r="E35" s="17">
        <f>100*AMD!E50*LAFs!E$251*E$11*Input!$E$14/Input!$F$14*(1-Contrib!E$106)</f>
        <v>0</v>
      </c>
      <c r="F35" s="17">
        <f>100*AMD!F50*LAFs!F$251*F$11*Input!$E$14/Input!$F$14*(1-Contrib!F$106)</f>
        <v>0</v>
      </c>
      <c r="G35" s="17">
        <f>100*AMD!G50*LAFs!G$251*G$11*Input!$E$14/Input!$F$14*(1-Contrib!G$106)</f>
        <v>0</v>
      </c>
      <c r="H35" s="17">
        <f>100*AMD!H50*LAFs!H$251*H$11*Input!$E$14/Input!$F$14*(1-Contrib!H$106)</f>
        <v>1.7189568676536087</v>
      </c>
      <c r="I35" s="17">
        <f>100*AMD!I50*LAFs!I$251*I$11*Input!$E$14/Input!$F$14*(1-Contrib!I$106)</f>
        <v>6.3676491528968052E-2</v>
      </c>
      <c r="J35" s="17">
        <f>100*AMD!J50*LAFs!J$251*J$11*Input!$E$14/Input!$F$14*(1-Contrib!J$106)</f>
        <v>0</v>
      </c>
      <c r="K35" s="17">
        <f>100*AMD!B50*LAFs!B$251*K$11*Input!$E$14/Input!$F$14*(1-Contrib!K$106)</f>
        <v>0</v>
      </c>
      <c r="L35" s="17">
        <f>100*AMD!C50*LAFs!C$251*L$11*Input!$E$14/Input!$F$14*(1-Contrib!L$106)</f>
        <v>0</v>
      </c>
      <c r="M35" s="17">
        <f>100*AMD!D50*LAFs!D$251*M$11*Input!$E$14/Input!$F$14*(1-Contrib!M$106)</f>
        <v>0</v>
      </c>
      <c r="N35" s="17">
        <f>100*AMD!E50*LAFs!E$251*N$11*Input!$E$14/Input!$F$14*(1-Contrib!N$106)</f>
        <v>0</v>
      </c>
      <c r="O35" s="17">
        <f>100*AMD!F50*LAFs!F$251*O$11*Input!$E$14/Input!$F$14*(1-Contrib!O$106)</f>
        <v>0</v>
      </c>
      <c r="P35" s="17">
        <f>100*AMD!G50*LAFs!G$251*P$11*Input!$E$14/Input!$F$14*(1-Contrib!P$106)</f>
        <v>0</v>
      </c>
      <c r="Q35" s="17">
        <f>100*AMD!H50*LAFs!H$251*Q$11*Input!$E$14/Input!$F$14*(1-Contrib!Q$106)</f>
        <v>0.81072818563011473</v>
      </c>
      <c r="R35" s="17">
        <f>100*AMD!I50*LAFs!I$251*R$11*Input!$E$14/Input!$F$14*(1-Contrib!R$106)</f>
        <v>0.70075499839867905</v>
      </c>
      <c r="S35" s="17">
        <f>100*AMD!J50*LAFs!J$251*S$11*Input!$E$14/Input!$F$14*(1-Contrib!S$106)</f>
        <v>0</v>
      </c>
      <c r="T35" s="6"/>
    </row>
    <row r="36" spans="1:20" x14ac:dyDescent="0.2">
      <c r="A36" s="5" t="s">
        <v>73</v>
      </c>
      <c r="B36" s="17">
        <f>100*AMD!B51*LAFs!B$252*B$11*Input!$E$14/Input!$F$14*(1-Contrib!B$107)</f>
        <v>0</v>
      </c>
      <c r="C36" s="17">
        <f>100*AMD!C51*LAFs!C$252*C$11*Input!$E$14/Input!$F$14*(1-Contrib!C$107)</f>
        <v>0</v>
      </c>
      <c r="D36" s="17">
        <f>100*AMD!D51*LAFs!D$252*D$11*Input!$E$14/Input!$F$14*(1-Contrib!D$107)</f>
        <v>0</v>
      </c>
      <c r="E36" s="17">
        <f>100*AMD!E51*LAFs!E$252*E$11*Input!$E$14/Input!$F$14*(1-Contrib!E$107)</f>
        <v>0.35972193021495469</v>
      </c>
      <c r="F36" s="17">
        <f>100*AMD!F51*LAFs!F$252*F$11*Input!$E$14/Input!$F$14*(1-Contrib!F$107)</f>
        <v>0.95770595883796472</v>
      </c>
      <c r="G36" s="17">
        <f>100*AMD!G51*LAFs!G$252*G$11*Input!$E$14/Input!$F$14*(1-Contrib!G$107)</f>
        <v>0</v>
      </c>
      <c r="H36" s="17">
        <f>100*AMD!H51*LAFs!H$252*H$11*Input!$E$14/Input!$F$14*(1-Contrib!H$107)</f>
        <v>0.21827764352836623</v>
      </c>
      <c r="I36" s="17">
        <f>100*AMD!I51*LAFs!I$252*I$11*Input!$E$14/Input!$F$14*(1-Contrib!I$107)</f>
        <v>0</v>
      </c>
      <c r="J36" s="17">
        <f>100*AMD!J51*LAFs!J$252*J$11*Input!$E$14/Input!$F$14*(1-Contrib!J$107)</f>
        <v>0</v>
      </c>
      <c r="K36" s="17">
        <f>100*AMD!B51*LAFs!B$252*K$11*Input!$E$14/Input!$F$14*(1-Contrib!K$107)</f>
        <v>0</v>
      </c>
      <c r="L36" s="17">
        <f>100*AMD!C51*LAFs!C$252*L$11*Input!$E$14/Input!$F$14*(1-Contrib!L$107)</f>
        <v>0</v>
      </c>
      <c r="M36" s="17">
        <f>100*AMD!D51*LAFs!D$252*M$11*Input!$E$14/Input!$F$14*(1-Contrib!M$107)</f>
        <v>0</v>
      </c>
      <c r="N36" s="17">
        <f>100*AMD!E51*LAFs!E$252*N$11*Input!$E$14/Input!$F$14*(1-Contrib!N$107)</f>
        <v>0.11876138332012581</v>
      </c>
      <c r="O36" s="17">
        <f>100*AMD!F51*LAFs!F$252*O$11*Input!$E$14/Input!$F$14*(1-Contrib!O$107)</f>
        <v>0.73531269916362452</v>
      </c>
      <c r="P36" s="17">
        <f>100*AMD!G51*LAFs!G$252*P$11*Input!$E$14/Input!$F$14*(1-Contrib!P$107)</f>
        <v>0</v>
      </c>
      <c r="Q36" s="17">
        <f>100*AMD!H51*LAFs!H$252*Q$11*Input!$E$14/Input!$F$14*(1-Contrib!Q$107)</f>
        <v>0.80070968143506582</v>
      </c>
      <c r="R36" s="17">
        <f>100*AMD!I51*LAFs!I$252*R$11*Input!$E$14/Input!$F$14*(1-Contrib!R$107)</f>
        <v>0</v>
      </c>
      <c r="S36" s="17">
        <f>100*AMD!J51*LAFs!J$252*S$11*Input!$E$14/Input!$F$14*(1-Contrib!S$107)</f>
        <v>0</v>
      </c>
      <c r="T36" s="6"/>
    </row>
    <row r="37" spans="1:20" x14ac:dyDescent="0.2">
      <c r="A37" s="5" t="s">
        <v>74</v>
      </c>
      <c r="B37" s="17">
        <f>100*AMD!B52*LAFs!B$253*B$11*Input!$E$14/Input!$F$14*(1-Contrib!B$108)</f>
        <v>0</v>
      </c>
      <c r="C37" s="17">
        <f>100*AMD!C52*LAFs!C$253*C$11*Input!$E$14/Input!$F$14*(1-Contrib!C$108)</f>
        <v>0</v>
      </c>
      <c r="D37" s="17">
        <f>100*AMD!D52*LAFs!D$253*D$11*Input!$E$14/Input!$F$14*(1-Contrib!D$108)</f>
        <v>0</v>
      </c>
      <c r="E37" s="17">
        <f>100*AMD!E52*LAFs!E$253*E$11*Input!$E$14/Input!$F$14*(1-Contrib!E$108)</f>
        <v>0.7644696900973349</v>
      </c>
      <c r="F37" s="17">
        <f>100*AMD!F52*LAFs!F$253*F$11*Input!$E$14/Input!$F$14*(1-Contrib!F$108)</f>
        <v>0.17611997577753008</v>
      </c>
      <c r="G37" s="17">
        <f>100*AMD!G52*LAFs!G$253*G$11*Input!$E$14/Input!$F$14*(1-Contrib!G$108)</f>
        <v>0</v>
      </c>
      <c r="H37" s="17">
        <f>100*AMD!H52*LAFs!H$253*H$11*Input!$E$14/Input!$F$14*(1-Contrib!H$108)</f>
        <v>0</v>
      </c>
      <c r="I37" s="17">
        <f>100*AMD!I52*LAFs!I$253*I$11*Input!$E$14/Input!$F$14*(1-Contrib!I$108)</f>
        <v>0</v>
      </c>
      <c r="J37" s="17">
        <f>100*AMD!J52*LAFs!J$253*J$11*Input!$E$14/Input!$F$14*(1-Contrib!J$108)</f>
        <v>0</v>
      </c>
      <c r="K37" s="17">
        <f>100*AMD!B52*LAFs!B$253*K$11*Input!$E$14/Input!$F$14*(1-Contrib!K$108)</f>
        <v>0</v>
      </c>
      <c r="L37" s="17">
        <f>100*AMD!C52*LAFs!C$253*L$11*Input!$E$14/Input!$F$14*(1-Contrib!L$108)</f>
        <v>0</v>
      </c>
      <c r="M37" s="17">
        <f>100*AMD!D52*LAFs!D$253*M$11*Input!$E$14/Input!$F$14*(1-Contrib!M$108)</f>
        <v>0</v>
      </c>
      <c r="N37" s="17">
        <f>100*AMD!E52*LAFs!E$253*N$11*Input!$E$14/Input!$F$14*(1-Contrib!N$108)</f>
        <v>0.58694870389686837</v>
      </c>
      <c r="O37" s="17">
        <f>100*AMD!F52*LAFs!F$253*O$11*Input!$E$14/Input!$F$14*(1-Contrib!O$108)</f>
        <v>0.72682015595865479</v>
      </c>
      <c r="P37" s="17">
        <f>100*AMD!G52*LAFs!G$253*P$11*Input!$E$14/Input!$F$14*(1-Contrib!P$108)</f>
        <v>0</v>
      </c>
      <c r="Q37" s="17">
        <f>100*AMD!H52*LAFs!H$253*Q$11*Input!$E$14/Input!$F$14*(1-Contrib!Q$108)</f>
        <v>0</v>
      </c>
      <c r="R37" s="17">
        <f>100*AMD!I52*LAFs!I$253*R$11*Input!$E$14/Input!$F$14*(1-Contrib!R$108)</f>
        <v>0</v>
      </c>
      <c r="S37" s="17">
        <f>100*AMD!J52*LAFs!J$253*S$11*Input!$E$14/Input!$F$14*(1-Contrib!S$108)</f>
        <v>0</v>
      </c>
      <c r="T37" s="6"/>
    </row>
    <row r="38" spans="1:20" x14ac:dyDescent="0.2">
      <c r="A38" s="5" t="s">
        <v>96</v>
      </c>
      <c r="B38" s="17">
        <f>100*AMD!B53*LAFs!B$254*B$11*Input!$E$14/Input!$F$14*(1-Contrib!B$109)</f>
        <v>0</v>
      </c>
      <c r="C38" s="17">
        <f>100*AMD!C53*LAFs!C$254*C$11*Input!$E$14/Input!$F$14*(1-Contrib!C$109)</f>
        <v>0</v>
      </c>
      <c r="D38" s="17">
        <f>100*AMD!D53*LAFs!D$254*D$11*Input!$E$14/Input!$F$14*(1-Contrib!D$109)</f>
        <v>0</v>
      </c>
      <c r="E38" s="17">
        <f>100*AMD!E53*LAFs!E$254*E$11*Input!$E$14/Input!$F$14*(1-Contrib!E$109)</f>
        <v>0</v>
      </c>
      <c r="F38" s="17">
        <f>100*AMD!F53*LAFs!F$254*F$11*Input!$E$14/Input!$F$14*(1-Contrib!F$109)</f>
        <v>0</v>
      </c>
      <c r="G38" s="17">
        <f>100*AMD!G53*LAFs!G$254*G$11*Input!$E$14/Input!$F$14*(1-Contrib!G$109)</f>
        <v>0</v>
      </c>
      <c r="H38" s="17">
        <f>100*AMD!H53*LAFs!H$254*H$11*Input!$E$14/Input!$F$14*(1-Contrib!H$109)</f>
        <v>0</v>
      </c>
      <c r="I38" s="17">
        <f>100*AMD!I53*LAFs!I$254*I$11*Input!$E$14/Input!$F$14*(1-Contrib!I$109)</f>
        <v>0</v>
      </c>
      <c r="J38" s="17">
        <f>100*AMD!J53*LAFs!J$254*J$11*Input!$E$14/Input!$F$14*(1-Contrib!J$109)</f>
        <v>0</v>
      </c>
      <c r="K38" s="17">
        <f>100*AMD!B53*LAFs!B$254*K$11*Input!$E$14/Input!$F$14*(1-Contrib!K$109)</f>
        <v>0</v>
      </c>
      <c r="L38" s="17">
        <f>100*AMD!C53*LAFs!C$254*L$11*Input!$E$14/Input!$F$14*(1-Contrib!L$109)</f>
        <v>0</v>
      </c>
      <c r="M38" s="17">
        <f>100*AMD!D53*LAFs!D$254*M$11*Input!$E$14/Input!$F$14*(1-Contrib!M$109)</f>
        <v>0</v>
      </c>
      <c r="N38" s="17">
        <f>100*AMD!E53*LAFs!E$254*N$11*Input!$E$14/Input!$F$14*(1-Contrib!N$109)</f>
        <v>0</v>
      </c>
      <c r="O38" s="17">
        <f>100*AMD!F53*LAFs!F$254*O$11*Input!$E$14/Input!$F$14*(1-Contrib!O$109)</f>
        <v>0</v>
      </c>
      <c r="P38" s="17">
        <f>100*AMD!G53*LAFs!G$254*P$11*Input!$E$14/Input!$F$14*(1-Contrib!P$109)</f>
        <v>0</v>
      </c>
      <c r="Q38" s="17">
        <f>100*AMD!H53*LAFs!H$254*Q$11*Input!$E$14/Input!$F$14*(1-Contrib!Q$109)</f>
        <v>0</v>
      </c>
      <c r="R38" s="17">
        <f>100*AMD!I53*LAFs!I$254*R$11*Input!$E$14/Input!$F$14*(1-Contrib!R$109)</f>
        <v>0</v>
      </c>
      <c r="S38" s="17">
        <f>100*AMD!J53*LAFs!J$254*S$11*Input!$E$14/Input!$F$14*(1-Contrib!S$109)</f>
        <v>0</v>
      </c>
      <c r="T38" s="6"/>
    </row>
    <row r="39" spans="1:20" x14ac:dyDescent="0.2">
      <c r="A39" s="5" t="s">
        <v>97</v>
      </c>
      <c r="B39" s="17">
        <f>100*AMD!B54*LAFs!B$255*B$11*Input!$E$14/Input!$F$14*(1-Contrib!B$110)</f>
        <v>0</v>
      </c>
      <c r="C39" s="17">
        <f>100*AMD!C54*LAFs!C$255*C$11*Input!$E$14/Input!$F$14*(1-Contrib!C$110)</f>
        <v>0</v>
      </c>
      <c r="D39" s="17">
        <f>100*AMD!D54*LAFs!D$255*D$11*Input!$E$14/Input!$F$14*(1-Contrib!D$110)</f>
        <v>0</v>
      </c>
      <c r="E39" s="17">
        <f>100*AMD!E54*LAFs!E$255*E$11*Input!$E$14/Input!$F$14*(1-Contrib!E$110)</f>
        <v>0</v>
      </c>
      <c r="F39" s="17">
        <f>100*AMD!F54*LAFs!F$255*F$11*Input!$E$14/Input!$F$14*(1-Contrib!F$110)</f>
        <v>0</v>
      </c>
      <c r="G39" s="17">
        <f>100*AMD!G54*LAFs!G$255*G$11*Input!$E$14/Input!$F$14*(1-Contrib!G$110)</f>
        <v>0</v>
      </c>
      <c r="H39" s="17">
        <f>100*AMD!H54*LAFs!H$255*H$11*Input!$E$14/Input!$F$14*(1-Contrib!H$110)</f>
        <v>0</v>
      </c>
      <c r="I39" s="17">
        <f>100*AMD!I54*LAFs!I$255*I$11*Input!$E$14/Input!$F$14*(1-Contrib!I$110)</f>
        <v>0</v>
      </c>
      <c r="J39" s="17">
        <f>100*AMD!J54*LAFs!J$255*J$11*Input!$E$14/Input!$F$14*(1-Contrib!J$110)</f>
        <v>0</v>
      </c>
      <c r="K39" s="17">
        <f>100*AMD!B54*LAFs!B$255*K$11*Input!$E$14/Input!$F$14*(1-Contrib!K$110)</f>
        <v>0</v>
      </c>
      <c r="L39" s="17">
        <f>100*AMD!C54*LAFs!C$255*L$11*Input!$E$14/Input!$F$14*(1-Contrib!L$110)</f>
        <v>0</v>
      </c>
      <c r="M39" s="17">
        <f>100*AMD!D54*LAFs!D$255*M$11*Input!$E$14/Input!$F$14*(1-Contrib!M$110)</f>
        <v>0</v>
      </c>
      <c r="N39" s="17">
        <f>100*AMD!E54*LAFs!E$255*N$11*Input!$E$14/Input!$F$14*(1-Contrib!N$110)</f>
        <v>0</v>
      </c>
      <c r="O39" s="17">
        <f>100*AMD!F54*LAFs!F$255*O$11*Input!$E$14/Input!$F$14*(1-Contrib!O$110)</f>
        <v>0</v>
      </c>
      <c r="P39" s="17">
        <f>100*AMD!G54*LAFs!G$255*P$11*Input!$E$14/Input!$F$14*(1-Contrib!P$110)</f>
        <v>0</v>
      </c>
      <c r="Q39" s="17">
        <f>100*AMD!H54*LAFs!H$255*Q$11*Input!$E$14/Input!$F$14*(1-Contrib!Q$110)</f>
        <v>0</v>
      </c>
      <c r="R39" s="17">
        <f>100*AMD!I54*LAFs!I$255*R$11*Input!$E$14/Input!$F$14*(1-Contrib!R$110)</f>
        <v>0</v>
      </c>
      <c r="S39" s="17">
        <f>100*AMD!J54*LAFs!J$255*S$11*Input!$E$14/Input!$F$14*(1-Contrib!S$110)</f>
        <v>0</v>
      </c>
      <c r="T39" s="6"/>
    </row>
    <row r="40" spans="1:20" x14ac:dyDescent="0.2">
      <c r="A40" s="5" t="s">
        <v>98</v>
      </c>
      <c r="B40" s="17">
        <f>100*AMD!B55*LAFs!B$256*B$11*Input!$E$14/Input!$F$14*(1-Contrib!B$111)</f>
        <v>0</v>
      </c>
      <c r="C40" s="17">
        <f>100*AMD!C55*LAFs!C$256*C$11*Input!$E$14/Input!$F$14*(1-Contrib!C$111)</f>
        <v>0</v>
      </c>
      <c r="D40" s="17">
        <f>100*AMD!D55*LAFs!D$256*D$11*Input!$E$14/Input!$F$14*(1-Contrib!D$111)</f>
        <v>0</v>
      </c>
      <c r="E40" s="17">
        <f>100*AMD!E55*LAFs!E$256*E$11*Input!$E$14/Input!$F$14*(1-Contrib!E$111)</f>
        <v>0</v>
      </c>
      <c r="F40" s="17">
        <f>100*AMD!F55*LAFs!F$256*F$11*Input!$E$14/Input!$F$14*(1-Contrib!F$111)</f>
        <v>0</v>
      </c>
      <c r="G40" s="17">
        <f>100*AMD!G55*LAFs!G$256*G$11*Input!$E$14/Input!$F$14*(1-Contrib!G$111)</f>
        <v>0</v>
      </c>
      <c r="H40" s="17">
        <f>100*AMD!H55*LAFs!H$256*H$11*Input!$E$14/Input!$F$14*(1-Contrib!H$111)</f>
        <v>0</v>
      </c>
      <c r="I40" s="17">
        <f>100*AMD!I55*LAFs!I$256*I$11*Input!$E$14/Input!$F$14*(1-Contrib!I$111)</f>
        <v>0</v>
      </c>
      <c r="J40" s="17">
        <f>100*AMD!J55*LAFs!J$256*J$11*Input!$E$14/Input!$F$14*(1-Contrib!J$111)</f>
        <v>0</v>
      </c>
      <c r="K40" s="17">
        <f>100*AMD!B55*LAFs!B$256*K$11*Input!$E$14/Input!$F$14*(1-Contrib!K$111)</f>
        <v>0</v>
      </c>
      <c r="L40" s="17">
        <f>100*AMD!C55*LAFs!C$256*L$11*Input!$E$14/Input!$F$14*(1-Contrib!L$111)</f>
        <v>0</v>
      </c>
      <c r="M40" s="17">
        <f>100*AMD!D55*LAFs!D$256*M$11*Input!$E$14/Input!$F$14*(1-Contrib!M$111)</f>
        <v>0</v>
      </c>
      <c r="N40" s="17">
        <f>100*AMD!E55*LAFs!E$256*N$11*Input!$E$14/Input!$F$14*(1-Contrib!N$111)</f>
        <v>0</v>
      </c>
      <c r="O40" s="17">
        <f>100*AMD!F55*LAFs!F$256*O$11*Input!$E$14/Input!$F$14*(1-Contrib!O$111)</f>
        <v>0</v>
      </c>
      <c r="P40" s="17">
        <f>100*AMD!G55*LAFs!G$256*P$11*Input!$E$14/Input!$F$14*(1-Contrib!P$111)</f>
        <v>0</v>
      </c>
      <c r="Q40" s="17">
        <f>100*AMD!H55*LAFs!H$256*Q$11*Input!$E$14/Input!$F$14*(1-Contrib!Q$111)</f>
        <v>0</v>
      </c>
      <c r="R40" s="17">
        <f>100*AMD!I55*LAFs!I$256*R$11*Input!$E$14/Input!$F$14*(1-Contrib!R$111)</f>
        <v>0</v>
      </c>
      <c r="S40" s="17">
        <f>100*AMD!J55*LAFs!J$256*S$11*Input!$E$14/Input!$F$14*(1-Contrib!S$111)</f>
        <v>0</v>
      </c>
      <c r="T40" s="6"/>
    </row>
    <row r="41" spans="1:20" x14ac:dyDescent="0.2">
      <c r="A41" s="5" t="s">
        <v>99</v>
      </c>
      <c r="B41" s="17">
        <f>100*AMD!B56*LAFs!B$257*B$11*Input!$E$14/Input!$F$14*(1-Contrib!B$112)</f>
        <v>0</v>
      </c>
      <c r="C41" s="17">
        <f>100*AMD!C56*LAFs!C$257*C$11*Input!$E$14/Input!$F$14*(1-Contrib!C$112)</f>
        <v>0</v>
      </c>
      <c r="D41" s="17">
        <f>100*AMD!D56*LAFs!D$257*D$11*Input!$E$14/Input!$F$14*(1-Contrib!D$112)</f>
        <v>0</v>
      </c>
      <c r="E41" s="17">
        <f>100*AMD!E56*LAFs!E$257*E$11*Input!$E$14/Input!$F$14*(1-Contrib!E$112)</f>
        <v>0</v>
      </c>
      <c r="F41" s="17">
        <f>100*AMD!F56*LAFs!F$257*F$11*Input!$E$14/Input!$F$14*(1-Contrib!F$112)</f>
        <v>0</v>
      </c>
      <c r="G41" s="17">
        <f>100*AMD!G56*LAFs!G$257*G$11*Input!$E$14/Input!$F$14*(1-Contrib!G$112)</f>
        <v>0</v>
      </c>
      <c r="H41" s="17">
        <f>100*AMD!H56*LAFs!H$257*H$11*Input!$E$14/Input!$F$14*(1-Contrib!H$112)</f>
        <v>0</v>
      </c>
      <c r="I41" s="17">
        <f>100*AMD!I56*LAFs!I$257*I$11*Input!$E$14/Input!$F$14*(1-Contrib!I$112)</f>
        <v>0</v>
      </c>
      <c r="J41" s="17">
        <f>100*AMD!J56*LAFs!J$257*J$11*Input!$E$14/Input!$F$14*(1-Contrib!J$112)</f>
        <v>0</v>
      </c>
      <c r="K41" s="17">
        <f>100*AMD!B56*LAFs!B$257*K$11*Input!$E$14/Input!$F$14*(1-Contrib!K$112)</f>
        <v>0</v>
      </c>
      <c r="L41" s="17">
        <f>100*AMD!C56*LAFs!C$257*L$11*Input!$E$14/Input!$F$14*(1-Contrib!L$112)</f>
        <v>0</v>
      </c>
      <c r="M41" s="17">
        <f>100*AMD!D56*LAFs!D$257*M$11*Input!$E$14/Input!$F$14*(1-Contrib!M$112)</f>
        <v>0</v>
      </c>
      <c r="N41" s="17">
        <f>100*AMD!E56*LAFs!E$257*N$11*Input!$E$14/Input!$F$14*(1-Contrib!N$112)</f>
        <v>0</v>
      </c>
      <c r="O41" s="17">
        <f>100*AMD!F56*LAFs!F$257*O$11*Input!$E$14/Input!$F$14*(1-Contrib!O$112)</f>
        <v>0</v>
      </c>
      <c r="P41" s="17">
        <f>100*AMD!G56*LAFs!G$257*P$11*Input!$E$14/Input!$F$14*(1-Contrib!P$112)</f>
        <v>0</v>
      </c>
      <c r="Q41" s="17">
        <f>100*AMD!H56*LAFs!H$257*Q$11*Input!$E$14/Input!$F$14*(1-Contrib!Q$112)</f>
        <v>0</v>
      </c>
      <c r="R41" s="17">
        <f>100*AMD!I56*LAFs!I$257*R$11*Input!$E$14/Input!$F$14*(1-Contrib!R$112)</f>
        <v>0</v>
      </c>
      <c r="S41" s="17">
        <f>100*AMD!J56*LAFs!J$257*S$11*Input!$E$14/Input!$F$14*(1-Contrib!S$112)</f>
        <v>0</v>
      </c>
      <c r="T41" s="6"/>
    </row>
    <row r="42" spans="1:20" x14ac:dyDescent="0.2">
      <c r="A42" s="5" t="s">
        <v>100</v>
      </c>
      <c r="B42" s="17">
        <f>100*AMD!B57*LAFs!B$258*B$11*Input!$E$14/Input!$F$14*(1-Contrib!B$113)</f>
        <v>0</v>
      </c>
      <c r="C42" s="17">
        <f>100*AMD!C57*LAFs!C$258*C$11*Input!$E$14/Input!$F$14*(1-Contrib!C$113)</f>
        <v>0</v>
      </c>
      <c r="D42" s="17">
        <f>100*AMD!D57*LAFs!D$258*D$11*Input!$E$14/Input!$F$14*(1-Contrib!D$113)</f>
        <v>0</v>
      </c>
      <c r="E42" s="17">
        <f>100*AMD!E57*LAFs!E$258*E$11*Input!$E$14/Input!$F$14*(1-Contrib!E$113)</f>
        <v>0</v>
      </c>
      <c r="F42" s="17">
        <f>100*AMD!F57*LAFs!F$258*F$11*Input!$E$14/Input!$F$14*(1-Contrib!F$113)</f>
        <v>0</v>
      </c>
      <c r="G42" s="17">
        <f>100*AMD!G57*LAFs!G$258*G$11*Input!$E$14/Input!$F$14*(1-Contrib!G$113)</f>
        <v>0</v>
      </c>
      <c r="H42" s="17">
        <f>100*AMD!H57*LAFs!H$258*H$11*Input!$E$14/Input!$F$14*(1-Contrib!H$113)</f>
        <v>0</v>
      </c>
      <c r="I42" s="17">
        <f>100*AMD!I57*LAFs!I$258*I$11*Input!$E$14/Input!$F$14*(1-Contrib!I$113)</f>
        <v>0</v>
      </c>
      <c r="J42" s="17">
        <f>100*AMD!J57*LAFs!J$258*J$11*Input!$E$14/Input!$F$14*(1-Contrib!J$113)</f>
        <v>0</v>
      </c>
      <c r="K42" s="17">
        <f>100*AMD!B57*LAFs!B$258*K$11*Input!$E$14/Input!$F$14*(1-Contrib!K$113)</f>
        <v>0</v>
      </c>
      <c r="L42" s="17">
        <f>100*AMD!C57*LAFs!C$258*L$11*Input!$E$14/Input!$F$14*(1-Contrib!L$113)</f>
        <v>0</v>
      </c>
      <c r="M42" s="17">
        <f>100*AMD!D57*LAFs!D$258*M$11*Input!$E$14/Input!$F$14*(1-Contrib!M$113)</f>
        <v>0</v>
      </c>
      <c r="N42" s="17">
        <f>100*AMD!E57*LAFs!E$258*N$11*Input!$E$14/Input!$F$14*(1-Contrib!N$113)</f>
        <v>0</v>
      </c>
      <c r="O42" s="17">
        <f>100*AMD!F57*LAFs!F$258*O$11*Input!$E$14/Input!$F$14*(1-Contrib!O$113)</f>
        <v>0</v>
      </c>
      <c r="P42" s="17">
        <f>100*AMD!G57*LAFs!G$258*P$11*Input!$E$14/Input!$F$14*(1-Contrib!P$113)</f>
        <v>0</v>
      </c>
      <c r="Q42" s="17">
        <f>100*AMD!H57*LAFs!H$258*Q$11*Input!$E$14/Input!$F$14*(1-Contrib!Q$113)</f>
        <v>0</v>
      </c>
      <c r="R42" s="17">
        <f>100*AMD!I57*LAFs!I$258*R$11*Input!$E$14/Input!$F$14*(1-Contrib!R$113)</f>
        <v>0</v>
      </c>
      <c r="S42" s="17">
        <f>100*AMD!J57*LAFs!J$258*S$11*Input!$E$14/Input!$F$14*(1-Contrib!S$113)</f>
        <v>0</v>
      </c>
      <c r="T42" s="6"/>
    </row>
    <row r="44" spans="1:20" ht="16.5" x14ac:dyDescent="0.25">
      <c r="A44" s="3" t="s">
        <v>828</v>
      </c>
    </row>
    <row r="45" spans="1:20" x14ac:dyDescent="0.2">
      <c r="A45" s="10" t="s">
        <v>238</v>
      </c>
    </row>
    <row r="46" spans="1:20" x14ac:dyDescent="0.2">
      <c r="A46" s="11" t="s">
        <v>822</v>
      </c>
    </row>
    <row r="47" spans="1:20" x14ac:dyDescent="0.2">
      <c r="A47" s="11" t="s">
        <v>829</v>
      </c>
    </row>
    <row r="48" spans="1:20" x14ac:dyDescent="0.2">
      <c r="A48" s="11" t="s">
        <v>830</v>
      </c>
    </row>
    <row r="49" spans="1:21" x14ac:dyDescent="0.2">
      <c r="A49" s="18" t="s">
        <v>241</v>
      </c>
      <c r="B49" s="10" t="s">
        <v>371</v>
      </c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8" t="s">
        <v>372</v>
      </c>
    </row>
    <row r="50" spans="1:21" x14ac:dyDescent="0.2">
      <c r="A50" s="18" t="s">
        <v>244</v>
      </c>
      <c r="B50" s="10" t="s">
        <v>831</v>
      </c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8" t="s">
        <v>424</v>
      </c>
    </row>
    <row r="52" spans="1:21" x14ac:dyDescent="0.2">
      <c r="B52" s="19" t="s">
        <v>832</v>
      </c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</row>
    <row r="53" spans="1:21" ht="63.75" x14ac:dyDescent="0.2">
      <c r="B53" s="4" t="s">
        <v>21</v>
      </c>
      <c r="C53" s="4" t="s">
        <v>191</v>
      </c>
      <c r="D53" s="4" t="s">
        <v>192</v>
      </c>
      <c r="E53" s="4" t="s">
        <v>193</v>
      </c>
      <c r="F53" s="4" t="s">
        <v>194</v>
      </c>
      <c r="G53" s="4" t="s">
        <v>195</v>
      </c>
      <c r="H53" s="4" t="s">
        <v>196</v>
      </c>
      <c r="I53" s="4" t="s">
        <v>197</v>
      </c>
      <c r="J53" s="4" t="s">
        <v>198</v>
      </c>
      <c r="K53" s="4" t="s">
        <v>179</v>
      </c>
      <c r="L53" s="4" t="s">
        <v>699</v>
      </c>
      <c r="M53" s="4" t="s">
        <v>700</v>
      </c>
      <c r="N53" s="4" t="s">
        <v>701</v>
      </c>
      <c r="O53" s="4" t="s">
        <v>702</v>
      </c>
      <c r="P53" s="4" t="s">
        <v>703</v>
      </c>
      <c r="Q53" s="4" t="s">
        <v>704</v>
      </c>
      <c r="R53" s="4" t="s">
        <v>705</v>
      </c>
      <c r="S53" s="4" t="s">
        <v>706</v>
      </c>
      <c r="T53" s="4" t="s">
        <v>833</v>
      </c>
    </row>
    <row r="54" spans="1:21" x14ac:dyDescent="0.2">
      <c r="A54" s="5" t="s">
        <v>53</v>
      </c>
      <c r="B54" s="17">
        <f>(1-AMD!B40)*Yard!B$23</f>
        <v>0</v>
      </c>
      <c r="C54" s="17">
        <f>(1-AMD!C40)*Yard!C$23</f>
        <v>0.1596023052588541</v>
      </c>
      <c r="D54" s="17">
        <f>(1-AMD!D40)*Yard!D$23</f>
        <v>0.14721474137687782</v>
      </c>
      <c r="E54" s="17">
        <f>(1-AMD!E40)*Yard!E$23</f>
        <v>0.22439144037638167</v>
      </c>
      <c r="F54" s="17">
        <f>(1-AMD!F40)*Yard!F$23</f>
        <v>0.27786452309605153</v>
      </c>
      <c r="G54" s="17">
        <f>(1-AMD!G40)*Yard!G$23</f>
        <v>0</v>
      </c>
      <c r="H54" s="17">
        <f>(1-AMD!H40)*Yard!H$23</f>
        <v>0.282569832091495</v>
      </c>
      <c r="I54" s="17">
        <f>(1-AMD!I40)*Yard!I$23</f>
        <v>0.24423996321392402</v>
      </c>
      <c r="J54" s="17">
        <f>(1-AMD!J40)*Yard!J$23</f>
        <v>0</v>
      </c>
      <c r="K54" s="17">
        <f>(1-AMD!B40)*Yard!K$23</f>
        <v>0.11015829915086825</v>
      </c>
      <c r="L54" s="17">
        <f>(1-AMD!C40)*Yard!L$23</f>
        <v>5.2692340837535351E-2</v>
      </c>
      <c r="M54" s="17">
        <f>(1-AMD!D40)*Yard!M$23</f>
        <v>4.8602614582283633E-2</v>
      </c>
      <c r="N54" s="17">
        <f>(1-AMD!E40)*Yard!N$23</f>
        <v>7.4082327558873784E-2</v>
      </c>
      <c r="O54" s="17">
        <f>(1-AMD!F40)*Yard!O$23</f>
        <v>9.173634512289805E-2</v>
      </c>
      <c r="P54" s="17">
        <f>(1-AMD!G40)*Yard!P$23</f>
        <v>0</v>
      </c>
      <c r="Q54" s="17">
        <f>(1-AMD!H40)*Yard!Q$23</f>
        <v>0.13327113181033451</v>
      </c>
      <c r="R54" s="17">
        <f>(1-AMD!I40)*Yard!R$23</f>
        <v>0.1151932465327527</v>
      </c>
      <c r="S54" s="17">
        <f>(1-AMD!J40)*Yard!S$23</f>
        <v>0</v>
      </c>
      <c r="T54" s="17">
        <f t="shared" ref="T54:T71" si="0">SUM($B54:$S54)</f>
        <v>1.9616191110091303</v>
      </c>
      <c r="U54" s="6"/>
    </row>
    <row r="55" spans="1:21" x14ac:dyDescent="0.2">
      <c r="A55" s="5" t="s">
        <v>54</v>
      </c>
      <c r="B55" s="17">
        <f>(1-AMD!B41)*Yard!B$24</f>
        <v>0</v>
      </c>
      <c r="C55" s="17">
        <f>(1-AMD!C41)*Yard!C$24</f>
        <v>0.10166841809261121</v>
      </c>
      <c r="D55" s="17">
        <f>(1-AMD!D41)*Yard!D$24</f>
        <v>9.3777404100933118E-2</v>
      </c>
      <c r="E55" s="17">
        <f>(1-AMD!E41)*Yard!E$24</f>
        <v>0.14293980741436438</v>
      </c>
      <c r="F55" s="17">
        <f>(1-AMD!F41)*Yard!F$24</f>
        <v>0.17700274730628418</v>
      </c>
      <c r="G55" s="17">
        <f>(1-AMD!G41)*Yard!G$24</f>
        <v>0</v>
      </c>
      <c r="H55" s="17">
        <f>(1-AMD!H41)*Yard!H$24</f>
        <v>0.1800000807184037</v>
      </c>
      <c r="I55" s="17">
        <f>(1-AMD!I41)*Yard!I$24</f>
        <v>0.15558353405161512</v>
      </c>
      <c r="J55" s="17">
        <f>(1-AMD!J41)*Yard!J$24</f>
        <v>0</v>
      </c>
      <c r="K55" s="17">
        <f>(1-AMD!B41)*Yard!K$24</f>
        <v>7.0172044171148334E-2</v>
      </c>
      <c r="L55" s="17">
        <f>(1-AMD!C41)*Yard!L$24</f>
        <v>3.3565598754105225E-2</v>
      </c>
      <c r="M55" s="17">
        <f>(1-AMD!D41)*Yard!M$24</f>
        <v>3.0960398295823033E-2</v>
      </c>
      <c r="N55" s="17">
        <f>(1-AMD!E41)*Yard!N$24</f>
        <v>4.7191254783655559E-2</v>
      </c>
      <c r="O55" s="17">
        <f>(1-AMD!F41)*Yard!O$24</f>
        <v>5.8437057504377513E-2</v>
      </c>
      <c r="P55" s="17">
        <f>(1-AMD!G41)*Yard!P$24</f>
        <v>0</v>
      </c>
      <c r="Q55" s="17">
        <f>(1-AMD!H41)*Yard!Q$24</f>
        <v>8.4895171950011117E-2</v>
      </c>
      <c r="R55" s="17">
        <f>(1-AMD!I41)*Yard!R$24</f>
        <v>7.3379360849096686E-2</v>
      </c>
      <c r="S55" s="17">
        <f>(1-AMD!J41)*Yard!S$24</f>
        <v>0</v>
      </c>
      <c r="T55" s="17">
        <f t="shared" si="0"/>
        <v>1.2495728779924291</v>
      </c>
      <c r="U55" s="6"/>
    </row>
    <row r="56" spans="1:21" x14ac:dyDescent="0.2">
      <c r="A56" s="5" t="s">
        <v>94</v>
      </c>
      <c r="B56" s="17">
        <f>(1-AMD!B42)*Yard!B$25</f>
        <v>0</v>
      </c>
      <c r="C56" s="17">
        <f>(1-AMD!C42)*Yard!C$25</f>
        <v>0</v>
      </c>
      <c r="D56" s="17">
        <f>(1-AMD!D42)*Yard!D$25</f>
        <v>0</v>
      </c>
      <c r="E56" s="17">
        <f>(1-AMD!E42)*Yard!E$25</f>
        <v>0</v>
      </c>
      <c r="F56" s="17">
        <f>(1-AMD!F42)*Yard!F$25</f>
        <v>0</v>
      </c>
      <c r="G56" s="17">
        <f>(1-AMD!G42)*Yard!G$25</f>
        <v>0</v>
      </c>
      <c r="H56" s="17">
        <f>(1-AMD!H42)*Yard!H$25</f>
        <v>0</v>
      </c>
      <c r="I56" s="17">
        <f>(1-AMD!I42)*Yard!I$25</f>
        <v>0</v>
      </c>
      <c r="J56" s="17">
        <f>(1-AMD!J42)*Yard!J$25</f>
        <v>0</v>
      </c>
      <c r="K56" s="17">
        <f>(1-AMD!B42)*Yard!K$25</f>
        <v>0</v>
      </c>
      <c r="L56" s="17">
        <f>(1-AMD!C42)*Yard!L$25</f>
        <v>0</v>
      </c>
      <c r="M56" s="17">
        <f>(1-AMD!D42)*Yard!M$25</f>
        <v>0</v>
      </c>
      <c r="N56" s="17">
        <f>(1-AMD!E42)*Yard!N$25</f>
        <v>0</v>
      </c>
      <c r="O56" s="17">
        <f>(1-AMD!F42)*Yard!O$25</f>
        <v>0</v>
      </c>
      <c r="P56" s="17">
        <f>(1-AMD!G42)*Yard!P$25</f>
        <v>0</v>
      </c>
      <c r="Q56" s="17">
        <f>(1-AMD!H42)*Yard!Q$25</f>
        <v>0</v>
      </c>
      <c r="R56" s="17">
        <f>(1-AMD!I42)*Yard!R$25</f>
        <v>0</v>
      </c>
      <c r="S56" s="17">
        <f>(1-AMD!J42)*Yard!S$25</f>
        <v>0</v>
      </c>
      <c r="T56" s="17">
        <f t="shared" si="0"/>
        <v>0</v>
      </c>
      <c r="U56" s="6"/>
    </row>
    <row r="57" spans="1:21" x14ac:dyDescent="0.2">
      <c r="A57" s="5" t="s">
        <v>55</v>
      </c>
      <c r="B57" s="17">
        <f>(1-AMD!B43)*Yard!B$26</f>
        <v>0</v>
      </c>
      <c r="C57" s="17">
        <f>(1-AMD!C43)*Yard!C$26</f>
        <v>0.13333301791768717</v>
      </c>
      <c r="D57" s="17">
        <f>(1-AMD!D43)*Yard!D$26</f>
        <v>0.12298434986835514</v>
      </c>
      <c r="E57" s="17">
        <f>(1-AMD!E43)*Yard!E$26</f>
        <v>0.18745836967552165</v>
      </c>
      <c r="F57" s="17">
        <f>(1-AMD!F43)*Yard!F$26</f>
        <v>0.23213020248402785</v>
      </c>
      <c r="G57" s="17">
        <f>(1-AMD!G43)*Yard!G$26</f>
        <v>0</v>
      </c>
      <c r="H57" s="17">
        <f>(1-AMD!H43)*Yard!H$26</f>
        <v>0.23606105453268844</v>
      </c>
      <c r="I57" s="17">
        <f>(1-AMD!I43)*Yard!I$26</f>
        <v>0.20403998136869517</v>
      </c>
      <c r="J57" s="17">
        <f>(1-AMD!J43)*Yard!J$26</f>
        <v>0</v>
      </c>
      <c r="K57" s="17">
        <f>(1-AMD!B43)*Yard!K$26</f>
        <v>9.2027107319302595E-2</v>
      </c>
      <c r="L57" s="17">
        <f>(1-AMD!C43)*Yard!L$26</f>
        <v>4.4019594915131882E-2</v>
      </c>
      <c r="M57" s="17">
        <f>(1-AMD!D43)*Yard!M$26</f>
        <v>4.0603005516968022E-2</v>
      </c>
      <c r="N57" s="17">
        <f>(1-AMD!E43)*Yard!N$26</f>
        <v>6.1888957629848002E-2</v>
      </c>
      <c r="O57" s="17">
        <f>(1-AMD!F43)*Yard!O$26</f>
        <v>7.6637262401295689E-2</v>
      </c>
      <c r="P57" s="17">
        <f>(1-AMD!G43)*Yard!P$26</f>
        <v>0</v>
      </c>
      <c r="Q57" s="17">
        <f>(1-AMD!H43)*Yard!Q$26</f>
        <v>0.11133574904671997</v>
      </c>
      <c r="R57" s="17">
        <f>(1-AMD!I43)*Yard!R$26</f>
        <v>9.6233341862059424E-2</v>
      </c>
      <c r="S57" s="17">
        <f>(1-AMD!J43)*Yard!S$26</f>
        <v>0</v>
      </c>
      <c r="T57" s="17">
        <f t="shared" si="0"/>
        <v>1.6387519945383007</v>
      </c>
      <c r="U57" s="6"/>
    </row>
    <row r="58" spans="1:21" x14ac:dyDescent="0.2">
      <c r="A58" s="5" t="s">
        <v>56</v>
      </c>
      <c r="B58" s="17">
        <f>(1-AMD!B44)*Yard!B$27</f>
        <v>0</v>
      </c>
      <c r="C58" s="17">
        <f>(1-AMD!C44)*Yard!C$27</f>
        <v>0.1017552999034574</v>
      </c>
      <c r="D58" s="17">
        <f>(1-AMD!D44)*Yard!D$27</f>
        <v>9.3857542563177326E-2</v>
      </c>
      <c r="E58" s="17">
        <f>(1-AMD!E44)*Yard!E$27</f>
        <v>0.14306195812294392</v>
      </c>
      <c r="F58" s="17">
        <f>(1-AMD!F44)*Yard!F$27</f>
        <v>0.1771540068566857</v>
      </c>
      <c r="G58" s="17">
        <f>(1-AMD!G44)*Yard!G$27</f>
        <v>0</v>
      </c>
      <c r="H58" s="17">
        <f>(1-AMD!H44)*Yard!H$27</f>
        <v>0.18015390167144574</v>
      </c>
      <c r="I58" s="17">
        <f>(1-AMD!I44)*Yard!I$27</f>
        <v>0.15571648958913462</v>
      </c>
      <c r="J58" s="17">
        <f>(1-AMD!J44)*Yard!J$27</f>
        <v>0</v>
      </c>
      <c r="K58" s="17">
        <f>(1-AMD!B44)*Yard!K$27</f>
        <v>7.0232010425986854E-2</v>
      </c>
      <c r="L58" s="17">
        <f>(1-AMD!C44)*Yard!L$27</f>
        <v>3.359428258785227E-2</v>
      </c>
      <c r="M58" s="17">
        <f>(1-AMD!D44)*Yard!M$27</f>
        <v>3.0986855828249775E-2</v>
      </c>
      <c r="N58" s="17">
        <f>(1-AMD!E44)*Yard!N$27</f>
        <v>4.7231582564382646E-2</v>
      </c>
      <c r="O58" s="17">
        <f>(1-AMD!F44)*Yard!O$27</f>
        <v>5.8486995503529621E-2</v>
      </c>
      <c r="P58" s="17">
        <f>(1-AMD!G44)*Yard!P$27</f>
        <v>0</v>
      </c>
      <c r="Q58" s="17">
        <f>(1-AMD!H44)*Yard!Q$27</f>
        <v>8.4967720007800299E-2</v>
      </c>
      <c r="R58" s="17">
        <f>(1-AMD!I44)*Yard!R$27</f>
        <v>7.3442067949973364E-2</v>
      </c>
      <c r="S58" s="17">
        <f>(1-AMD!J44)*Yard!S$27</f>
        <v>0</v>
      </c>
      <c r="T58" s="17">
        <f t="shared" si="0"/>
        <v>1.2506407135746196</v>
      </c>
      <c r="U58" s="6"/>
    </row>
    <row r="59" spans="1:21" x14ac:dyDescent="0.2">
      <c r="A59" s="5" t="s">
        <v>95</v>
      </c>
      <c r="B59" s="17">
        <f>(1-AMD!B45)*Yard!B$28</f>
        <v>0</v>
      </c>
      <c r="C59" s="17">
        <f>(1-AMD!C45)*Yard!C$28</f>
        <v>0</v>
      </c>
      <c r="D59" s="17">
        <f>(1-AMD!D45)*Yard!D$28</f>
        <v>0</v>
      </c>
      <c r="E59" s="17">
        <f>(1-AMD!E45)*Yard!E$28</f>
        <v>0</v>
      </c>
      <c r="F59" s="17">
        <f>(1-AMD!F45)*Yard!F$28</f>
        <v>0</v>
      </c>
      <c r="G59" s="17">
        <f>(1-AMD!G45)*Yard!G$28</f>
        <v>0</v>
      </c>
      <c r="H59" s="17">
        <f>(1-AMD!H45)*Yard!H$28</f>
        <v>0</v>
      </c>
      <c r="I59" s="17">
        <f>(1-AMD!I45)*Yard!I$28</f>
        <v>0</v>
      </c>
      <c r="J59" s="17">
        <f>(1-AMD!J45)*Yard!J$28</f>
        <v>0</v>
      </c>
      <c r="K59" s="17">
        <f>(1-AMD!B45)*Yard!K$28</f>
        <v>0</v>
      </c>
      <c r="L59" s="17">
        <f>(1-AMD!C45)*Yard!L$28</f>
        <v>0</v>
      </c>
      <c r="M59" s="17">
        <f>(1-AMD!D45)*Yard!M$28</f>
        <v>0</v>
      </c>
      <c r="N59" s="17">
        <f>(1-AMD!E45)*Yard!N$28</f>
        <v>0</v>
      </c>
      <c r="O59" s="17">
        <f>(1-AMD!F45)*Yard!O$28</f>
        <v>0</v>
      </c>
      <c r="P59" s="17">
        <f>(1-AMD!G45)*Yard!P$28</f>
        <v>0</v>
      </c>
      <c r="Q59" s="17">
        <f>(1-AMD!H45)*Yard!Q$28</f>
        <v>0</v>
      </c>
      <c r="R59" s="17">
        <f>(1-AMD!I45)*Yard!R$28</f>
        <v>0</v>
      </c>
      <c r="S59" s="17">
        <f>(1-AMD!J45)*Yard!S$28</f>
        <v>0</v>
      </c>
      <c r="T59" s="17">
        <f t="shared" si="0"/>
        <v>0</v>
      </c>
      <c r="U59" s="6"/>
    </row>
    <row r="60" spans="1:21" x14ac:dyDescent="0.2">
      <c r="A60" s="5" t="s">
        <v>57</v>
      </c>
      <c r="B60" s="17">
        <f>(1-AMD!B46)*Yard!B$29</f>
        <v>0</v>
      </c>
      <c r="C60" s="17">
        <f>(1-AMD!C46)*Yard!C$29</f>
        <v>0.1105290234880635</v>
      </c>
      <c r="D60" s="17">
        <f>(1-AMD!D46)*Yard!D$29</f>
        <v>0.1019502918898563</v>
      </c>
      <c r="E60" s="17">
        <f>(1-AMD!E46)*Yard!E$29</f>
        <v>0.1553972966972893</v>
      </c>
      <c r="F60" s="17">
        <f>(1-AMD!F46)*Yard!F$29</f>
        <v>0.1924288897329649</v>
      </c>
      <c r="G60" s="17">
        <f>(1-AMD!G46)*Yard!G$29</f>
        <v>0</v>
      </c>
      <c r="H60" s="17">
        <f>(1-AMD!H46)*Yard!H$29</f>
        <v>0.19568744672957264</v>
      </c>
      <c r="I60" s="17">
        <f>(1-AMD!I46)*Yard!I$29</f>
        <v>0.16914294932652901</v>
      </c>
      <c r="J60" s="17">
        <f>(1-AMD!J46)*Yard!J$29</f>
        <v>0</v>
      </c>
      <c r="K60" s="17">
        <f>(1-AMD!B46)*Yard!K$29</f>
        <v>7.6287677765706857E-2</v>
      </c>
      <c r="L60" s="17">
        <f>(1-AMD!C46)*Yard!L$29</f>
        <v>3.6490907625846454E-2</v>
      </c>
      <c r="M60" s="17">
        <f>(1-AMD!D46)*Yard!M$29</f>
        <v>3.3658658752038974E-2</v>
      </c>
      <c r="N60" s="17">
        <f>(1-AMD!E46)*Yard!N$29</f>
        <v>5.130406675219952E-2</v>
      </c>
      <c r="O60" s="17">
        <f>(1-AMD!F46)*Yard!O$29</f>
        <v>6.3529963607686646E-2</v>
      </c>
      <c r="P60" s="17">
        <f>(1-AMD!G46)*Yard!P$29</f>
        <v>0</v>
      </c>
      <c r="Q60" s="17">
        <f>(1-AMD!H46)*Yard!Q$29</f>
        <v>9.2293955493027491E-2</v>
      </c>
      <c r="R60" s="17">
        <f>(1-AMD!I46)*Yard!R$29</f>
        <v>7.97745184885328E-2</v>
      </c>
      <c r="S60" s="17">
        <f>(1-AMD!J46)*Yard!S$29</f>
        <v>0</v>
      </c>
      <c r="T60" s="17">
        <f t="shared" si="0"/>
        <v>1.3584756463493144</v>
      </c>
      <c r="U60" s="6"/>
    </row>
    <row r="61" spans="1:21" x14ac:dyDescent="0.2">
      <c r="A61" s="5" t="s">
        <v>58</v>
      </c>
      <c r="B61" s="17">
        <f>(1-AMD!B47)*Yard!B$30</f>
        <v>0</v>
      </c>
      <c r="C61" s="17">
        <f>(1-AMD!C47)*Yard!C$30</f>
        <v>0.10427219835965973</v>
      </c>
      <c r="D61" s="17">
        <f>(1-AMD!D47)*Yard!D$30</f>
        <v>9.6179091457479021E-2</v>
      </c>
      <c r="E61" s="17">
        <f>(1-AMD!E47)*Yard!E$30</f>
        <v>0.14660056910323235</v>
      </c>
      <c r="F61" s="17">
        <f>(1-AMD!F47)*Yard!F$30</f>
        <v>0.18153587833454177</v>
      </c>
      <c r="G61" s="17">
        <f>(1-AMD!G47)*Yard!G$30</f>
        <v>0</v>
      </c>
      <c r="H61" s="17">
        <f>(1-AMD!H47)*Yard!H$30</f>
        <v>0.18460997499073117</v>
      </c>
      <c r="I61" s="17">
        <f>(1-AMD!I47)*Yard!I$30</f>
        <v>0</v>
      </c>
      <c r="J61" s="17">
        <f>(1-AMD!J47)*Yard!J$30</f>
        <v>0</v>
      </c>
      <c r="K61" s="17">
        <f>(1-AMD!B47)*Yard!K$30</f>
        <v>7.1969186168035312E-2</v>
      </c>
      <c r="L61" s="17">
        <f>(1-AMD!C47)*Yard!L$30</f>
        <v>3.4425230932192193E-2</v>
      </c>
      <c r="M61" s="17">
        <f>(1-AMD!D47)*Yard!M$30</f>
        <v>3.1753309955658199E-2</v>
      </c>
      <c r="N61" s="17">
        <f>(1-AMD!E47)*Yard!N$30</f>
        <v>4.8399846992408256E-2</v>
      </c>
      <c r="O61" s="17">
        <f>(1-AMD!F47)*Yard!O$30</f>
        <v>5.9933660481475838E-2</v>
      </c>
      <c r="P61" s="17">
        <f>(1-AMD!G47)*Yard!P$30</f>
        <v>0</v>
      </c>
      <c r="Q61" s="17">
        <f>(1-AMD!H47)*Yard!Q$30</f>
        <v>8.7069380791244155E-2</v>
      </c>
      <c r="R61" s="17">
        <f>(1-AMD!I47)*Yard!R$30</f>
        <v>0</v>
      </c>
      <c r="S61" s="17">
        <f>(1-AMD!J47)*Yard!S$30</f>
        <v>0</v>
      </c>
      <c r="T61" s="17">
        <f t="shared" si="0"/>
        <v>1.0467483275666578</v>
      </c>
      <c r="U61" s="6"/>
    </row>
    <row r="62" spans="1:21" x14ac:dyDescent="0.2">
      <c r="A62" s="5" t="s">
        <v>72</v>
      </c>
      <c r="B62" s="17">
        <f>(1-AMD!B48)*Yard!B$31</f>
        <v>0</v>
      </c>
      <c r="C62" s="17">
        <f>(1-AMD!C48)*Yard!C$31</f>
        <v>0.10608573704048159</v>
      </c>
      <c r="D62" s="17">
        <f>(1-AMD!D48)*Yard!D$31</f>
        <v>9.7851871981802535E-2</v>
      </c>
      <c r="E62" s="17">
        <f>(1-AMD!E48)*Yard!E$31</f>
        <v>0.11932023813463373</v>
      </c>
      <c r="F62" s="17">
        <f>(1-AMD!F48)*Yard!F$31</f>
        <v>0</v>
      </c>
      <c r="G62" s="17">
        <f>(1-AMD!G48)*Yard!G$31</f>
        <v>0</v>
      </c>
      <c r="H62" s="17">
        <f>(1-AMD!H48)*Yard!H$31</f>
        <v>0</v>
      </c>
      <c r="I62" s="17">
        <f>(1-AMD!I48)*Yard!I$31</f>
        <v>0</v>
      </c>
      <c r="J62" s="17">
        <f>(1-AMD!J48)*Yard!J$31</f>
        <v>0</v>
      </c>
      <c r="K62" s="17">
        <f>(1-AMD!B48)*Yard!K$31</f>
        <v>7.3220899520167859E-2</v>
      </c>
      <c r="L62" s="17">
        <f>(1-AMD!C48)*Yard!L$31</f>
        <v>3.5023966634267018E-2</v>
      </c>
      <c r="M62" s="17">
        <f>(1-AMD!D48)*Yard!M$31</f>
        <v>3.230557467007502E-2</v>
      </c>
      <c r="N62" s="17">
        <f>(1-AMD!E48)*Yard!N$31</f>
        <v>3.939330729846844E-2</v>
      </c>
      <c r="O62" s="17">
        <f>(1-AMD!F48)*Yard!O$31</f>
        <v>0</v>
      </c>
      <c r="P62" s="17">
        <f>(1-AMD!G48)*Yard!P$31</f>
        <v>0</v>
      </c>
      <c r="Q62" s="17">
        <f>(1-AMD!H48)*Yard!Q$31</f>
        <v>0</v>
      </c>
      <c r="R62" s="17">
        <f>(1-AMD!I48)*Yard!R$31</f>
        <v>0</v>
      </c>
      <c r="S62" s="17">
        <f>(1-AMD!J48)*Yard!S$31</f>
        <v>0</v>
      </c>
      <c r="T62" s="17">
        <f t="shared" si="0"/>
        <v>0.50320159527989616</v>
      </c>
      <c r="U62" s="6"/>
    </row>
    <row r="63" spans="1:21" x14ac:dyDescent="0.2">
      <c r="A63" s="5" t="s">
        <v>59</v>
      </c>
      <c r="B63" s="17">
        <f>(1-AMD!B49)*Yard!B$32</f>
        <v>0</v>
      </c>
      <c r="C63" s="17">
        <f>(1-AMD!C49)*Yard!C$32</f>
        <v>8.5281231958534265E-2</v>
      </c>
      <c r="D63" s="17">
        <f>(1-AMD!D49)*Yard!D$32</f>
        <v>7.8662112597403522E-2</v>
      </c>
      <c r="E63" s="17">
        <f>(1-AMD!E49)*Yard!E$32</f>
        <v>0.11990038893994112</v>
      </c>
      <c r="F63" s="17">
        <f>(1-AMD!F49)*Yard!F$32</f>
        <v>0.14847297354990602</v>
      </c>
      <c r="G63" s="17">
        <f>(1-AMD!G49)*Yard!G$32</f>
        <v>0</v>
      </c>
      <c r="H63" s="17">
        <f>(1-AMD!H49)*Yard!H$32</f>
        <v>0.12078975103020076</v>
      </c>
      <c r="I63" s="17">
        <f>(1-AMD!I49)*Yard!I$32</f>
        <v>0</v>
      </c>
      <c r="J63" s="17">
        <f>(1-AMD!J49)*Yard!J$32</f>
        <v>0</v>
      </c>
      <c r="K63" s="17">
        <f>(1-AMD!B49)*Yard!K$32</f>
        <v>5.8861527387127993E-2</v>
      </c>
      <c r="L63" s="17">
        <f>(1-AMD!C49)*Yard!L$32</f>
        <v>2.815540624000298E-2</v>
      </c>
      <c r="M63" s="17">
        <f>(1-AMD!D49)*Yard!M$32</f>
        <v>2.5970118923160281E-2</v>
      </c>
      <c r="N63" s="17">
        <f>(1-AMD!E49)*Yard!N$32</f>
        <v>3.9584842777362982E-2</v>
      </c>
      <c r="O63" s="17">
        <f>(1-AMD!F49)*Yard!O$32</f>
        <v>4.9018017094211178E-2</v>
      </c>
      <c r="P63" s="17">
        <f>(1-AMD!G49)*Yard!P$32</f>
        <v>0</v>
      </c>
      <c r="Q63" s="17">
        <f>(1-AMD!H49)*Yard!Q$32</f>
        <v>5.6969233805790623E-2</v>
      </c>
      <c r="R63" s="17">
        <f>(1-AMD!I49)*Yard!R$32</f>
        <v>0</v>
      </c>
      <c r="S63" s="17">
        <f>(1-AMD!J49)*Yard!S$32</f>
        <v>0</v>
      </c>
      <c r="T63" s="17">
        <f t="shared" si="0"/>
        <v>0.81166560430364176</v>
      </c>
      <c r="U63" s="6"/>
    </row>
    <row r="64" spans="1:21" x14ac:dyDescent="0.2">
      <c r="A64" s="5" t="s">
        <v>60</v>
      </c>
      <c r="B64" s="17">
        <f>(1-AMD!B50)*Yard!B$33</f>
        <v>0</v>
      </c>
      <c r="C64" s="17">
        <f>(1-AMD!C50)*Yard!C$33</f>
        <v>9.3185770851482691E-2</v>
      </c>
      <c r="D64" s="17">
        <f>(1-AMD!D50)*Yard!D$33</f>
        <v>8.5953139170870385E-2</v>
      </c>
      <c r="E64" s="17">
        <f>(1-AMD!E50)*Yard!E$33</f>
        <v>0.13101370503411089</v>
      </c>
      <c r="F64" s="17">
        <f>(1-AMD!F50)*Yard!F$33</f>
        <v>0.16223462270792441</v>
      </c>
      <c r="G64" s="17">
        <f>(1-AMD!G50)*Yard!G$33</f>
        <v>0</v>
      </c>
      <c r="H64" s="17">
        <f>(1-AMD!H50)*Yard!H$33</f>
        <v>0</v>
      </c>
      <c r="I64" s="17">
        <f>(1-AMD!I50)*Yard!I$33</f>
        <v>0</v>
      </c>
      <c r="J64" s="17">
        <f>(1-AMD!J50)*Yard!J$33</f>
        <v>0</v>
      </c>
      <c r="K64" s="17">
        <f>(1-AMD!B50)*Yard!K$33</f>
        <v>6.4317279160931273E-2</v>
      </c>
      <c r="L64" s="17">
        <f>(1-AMD!C50)*Yard!L$33</f>
        <v>3.0765071913912072E-2</v>
      </c>
      <c r="M64" s="17">
        <f>(1-AMD!D50)*Yard!M$33</f>
        <v>2.8377234889571615E-2</v>
      </c>
      <c r="N64" s="17">
        <f>(1-AMD!E50)*Yard!N$33</f>
        <v>4.3253879001617486E-2</v>
      </c>
      <c r="O64" s="17">
        <f>(1-AMD!F50)*Yard!O$33</f>
        <v>5.3561394501854605E-2</v>
      </c>
      <c r="P64" s="17">
        <f>(1-AMD!G50)*Yard!P$33</f>
        <v>0</v>
      </c>
      <c r="Q64" s="17">
        <f>(1-AMD!H50)*Yard!Q$33</f>
        <v>0</v>
      </c>
      <c r="R64" s="17">
        <f>(1-AMD!I50)*Yard!R$33</f>
        <v>0</v>
      </c>
      <c r="S64" s="17">
        <f>(1-AMD!J50)*Yard!S$33</f>
        <v>0</v>
      </c>
      <c r="T64" s="17">
        <f t="shared" si="0"/>
        <v>0.69266209723227556</v>
      </c>
      <c r="U64" s="6"/>
    </row>
    <row r="65" spans="1:21" x14ac:dyDescent="0.2">
      <c r="A65" s="5" t="s">
        <v>73</v>
      </c>
      <c r="B65" s="17">
        <f>(1-AMD!B51)*Yard!B$34</f>
        <v>0</v>
      </c>
      <c r="C65" s="17">
        <f>(1-AMD!C51)*Yard!C$34</f>
        <v>8.1893668187458413E-2</v>
      </c>
      <c r="D65" s="17">
        <f>(1-AMD!D51)*Yard!D$34</f>
        <v>7.5537475245532018E-2</v>
      </c>
      <c r="E65" s="17">
        <f>(1-AMD!E51)*Yard!E$34</f>
        <v>9.2110139048357215E-2</v>
      </c>
      <c r="F65" s="17">
        <f>(1-AMD!F51)*Yard!F$34</f>
        <v>0</v>
      </c>
      <c r="G65" s="17">
        <f>(1-AMD!G51)*Yard!G$34</f>
        <v>0</v>
      </c>
      <c r="H65" s="17">
        <f>(1-AMD!H51)*Yard!H$34</f>
        <v>0</v>
      </c>
      <c r="I65" s="17">
        <f>(1-AMD!I51)*Yard!I$34</f>
        <v>0</v>
      </c>
      <c r="J65" s="17">
        <f>(1-AMD!J51)*Yard!J$34</f>
        <v>0</v>
      </c>
      <c r="K65" s="17">
        <f>(1-AMD!B51)*Yard!K$34</f>
        <v>5.6523414145708419E-2</v>
      </c>
      <c r="L65" s="17">
        <f>(1-AMD!C51)*Yard!L$34</f>
        <v>2.7037009707165223E-2</v>
      </c>
      <c r="M65" s="17">
        <f>(1-AMD!D51)*Yard!M$34</f>
        <v>2.4938526954162873E-2</v>
      </c>
      <c r="N65" s="17">
        <f>(1-AMD!E51)*Yard!N$34</f>
        <v>3.040995450195454E-2</v>
      </c>
      <c r="O65" s="17">
        <f>(1-AMD!F51)*Yard!O$34</f>
        <v>0</v>
      </c>
      <c r="P65" s="17">
        <f>(1-AMD!G51)*Yard!P$34</f>
        <v>0</v>
      </c>
      <c r="Q65" s="17">
        <f>(1-AMD!H51)*Yard!Q$34</f>
        <v>0</v>
      </c>
      <c r="R65" s="17">
        <f>(1-AMD!I51)*Yard!R$34</f>
        <v>0</v>
      </c>
      <c r="S65" s="17">
        <f>(1-AMD!J51)*Yard!S$34</f>
        <v>0</v>
      </c>
      <c r="T65" s="17">
        <f t="shared" si="0"/>
        <v>0.38845018779033869</v>
      </c>
      <c r="U65" s="6"/>
    </row>
    <row r="66" spans="1:21" x14ac:dyDescent="0.2">
      <c r="A66" s="5" t="s">
        <v>74</v>
      </c>
      <c r="B66" s="17">
        <f>(1-AMD!B52)*Yard!B$35</f>
        <v>0</v>
      </c>
      <c r="C66" s="17">
        <f>(1-AMD!C52)*Yard!C$35</f>
        <v>8.0947831788758223E-2</v>
      </c>
      <c r="D66" s="17">
        <f>(1-AMD!D52)*Yard!D$35</f>
        <v>7.4665050122388249E-2</v>
      </c>
      <c r="E66" s="17">
        <f>(1-AMD!E52)*Yard!E$35</f>
        <v>0</v>
      </c>
      <c r="F66" s="17">
        <f>(1-AMD!F52)*Yard!F$35</f>
        <v>0</v>
      </c>
      <c r="G66" s="17">
        <f>(1-AMD!G52)*Yard!G$35</f>
        <v>0</v>
      </c>
      <c r="H66" s="17">
        <f>(1-AMD!H52)*Yard!H$35</f>
        <v>0</v>
      </c>
      <c r="I66" s="17">
        <f>(1-AMD!I52)*Yard!I$35</f>
        <v>0</v>
      </c>
      <c r="J66" s="17">
        <f>(1-AMD!J52)*Yard!J$35</f>
        <v>0</v>
      </c>
      <c r="K66" s="17">
        <f>(1-AMD!B52)*Yard!K$35</f>
        <v>5.5870593193111211E-2</v>
      </c>
      <c r="L66" s="17">
        <f>(1-AMD!C52)*Yard!L$35</f>
        <v>2.6724743955013168E-2</v>
      </c>
      <c r="M66" s="17">
        <f>(1-AMD!D52)*Yard!M$35</f>
        <v>2.4650497768936738E-2</v>
      </c>
      <c r="N66" s="17">
        <f>(1-AMD!E52)*Yard!N$35</f>
        <v>0</v>
      </c>
      <c r="O66" s="17">
        <f>(1-AMD!F52)*Yard!O$35</f>
        <v>0</v>
      </c>
      <c r="P66" s="17">
        <f>(1-AMD!G52)*Yard!P$35</f>
        <v>0</v>
      </c>
      <c r="Q66" s="17">
        <f>(1-AMD!H52)*Yard!Q$35</f>
        <v>0</v>
      </c>
      <c r="R66" s="17">
        <f>(1-AMD!I52)*Yard!R$35</f>
        <v>0</v>
      </c>
      <c r="S66" s="17">
        <f>(1-AMD!J52)*Yard!S$35</f>
        <v>0</v>
      </c>
      <c r="T66" s="17">
        <f t="shared" si="0"/>
        <v>0.26285871682820761</v>
      </c>
      <c r="U66" s="6"/>
    </row>
    <row r="67" spans="1:21" x14ac:dyDescent="0.2">
      <c r="A67" s="5" t="s">
        <v>96</v>
      </c>
      <c r="B67" s="17">
        <f>(1-AMD!B53)*Yard!B$36</f>
        <v>0</v>
      </c>
      <c r="C67" s="17">
        <f>(1-AMD!C53)*Yard!C$36</f>
        <v>7.3062876189217529E-2</v>
      </c>
      <c r="D67" s="17">
        <f>(1-AMD!D53)*Yard!D$36</f>
        <v>6.7392086881212551E-2</v>
      </c>
      <c r="E67" s="17">
        <f>(1-AMD!E53)*Yard!E$36</f>
        <v>0.10272210040794662</v>
      </c>
      <c r="F67" s="17">
        <f>(1-AMD!F53)*Yard!F$36</f>
        <v>0.12720105273803078</v>
      </c>
      <c r="G67" s="17">
        <f>(1-AMD!G53)*Yard!G$36</f>
        <v>0</v>
      </c>
      <c r="H67" s="17">
        <f>(1-AMD!H53)*Yard!H$36</f>
        <v>0.12935505300769179</v>
      </c>
      <c r="I67" s="17">
        <f>(1-AMD!I53)*Yard!I$36</f>
        <v>0.11180837371876251</v>
      </c>
      <c r="J67" s="17">
        <f>(1-AMD!J53)*Yard!J$36</f>
        <v>2.8489503594345657E-3</v>
      </c>
      <c r="K67" s="17">
        <f>(1-AMD!B53)*Yard!K$36</f>
        <v>5.0428357905113505E-2</v>
      </c>
      <c r="L67" s="17">
        <f>(1-AMD!C53)*Yard!L$36</f>
        <v>2.4121543661220535E-2</v>
      </c>
      <c r="M67" s="17">
        <f>(1-AMD!D53)*Yard!M$36</f>
        <v>2.2249345370909987E-2</v>
      </c>
      <c r="N67" s="17">
        <f>(1-AMD!E53)*Yard!N$36</f>
        <v>3.3913469592211802E-2</v>
      </c>
      <c r="O67" s="17">
        <f>(1-AMD!F53)*Yard!O$36</f>
        <v>4.1995140451731042E-2</v>
      </c>
      <c r="P67" s="17">
        <f>(1-AMD!G53)*Yard!P$36</f>
        <v>0</v>
      </c>
      <c r="Q67" s="17">
        <f>(1-AMD!H53)*Yard!Q$36</f>
        <v>6.100896968413419E-2</v>
      </c>
      <c r="R67" s="17">
        <f>(1-AMD!I53)*Yard!R$36</f>
        <v>5.2733260309782509E-2</v>
      </c>
      <c r="S67" s="17">
        <f>(1-AMD!J53)*Yard!S$36</f>
        <v>3.1352484356888054E-2</v>
      </c>
      <c r="T67" s="17">
        <f t="shared" si="0"/>
        <v>0.93219306463428786</v>
      </c>
      <c r="U67" s="6"/>
    </row>
    <row r="68" spans="1:21" x14ac:dyDescent="0.2">
      <c r="A68" s="5" t="s">
        <v>97</v>
      </c>
      <c r="B68" s="17">
        <f>(1-AMD!B54)*Yard!B$37</f>
        <v>0</v>
      </c>
      <c r="C68" s="17">
        <f>(1-AMD!C54)*Yard!C$37</f>
        <v>0.15403169646933368</v>
      </c>
      <c r="D68" s="17">
        <f>(1-AMD!D54)*Yard!D$37</f>
        <v>0.1420764964691307</v>
      </c>
      <c r="E68" s="17">
        <f>(1-AMD!E54)*Yard!E$37</f>
        <v>0.2165594925356128</v>
      </c>
      <c r="F68" s="17">
        <f>(1-AMD!F54)*Yard!F$37</f>
        <v>0.26816620105650263</v>
      </c>
      <c r="G68" s="17">
        <f>(1-AMD!G54)*Yard!G$37</f>
        <v>0</v>
      </c>
      <c r="H68" s="17">
        <f>(1-AMD!H54)*Yard!H$37</f>
        <v>0.27270728037114716</v>
      </c>
      <c r="I68" s="17">
        <f>(1-AMD!I54)*Yard!I$37</f>
        <v>0.23571524119549847</v>
      </c>
      <c r="J68" s="17">
        <f>(1-AMD!J54)*Yard!J$37</f>
        <v>6.0061782386468046E-3</v>
      </c>
      <c r="K68" s="17">
        <f>(1-AMD!B54)*Yard!K$37</f>
        <v>0.10631343745859392</v>
      </c>
      <c r="L68" s="17">
        <f>(1-AMD!C54)*Yard!L$37</f>
        <v>5.0853216919281699E-2</v>
      </c>
      <c r="M68" s="17">
        <f>(1-AMD!D54)*Yard!M$37</f>
        <v>4.6906234623694532E-2</v>
      </c>
      <c r="N68" s="17">
        <f>(1-AMD!E54)*Yard!N$37</f>
        <v>7.1496627656994091E-2</v>
      </c>
      <c r="O68" s="17">
        <f>(1-AMD!F54)*Yard!O$37</f>
        <v>8.8534465991946434E-2</v>
      </c>
      <c r="P68" s="17">
        <f>(1-AMD!G54)*Yard!P$37</f>
        <v>0</v>
      </c>
      <c r="Q68" s="17">
        <f>(1-AMD!H54)*Yard!Q$37</f>
        <v>0.12861956153979295</v>
      </c>
      <c r="R68" s="17">
        <f>(1-AMD!I54)*Yard!R$37</f>
        <v>0.11117264977139642</v>
      </c>
      <c r="S68" s="17">
        <f>(1-AMD!J54)*Yard!S$37</f>
        <v>6.6097539624814391E-2</v>
      </c>
      <c r="T68" s="17">
        <f t="shared" si="0"/>
        <v>1.9652563199223869</v>
      </c>
      <c r="U68" s="6"/>
    </row>
    <row r="69" spans="1:21" x14ac:dyDescent="0.2">
      <c r="A69" s="5" t="s">
        <v>98</v>
      </c>
      <c r="B69" s="17">
        <f>(1-AMD!B55)*Yard!B$38</f>
        <v>0</v>
      </c>
      <c r="C69" s="17">
        <f>(1-AMD!C55)*Yard!C$38</f>
        <v>0.28316731623194691</v>
      </c>
      <c r="D69" s="17">
        <f>(1-AMD!D55)*Yard!D$38</f>
        <v>0.26118923005442019</v>
      </c>
      <c r="E69" s="17">
        <f>(1-AMD!E55)*Yard!E$38</f>
        <v>0.39811656763821068</v>
      </c>
      <c r="F69" s="17">
        <f>(1-AMD!F55)*Yard!F$38</f>
        <v>0.49298881462624583</v>
      </c>
      <c r="G69" s="17">
        <f>(1-AMD!G55)*Yard!G$38</f>
        <v>0</v>
      </c>
      <c r="H69" s="17">
        <f>(1-AMD!H55)*Yard!H$38</f>
        <v>0.50133700056328967</v>
      </c>
      <c r="I69" s="17">
        <f>(1-AMD!I55)*Yard!I$38</f>
        <v>0.43333192955895317</v>
      </c>
      <c r="J69" s="17">
        <f>(1-AMD!J55)*Yard!J$38</f>
        <v>1.1041580477476219E-2</v>
      </c>
      <c r="K69" s="17">
        <f>(1-AMD!B55)*Yard!K$38</f>
        <v>0.1954434798459582</v>
      </c>
      <c r="L69" s="17">
        <f>(1-AMD!C55)*Yard!L$38</f>
        <v>9.3487050307603001E-2</v>
      </c>
      <c r="M69" s="17">
        <f>(1-AMD!D55)*Yard!M$38</f>
        <v>8.6231034763562392E-2</v>
      </c>
      <c r="N69" s="17">
        <f>(1-AMD!E55)*Yard!N$38</f>
        <v>0.13143728620359968</v>
      </c>
      <c r="O69" s="17">
        <f>(1-AMD!F55)*Yard!O$38</f>
        <v>0.16275914440739322</v>
      </c>
      <c r="P69" s="17">
        <f>(1-AMD!G55)*Yard!P$38</f>
        <v>0</v>
      </c>
      <c r="Q69" s="17">
        <f>(1-AMD!H55)*Yard!Q$38</f>
        <v>0.23645039878791418</v>
      </c>
      <c r="R69" s="17">
        <f>(1-AMD!I55)*Yard!R$38</f>
        <v>0.20437651207995339</v>
      </c>
      <c r="S69" s="17">
        <f>(1-AMD!J55)*Yard!S$38</f>
        <v>0.12151176241066573</v>
      </c>
      <c r="T69" s="17">
        <f t="shared" si="0"/>
        <v>3.6128691079571924</v>
      </c>
      <c r="U69" s="6"/>
    </row>
    <row r="70" spans="1:21" x14ac:dyDescent="0.2">
      <c r="A70" s="5" t="s">
        <v>99</v>
      </c>
      <c r="B70" s="17">
        <f>(1-AMD!B56)*Yard!B$39</f>
        <v>0</v>
      </c>
      <c r="C70" s="17">
        <f>(1-AMD!C56)*Yard!C$39</f>
        <v>0</v>
      </c>
      <c r="D70" s="17">
        <f>(1-AMD!D56)*Yard!D$39</f>
        <v>0</v>
      </c>
      <c r="E70" s="17">
        <f>(1-AMD!E56)*Yard!E$39</f>
        <v>0</v>
      </c>
      <c r="F70" s="17">
        <f>(1-AMD!F56)*Yard!F$39</f>
        <v>0</v>
      </c>
      <c r="G70" s="17">
        <f>(1-AMD!G56)*Yard!G$39</f>
        <v>0</v>
      </c>
      <c r="H70" s="17">
        <f>(1-AMD!H56)*Yard!H$39</f>
        <v>0</v>
      </c>
      <c r="I70" s="17">
        <f>(1-AMD!I56)*Yard!I$39</f>
        <v>0</v>
      </c>
      <c r="J70" s="17">
        <f>(1-AMD!J56)*Yard!J$39</f>
        <v>0</v>
      </c>
      <c r="K70" s="17">
        <f>(1-AMD!B56)*Yard!K$39</f>
        <v>0</v>
      </c>
      <c r="L70" s="17">
        <f>(1-AMD!C56)*Yard!L$39</f>
        <v>0</v>
      </c>
      <c r="M70" s="17">
        <f>(1-AMD!D56)*Yard!M$39</f>
        <v>0</v>
      </c>
      <c r="N70" s="17">
        <f>(1-AMD!E56)*Yard!N$39</f>
        <v>0</v>
      </c>
      <c r="O70" s="17">
        <f>(1-AMD!F56)*Yard!O$39</f>
        <v>0</v>
      </c>
      <c r="P70" s="17">
        <f>(1-AMD!G56)*Yard!P$39</f>
        <v>0</v>
      </c>
      <c r="Q70" s="17">
        <f>(1-AMD!H56)*Yard!Q$39</f>
        <v>0</v>
      </c>
      <c r="R70" s="17">
        <f>(1-AMD!I56)*Yard!R$39</f>
        <v>0</v>
      </c>
      <c r="S70" s="17">
        <f>(1-AMD!J56)*Yard!S$39</f>
        <v>0</v>
      </c>
      <c r="T70" s="17">
        <f t="shared" si="0"/>
        <v>0</v>
      </c>
      <c r="U70" s="6"/>
    </row>
    <row r="71" spans="1:21" x14ac:dyDescent="0.2">
      <c r="A71" s="5" t="s">
        <v>100</v>
      </c>
      <c r="B71" s="17">
        <f>(1-AMD!B57)*Yard!B$40</f>
        <v>0</v>
      </c>
      <c r="C71" s="17">
        <f>(1-AMD!C57)*Yard!C$40</f>
        <v>0.1155262026633098</v>
      </c>
      <c r="D71" s="17">
        <f>(1-AMD!D57)*Yard!D$40</f>
        <v>0.10655961403407384</v>
      </c>
      <c r="E71" s="17">
        <f>(1-AMD!E57)*Yard!E$40</f>
        <v>0.16242303627626178</v>
      </c>
      <c r="F71" s="17">
        <f>(1-AMD!F57)*Yard!F$40</f>
        <v>0.20112888191730904</v>
      </c>
      <c r="G71" s="17">
        <f>(1-AMD!G57)*Yard!G$40</f>
        <v>0</v>
      </c>
      <c r="H71" s="17">
        <f>(1-AMD!H57)*Yard!H$40</f>
        <v>0.2045347630524183</v>
      </c>
      <c r="I71" s="17">
        <f>(1-AMD!I57)*Yard!I$40</f>
        <v>0.17679015001047924</v>
      </c>
      <c r="J71" s="17">
        <f>(1-AMD!J57)*Yard!J$40</f>
        <v>4.5047284444342615E-3</v>
      </c>
      <c r="K71" s="17">
        <f>(1-AMD!B57)*Yard!K$40</f>
        <v>7.9736755506811308E-2</v>
      </c>
      <c r="L71" s="17">
        <f>(1-AMD!C57)*Yard!L$40</f>
        <v>3.8140715051254583E-2</v>
      </c>
      <c r="M71" s="17">
        <f>(1-AMD!D57)*Yard!M$40</f>
        <v>3.5180416054097968E-2</v>
      </c>
      <c r="N71" s="17">
        <f>(1-AMD!E57)*Yard!N$40</f>
        <v>5.3623598816166643E-2</v>
      </c>
      <c r="O71" s="17">
        <f>(1-AMD!F57)*Yard!O$40</f>
        <v>6.6402246390305938E-2</v>
      </c>
      <c r="P71" s="17">
        <f>(1-AMD!G57)*Yard!P$40</f>
        <v>0</v>
      </c>
      <c r="Q71" s="17">
        <f>(1-AMD!H57)*Yard!Q$40</f>
        <v>9.6466700513620871E-2</v>
      </c>
      <c r="R71" s="17">
        <f>(1-AMD!I57)*Yard!R$40</f>
        <v>8.3381241410039927E-2</v>
      </c>
      <c r="S71" s="17">
        <f>(1-AMD!J57)*Yard!S$40</f>
        <v>4.9574197605248824E-2</v>
      </c>
      <c r="T71" s="17">
        <f t="shared" si="0"/>
        <v>1.4739732477458325</v>
      </c>
      <c r="U71" s="6"/>
    </row>
    <row r="73" spans="1:21" ht="16.5" x14ac:dyDescent="0.25">
      <c r="A73" s="3" t="s">
        <v>834</v>
      </c>
    </row>
    <row r="74" spans="1:21" x14ac:dyDescent="0.2">
      <c r="A74" s="10" t="s">
        <v>238</v>
      </c>
    </row>
    <row r="75" spans="1:21" x14ac:dyDescent="0.2">
      <c r="A75" s="11" t="s">
        <v>822</v>
      </c>
    </row>
    <row r="76" spans="1:21" x14ac:dyDescent="0.2">
      <c r="A76" s="11" t="s">
        <v>835</v>
      </c>
    </row>
    <row r="77" spans="1:21" x14ac:dyDescent="0.2">
      <c r="A77" s="11" t="s">
        <v>836</v>
      </c>
    </row>
    <row r="78" spans="1:21" x14ac:dyDescent="0.2">
      <c r="A78" s="18" t="s">
        <v>241</v>
      </c>
      <c r="B78" s="10" t="s">
        <v>371</v>
      </c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8" t="s">
        <v>372</v>
      </c>
    </row>
    <row r="79" spans="1:21" x14ac:dyDescent="0.2">
      <c r="A79" s="18" t="s">
        <v>244</v>
      </c>
      <c r="B79" s="10" t="s">
        <v>831</v>
      </c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8" t="s">
        <v>424</v>
      </c>
    </row>
    <row r="81" spans="1:21" x14ac:dyDescent="0.2">
      <c r="B81" s="19" t="s">
        <v>837</v>
      </c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</row>
    <row r="82" spans="1:21" ht="63.75" x14ac:dyDescent="0.2">
      <c r="B82" s="4" t="s">
        <v>21</v>
      </c>
      <c r="C82" s="4" t="s">
        <v>191</v>
      </c>
      <c r="D82" s="4" t="s">
        <v>192</v>
      </c>
      <c r="E82" s="4" t="s">
        <v>193</v>
      </c>
      <c r="F82" s="4" t="s">
        <v>194</v>
      </c>
      <c r="G82" s="4" t="s">
        <v>195</v>
      </c>
      <c r="H82" s="4" t="s">
        <v>196</v>
      </c>
      <c r="I82" s="4" t="s">
        <v>197</v>
      </c>
      <c r="J82" s="4" t="s">
        <v>198</v>
      </c>
      <c r="K82" s="4" t="s">
        <v>179</v>
      </c>
      <c r="L82" s="4" t="s">
        <v>699</v>
      </c>
      <c r="M82" s="4" t="s">
        <v>700</v>
      </c>
      <c r="N82" s="4" t="s">
        <v>701</v>
      </c>
      <c r="O82" s="4" t="s">
        <v>702</v>
      </c>
      <c r="P82" s="4" t="s">
        <v>703</v>
      </c>
      <c r="Q82" s="4" t="s">
        <v>704</v>
      </c>
      <c r="R82" s="4" t="s">
        <v>705</v>
      </c>
      <c r="S82" s="4" t="s">
        <v>706</v>
      </c>
      <c r="T82" s="4" t="s">
        <v>838</v>
      </c>
    </row>
    <row r="83" spans="1:21" x14ac:dyDescent="0.2">
      <c r="A83" s="5" t="s">
        <v>54</v>
      </c>
      <c r="B83" s="17">
        <f>(1-AMD!B$41)*Yard!B$65</f>
        <v>0</v>
      </c>
      <c r="C83" s="17">
        <f>(1-AMD!C$41)*Yard!C$65</f>
        <v>0.16529444634571611</v>
      </c>
      <c r="D83" s="17">
        <f>(1-AMD!D$41)*Yard!D$65</f>
        <v>0.15246508582913382</v>
      </c>
      <c r="E83" s="17">
        <f>(1-AMD!E$41)*Yard!E$65</f>
        <v>0.22816994207353558</v>
      </c>
      <c r="F83" s="17">
        <f>(1-AMD!F$41)*Yard!F$65</f>
        <v>0.2825434518926947</v>
      </c>
      <c r="G83" s="17">
        <f>(1-AMD!G$41)*Yard!G$65</f>
        <v>0</v>
      </c>
      <c r="H83" s="17">
        <f>(1-AMD!H$41)*Yard!H$65</f>
        <v>0.28732799304599183</v>
      </c>
      <c r="I83" s="17">
        <f>(1-AMD!I$41)*Yard!I$65</f>
        <v>0.24835269190789144</v>
      </c>
      <c r="J83" s="17">
        <f>(1-AMD!J$41)*Yard!J$65</f>
        <v>0</v>
      </c>
      <c r="K83" s="17">
        <f>(1-AMD!B$41)*Yard!K$65</f>
        <v>0.11720896106632113</v>
      </c>
      <c r="L83" s="17">
        <f>(1-AMD!C$41)*Yard!L$65</f>
        <v>5.4571588369441759E-2</v>
      </c>
      <c r="M83" s="17">
        <f>(1-AMD!D$41)*Yard!M$65</f>
        <v>5.033600395246874E-2</v>
      </c>
      <c r="N83" s="17">
        <f>(1-AMD!E$41)*Yard!N$65</f>
        <v>7.5329791365607232E-2</v>
      </c>
      <c r="O83" s="17">
        <f>(1-AMD!F$41)*Yard!O$65</f>
        <v>9.32810829041439E-2</v>
      </c>
      <c r="P83" s="17">
        <f>(1-AMD!G$41)*Yard!P$65</f>
        <v>0</v>
      </c>
      <c r="Q83" s="17">
        <f>(1-AMD!H$41)*Yard!Q$65</f>
        <v>0.13551526909508266</v>
      </c>
      <c r="R83" s="17">
        <f>(1-AMD!I$41)*Yard!R$65</f>
        <v>0.11713297238323346</v>
      </c>
      <c r="S83" s="17">
        <f>(1-AMD!J$41)*Yard!S$65</f>
        <v>0</v>
      </c>
      <c r="T83" s="17">
        <f t="shared" ref="T83:T98" si="1">SUM($B83:$S83)</f>
        <v>2.0075292802312625</v>
      </c>
      <c r="U83" s="6"/>
    </row>
    <row r="84" spans="1:21" x14ac:dyDescent="0.2">
      <c r="A84" s="5" t="s">
        <v>94</v>
      </c>
      <c r="B84" s="17">
        <f>(1-AMD!B$42)*Yard!B$66</f>
        <v>0</v>
      </c>
      <c r="C84" s="17">
        <f>(1-AMD!C$42)*Yard!C$66</f>
        <v>1.6947965445974874E-2</v>
      </c>
      <c r="D84" s="17">
        <f>(1-AMD!D$42)*Yard!D$66</f>
        <v>1.5632545820355816E-2</v>
      </c>
      <c r="E84" s="17">
        <f>(1-AMD!E$42)*Yard!E$66</f>
        <v>2.6221277940571736E-2</v>
      </c>
      <c r="F84" s="17">
        <f>(1-AMD!F$42)*Yard!F$66</f>
        <v>3.246987887641755E-2</v>
      </c>
      <c r="G84" s="17">
        <f>(1-AMD!G$42)*Yard!G$66</f>
        <v>0</v>
      </c>
      <c r="H84" s="17">
        <f>(1-AMD!H$42)*Yard!H$66</f>
        <v>3.3019718098265066E-2</v>
      </c>
      <c r="I84" s="17">
        <f>(1-AMD!I$42)*Yard!I$66</f>
        <v>2.8540678507545256E-2</v>
      </c>
      <c r="J84" s="17">
        <f>(1-AMD!J$42)*Yard!J$66</f>
        <v>0</v>
      </c>
      <c r="K84" s="17">
        <f>(1-AMD!B$42)*Yard!K$66</f>
        <v>9.7990256225616024E-3</v>
      </c>
      <c r="L84" s="17">
        <f>(1-AMD!C$42)*Yard!L$66</f>
        <v>5.5953325381717083E-3</v>
      </c>
      <c r="M84" s="17">
        <f>(1-AMD!D$42)*Yard!M$66</f>
        <v>5.1610497178509965E-3</v>
      </c>
      <c r="N84" s="17">
        <f>(1-AMD!E$42)*Yard!N$66</f>
        <v>8.6568957271605813E-3</v>
      </c>
      <c r="O84" s="17">
        <f>(1-AMD!F$42)*Yard!O$66</f>
        <v>1.0719857222204931E-2</v>
      </c>
      <c r="P84" s="17">
        <f>(1-AMD!G$42)*Yard!P$66</f>
        <v>0</v>
      </c>
      <c r="Q84" s="17">
        <f>(1-AMD!H$42)*Yard!Q$66</f>
        <v>1.5573407714624976E-2</v>
      </c>
      <c r="R84" s="17">
        <f>(1-AMD!I$42)*Yard!R$66</f>
        <v>1.3460915127358105E-2</v>
      </c>
      <c r="S84" s="17">
        <f>(1-AMD!J$42)*Yard!S$66</f>
        <v>0</v>
      </c>
      <c r="T84" s="17">
        <f t="shared" si="1"/>
        <v>0.22179854835906321</v>
      </c>
      <c r="U84" s="6"/>
    </row>
    <row r="85" spans="1:21" x14ac:dyDescent="0.2">
      <c r="A85" s="5" t="s">
        <v>56</v>
      </c>
      <c r="B85" s="17">
        <f>(1-AMD!B$44)*Yard!B$67</f>
        <v>0</v>
      </c>
      <c r="C85" s="17">
        <f>(1-AMD!C$44)*Yard!C$67</f>
        <v>0.14106834501229454</v>
      </c>
      <c r="D85" s="17">
        <f>(1-AMD!D$44)*Yard!D$67</f>
        <v>0.13011929805003253</v>
      </c>
      <c r="E85" s="17">
        <f>(1-AMD!E$44)*Yard!E$67</f>
        <v>0.19930540880265485</v>
      </c>
      <c r="F85" s="17">
        <f>(1-AMD!F$44)*Yard!F$67</f>
        <v>0.24680042284376857</v>
      </c>
      <c r="G85" s="17">
        <f>(1-AMD!G$44)*Yard!G$67</f>
        <v>0</v>
      </c>
      <c r="H85" s="17">
        <f>(1-AMD!H$44)*Yard!H$67</f>
        <v>0.25097969782549984</v>
      </c>
      <c r="I85" s="17">
        <f>(1-AMD!I$44)*Yard!I$67</f>
        <v>0.21693494917919404</v>
      </c>
      <c r="J85" s="17">
        <f>(1-AMD!J$44)*Yard!J$67</f>
        <v>0</v>
      </c>
      <c r="K85" s="17">
        <f>(1-AMD!B$44)*Yard!K$67</f>
        <v>9.6860846789876637E-2</v>
      </c>
      <c r="L85" s="17">
        <f>(1-AMD!C$44)*Yard!L$67</f>
        <v>4.6573395695752258E-2</v>
      </c>
      <c r="M85" s="17">
        <f>(1-AMD!D$44)*Yard!M$67</f>
        <v>4.2958592554619791E-2</v>
      </c>
      <c r="N85" s="17">
        <f>(1-AMD!E$44)*Yard!N$67</f>
        <v>6.5800230857324712E-2</v>
      </c>
      <c r="O85" s="17">
        <f>(1-AMD!F$44)*Yard!O$67</f>
        <v>8.1480602540421429E-2</v>
      </c>
      <c r="P85" s="17">
        <f>(1-AMD!G$44)*Yard!P$67</f>
        <v>0</v>
      </c>
      <c r="Q85" s="17">
        <f>(1-AMD!H$44)*Yard!Q$67</f>
        <v>0.11837197248922762</v>
      </c>
      <c r="R85" s="17">
        <f>(1-AMD!I$44)*Yard!R$67</f>
        <v>0.10231511974345255</v>
      </c>
      <c r="S85" s="17">
        <f>(1-AMD!J$44)*Yard!S$67</f>
        <v>0</v>
      </c>
      <c r="T85" s="17">
        <f t="shared" si="1"/>
        <v>1.7395688823841196</v>
      </c>
      <c r="U85" s="6"/>
    </row>
    <row r="86" spans="1:21" x14ac:dyDescent="0.2">
      <c r="A86" s="5" t="s">
        <v>95</v>
      </c>
      <c r="B86" s="17">
        <f>(1-AMD!B$45)*Yard!B$68</f>
        <v>0</v>
      </c>
      <c r="C86" s="17">
        <f>(1-AMD!C$45)*Yard!C$68</f>
        <v>1.4049979950417417E-2</v>
      </c>
      <c r="D86" s="17">
        <f>(1-AMD!D$45)*Yard!D$68</f>
        <v>1.2959488031181014E-2</v>
      </c>
      <c r="E86" s="17">
        <f>(1-AMD!E$45)*Yard!E$68</f>
        <v>2.1718648198677061E-2</v>
      </c>
      <c r="F86" s="17">
        <f>(1-AMD!F$45)*Yard!F$68</f>
        <v>2.6894260377730152E-2</v>
      </c>
      <c r="G86" s="17">
        <f>(1-AMD!G$45)*Yard!G$68</f>
        <v>0</v>
      </c>
      <c r="H86" s="17">
        <f>(1-AMD!H$45)*Yard!H$68</f>
        <v>2.7349683055915622E-2</v>
      </c>
      <c r="I86" s="17">
        <f>(1-AMD!I$45)*Yard!I$68</f>
        <v>2.3639769093702804E-2</v>
      </c>
      <c r="J86" s="17">
        <f>(1-AMD!J$45)*Yard!J$68</f>
        <v>0</v>
      </c>
      <c r="K86" s="17">
        <f>(1-AMD!B$45)*Yard!K$68</f>
        <v>8.0823707543766794E-3</v>
      </c>
      <c r="L86" s="17">
        <f>(1-AMD!C$45)*Yard!L$68</f>
        <v>4.6385691679529323E-3</v>
      </c>
      <c r="M86" s="17">
        <f>(1-AMD!D$45)*Yard!M$68</f>
        <v>4.2785457222026414E-3</v>
      </c>
      <c r="N86" s="17">
        <f>(1-AMD!E$45)*Yard!N$68</f>
        <v>7.1703626809095089E-3</v>
      </c>
      <c r="O86" s="17">
        <f>(1-AMD!F$45)*Yard!O$68</f>
        <v>8.8790793597773778E-3</v>
      </c>
      <c r="P86" s="17">
        <f>(1-AMD!G$45)*Yard!P$68</f>
        <v>0</v>
      </c>
      <c r="Q86" s="17">
        <f>(1-AMD!H$45)*Yard!Q$68</f>
        <v>1.2899194470043753E-2</v>
      </c>
      <c r="R86" s="17">
        <f>(1-AMD!I$45)*Yard!R$68</f>
        <v>1.1149452011680492E-2</v>
      </c>
      <c r="S86" s="17">
        <f>(1-AMD!J$45)*Yard!S$68</f>
        <v>0</v>
      </c>
      <c r="T86" s="17">
        <f t="shared" si="1"/>
        <v>0.1837094028745675</v>
      </c>
      <c r="U86" s="6"/>
    </row>
    <row r="87" spans="1:21" x14ac:dyDescent="0.2">
      <c r="A87" s="5" t="s">
        <v>57</v>
      </c>
      <c r="B87" s="17">
        <f>(1-AMD!B$46)*Yard!B$69</f>
        <v>0</v>
      </c>
      <c r="C87" s="17">
        <f>(1-AMD!C$46)*Yard!C$69</f>
        <v>0.1352227986222434</v>
      </c>
      <c r="D87" s="17">
        <f>(1-AMD!D$46)*Yard!D$69</f>
        <v>0.12472745487695168</v>
      </c>
      <c r="E87" s="17">
        <f>(1-AMD!E$46)*Yard!E$69</f>
        <v>0.19058072689170874</v>
      </c>
      <c r="F87" s="17">
        <f>(1-AMD!F$46)*Yard!F$69</f>
        <v>0.23599662580818004</v>
      </c>
      <c r="G87" s="17">
        <f>(1-AMD!G$46)*Yard!G$69</f>
        <v>0</v>
      </c>
      <c r="H87" s="17">
        <f>(1-AMD!H$46)*Yard!H$69</f>
        <v>0.23999295118983255</v>
      </c>
      <c r="I87" s="17">
        <f>(1-AMD!I$46)*Yard!I$69</f>
        <v>0.20743852638602339</v>
      </c>
      <c r="J87" s="17">
        <f>(1-AMD!J$46)*Yard!J$69</f>
        <v>0</v>
      </c>
      <c r="K87" s="17">
        <f>(1-AMD!B$46)*Yard!K$69</f>
        <v>9.3196826279733205E-2</v>
      </c>
      <c r="L87" s="17">
        <f>(1-AMD!C$46)*Yard!L$69</f>
        <v>4.4643501749254189E-2</v>
      </c>
      <c r="M87" s="17">
        <f>(1-AMD!D$46)*Yard!M$69</f>
        <v>4.1178487701135837E-2</v>
      </c>
      <c r="N87" s="17">
        <f>(1-AMD!E$46)*Yard!N$69</f>
        <v>6.2919796817195769E-2</v>
      </c>
      <c r="O87" s="17">
        <f>(1-AMD!F$46)*Yard!O$69</f>
        <v>7.7913753334731758E-2</v>
      </c>
      <c r="P87" s="17">
        <f>(1-AMD!G$46)*Yard!P$69</f>
        <v>0</v>
      </c>
      <c r="Q87" s="17">
        <f>(1-AMD!H$46)*Yard!Q$69</f>
        <v>0.11319018734177902</v>
      </c>
      <c r="R87" s="17">
        <f>(1-AMD!I$46)*Yard!R$69</f>
        <v>9.7836230385633494E-2</v>
      </c>
      <c r="S87" s="17">
        <f>(1-AMD!J$46)*Yard!S$69</f>
        <v>0</v>
      </c>
      <c r="T87" s="17">
        <f t="shared" si="1"/>
        <v>1.6648378673844031</v>
      </c>
      <c r="U87" s="6"/>
    </row>
    <row r="88" spans="1:21" x14ac:dyDescent="0.2">
      <c r="A88" s="5" t="s">
        <v>58</v>
      </c>
      <c r="B88" s="17">
        <f>(1-AMD!B$47)*Yard!B$70</f>
        <v>0</v>
      </c>
      <c r="C88" s="17">
        <f>(1-AMD!C$47)*Yard!C$70</f>
        <v>0.13062404868376987</v>
      </c>
      <c r="D88" s="17">
        <f>(1-AMD!D$47)*Yard!D$70</f>
        <v>0.12048563780700838</v>
      </c>
      <c r="E88" s="17">
        <f>(1-AMD!E$47)*Yard!E$70</f>
        <v>0.18423221782405896</v>
      </c>
      <c r="F88" s="17">
        <f>(1-AMD!F$47)*Yard!F$70</f>
        <v>0.22813524998433138</v>
      </c>
      <c r="G88" s="17">
        <f>(1-AMD!G$47)*Yard!G$70</f>
        <v>0</v>
      </c>
      <c r="H88" s="17">
        <f>(1-AMD!H$47)*Yard!H$70</f>
        <v>0.23199845220953211</v>
      </c>
      <c r="I88" s="17">
        <f>(1-AMD!I$47)*Yard!I$70</f>
        <v>0</v>
      </c>
      <c r="J88" s="17">
        <f>(1-AMD!J$47)*Yard!J$70</f>
        <v>0</v>
      </c>
      <c r="K88" s="17">
        <f>(1-AMD!B$47)*Yard!K$70</f>
        <v>8.9939203132984077E-2</v>
      </c>
      <c r="L88" s="17">
        <f>(1-AMD!C$47)*Yard!L$70</f>
        <v>4.3125234837058705E-2</v>
      </c>
      <c r="M88" s="17">
        <f>(1-AMD!D$47)*Yard!M$70</f>
        <v>3.9778061369840544E-2</v>
      </c>
      <c r="N88" s="17">
        <f>(1-AMD!E$47)*Yard!N$70</f>
        <v>6.0823850877942315E-2</v>
      </c>
      <c r="O88" s="17">
        <f>(1-AMD!F$47)*Yard!O$70</f>
        <v>7.5318337850661138E-2</v>
      </c>
      <c r="P88" s="17">
        <f>(1-AMD!G$47)*Yard!P$70</f>
        <v>0</v>
      </c>
      <c r="Q88" s="17">
        <f>(1-AMD!H$47)*Yard!Q$70</f>
        <v>0.1094196647793555</v>
      </c>
      <c r="R88" s="17">
        <f>(1-AMD!I$47)*Yard!R$70</f>
        <v>0</v>
      </c>
      <c r="S88" s="17">
        <f>(1-AMD!J$47)*Yard!S$70</f>
        <v>0</v>
      </c>
      <c r="T88" s="17">
        <f t="shared" si="1"/>
        <v>1.3138799593565433</v>
      </c>
      <c r="U88" s="6"/>
    </row>
    <row r="89" spans="1:21" x14ac:dyDescent="0.2">
      <c r="A89" s="5" t="s">
        <v>72</v>
      </c>
      <c r="B89" s="17">
        <f>(1-AMD!B$48)*Yard!B$71</f>
        <v>0</v>
      </c>
      <c r="C89" s="17">
        <f>(1-AMD!C$48)*Yard!C$71</f>
        <v>0.13698372920211929</v>
      </c>
      <c r="D89" s="17">
        <f>(1-AMD!D$48)*Yard!D$71</f>
        <v>0.12635171048828897</v>
      </c>
      <c r="E89" s="17">
        <f>(1-AMD!E$48)*Yard!E$71</f>
        <v>0.15491082102260359</v>
      </c>
      <c r="F89" s="17">
        <f>(1-AMD!F$48)*Yard!F$71</f>
        <v>0</v>
      </c>
      <c r="G89" s="17">
        <f>(1-AMD!G$48)*Yard!G$71</f>
        <v>0</v>
      </c>
      <c r="H89" s="17">
        <f>(1-AMD!H$48)*Yard!H$71</f>
        <v>0</v>
      </c>
      <c r="I89" s="17">
        <f>(1-AMD!I$48)*Yard!I$71</f>
        <v>0</v>
      </c>
      <c r="J89" s="17">
        <f>(1-AMD!J$48)*Yard!J$71</f>
        <v>0</v>
      </c>
      <c r="K89" s="17">
        <f>(1-AMD!B$48)*Yard!K$71</f>
        <v>9.4014268889402841E-2</v>
      </c>
      <c r="L89" s="17">
        <f>(1-AMD!C$48)*Yard!L$71</f>
        <v>4.5224869005545197E-2</v>
      </c>
      <c r="M89" s="17">
        <f>(1-AMD!D$48)*Yard!M$71</f>
        <v>4.171473202505744E-2</v>
      </c>
      <c r="N89" s="17">
        <f>(1-AMD!E$48)*Yard!N$71</f>
        <v>5.1143457906242473E-2</v>
      </c>
      <c r="O89" s="17">
        <f>(1-AMD!F$48)*Yard!O$71</f>
        <v>0</v>
      </c>
      <c r="P89" s="17">
        <f>(1-AMD!G$48)*Yard!P$71</f>
        <v>0</v>
      </c>
      <c r="Q89" s="17">
        <f>(1-AMD!H$48)*Yard!Q$71</f>
        <v>0</v>
      </c>
      <c r="R89" s="17">
        <f>(1-AMD!I$48)*Yard!R$71</f>
        <v>0</v>
      </c>
      <c r="S89" s="17">
        <f>(1-AMD!J$48)*Yard!S$71</f>
        <v>0</v>
      </c>
      <c r="T89" s="17">
        <f t="shared" si="1"/>
        <v>0.65034358853925989</v>
      </c>
      <c r="U89" s="6"/>
    </row>
    <row r="90" spans="1:21" x14ac:dyDescent="0.2">
      <c r="A90" s="5" t="s">
        <v>59</v>
      </c>
      <c r="B90" s="17">
        <f>(1-AMD!B$49)*Yard!B$72</f>
        <v>0</v>
      </c>
      <c r="C90" s="17">
        <f>(1-AMD!C$49)*Yard!C$72</f>
        <v>0.73783183893234017</v>
      </c>
      <c r="D90" s="17">
        <f>(1-AMD!D$49)*Yard!D$72</f>
        <v>0.6805648776305806</v>
      </c>
      <c r="E90" s="17">
        <f>(1-AMD!E$49)*Yard!E$72</f>
        <v>0.93511949657095617</v>
      </c>
      <c r="F90" s="17">
        <f>(1-AMD!F$49)*Yard!F$72</f>
        <v>1.1579609833453239</v>
      </c>
      <c r="G90" s="17">
        <f>(1-AMD!G$49)*Yard!G$72</f>
        <v>0</v>
      </c>
      <c r="H90" s="17">
        <f>(1-AMD!H$49)*Yard!H$72</f>
        <v>0.94205575288726795</v>
      </c>
      <c r="I90" s="17">
        <f>(1-AMD!I$49)*Yard!I$72</f>
        <v>0</v>
      </c>
      <c r="J90" s="17">
        <f>(1-AMD!J$49)*Yard!J$72</f>
        <v>0</v>
      </c>
      <c r="K90" s="17">
        <f>(1-AMD!B$49)*Yard!K$72</f>
        <v>0.58284576698462587</v>
      </c>
      <c r="L90" s="17">
        <f>(1-AMD!C$49)*Yard!L$72</f>
        <v>0.24359351623871084</v>
      </c>
      <c r="M90" s="17">
        <f>(1-AMD!D$49)*Yard!M$72</f>
        <v>0.22468695822409937</v>
      </c>
      <c r="N90" s="17">
        <f>(1-AMD!E$49)*Yard!N$72</f>
        <v>0.30872759110356152</v>
      </c>
      <c r="O90" s="17">
        <f>(1-AMD!F$49)*Yard!O$72</f>
        <v>0.38229820497918232</v>
      </c>
      <c r="P90" s="17">
        <f>(1-AMD!G$49)*Yard!P$72</f>
        <v>0</v>
      </c>
      <c r="Q90" s="17">
        <f>(1-AMD!H$49)*Yard!Q$72</f>
        <v>0.44431082924333831</v>
      </c>
      <c r="R90" s="17">
        <f>(1-AMD!I$49)*Yard!R$72</f>
        <v>0</v>
      </c>
      <c r="S90" s="17">
        <f>(1-AMD!J$49)*Yard!S$72</f>
        <v>0</v>
      </c>
      <c r="T90" s="17">
        <f t="shared" si="1"/>
        <v>6.6399958161399883</v>
      </c>
      <c r="U90" s="6"/>
    </row>
    <row r="91" spans="1:21" x14ac:dyDescent="0.2">
      <c r="A91" s="5" t="s">
        <v>60</v>
      </c>
      <c r="B91" s="17">
        <f>(1-AMD!B$50)*Yard!B$73</f>
        <v>0</v>
      </c>
      <c r="C91" s="17">
        <f>(1-AMD!C$50)*Yard!C$73</f>
        <v>0.83930643242805658</v>
      </c>
      <c r="D91" s="17">
        <f>(1-AMD!D$50)*Yard!D$73</f>
        <v>0.77416350086830465</v>
      </c>
      <c r="E91" s="17">
        <f>(1-AMD!E$50)*Yard!E$73</f>
        <v>1.0637272168907606</v>
      </c>
      <c r="F91" s="17">
        <f>(1-AMD!F$50)*Yard!F$73</f>
        <v>1.3172162687215931</v>
      </c>
      <c r="G91" s="17">
        <f>(1-AMD!G$50)*Yard!G$73</f>
        <v>0</v>
      </c>
      <c r="H91" s="17">
        <f>(1-AMD!H$50)*Yard!H$73</f>
        <v>0</v>
      </c>
      <c r="I91" s="17">
        <f>(1-AMD!I$50)*Yard!I$73</f>
        <v>0</v>
      </c>
      <c r="J91" s="17">
        <f>(1-AMD!J$50)*Yard!J$73</f>
        <v>0</v>
      </c>
      <c r="K91" s="17">
        <f>(1-AMD!B$50)*Yard!K$73</f>
        <v>0.6630050040284583</v>
      </c>
      <c r="L91" s="17">
        <f>(1-AMD!C$50)*Yard!L$73</f>
        <v>0.27709512423963917</v>
      </c>
      <c r="M91" s="17">
        <f>(1-AMD!D$50)*Yard!M$73</f>
        <v>0.25558833242146617</v>
      </c>
      <c r="N91" s="17">
        <f>(1-AMD!E$50)*Yard!N$73</f>
        <v>0.35118713968237864</v>
      </c>
      <c r="O91" s="17">
        <f>(1-AMD!F$50)*Yard!O$73</f>
        <v>0.43487597798575234</v>
      </c>
      <c r="P91" s="17">
        <f>(1-AMD!G$50)*Yard!P$73</f>
        <v>0</v>
      </c>
      <c r="Q91" s="17">
        <f>(1-AMD!H$50)*Yard!Q$73</f>
        <v>0</v>
      </c>
      <c r="R91" s="17">
        <f>(1-AMD!I$50)*Yard!R$73</f>
        <v>0</v>
      </c>
      <c r="S91" s="17">
        <f>(1-AMD!J$50)*Yard!S$73</f>
        <v>0</v>
      </c>
      <c r="T91" s="17">
        <f t="shared" si="1"/>
        <v>5.9761649972664097</v>
      </c>
      <c r="U91" s="6"/>
    </row>
    <row r="92" spans="1:21" x14ac:dyDescent="0.2">
      <c r="A92" s="5" t="s">
        <v>73</v>
      </c>
      <c r="B92" s="17">
        <f>(1-AMD!B$51)*Yard!B$74</f>
        <v>0</v>
      </c>
      <c r="C92" s="17">
        <f>(1-AMD!C$51)*Yard!C$74</f>
        <v>0.77850449373732833</v>
      </c>
      <c r="D92" s="17">
        <f>(1-AMD!D$51)*Yard!D$74</f>
        <v>0.71808071644328586</v>
      </c>
      <c r="E92" s="17">
        <f>(1-AMD!E$51)*Yard!E$74</f>
        <v>0.78933403721401141</v>
      </c>
      <c r="F92" s="17">
        <f>(1-AMD!F$51)*Yard!F$74</f>
        <v>0</v>
      </c>
      <c r="G92" s="17">
        <f>(1-AMD!G$51)*Yard!G$74</f>
        <v>0</v>
      </c>
      <c r="H92" s="17">
        <f>(1-AMD!H$51)*Yard!H$74</f>
        <v>0</v>
      </c>
      <c r="I92" s="17">
        <f>(1-AMD!I$51)*Yard!I$74</f>
        <v>0</v>
      </c>
      <c r="J92" s="17">
        <f>(1-AMD!J$51)*Yard!J$74</f>
        <v>0</v>
      </c>
      <c r="K92" s="17">
        <f>(1-AMD!B$51)*Yard!K$74</f>
        <v>0.61497488290813673</v>
      </c>
      <c r="L92" s="17">
        <f>(1-AMD!C$51)*Yard!L$74</f>
        <v>0.25702150141897478</v>
      </c>
      <c r="M92" s="17">
        <f>(1-AMD!D$51)*Yard!M$74</f>
        <v>0.2370727277298656</v>
      </c>
      <c r="N92" s="17">
        <f>(1-AMD!E$51)*Yard!N$74</f>
        <v>0.26059685075407862</v>
      </c>
      <c r="O92" s="17">
        <f>(1-AMD!F$51)*Yard!O$74</f>
        <v>0</v>
      </c>
      <c r="P92" s="17">
        <f>(1-AMD!G$51)*Yard!P$74</f>
        <v>0</v>
      </c>
      <c r="Q92" s="17">
        <f>(1-AMD!H$51)*Yard!Q$74</f>
        <v>0</v>
      </c>
      <c r="R92" s="17">
        <f>(1-AMD!I$51)*Yard!R$74</f>
        <v>0</v>
      </c>
      <c r="S92" s="17">
        <f>(1-AMD!J$51)*Yard!S$74</f>
        <v>0</v>
      </c>
      <c r="T92" s="17">
        <f t="shared" si="1"/>
        <v>3.6555852102056816</v>
      </c>
      <c r="U92" s="6"/>
    </row>
    <row r="93" spans="1:21" x14ac:dyDescent="0.2">
      <c r="A93" s="5" t="s">
        <v>74</v>
      </c>
      <c r="B93" s="17">
        <f>(1-AMD!B$52)*Yard!B$75</f>
        <v>0</v>
      </c>
      <c r="C93" s="17">
        <f>(1-AMD!C$52)*Yard!C$75</f>
        <v>0.72183178144771754</v>
      </c>
      <c r="D93" s="17">
        <f>(1-AMD!D$52)*Yard!D$75</f>
        <v>0.66580666771128372</v>
      </c>
      <c r="E93" s="17">
        <f>(1-AMD!E$52)*Yard!E$75</f>
        <v>0</v>
      </c>
      <c r="F93" s="17">
        <f>(1-AMD!F$52)*Yard!F$75</f>
        <v>0</v>
      </c>
      <c r="G93" s="17">
        <f>(1-AMD!G$52)*Yard!G$75</f>
        <v>0</v>
      </c>
      <c r="H93" s="17">
        <f>(1-AMD!H$52)*Yard!H$75</f>
        <v>0</v>
      </c>
      <c r="I93" s="17">
        <f>(1-AMD!I$52)*Yard!I$75</f>
        <v>0</v>
      </c>
      <c r="J93" s="17">
        <f>(1-AMD!J$52)*Yard!J$75</f>
        <v>0</v>
      </c>
      <c r="K93" s="17">
        <f>(1-AMD!B$52)*Yard!K$75</f>
        <v>0.57020661903200132</v>
      </c>
      <c r="L93" s="17">
        <f>(1-AMD!C$52)*Yard!L$75</f>
        <v>0.23831113337442489</v>
      </c>
      <c r="M93" s="17">
        <f>(1-AMD!D$52)*Yard!M$75</f>
        <v>0.21981456853049028</v>
      </c>
      <c r="N93" s="17">
        <f>(1-AMD!E$52)*Yard!N$75</f>
        <v>0</v>
      </c>
      <c r="O93" s="17">
        <f>(1-AMD!F$52)*Yard!O$75</f>
        <v>0</v>
      </c>
      <c r="P93" s="17">
        <f>(1-AMD!G$52)*Yard!P$75</f>
        <v>0</v>
      </c>
      <c r="Q93" s="17">
        <f>(1-AMD!H$52)*Yard!Q$75</f>
        <v>0</v>
      </c>
      <c r="R93" s="17">
        <f>(1-AMD!I$52)*Yard!R$75</f>
        <v>0</v>
      </c>
      <c r="S93" s="17">
        <f>(1-AMD!J$52)*Yard!S$75</f>
        <v>0</v>
      </c>
      <c r="T93" s="17">
        <f t="shared" si="1"/>
        <v>2.4159707700959174</v>
      </c>
      <c r="U93" s="6"/>
    </row>
    <row r="94" spans="1:21" x14ac:dyDescent="0.2">
      <c r="A94" s="5" t="s">
        <v>96</v>
      </c>
      <c r="B94" s="17">
        <f>(1-AMD!B$53)*Yard!B$80</f>
        <v>0</v>
      </c>
      <c r="C94" s="17">
        <f>(1-AMD!C$53)*Yard!C$80</f>
        <v>6.8383530034273901E-2</v>
      </c>
      <c r="D94" s="17">
        <f>(1-AMD!D$53)*Yard!D$80</f>
        <v>6.3075929085774335E-2</v>
      </c>
      <c r="E94" s="17">
        <f>(1-AMD!E$53)*Yard!E$80</f>
        <v>9.6143215334673349E-2</v>
      </c>
      <c r="F94" s="17">
        <f>(1-AMD!F$53)*Yard!F$80</f>
        <v>0.11905440168787235</v>
      </c>
      <c r="G94" s="17">
        <f>(1-AMD!G$53)*Yard!G$80</f>
        <v>0</v>
      </c>
      <c r="H94" s="17">
        <f>(1-AMD!H$53)*Yard!H$80</f>
        <v>0.12107044800054047</v>
      </c>
      <c r="I94" s="17">
        <f>(1-AMD!I$53)*Yard!I$80</f>
        <v>0.10464755401196045</v>
      </c>
      <c r="J94" s="17">
        <f>(1-AMD!J$53)*Yard!J$80</f>
        <v>2.6664879981730099E-3</v>
      </c>
      <c r="K94" s="17">
        <f>(1-AMD!B$53)*Yard!K$80</f>
        <v>4.7198650083971935E-2</v>
      </c>
      <c r="L94" s="17">
        <f>(1-AMD!C$53)*Yard!L$80</f>
        <v>2.2576668090073845E-2</v>
      </c>
      <c r="M94" s="17">
        <f>(1-AMD!D$53)*Yard!M$80</f>
        <v>2.0824375616889476E-2</v>
      </c>
      <c r="N94" s="17">
        <f>(1-AMD!E$53)*Yard!N$80</f>
        <v>3.1741465534691093E-2</v>
      </c>
      <c r="O94" s="17">
        <f>(1-AMD!F$53)*Yard!O$80</f>
        <v>3.9305541995598464E-2</v>
      </c>
      <c r="P94" s="17">
        <f>(1-AMD!G$53)*Yard!P$80</f>
        <v>0</v>
      </c>
      <c r="Q94" s="17">
        <f>(1-AMD!H$53)*Yard!Q$80</f>
        <v>5.7101621621772305E-2</v>
      </c>
      <c r="R94" s="17">
        <f>(1-AMD!I$53)*Yard!R$80</f>
        <v>4.9355933933673629E-2</v>
      </c>
      <c r="S94" s="17">
        <f>(1-AMD!J$53)*Yard!S$80</f>
        <v>2.9344499799266913E-2</v>
      </c>
      <c r="T94" s="17">
        <f t="shared" si="1"/>
        <v>0.87249032282920558</v>
      </c>
      <c r="U94" s="6"/>
    </row>
    <row r="95" spans="1:21" x14ac:dyDescent="0.2">
      <c r="A95" s="5" t="s">
        <v>97</v>
      </c>
      <c r="B95" s="17">
        <f>(1-AMD!B$54)*Yard!B$81</f>
        <v>0</v>
      </c>
      <c r="C95" s="17">
        <f>(1-AMD!C$54)*Yard!C$81</f>
        <v>9.2166799774346761E-2</v>
      </c>
      <c r="D95" s="17">
        <f>(1-AMD!D$54)*Yard!D$81</f>
        <v>8.5013255731544154E-2</v>
      </c>
      <c r="E95" s="17">
        <f>(1-AMD!E$54)*Yard!E$81</f>
        <v>0.1234435411933323</v>
      </c>
      <c r="F95" s="17">
        <f>(1-AMD!F$54)*Yard!F$81</f>
        <v>0.15286046849843821</v>
      </c>
      <c r="G95" s="17">
        <f>(1-AMD!G$54)*Yard!G$81</f>
        <v>0</v>
      </c>
      <c r="H95" s="17">
        <f>(1-AMD!H$54)*Yard!H$81</f>
        <v>0.15544898080457659</v>
      </c>
      <c r="I95" s="17">
        <f>(1-AMD!I$54)*Yard!I$81</f>
        <v>0.13436272751529346</v>
      </c>
      <c r="J95" s="17">
        <f>(1-AMD!J$54)*Yard!J$81</f>
        <v>3.4236500193819356E-3</v>
      </c>
      <c r="K95" s="17">
        <f>(1-AMD!B$54)*Yard!K$81</f>
        <v>7.0411786598146842E-2</v>
      </c>
      <c r="L95" s="17">
        <f>(1-AMD!C$54)*Yard!L$81</f>
        <v>3.0428660912749175E-2</v>
      </c>
      <c r="M95" s="17">
        <f>(1-AMD!D$54)*Yard!M$81</f>
        <v>2.8066934493520258E-2</v>
      </c>
      <c r="N95" s="17">
        <f>(1-AMD!E$54)*Yard!N$81</f>
        <v>4.0754606496453197E-2</v>
      </c>
      <c r="O95" s="17">
        <f>(1-AMD!F$54)*Yard!O$81</f>
        <v>5.0466538648308211E-2</v>
      </c>
      <c r="P95" s="17">
        <f>(1-AMD!G$54)*Yard!P$81</f>
        <v>0</v>
      </c>
      <c r="Q95" s="17">
        <f>(1-AMD!H$54)*Yard!Q$81</f>
        <v>7.331590020508931E-2</v>
      </c>
      <c r="R95" s="17">
        <f>(1-AMD!I$54)*Yard!R$81</f>
        <v>6.3370787449414032E-2</v>
      </c>
      <c r="S95" s="17">
        <f>(1-AMD!J$54)*Yard!S$81</f>
        <v>3.7677010875484501E-2</v>
      </c>
      <c r="T95" s="17">
        <f t="shared" si="1"/>
        <v>1.1412116492160789</v>
      </c>
      <c r="U95" s="6"/>
    </row>
    <row r="96" spans="1:21" x14ac:dyDescent="0.2">
      <c r="A96" s="5" t="s">
        <v>98</v>
      </c>
      <c r="B96" s="17">
        <f>(1-AMD!B$55)*Yard!B$82</f>
        <v>0</v>
      </c>
      <c r="C96" s="17">
        <f>(1-AMD!C$55)*Yard!C$82</f>
        <v>0.16664509724887627</v>
      </c>
      <c r="D96" s="17">
        <f>(1-AMD!D$55)*Yard!D$82</f>
        <v>0.15371090570044887</v>
      </c>
      <c r="E96" s="17">
        <f>(1-AMD!E$55)*Yard!E$82</f>
        <v>0.22180897365565044</v>
      </c>
      <c r="F96" s="17">
        <f>(1-AMD!F$55)*Yard!F$82</f>
        <v>0.27466664762199705</v>
      </c>
      <c r="G96" s="17">
        <f>(1-AMD!G$55)*Yard!G$82</f>
        <v>0</v>
      </c>
      <c r="H96" s="17">
        <f>(1-AMD!H$55)*Yard!H$82</f>
        <v>0.2793178043562351</v>
      </c>
      <c r="I96" s="17">
        <f>(1-AMD!I$55)*Yard!I$82</f>
        <v>0.24142906465284439</v>
      </c>
      <c r="J96" s="17">
        <f>(1-AMD!J$55)*Yard!J$82</f>
        <v>6.1517701907621005E-3</v>
      </c>
      <c r="K96" s="17">
        <f>(1-AMD!B$55)*Yard!K$82</f>
        <v>0.12869898732759896</v>
      </c>
      <c r="L96" s="17">
        <f>(1-AMD!C$55)*Yard!L$82</f>
        <v>5.501750271652097E-2</v>
      </c>
      <c r="M96" s="17">
        <f>(1-AMD!D$55)*Yard!M$82</f>
        <v>5.074730857100191E-2</v>
      </c>
      <c r="N96" s="17">
        <f>(1-AMD!E$55)*Yard!N$82</f>
        <v>7.3229731999995981E-2</v>
      </c>
      <c r="O96" s="17">
        <f>(1-AMD!F$55)*Yard!O$82</f>
        <v>9.0680573753170124E-2</v>
      </c>
      <c r="P96" s="17">
        <f>(1-AMD!G$55)*Yard!P$82</f>
        <v>0</v>
      </c>
      <c r="Q96" s="17">
        <f>(1-AMD!H$55)*Yard!Q$82</f>
        <v>0.13173734664385456</v>
      </c>
      <c r="R96" s="17">
        <f>(1-AMD!I$55)*Yard!R$82</f>
        <v>0.11386751536794162</v>
      </c>
      <c r="S96" s="17">
        <f>(1-AMD!J$55)*Yard!S$82</f>
        <v>6.7699768103828523E-2</v>
      </c>
      <c r="T96" s="17">
        <f t="shared" si="1"/>
        <v>2.0554089979107268</v>
      </c>
      <c r="U96" s="6"/>
    </row>
    <row r="97" spans="1:21" x14ac:dyDescent="0.2">
      <c r="A97" s="5" t="s">
        <v>99</v>
      </c>
      <c r="B97" s="17">
        <f>(1-AMD!B$56)*Yard!B$83</f>
        <v>0</v>
      </c>
      <c r="C97" s="17">
        <f>(1-AMD!C$56)*Yard!C$83</f>
        <v>5.4210912122901266E-2</v>
      </c>
      <c r="D97" s="17">
        <f>(1-AMD!D$56)*Yard!D$83</f>
        <v>5.0003321662766671E-2</v>
      </c>
      <c r="E97" s="17">
        <f>(1-AMD!E$56)*Yard!E$83</f>
        <v>8.0732080888853641E-2</v>
      </c>
      <c r="F97" s="17">
        <f>(1-AMD!F$56)*Yard!F$83</f>
        <v>9.9970752525613354E-2</v>
      </c>
      <c r="G97" s="17">
        <f>(1-AMD!G$56)*Yard!G$83</f>
        <v>0</v>
      </c>
      <c r="H97" s="17">
        <f>(1-AMD!H$56)*Yard!H$83</f>
        <v>0.10166363967759209</v>
      </c>
      <c r="I97" s="17">
        <f>(1-AMD!I$56)*Yard!I$83</f>
        <v>8.7873229181127777E-2</v>
      </c>
      <c r="J97" s="17">
        <f>(1-AMD!J$56)*Yard!J$83</f>
        <v>2.2390672499177887E-3</v>
      </c>
      <c r="K97" s="17">
        <f>(1-AMD!B$56)*Yard!K$83</f>
        <v>3.2406405502906334E-2</v>
      </c>
      <c r="L97" s="17">
        <f>(1-AMD!C$56)*Yard!L$83</f>
        <v>1.7897610276121769E-2</v>
      </c>
      <c r="M97" s="17">
        <f>(1-AMD!D$56)*Yard!M$83</f>
        <v>1.6508483782800811E-2</v>
      </c>
      <c r="N97" s="17">
        <f>(1-AMD!E$56)*Yard!N$83</f>
        <v>2.6653514282388206E-2</v>
      </c>
      <c r="O97" s="17">
        <f>(1-AMD!F$56)*Yard!O$83</f>
        <v>3.3005118299018352E-2</v>
      </c>
      <c r="P97" s="17">
        <f>(1-AMD!G$56)*Yard!P$83</f>
        <v>0</v>
      </c>
      <c r="Q97" s="17">
        <f>(1-AMD!H$56)*Yard!Q$83</f>
        <v>4.7948601673103164E-2</v>
      </c>
      <c r="R97" s="17">
        <f>(1-AMD!I$56)*Yard!R$83</f>
        <v>4.1444497532227176E-2</v>
      </c>
      <c r="S97" s="17">
        <f>(1-AMD!J$56)*Yard!S$83</f>
        <v>2.4640766622904781E-2</v>
      </c>
      <c r="T97" s="17">
        <f t="shared" si="1"/>
        <v>0.71719800128024314</v>
      </c>
      <c r="U97" s="6"/>
    </row>
    <row r="98" spans="1:21" x14ac:dyDescent="0.2">
      <c r="A98" s="5" t="s">
        <v>100</v>
      </c>
      <c r="B98" s="17">
        <f>(1-AMD!B$57)*Yard!B$84</f>
        <v>0</v>
      </c>
      <c r="C98" s="17">
        <f>(1-AMD!C$57)*Yard!C$84</f>
        <v>2.1711707173295904</v>
      </c>
      <c r="D98" s="17">
        <f>(1-AMD!D$57)*Yard!D$84</f>
        <v>2.00265488094505</v>
      </c>
      <c r="E98" s="17">
        <f>(1-AMD!E$57)*Yard!E$84</f>
        <v>2.833170628369444</v>
      </c>
      <c r="F98" s="17">
        <f>(1-AMD!F$57)*Yard!F$84</f>
        <v>3.5083227960083856</v>
      </c>
      <c r="G98" s="17">
        <f>(1-AMD!G$57)*Yard!G$84</f>
        <v>0</v>
      </c>
      <c r="H98" s="17">
        <f>(1-AMD!H$57)*Yard!H$84</f>
        <v>3.567732117598069</v>
      </c>
      <c r="I98" s="17">
        <f>(1-AMD!I$57)*Yard!I$84</f>
        <v>3.0837784582649204</v>
      </c>
      <c r="J98" s="17">
        <f>(1-AMD!J$57)*Yard!J$84</f>
        <v>7.8576688443650261E-2</v>
      </c>
      <c r="K98" s="17">
        <f>(1-AMD!B$57)*Yard!K$84</f>
        <v>1.7378147809429405</v>
      </c>
      <c r="L98" s="17">
        <f>(1-AMD!C$57)*Yard!L$84</f>
        <v>0.71680711170467415</v>
      </c>
      <c r="M98" s="17">
        <f>(1-AMD!D$57)*Yard!M$84</f>
        <v>0.66117198868502114</v>
      </c>
      <c r="N98" s="17">
        <f>(1-AMD!E$57)*Yard!N$84</f>
        <v>0.93536488811244856</v>
      </c>
      <c r="O98" s="17">
        <f>(1-AMD!F$57)*Yard!O$84</f>
        <v>1.1582648523500165</v>
      </c>
      <c r="P98" s="17">
        <f>(1-AMD!G$57)*Yard!P$84</f>
        <v>0</v>
      </c>
      <c r="Q98" s="17">
        <f>(1-AMD!H$57)*Yard!Q$84</f>
        <v>1.6826838653972769</v>
      </c>
      <c r="R98" s="17">
        <f>(1-AMD!I$57)*Yard!R$84</f>
        <v>1.4544321392816664</v>
      </c>
      <c r="S98" s="17">
        <f>(1-AMD!J$57)*Yard!S$84</f>
        <v>0.86473054438707719</v>
      </c>
      <c r="T98" s="17">
        <f t="shared" si="1"/>
        <v>26.45667645782023</v>
      </c>
      <c r="U98" s="6"/>
    </row>
    <row r="100" spans="1:21" ht="16.5" x14ac:dyDescent="0.25">
      <c r="A100" s="3" t="s">
        <v>839</v>
      </c>
    </row>
    <row r="101" spans="1:21" x14ac:dyDescent="0.2">
      <c r="A101" s="10" t="s">
        <v>238</v>
      </c>
    </row>
    <row r="102" spans="1:21" x14ac:dyDescent="0.2">
      <c r="A102" s="11" t="s">
        <v>822</v>
      </c>
    </row>
    <row r="103" spans="1:21" x14ac:dyDescent="0.2">
      <c r="A103" s="11" t="s">
        <v>840</v>
      </c>
    </row>
    <row r="104" spans="1:21" x14ac:dyDescent="0.2">
      <c r="A104" s="11" t="s">
        <v>841</v>
      </c>
    </row>
    <row r="105" spans="1:21" x14ac:dyDescent="0.2">
      <c r="A105" s="18" t="s">
        <v>241</v>
      </c>
      <c r="B105" s="10" t="s">
        <v>371</v>
      </c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8" t="s">
        <v>372</v>
      </c>
    </row>
    <row r="106" spans="1:21" x14ac:dyDescent="0.2">
      <c r="A106" s="18" t="s">
        <v>244</v>
      </c>
      <c r="B106" s="10" t="s">
        <v>831</v>
      </c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8" t="s">
        <v>424</v>
      </c>
    </row>
    <row r="108" spans="1:21" x14ac:dyDescent="0.2">
      <c r="B108" s="19" t="s">
        <v>842</v>
      </c>
      <c r="C108" s="19"/>
      <c r="D108" s="19"/>
      <c r="E108" s="19"/>
      <c r="F108" s="19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/>
    </row>
    <row r="109" spans="1:21" ht="63.75" x14ac:dyDescent="0.2">
      <c r="B109" s="4" t="s">
        <v>21</v>
      </c>
      <c r="C109" s="4" t="s">
        <v>191</v>
      </c>
      <c r="D109" s="4" t="s">
        <v>192</v>
      </c>
      <c r="E109" s="4" t="s">
        <v>193</v>
      </c>
      <c r="F109" s="4" t="s">
        <v>194</v>
      </c>
      <c r="G109" s="4" t="s">
        <v>195</v>
      </c>
      <c r="H109" s="4" t="s">
        <v>196</v>
      </c>
      <c r="I109" s="4" t="s">
        <v>197</v>
      </c>
      <c r="J109" s="4" t="s">
        <v>198</v>
      </c>
      <c r="K109" s="4" t="s">
        <v>179</v>
      </c>
      <c r="L109" s="4" t="s">
        <v>699</v>
      </c>
      <c r="M109" s="4" t="s">
        <v>700</v>
      </c>
      <c r="N109" s="4" t="s">
        <v>701</v>
      </c>
      <c r="O109" s="4" t="s">
        <v>702</v>
      </c>
      <c r="P109" s="4" t="s">
        <v>703</v>
      </c>
      <c r="Q109" s="4" t="s">
        <v>704</v>
      </c>
      <c r="R109" s="4" t="s">
        <v>705</v>
      </c>
      <c r="S109" s="4" t="s">
        <v>706</v>
      </c>
      <c r="T109" s="4" t="s">
        <v>843</v>
      </c>
    </row>
    <row r="110" spans="1:21" x14ac:dyDescent="0.2">
      <c r="A110" s="5" t="s">
        <v>54</v>
      </c>
      <c r="B110" s="17">
        <f>(1-AMD!B$41)*Yard!B$99</f>
        <v>0</v>
      </c>
      <c r="C110" s="17">
        <f>(1-AMD!C$41)*Yard!C$99</f>
        <v>1.6314960960770779E-2</v>
      </c>
      <c r="D110" s="17">
        <f>(1-AMD!D$41)*Yard!D$99</f>
        <v>1.5048672101059681E-2</v>
      </c>
      <c r="E110" s="17">
        <f>(1-AMD!E$41)*Yard!E$99</f>
        <v>2.4690471456347212E-2</v>
      </c>
      <c r="F110" s="17">
        <f>(1-AMD!F$41)*Yard!F$99</f>
        <v>3.0574277096875855E-2</v>
      </c>
      <c r="G110" s="17">
        <f>(1-AMD!G$41)*Yard!G$99</f>
        <v>0</v>
      </c>
      <c r="H110" s="17">
        <f>(1-AMD!H$41)*Yard!H$99</f>
        <v>3.1092016531367745E-2</v>
      </c>
      <c r="I110" s="17">
        <f>(1-AMD!I$41)*Yard!I$99</f>
        <v>2.6874464685986366E-2</v>
      </c>
      <c r="J110" s="17">
        <f>(1-AMD!J$41)*Yard!J$99</f>
        <v>0</v>
      </c>
      <c r="K110" s="17">
        <f>(1-AMD!B$41)*Yard!K$99</f>
        <v>9.6031300062019952E-3</v>
      </c>
      <c r="L110" s="17">
        <f>(1-AMD!C$41)*Yard!L$99</f>
        <v>5.3863475361570689E-3</v>
      </c>
      <c r="M110" s="17">
        <f>(1-AMD!D$41)*Yard!M$99</f>
        <v>4.9682851273061832E-3</v>
      </c>
      <c r="N110" s="17">
        <f>(1-AMD!E$41)*Yard!N$99</f>
        <v>8.1515034216281222E-3</v>
      </c>
      <c r="O110" s="17">
        <f>(1-AMD!F$41)*Yard!O$99</f>
        <v>1.0094028573315112E-2</v>
      </c>
      <c r="P110" s="17">
        <f>(1-AMD!G$41)*Yard!P$99</f>
        <v>0</v>
      </c>
      <c r="Q110" s="17">
        <f>(1-AMD!H$41)*Yard!Q$99</f>
        <v>1.4664227255722431E-2</v>
      </c>
      <c r="R110" s="17">
        <f>(1-AMD!I$41)*Yard!R$99</f>
        <v>1.2675062652613828E-2</v>
      </c>
      <c r="S110" s="17">
        <f>(1-AMD!J$41)*Yard!S$99</f>
        <v>0</v>
      </c>
      <c r="T110" s="17">
        <f t="shared" ref="T110:T119" si="2">SUM($B110:$S110)</f>
        <v>0.21013744740535242</v>
      </c>
      <c r="U110" s="6"/>
    </row>
    <row r="111" spans="1:21" x14ac:dyDescent="0.2">
      <c r="A111" s="5" t="s">
        <v>56</v>
      </c>
      <c r="B111" s="17">
        <f>(1-AMD!B$44)*Yard!B$100</f>
        <v>0</v>
      </c>
      <c r="C111" s="17">
        <f>(1-AMD!C$44)*Yard!C$100</f>
        <v>1.4072731843893337E-2</v>
      </c>
      <c r="D111" s="17">
        <f>(1-AMD!D$44)*Yard!D$100</f>
        <v>1.2980474032031439E-2</v>
      </c>
      <c r="E111" s="17">
        <f>(1-AMD!E$44)*Yard!E$100</f>
        <v>2.1297163060331428E-2</v>
      </c>
      <c r="F111" s="17">
        <f>(1-AMD!F$44)*Yard!F$100</f>
        <v>2.6372334199253653E-2</v>
      </c>
      <c r="G111" s="17">
        <f>(1-AMD!G$44)*Yard!G$100</f>
        <v>0</v>
      </c>
      <c r="H111" s="17">
        <f>(1-AMD!H$44)*Yard!H$100</f>
        <v>2.6818918671268788E-2</v>
      </c>
      <c r="I111" s="17">
        <f>(1-AMD!I$44)*Yard!I$100</f>
        <v>2.318100152880781E-2</v>
      </c>
      <c r="J111" s="17">
        <f>(1-AMD!J$44)*Yard!J$100</f>
        <v>0</v>
      </c>
      <c r="K111" s="17">
        <f>(1-AMD!B$44)*Yard!K$100</f>
        <v>8.2833341596265601E-3</v>
      </c>
      <c r="L111" s="17">
        <f>(1-AMD!C$44)*Yard!L$100</f>
        <v>4.6460806542299501E-3</v>
      </c>
      <c r="M111" s="17">
        <f>(1-AMD!D$44)*Yard!M$100</f>
        <v>4.2854742030152063E-3</v>
      </c>
      <c r="N111" s="17">
        <f>(1-AMD!E$44)*Yard!N$100</f>
        <v>7.0312103138328334E-3</v>
      </c>
      <c r="O111" s="17">
        <f>(1-AMD!F$44)*Yard!O$100</f>
        <v>8.7067666100103126E-3</v>
      </c>
      <c r="P111" s="17">
        <f>(1-AMD!G$44)*Yard!P$100</f>
        <v>0</v>
      </c>
      <c r="Q111" s="17">
        <f>(1-AMD!H$44)*Yard!Q$100</f>
        <v>1.2648864950636335E-2</v>
      </c>
      <c r="R111" s="17">
        <f>(1-AMD!I$44)*Yard!R$100</f>
        <v>1.0933079045894006E-2</v>
      </c>
      <c r="S111" s="17">
        <f>(1-AMD!J$44)*Yard!S$100</f>
        <v>0</v>
      </c>
      <c r="T111" s="17">
        <f t="shared" si="2"/>
        <v>0.18125743327283164</v>
      </c>
      <c r="U111" s="6"/>
    </row>
    <row r="112" spans="1:21" x14ac:dyDescent="0.2">
      <c r="A112" s="5" t="s">
        <v>57</v>
      </c>
      <c r="B112" s="17">
        <f>(1-AMD!B$46)*Yard!B$101</f>
        <v>0</v>
      </c>
      <c r="C112" s="17">
        <f>(1-AMD!C$46)*Yard!C$101</f>
        <v>1.2621371314685966E-2</v>
      </c>
      <c r="D112" s="17">
        <f>(1-AMD!D$46)*Yard!D$101</f>
        <v>1.1641761131830276E-2</v>
      </c>
      <c r="E112" s="17">
        <f>(1-AMD!E$46)*Yard!E$101</f>
        <v>1.9100726562234497E-2</v>
      </c>
      <c r="F112" s="17">
        <f>(1-AMD!F$46)*Yard!F$101</f>
        <v>2.3652480986355862E-2</v>
      </c>
      <c r="G112" s="17">
        <f>(1-AMD!G$46)*Yard!G$101</f>
        <v>0</v>
      </c>
      <c r="H112" s="17">
        <f>(1-AMD!H$46)*Yard!H$101</f>
        <v>2.4053007942116896E-2</v>
      </c>
      <c r="I112" s="17">
        <f>(1-AMD!I$46)*Yard!I$101</f>
        <v>2.079027945582191E-2</v>
      </c>
      <c r="J112" s="17">
        <f>(1-AMD!J$46)*Yard!J$101</f>
        <v>0</v>
      </c>
      <c r="K112" s="17">
        <f>(1-AMD!B$46)*Yard!K$101</f>
        <v>7.4290505434192414E-3</v>
      </c>
      <c r="L112" s="17">
        <f>(1-AMD!C$46)*Yard!L$101</f>
        <v>4.1669172514262939E-3</v>
      </c>
      <c r="M112" s="17">
        <f>(1-AMD!D$46)*Yard!M$101</f>
        <v>3.8435011606672374E-3</v>
      </c>
      <c r="N112" s="17">
        <f>(1-AMD!E$46)*Yard!N$101</f>
        <v>6.3060617616360554E-3</v>
      </c>
      <c r="O112" s="17">
        <f>(1-AMD!F$46)*Yard!O$101</f>
        <v>7.808813210843318E-3</v>
      </c>
      <c r="P112" s="17">
        <f>(1-AMD!G$46)*Yard!P$101</f>
        <v>0</v>
      </c>
      <c r="Q112" s="17">
        <f>(1-AMD!H$46)*Yard!Q$101</f>
        <v>1.1344351830350147E-2</v>
      </c>
      <c r="R112" s="17">
        <f>(1-AMD!I$46)*Yard!R$101</f>
        <v>9.805519765582674E-3</v>
      </c>
      <c r="S112" s="17">
        <f>(1-AMD!J$46)*Yard!S$101</f>
        <v>0</v>
      </c>
      <c r="T112" s="17">
        <f t="shared" si="2"/>
        <v>0.16256384291697037</v>
      </c>
      <c r="U112" s="6"/>
    </row>
    <row r="113" spans="1:21" x14ac:dyDescent="0.2">
      <c r="A113" s="5" t="s">
        <v>58</v>
      </c>
      <c r="B113" s="17">
        <f>(1-AMD!B$47)*Yard!B$102</f>
        <v>0</v>
      </c>
      <c r="C113" s="17">
        <f>(1-AMD!C$47)*Yard!C$102</f>
        <v>1.2072930352646621E-2</v>
      </c>
      <c r="D113" s="17">
        <f>(1-AMD!D$47)*Yard!D$102</f>
        <v>1.1135887521445009E-2</v>
      </c>
      <c r="E113" s="17">
        <f>(1-AMD!E$47)*Yard!E$102</f>
        <v>1.8270735859144002E-2</v>
      </c>
      <c r="F113" s="17">
        <f>(1-AMD!F$47)*Yard!F$102</f>
        <v>2.2624701270242093E-2</v>
      </c>
      <c r="G113" s="17">
        <f>(1-AMD!G$47)*Yard!G$102</f>
        <v>0</v>
      </c>
      <c r="H113" s="17">
        <f>(1-AMD!H$47)*Yard!H$102</f>
        <v>2.3007823984937448E-2</v>
      </c>
      <c r="I113" s="17">
        <f>(1-AMD!I$47)*Yard!I$102</f>
        <v>0</v>
      </c>
      <c r="J113" s="17">
        <f>(1-AMD!J$47)*Yard!J$102</f>
        <v>0</v>
      </c>
      <c r="K113" s="17">
        <f>(1-AMD!B$47)*Yard!K$102</f>
        <v>7.1062333529978722E-3</v>
      </c>
      <c r="L113" s="17">
        <f>(1-AMD!C$47)*Yard!L$102</f>
        <v>3.9858507057133523E-3</v>
      </c>
      <c r="M113" s="17">
        <f>(1-AMD!D$47)*Yard!M$102</f>
        <v>3.6764881300227039E-3</v>
      </c>
      <c r="N113" s="17">
        <f>(1-AMD!E$47)*Yard!N$102</f>
        <v>6.0320422044103711E-3</v>
      </c>
      <c r="O113" s="17">
        <f>(1-AMD!F$47)*Yard!O$102</f>
        <v>7.4694940574041623E-3</v>
      </c>
      <c r="P113" s="17">
        <f>(1-AMD!G$47)*Yard!P$102</f>
        <v>0</v>
      </c>
      <c r="Q113" s="17">
        <f>(1-AMD!H$47)*Yard!Q$102</f>
        <v>1.0851401652716865E-2</v>
      </c>
      <c r="R113" s="17">
        <f>(1-AMD!I$47)*Yard!R$102</f>
        <v>0</v>
      </c>
      <c r="S113" s="17">
        <f>(1-AMD!J$47)*Yard!S$102</f>
        <v>0</v>
      </c>
      <c r="T113" s="17">
        <f t="shared" si="2"/>
        <v>0.1262335890916805</v>
      </c>
      <c r="U113" s="6"/>
    </row>
    <row r="114" spans="1:21" x14ac:dyDescent="0.2">
      <c r="A114" s="5" t="s">
        <v>72</v>
      </c>
      <c r="B114" s="17">
        <f>(1-AMD!B$48)*Yard!B$103</f>
        <v>0</v>
      </c>
      <c r="C114" s="17">
        <f>(1-AMD!C$48)*Yard!C$103</f>
        <v>1.2720056224500566E-2</v>
      </c>
      <c r="D114" s="17">
        <f>(1-AMD!D$48)*Yard!D$103</f>
        <v>1.1732786593226935E-2</v>
      </c>
      <c r="E114" s="17">
        <f>(1-AMD!E$48)*Yard!E$103</f>
        <v>1.5400058186560334E-2</v>
      </c>
      <c r="F114" s="17">
        <f>(1-AMD!F$48)*Yard!F$103</f>
        <v>0</v>
      </c>
      <c r="G114" s="17">
        <f>(1-AMD!G$48)*Yard!G$103</f>
        <v>0</v>
      </c>
      <c r="H114" s="17">
        <f>(1-AMD!H$48)*Yard!H$103</f>
        <v>0</v>
      </c>
      <c r="I114" s="17">
        <f>(1-AMD!I$48)*Yard!I$103</f>
        <v>0</v>
      </c>
      <c r="J114" s="17">
        <f>(1-AMD!J$48)*Yard!J$103</f>
        <v>0</v>
      </c>
      <c r="K114" s="17">
        <f>(1-AMD!B$48)*Yard!K$103</f>
        <v>7.48713735226167E-3</v>
      </c>
      <c r="L114" s="17">
        <f>(1-AMD!C$48)*Yard!L$103</f>
        <v>4.1994978516565898E-3</v>
      </c>
      <c r="M114" s="17">
        <f>(1-AMD!D$48)*Yard!M$103</f>
        <v>3.8735530112907449E-3</v>
      </c>
      <c r="N114" s="17">
        <f>(1-AMD!E$48)*Yard!N$103</f>
        <v>5.084294450308992E-3</v>
      </c>
      <c r="O114" s="17">
        <f>(1-AMD!F$48)*Yard!O$103</f>
        <v>0</v>
      </c>
      <c r="P114" s="17">
        <f>(1-AMD!G$48)*Yard!P$103</f>
        <v>0</v>
      </c>
      <c r="Q114" s="17">
        <f>(1-AMD!H$48)*Yard!Q$103</f>
        <v>0</v>
      </c>
      <c r="R114" s="17">
        <f>(1-AMD!I$48)*Yard!R$103</f>
        <v>0</v>
      </c>
      <c r="S114" s="17">
        <f>(1-AMD!J$48)*Yard!S$103</f>
        <v>0</v>
      </c>
      <c r="T114" s="17">
        <f t="shared" si="2"/>
        <v>6.0497383669805831E-2</v>
      </c>
      <c r="U114" s="6"/>
    </row>
    <row r="115" spans="1:21" x14ac:dyDescent="0.2">
      <c r="A115" s="5" t="s">
        <v>59</v>
      </c>
      <c r="B115" s="17">
        <f>(1-AMD!B$49)*Yard!B$104</f>
        <v>0</v>
      </c>
      <c r="C115" s="17">
        <f>(1-AMD!C$49)*Yard!C$104</f>
        <v>6.384665506149162E-2</v>
      </c>
      <c r="D115" s="17">
        <f>(1-AMD!D$49)*Yard!D$104</f>
        <v>5.8891184544057749E-2</v>
      </c>
      <c r="E115" s="17">
        <f>(1-AMD!E$49)*Yard!E$104</f>
        <v>0.10750401332804257</v>
      </c>
      <c r="F115" s="17">
        <f>(1-AMD!F$49)*Yard!F$104</f>
        <v>0.13312250834614389</v>
      </c>
      <c r="G115" s="17">
        <f>(1-AMD!G$49)*Yard!G$104</f>
        <v>0</v>
      </c>
      <c r="H115" s="17">
        <f>(1-AMD!H$49)*Yard!H$104</f>
        <v>0.10830142520343373</v>
      </c>
      <c r="I115" s="17">
        <f>(1-AMD!I$49)*Yard!I$104</f>
        <v>0</v>
      </c>
      <c r="J115" s="17">
        <f>(1-AMD!J$49)*Yard!J$104</f>
        <v>0</v>
      </c>
      <c r="K115" s="17">
        <f>(1-AMD!B$49)*Yard!K$104</f>
        <v>3.1775523491637418E-2</v>
      </c>
      <c r="L115" s="17">
        <f>(1-AMD!C$49)*Yard!L$104</f>
        <v>2.1078829058141277E-2</v>
      </c>
      <c r="M115" s="17">
        <f>(1-AMD!D$49)*Yard!M$104</f>
        <v>1.9442791651967928E-2</v>
      </c>
      <c r="N115" s="17">
        <f>(1-AMD!E$49)*Yard!N$104</f>
        <v>3.5492207349366658E-2</v>
      </c>
      <c r="O115" s="17">
        <f>(1-AMD!F$49)*Yard!O$104</f>
        <v>4.3950095655235041E-2</v>
      </c>
      <c r="P115" s="17">
        <f>(1-AMD!G$49)*Yard!P$104</f>
        <v>0</v>
      </c>
      <c r="Q115" s="17">
        <f>(1-AMD!H$49)*Yard!Q$104</f>
        <v>5.1079244400231684E-2</v>
      </c>
      <c r="R115" s="17">
        <f>(1-AMD!I$49)*Yard!R$104</f>
        <v>0</v>
      </c>
      <c r="S115" s="17">
        <f>(1-AMD!J$49)*Yard!S$104</f>
        <v>0</v>
      </c>
      <c r="T115" s="17">
        <f t="shared" si="2"/>
        <v>0.67448447808974954</v>
      </c>
      <c r="U115" s="6"/>
    </row>
    <row r="116" spans="1:21" x14ac:dyDescent="0.2">
      <c r="A116" s="5" t="s">
        <v>60</v>
      </c>
      <c r="B116" s="17">
        <f>(1-AMD!B$50)*Yard!B$105</f>
        <v>0</v>
      </c>
      <c r="C116" s="17">
        <f>(1-AMD!C$50)*Yard!C$105</f>
        <v>7.2627535780601146E-2</v>
      </c>
      <c r="D116" s="17">
        <f>(1-AMD!D$50)*Yard!D$105</f>
        <v>6.6990535502857315E-2</v>
      </c>
      <c r="E116" s="17">
        <f>(1-AMD!E$50)*Yard!E$105</f>
        <v>0.12228912488870215</v>
      </c>
      <c r="F116" s="17">
        <f>(1-AMD!F$50)*Yard!F$105</f>
        <v>0.15143095168887402</v>
      </c>
      <c r="G116" s="17">
        <f>(1-AMD!G$50)*Yard!G$105</f>
        <v>0</v>
      </c>
      <c r="H116" s="17">
        <f>(1-AMD!H$50)*Yard!H$105</f>
        <v>0</v>
      </c>
      <c r="I116" s="17">
        <f>(1-AMD!I$50)*Yard!I$105</f>
        <v>0</v>
      </c>
      <c r="J116" s="17">
        <f>(1-AMD!J$50)*Yard!J$105</f>
        <v>0</v>
      </c>
      <c r="K116" s="17">
        <f>(1-AMD!B$50)*Yard!K$105</f>
        <v>3.6145636245369088E-2</v>
      </c>
      <c r="L116" s="17">
        <f>(1-AMD!C$50)*Yard!L$105</f>
        <v>2.3977817007937153E-2</v>
      </c>
      <c r="M116" s="17">
        <f>(1-AMD!D$50)*Yard!M$105</f>
        <v>2.2116774089700985E-2</v>
      </c>
      <c r="N116" s="17">
        <f>(1-AMD!E$50)*Yard!N$105</f>
        <v>4.0373478559151015E-2</v>
      </c>
      <c r="O116" s="17">
        <f>(1-AMD!F$50)*Yard!O$105</f>
        <v>4.9994586900240556E-2</v>
      </c>
      <c r="P116" s="17">
        <f>(1-AMD!G$50)*Yard!P$105</f>
        <v>0</v>
      </c>
      <c r="Q116" s="17">
        <f>(1-AMD!H$50)*Yard!Q$105</f>
        <v>0</v>
      </c>
      <c r="R116" s="17">
        <f>(1-AMD!I$50)*Yard!R$105</f>
        <v>0</v>
      </c>
      <c r="S116" s="17">
        <f>(1-AMD!J$50)*Yard!S$105</f>
        <v>0</v>
      </c>
      <c r="T116" s="17">
        <f t="shared" si="2"/>
        <v>0.58594644066343338</v>
      </c>
      <c r="U116" s="6"/>
    </row>
    <row r="117" spans="1:21" x14ac:dyDescent="0.2">
      <c r="A117" s="5" t="s">
        <v>73</v>
      </c>
      <c r="B117" s="17">
        <f>(1-AMD!B$51)*Yard!B$106</f>
        <v>0</v>
      </c>
      <c r="C117" s="17">
        <f>(1-AMD!C$51)*Yard!C$106</f>
        <v>6.7366173771238338E-2</v>
      </c>
      <c r="D117" s="17">
        <f>(1-AMD!D$51)*Yard!D$106</f>
        <v>6.2137535126438839E-2</v>
      </c>
      <c r="E117" s="17">
        <f>(1-AMD!E$51)*Yard!E$106</f>
        <v>9.074409973067421E-2</v>
      </c>
      <c r="F117" s="17">
        <f>(1-AMD!F$51)*Yard!F$106</f>
        <v>0</v>
      </c>
      <c r="G117" s="17">
        <f>(1-AMD!G$51)*Yard!G$106</f>
        <v>0</v>
      </c>
      <c r="H117" s="17">
        <f>(1-AMD!H$51)*Yard!H$106</f>
        <v>0</v>
      </c>
      <c r="I117" s="17">
        <f>(1-AMD!I$51)*Yard!I$106</f>
        <v>0</v>
      </c>
      <c r="J117" s="17">
        <f>(1-AMD!J$51)*Yard!J$106</f>
        <v>0</v>
      </c>
      <c r="K117" s="17">
        <f>(1-AMD!B$51)*Yard!K$106</f>
        <v>3.3527135214022952E-2</v>
      </c>
      <c r="L117" s="17">
        <f>(1-AMD!C$51)*Yard!L$106</f>
        <v>2.2240790216141334E-2</v>
      </c>
      <c r="M117" s="17">
        <f>(1-AMD!D$51)*Yard!M$106</f>
        <v>2.0514566969295097E-2</v>
      </c>
      <c r="N117" s="17">
        <f>(1-AMD!E$51)*Yard!N$106</f>
        <v>2.9958959704554301E-2</v>
      </c>
      <c r="O117" s="17">
        <f>(1-AMD!F$51)*Yard!O$106</f>
        <v>0</v>
      </c>
      <c r="P117" s="17">
        <f>(1-AMD!G$51)*Yard!P$106</f>
        <v>0</v>
      </c>
      <c r="Q117" s="17">
        <f>(1-AMD!H$51)*Yard!Q$106</f>
        <v>0</v>
      </c>
      <c r="R117" s="17">
        <f>(1-AMD!I$51)*Yard!R$106</f>
        <v>0</v>
      </c>
      <c r="S117" s="17">
        <f>(1-AMD!J$51)*Yard!S$106</f>
        <v>0</v>
      </c>
      <c r="T117" s="17">
        <f t="shared" si="2"/>
        <v>0.32648926073236506</v>
      </c>
      <c r="U117" s="6"/>
    </row>
    <row r="118" spans="1:21" x14ac:dyDescent="0.2">
      <c r="A118" s="5" t="s">
        <v>74</v>
      </c>
      <c r="B118" s="17">
        <f>(1-AMD!B$52)*Yard!B$107</f>
        <v>0</v>
      </c>
      <c r="C118" s="17">
        <f>(1-AMD!C$52)*Yard!C$107</f>
        <v>6.2462125284811161E-2</v>
      </c>
      <c r="D118" s="17">
        <f>(1-AMD!D$52)*Yard!D$107</f>
        <v>5.7614115314562439E-2</v>
      </c>
      <c r="E118" s="17">
        <f>(1-AMD!E$52)*Yard!E$107</f>
        <v>0</v>
      </c>
      <c r="F118" s="17">
        <f>(1-AMD!F$52)*Yard!F$107</f>
        <v>0</v>
      </c>
      <c r="G118" s="17">
        <f>(1-AMD!G$52)*Yard!G$107</f>
        <v>0</v>
      </c>
      <c r="H118" s="17">
        <f>(1-AMD!H$52)*Yard!H$107</f>
        <v>0</v>
      </c>
      <c r="I118" s="17">
        <f>(1-AMD!I$52)*Yard!I$107</f>
        <v>0</v>
      </c>
      <c r="J118" s="17">
        <f>(1-AMD!J$52)*Yard!J$107</f>
        <v>0</v>
      </c>
      <c r="K118" s="17">
        <f>(1-AMD!B$52)*Yard!K$107</f>
        <v>3.1086463768752792E-2</v>
      </c>
      <c r="L118" s="17">
        <f>(1-AMD!C$52)*Yard!L$107</f>
        <v>2.0621729677438465E-2</v>
      </c>
      <c r="M118" s="17">
        <f>(1-AMD!D$52)*Yard!M$107</f>
        <v>1.902117012836552E-2</v>
      </c>
      <c r="N118" s="17">
        <f>(1-AMD!E$52)*Yard!N$107</f>
        <v>0</v>
      </c>
      <c r="O118" s="17">
        <f>(1-AMD!F$52)*Yard!O$107</f>
        <v>0</v>
      </c>
      <c r="P118" s="17">
        <f>(1-AMD!G$52)*Yard!P$107</f>
        <v>0</v>
      </c>
      <c r="Q118" s="17">
        <f>(1-AMD!H$52)*Yard!Q$107</f>
        <v>0</v>
      </c>
      <c r="R118" s="17">
        <f>(1-AMD!I$52)*Yard!R$107</f>
        <v>0</v>
      </c>
      <c r="S118" s="17">
        <f>(1-AMD!J$52)*Yard!S$107</f>
        <v>0</v>
      </c>
      <c r="T118" s="17">
        <f t="shared" si="2"/>
        <v>0.19080560417393039</v>
      </c>
      <c r="U118" s="6"/>
    </row>
    <row r="119" spans="1:21" x14ac:dyDescent="0.2">
      <c r="A119" s="5" t="s">
        <v>100</v>
      </c>
      <c r="B119" s="17">
        <f>(1-AMD!B$57)*Yard!B$112</f>
        <v>0</v>
      </c>
      <c r="C119" s="17">
        <f>(1-AMD!C$57)*Yard!C$112</f>
        <v>5.714137030271698E-2</v>
      </c>
      <c r="D119" s="17">
        <f>(1-AMD!D$57)*Yard!D$112</f>
        <v>5.2706331762512056E-2</v>
      </c>
      <c r="E119" s="17">
        <f>(1-AMD!E$57)*Yard!E$112</f>
        <v>9.0919081090155243E-2</v>
      </c>
      <c r="F119" s="17">
        <f>(1-AMD!F$57)*Yard!F$112</f>
        <v>0.11258534222638869</v>
      </c>
      <c r="G119" s="17">
        <f>(1-AMD!G$57)*Yard!G$112</f>
        <v>0</v>
      </c>
      <c r="H119" s="17">
        <f>(1-AMD!H$57)*Yard!H$112</f>
        <v>0.11449184262316578</v>
      </c>
      <c r="I119" s="17">
        <f>(1-AMD!I$57)*Yard!I$112</f>
        <v>9.8961319485520768E-2</v>
      </c>
      <c r="J119" s="17">
        <f>(1-AMD!J$57)*Yard!J$112</f>
        <v>2.5215990300293738E-3</v>
      </c>
      <c r="K119" s="17">
        <f>(1-AMD!B$57)*Yard!K$112</f>
        <v>2.7631230704539999E-2</v>
      </c>
      <c r="L119" s="17">
        <f>(1-AMD!C$57)*Yard!L$112</f>
        <v>1.8865094429753239E-2</v>
      </c>
      <c r="M119" s="17">
        <f>(1-AMD!D$57)*Yard!M$112</f>
        <v>1.7400876466177686E-2</v>
      </c>
      <c r="N119" s="17">
        <f>(1-AMD!E$57)*Yard!N$112</f>
        <v>3.0016729405430712E-2</v>
      </c>
      <c r="O119" s="17">
        <f>(1-AMD!F$57)*Yard!O$112</f>
        <v>3.7169796615919064E-2</v>
      </c>
      <c r="P119" s="17">
        <f>(1-AMD!G$57)*Yard!P$112</f>
        <v>0</v>
      </c>
      <c r="Q119" s="17">
        <f>(1-AMD!H$57)*Yard!Q$112</f>
        <v>5.3998890598127881E-2</v>
      </c>
      <c r="R119" s="17">
        <f>(1-AMD!I$57)*Yard!R$112</f>
        <v>4.6674080370366702E-2</v>
      </c>
      <c r="S119" s="17">
        <f>(1-AMD!J$57)*Yard!S$112</f>
        <v>2.7750007605969951E-2</v>
      </c>
      <c r="T119" s="17">
        <f t="shared" si="2"/>
        <v>0.78883359271677411</v>
      </c>
      <c r="U119" s="6"/>
    </row>
    <row r="121" spans="1:21" ht="16.5" x14ac:dyDescent="0.25">
      <c r="A121" s="3" t="s">
        <v>844</v>
      </c>
    </row>
    <row r="122" spans="1:21" x14ac:dyDescent="0.2">
      <c r="A122" s="10" t="s">
        <v>238</v>
      </c>
    </row>
    <row r="123" spans="1:21" x14ac:dyDescent="0.2">
      <c r="A123" s="11" t="s">
        <v>822</v>
      </c>
    </row>
    <row r="124" spans="1:21" x14ac:dyDescent="0.2">
      <c r="A124" s="11" t="s">
        <v>845</v>
      </c>
    </row>
    <row r="125" spans="1:21" x14ac:dyDescent="0.2">
      <c r="A125" s="11" t="s">
        <v>846</v>
      </c>
    </row>
    <row r="126" spans="1:21" x14ac:dyDescent="0.2">
      <c r="A126" s="18" t="s">
        <v>241</v>
      </c>
      <c r="B126" s="10" t="s">
        <v>371</v>
      </c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8" t="s">
        <v>372</v>
      </c>
    </row>
    <row r="127" spans="1:21" x14ac:dyDescent="0.2">
      <c r="A127" s="18" t="s">
        <v>244</v>
      </c>
      <c r="B127" s="10" t="s">
        <v>831</v>
      </c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8" t="s">
        <v>424</v>
      </c>
    </row>
    <row r="129" spans="1:21" x14ac:dyDescent="0.2">
      <c r="B129" s="19" t="s">
        <v>847</v>
      </c>
      <c r="C129" s="19"/>
      <c r="D129" s="19"/>
      <c r="E129" s="19"/>
      <c r="F129" s="19"/>
      <c r="G129" s="19"/>
      <c r="H129" s="19"/>
      <c r="I129" s="19"/>
      <c r="J129" s="19"/>
      <c r="K129" s="19"/>
      <c r="L129" s="19"/>
      <c r="M129" s="19"/>
      <c r="N129" s="19"/>
      <c r="O129" s="19"/>
      <c r="P129" s="19"/>
      <c r="Q129" s="19"/>
      <c r="R129" s="19"/>
      <c r="S129" s="19"/>
    </row>
    <row r="130" spans="1:21" ht="63.75" x14ac:dyDescent="0.2">
      <c r="B130" s="4" t="s">
        <v>21</v>
      </c>
      <c r="C130" s="4" t="s">
        <v>191</v>
      </c>
      <c r="D130" s="4" t="s">
        <v>192</v>
      </c>
      <c r="E130" s="4" t="s">
        <v>193</v>
      </c>
      <c r="F130" s="4" t="s">
        <v>194</v>
      </c>
      <c r="G130" s="4" t="s">
        <v>195</v>
      </c>
      <c r="H130" s="4" t="s">
        <v>196</v>
      </c>
      <c r="I130" s="4" t="s">
        <v>197</v>
      </c>
      <c r="J130" s="4" t="s">
        <v>198</v>
      </c>
      <c r="K130" s="4" t="s">
        <v>179</v>
      </c>
      <c r="L130" s="4" t="s">
        <v>699</v>
      </c>
      <c r="M130" s="4" t="s">
        <v>700</v>
      </c>
      <c r="N130" s="4" t="s">
        <v>701</v>
      </c>
      <c r="O130" s="4" t="s">
        <v>702</v>
      </c>
      <c r="P130" s="4" t="s">
        <v>703</v>
      </c>
      <c r="Q130" s="4" t="s">
        <v>704</v>
      </c>
      <c r="R130" s="4" t="s">
        <v>705</v>
      </c>
      <c r="S130" s="4" t="s">
        <v>706</v>
      </c>
      <c r="T130" s="4" t="s">
        <v>848</v>
      </c>
    </row>
    <row r="131" spans="1:21" x14ac:dyDescent="0.2">
      <c r="A131" s="5" t="s">
        <v>59</v>
      </c>
      <c r="B131" s="17">
        <f>(1-AMD!B$49)*Yard!B$127</f>
        <v>0</v>
      </c>
      <c r="C131" s="17">
        <f>(1-AMD!C$49)*Yard!C$127</f>
        <v>9.5408988286650228E-3</v>
      </c>
      <c r="D131" s="17">
        <f>(1-AMD!D$49)*Yard!D$127</f>
        <v>8.8003801153552479E-3</v>
      </c>
      <c r="E131" s="17">
        <f>(1-AMD!E$49)*Yard!E$127</f>
        <v>1.443885098857884E-2</v>
      </c>
      <c r="F131" s="17">
        <f>(1-AMD!F$49)*Yard!F$127</f>
        <v>1.7879667946633045E-2</v>
      </c>
      <c r="G131" s="17">
        <f>(1-AMD!G$49)*Yard!G$127</f>
        <v>0</v>
      </c>
      <c r="H131" s="17">
        <f>(1-AMD!H$49)*Yard!H$127</f>
        <v>1.4545951280827116E-2</v>
      </c>
      <c r="I131" s="17">
        <f>(1-AMD!I$49)*Yard!I$127</f>
        <v>0</v>
      </c>
      <c r="J131" s="17">
        <f>(1-AMD!J$49)*Yard!J$127</f>
        <v>0</v>
      </c>
      <c r="K131" s="17">
        <f>(1-AMD!B$49)*Yard!K$127</f>
        <v>5.615857252003008E-3</v>
      </c>
      <c r="L131" s="17">
        <f>(1-AMD!C$49)*Yard!L$127</f>
        <v>3.1499062132034567E-3</v>
      </c>
      <c r="M131" s="17">
        <f>(1-AMD!D$49)*Yard!M$127</f>
        <v>2.9054256314536703E-3</v>
      </c>
      <c r="N131" s="17">
        <f>(1-AMD!E$49)*Yard!N$127</f>
        <v>4.7669540634681607E-3</v>
      </c>
      <c r="O131" s="17">
        <f>(1-AMD!F$49)*Yard!O$127</f>
        <v>5.9029320157872808E-3</v>
      </c>
      <c r="P131" s="17">
        <f>(1-AMD!G$49)*Yard!P$127</f>
        <v>0</v>
      </c>
      <c r="Q131" s="17">
        <f>(1-AMD!H$49)*Yard!Q$127</f>
        <v>6.8604471188775697E-3</v>
      </c>
      <c r="R131" s="17">
        <f>(1-AMD!I$49)*Yard!R$127</f>
        <v>0</v>
      </c>
      <c r="S131" s="17">
        <f>(1-AMD!J$49)*Yard!S$127</f>
        <v>0</v>
      </c>
      <c r="T131" s="17">
        <f>SUM($B131:$S131)</f>
        <v>9.4407271454852421E-2</v>
      </c>
      <c r="U131" s="6"/>
    </row>
    <row r="132" spans="1:21" x14ac:dyDescent="0.2">
      <c r="A132" s="5" t="s">
        <v>60</v>
      </c>
      <c r="B132" s="17">
        <f>(1-AMD!B$50)*Yard!B$128</f>
        <v>0</v>
      </c>
      <c r="C132" s="17">
        <f>(1-AMD!C$50)*Yard!C$128</f>
        <v>1.085306615343579E-2</v>
      </c>
      <c r="D132" s="17">
        <f>(1-AMD!D$50)*Yard!D$128</f>
        <v>1.001070331868255E-2</v>
      </c>
      <c r="E132" s="17">
        <f>(1-AMD!E$50)*Yard!E$128</f>
        <v>1.6424637528681812E-2</v>
      </c>
      <c r="F132" s="17">
        <f>(1-AMD!F$50)*Yard!F$128</f>
        <v>2.0338672750964022E-2</v>
      </c>
      <c r="G132" s="17">
        <f>(1-AMD!G$50)*Yard!G$128</f>
        <v>0</v>
      </c>
      <c r="H132" s="17">
        <f>(1-AMD!H$50)*Yard!H$128</f>
        <v>0</v>
      </c>
      <c r="I132" s="17">
        <f>(1-AMD!I$50)*Yard!I$128</f>
        <v>0</v>
      </c>
      <c r="J132" s="17">
        <f>(1-AMD!J$50)*Yard!J$128</f>
        <v>0</v>
      </c>
      <c r="K132" s="17">
        <f>(1-AMD!B$50)*Yard!K$128</f>
        <v>6.388210519654873E-3</v>
      </c>
      <c r="L132" s="17">
        <f>(1-AMD!C$50)*Yard!L$128</f>
        <v>3.5831152937399833E-3</v>
      </c>
      <c r="M132" s="17">
        <f>(1-AMD!D$50)*Yard!M$128</f>
        <v>3.3050111051713929E-3</v>
      </c>
      <c r="N132" s="17">
        <f>(1-AMD!E$50)*Yard!N$128</f>
        <v>5.4225570074982639E-3</v>
      </c>
      <c r="O132" s="17">
        <f>(1-AMD!F$50)*Yard!O$128</f>
        <v>6.7147669016355644E-3</v>
      </c>
      <c r="P132" s="17">
        <f>(1-AMD!G$50)*Yard!P$128</f>
        <v>0</v>
      </c>
      <c r="Q132" s="17">
        <f>(1-AMD!H$50)*Yard!Q$128</f>
        <v>0</v>
      </c>
      <c r="R132" s="17">
        <f>(1-AMD!I$50)*Yard!R$128</f>
        <v>0</v>
      </c>
      <c r="S132" s="17">
        <f>(1-AMD!J$50)*Yard!S$128</f>
        <v>0</v>
      </c>
      <c r="T132" s="17">
        <f>SUM($B132:$S132)</f>
        <v>8.304074057946427E-2</v>
      </c>
      <c r="U132" s="6"/>
    </row>
    <row r="133" spans="1:21" x14ac:dyDescent="0.2">
      <c r="A133" s="5" t="s">
        <v>73</v>
      </c>
      <c r="B133" s="17">
        <f>(1-AMD!B$51)*Yard!B$129</f>
        <v>0</v>
      </c>
      <c r="C133" s="17">
        <f>(1-AMD!C$51)*Yard!C$129</f>
        <v>1.0066836669934024E-2</v>
      </c>
      <c r="D133" s="17">
        <f>(1-AMD!D$51)*Yard!D$129</f>
        <v>9.2854971890538682E-3</v>
      </c>
      <c r="E133" s="17">
        <f>(1-AMD!E$51)*Yard!E$129</f>
        <v>1.2187829026492391E-2</v>
      </c>
      <c r="F133" s="17">
        <f>(1-AMD!F$51)*Yard!F$129</f>
        <v>0</v>
      </c>
      <c r="G133" s="17">
        <f>(1-AMD!G$51)*Yard!G$129</f>
        <v>0</v>
      </c>
      <c r="H133" s="17">
        <f>(1-AMD!H$51)*Yard!H$129</f>
        <v>0</v>
      </c>
      <c r="I133" s="17">
        <f>(1-AMD!I$51)*Yard!I$129</f>
        <v>0</v>
      </c>
      <c r="J133" s="17">
        <f>(1-AMD!J$51)*Yard!J$129</f>
        <v>0</v>
      </c>
      <c r="K133" s="17">
        <f>(1-AMD!B$51)*Yard!K$129</f>
        <v>5.9254289069417881E-3</v>
      </c>
      <c r="L133" s="17">
        <f>(1-AMD!C$51)*Yard!L$129</f>
        <v>3.3235434043866106E-3</v>
      </c>
      <c r="M133" s="17">
        <f>(1-AMD!D$51)*Yard!M$129</f>
        <v>3.0655859383613756E-3</v>
      </c>
      <c r="N133" s="17">
        <f>(1-AMD!E$51)*Yard!N$129</f>
        <v>4.0237842435419131E-3</v>
      </c>
      <c r="O133" s="17">
        <f>(1-AMD!F$51)*Yard!O$129</f>
        <v>0</v>
      </c>
      <c r="P133" s="17">
        <f>(1-AMD!G$51)*Yard!P$129</f>
        <v>0</v>
      </c>
      <c r="Q133" s="17">
        <f>(1-AMD!H$51)*Yard!Q$129</f>
        <v>0</v>
      </c>
      <c r="R133" s="17">
        <f>(1-AMD!I$51)*Yard!R$129</f>
        <v>0</v>
      </c>
      <c r="S133" s="17">
        <f>(1-AMD!J$51)*Yard!S$129</f>
        <v>0</v>
      </c>
      <c r="T133" s="17">
        <f>SUM($B133:$S133)</f>
        <v>4.7878505378711973E-2</v>
      </c>
      <c r="U133" s="6"/>
    </row>
    <row r="134" spans="1:21" x14ac:dyDescent="0.2">
      <c r="A134" s="5" t="s">
        <v>74</v>
      </c>
      <c r="B134" s="17">
        <f>(1-AMD!B$52)*Yard!B$130</f>
        <v>0</v>
      </c>
      <c r="C134" s="17">
        <f>(1-AMD!C$52)*Yard!C$130</f>
        <v>9.3340021868306162E-3</v>
      </c>
      <c r="D134" s="17">
        <f>(1-AMD!D$52)*Yard!D$130</f>
        <v>8.6095417965101825E-3</v>
      </c>
      <c r="E134" s="17">
        <f>(1-AMD!E$52)*Yard!E$130</f>
        <v>0</v>
      </c>
      <c r="F134" s="17">
        <f>(1-AMD!F$52)*Yard!F$130</f>
        <v>0</v>
      </c>
      <c r="G134" s="17">
        <f>(1-AMD!G$52)*Yard!G$130</f>
        <v>0</v>
      </c>
      <c r="H134" s="17">
        <f>(1-AMD!H$52)*Yard!H$130</f>
        <v>0</v>
      </c>
      <c r="I134" s="17">
        <f>(1-AMD!I$52)*Yard!I$130</f>
        <v>0</v>
      </c>
      <c r="J134" s="17">
        <f>(1-AMD!J$52)*Yard!J$130</f>
        <v>0</v>
      </c>
      <c r="K134" s="17">
        <f>(1-AMD!B$52)*Yard!K$130</f>
        <v>5.4940760626909502E-3</v>
      </c>
      <c r="L134" s="17">
        <f>(1-AMD!C$52)*Yard!L$130</f>
        <v>3.0815997538951238E-3</v>
      </c>
      <c r="M134" s="17">
        <f>(1-AMD!D$52)*Yard!M$130</f>
        <v>2.8424207912344929E-3</v>
      </c>
      <c r="N134" s="17">
        <f>(1-AMD!E$52)*Yard!N$130</f>
        <v>0</v>
      </c>
      <c r="O134" s="17">
        <f>(1-AMD!F$52)*Yard!O$130</f>
        <v>0</v>
      </c>
      <c r="P134" s="17">
        <f>(1-AMD!G$52)*Yard!P$130</f>
        <v>0</v>
      </c>
      <c r="Q134" s="17">
        <f>(1-AMD!H$52)*Yard!Q$130</f>
        <v>0</v>
      </c>
      <c r="R134" s="17">
        <f>(1-AMD!I$52)*Yard!R$130</f>
        <v>0</v>
      </c>
      <c r="S134" s="17">
        <f>(1-AMD!J$52)*Yard!S$130</f>
        <v>0</v>
      </c>
      <c r="T134" s="17">
        <f>SUM($B134:$S134)</f>
        <v>2.9361640591161364E-2</v>
      </c>
      <c r="U134" s="6"/>
    </row>
    <row r="135" spans="1:21" x14ac:dyDescent="0.2">
      <c r="A135" s="5" t="s">
        <v>100</v>
      </c>
      <c r="B135" s="17">
        <f>(1-AMD!B$57)*Yard!B$135</f>
        <v>0</v>
      </c>
      <c r="C135" s="17">
        <f>(1-AMD!C$57)*Yard!C$135</f>
        <v>9.3741910503643694E-3</v>
      </c>
      <c r="D135" s="17">
        <f>(1-AMD!D$57)*Yard!D$135</f>
        <v>8.6466113936050134E-3</v>
      </c>
      <c r="E135" s="17">
        <f>(1-AMD!E$57)*Yard!E$135</f>
        <v>1.418656147029065E-2</v>
      </c>
      <c r="F135" s="17">
        <f>(1-AMD!F$57)*Yard!F$135</f>
        <v>1.7567257158754086E-2</v>
      </c>
      <c r="G135" s="17">
        <f>(1-AMD!G$57)*Yard!G$135</f>
        <v>0</v>
      </c>
      <c r="H135" s="17">
        <f>(1-AMD!H$57)*Yard!H$135</f>
        <v>1.7864738003783659E-2</v>
      </c>
      <c r="I135" s="17">
        <f>(1-AMD!I$57)*Yard!I$135</f>
        <v>1.5441432372928257E-2</v>
      </c>
      <c r="J135" s="17">
        <f>(1-AMD!J$57)*Yard!J$135</f>
        <v>3.9345777821340626E-4</v>
      </c>
      <c r="K135" s="17">
        <f>(1-AMD!B$57)*Yard!K$135</f>
        <v>5.5177315824463521E-3</v>
      </c>
      <c r="L135" s="17">
        <f>(1-AMD!C$57)*Yard!L$135</f>
        <v>3.0948680164791706E-3</v>
      </c>
      <c r="M135" s="17">
        <f>(1-AMD!D$57)*Yard!M$135</f>
        <v>2.8546592350443298E-3</v>
      </c>
      <c r="N135" s="17">
        <f>(1-AMD!E$57)*Yard!N$135</f>
        <v>4.6836612484563852E-3</v>
      </c>
      <c r="O135" s="17">
        <f>(1-AMD!F$57)*Yard!O$135</f>
        <v>5.7997902993218295E-3</v>
      </c>
      <c r="P135" s="17">
        <f>(1-AMD!G$57)*Yard!P$135</f>
        <v>0</v>
      </c>
      <c r="Q135" s="17">
        <f>(1-AMD!H$57)*Yard!Q$135</f>
        <v>8.425718469792039E-3</v>
      </c>
      <c r="R135" s="17">
        <f>(1-AMD!I$57)*Yard!R$135</f>
        <v>7.282791492216157E-3</v>
      </c>
      <c r="S135" s="17">
        <f>(1-AMD!J$57)*Yard!S$135</f>
        <v>4.3299732463503021E-3</v>
      </c>
      <c r="T135" s="17">
        <f>SUM($B135:$S135)</f>
        <v>0.125463442818046</v>
      </c>
      <c r="U135" s="6"/>
    </row>
  </sheetData>
  <sheetProtection sheet="1" objects="1"/>
  <hyperlinks>
    <hyperlink ref="A6" location="'Yard'!B11" display="'Yard'!B11"/>
    <hyperlink ref="A7" location="'AMD'!B213" display="'AMD'!B213"/>
    <hyperlink ref="A16" location="'AMD'!B40" display="'AMD'!B40"/>
    <hyperlink ref="A17" location="'LAFs'!B241" display="'LAFs'!B241"/>
    <hyperlink ref="A18" location="'Standing'!B11" display="'Standing'!B11"/>
    <hyperlink ref="A19" location="'Input'!E14" display="'Input'!E14"/>
    <hyperlink ref="A20" location="'Input'!F14" display="'Input'!F14"/>
    <hyperlink ref="A21" location="'Contrib'!B96" display="'Contrib'!B96"/>
    <hyperlink ref="A46" location="'AMD'!B40" display="'AMD'!B40"/>
    <hyperlink ref="A47" location="'Yard'!B23" display="'Yard'!B23"/>
    <hyperlink ref="A48" location="'Standing'!B54" display="'Standing'!B54"/>
    <hyperlink ref="A75" location="'AMD'!B40" display="'AMD'!B40"/>
    <hyperlink ref="A76" location="'Yard'!B65" display="'Yard'!B65"/>
    <hyperlink ref="A77" location="'Standing'!B83" display="'Standing'!B83"/>
    <hyperlink ref="A102" location="'AMD'!B40" display="'AMD'!B40"/>
    <hyperlink ref="A103" location="'Yard'!B99" display="'Yard'!B99"/>
    <hyperlink ref="A104" location="'Standing'!B110" display="'Standing'!B110"/>
    <hyperlink ref="A123" location="'AMD'!B40" display="'AMD'!B40"/>
    <hyperlink ref="A124" location="'Yard'!B127" display="'Yard'!B127"/>
    <hyperlink ref="A125" location="'Standing'!B131" display="'Standing'!B131"/>
  </hyperlinks>
  <pageMargins left="0.75" right="0.75" top="1" bottom="1" header="0.5" footer="0.5"/>
  <pageSetup paperSize="9" scale="34" fitToHeight="0" orientation="landscape" blackAndWhite="1" r:id="rId1"/>
  <headerFooter alignWithMargins="0">
    <oddHeader>&amp;L&amp;A&amp;Cr6140&amp;R&amp;P of &amp;N</oddHeader>
    <oddFooter>&amp;F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94"/>
  <sheetViews>
    <sheetView showGridLines="0" workbookViewId="0">
      <pane xSplit="1" ySplit="1" topLeftCell="B2" activePane="bottomRight" state="frozen"/>
      <selection pane="topRight"/>
      <selection pane="bottomLeft"/>
      <selection pane="bottomRight"/>
    </sheetView>
  </sheetViews>
  <sheetFormatPr defaultRowHeight="12.75" x14ac:dyDescent="0.2"/>
  <cols>
    <col min="1" max="1" width="50.7109375" customWidth="1"/>
    <col min="2" max="251" width="16.7109375" customWidth="1"/>
  </cols>
  <sheetData>
    <row r="1" spans="1:3" ht="19.5" x14ac:dyDescent="0.3">
      <c r="A1" s="15" t="str">
        <f>"r6140: Standing charges as fixed charges"&amp;" for "&amp;Input!B7&amp;" in "&amp;Input!C7&amp;" ("&amp;Input!D7&amp;")"</f>
        <v>r6140: Standing charges as fixed charges for Electricity North West  in 2013/14 (April 2013 Indicative)</v>
      </c>
    </row>
    <row r="2" spans="1:3" x14ac:dyDescent="0.2">
      <c r="A2" s="10" t="s">
        <v>849</v>
      </c>
    </row>
    <row r="4" spans="1:3" ht="16.5" x14ac:dyDescent="0.25">
      <c r="A4" s="3" t="s">
        <v>850</v>
      </c>
    </row>
    <row r="5" spans="1:3" x14ac:dyDescent="0.2">
      <c r="A5" s="10" t="s">
        <v>238</v>
      </c>
    </row>
    <row r="6" spans="1:3" x14ac:dyDescent="0.2">
      <c r="A6" s="11" t="s">
        <v>851</v>
      </c>
    </row>
    <row r="7" spans="1:3" x14ac:dyDescent="0.2">
      <c r="A7" s="11" t="s">
        <v>852</v>
      </c>
    </row>
    <row r="8" spans="1:3" x14ac:dyDescent="0.2">
      <c r="A8" s="11" t="s">
        <v>853</v>
      </c>
    </row>
    <row r="9" spans="1:3" x14ac:dyDescent="0.2">
      <c r="A9" s="11" t="s">
        <v>854</v>
      </c>
    </row>
    <row r="10" spans="1:3" x14ac:dyDescent="0.2">
      <c r="A10" s="11" t="s">
        <v>552</v>
      </c>
    </row>
    <row r="11" spans="1:3" x14ac:dyDescent="0.2">
      <c r="A11" s="10" t="s">
        <v>855</v>
      </c>
    </row>
    <row r="13" spans="1:3" ht="38.25" x14ac:dyDescent="0.2">
      <c r="B13" s="4" t="s">
        <v>856</v>
      </c>
    </row>
    <row r="14" spans="1:3" x14ac:dyDescent="0.2">
      <c r="A14" s="5" t="s">
        <v>53</v>
      </c>
      <c r="B14" s="17">
        <f>IF(Loads!E$298&gt;0,Multi!B$115/Loads!E$298/Input!E$14/Input!C$117/(24*Input!F$14)*1000,0)</f>
        <v>1.086828345904217</v>
      </c>
      <c r="C14" s="6"/>
    </row>
    <row r="15" spans="1:3" x14ac:dyDescent="0.2">
      <c r="A15" s="5" t="s">
        <v>54</v>
      </c>
      <c r="B15" s="17">
        <f>IF(Loads!E$299&gt;0,Multi!B$116/Loads!E$299/Input!E$14/Input!C$118/(24*Input!F$14)*1000,0)</f>
        <v>3.4857808206449898</v>
      </c>
      <c r="C15" s="6"/>
    </row>
    <row r="16" spans="1:3" x14ac:dyDescent="0.2">
      <c r="A16" s="5" t="s">
        <v>55</v>
      </c>
      <c r="B16" s="17">
        <f>IF(Loads!E$301&gt;0,Multi!B$118/Loads!E$301/Input!E$14/Input!C$120/(24*Input!F$14)*1000,0)</f>
        <v>5.0141038086686995</v>
      </c>
      <c r="C16" s="6"/>
    </row>
    <row r="17" spans="1:20" x14ac:dyDescent="0.2">
      <c r="A17" s="5" t="s">
        <v>56</v>
      </c>
      <c r="B17" s="17">
        <f>IF(Loads!E$302&gt;0,Multi!B$119/Loads!E$302/Input!E$14/Input!C$121/(24*Input!F$14)*1000,0)</f>
        <v>6.3636660699619547</v>
      </c>
      <c r="C17" s="6"/>
    </row>
    <row r="18" spans="1:20" x14ac:dyDescent="0.2">
      <c r="A18" s="5" t="s">
        <v>57</v>
      </c>
      <c r="B18" s="17">
        <f>IF(Loads!E$304&gt;0,Multi!B$121/Loads!E$304/Input!E$14/Input!C$123/(24*Input!F$14)*1000,0)</f>
        <v>25.896335672433313</v>
      </c>
      <c r="C18" s="6"/>
    </row>
    <row r="19" spans="1:20" x14ac:dyDescent="0.2">
      <c r="A19" s="5" t="s">
        <v>58</v>
      </c>
      <c r="B19" s="17">
        <f>IF(Loads!E$305&gt;0,Multi!B$122/Loads!E$305/Input!E$14/Input!C$124/(24*Input!F$14)*1000,0)</f>
        <v>28.967091923707645</v>
      </c>
      <c r="C19" s="6"/>
    </row>
    <row r="20" spans="1:20" x14ac:dyDescent="0.2">
      <c r="A20" s="5" t="s">
        <v>72</v>
      </c>
      <c r="B20" s="17">
        <f>IF(Loads!E$306&gt;0,Multi!B$123/Loads!E$306/Input!E$14/Input!C$125/(24*Input!F$14)*1000,0)</f>
        <v>47.662055643805019</v>
      </c>
      <c r="C20" s="6"/>
    </row>
    <row r="22" spans="1:20" ht="16.5" x14ac:dyDescent="0.25">
      <c r="A22" s="3" t="s">
        <v>857</v>
      </c>
    </row>
    <row r="23" spans="1:20" x14ac:dyDescent="0.2">
      <c r="A23" s="10" t="s">
        <v>238</v>
      </c>
    </row>
    <row r="24" spans="1:20" x14ac:dyDescent="0.2">
      <c r="A24" s="11" t="s">
        <v>858</v>
      </c>
    </row>
    <row r="25" spans="1:20" x14ac:dyDescent="0.2">
      <c r="A25" s="11" t="s">
        <v>859</v>
      </c>
    </row>
    <row r="26" spans="1:20" x14ac:dyDescent="0.2">
      <c r="A26" s="10" t="s">
        <v>672</v>
      </c>
    </row>
    <row r="28" spans="1:20" ht="25.5" x14ac:dyDescent="0.2">
      <c r="B28" s="4" t="s">
        <v>21</v>
      </c>
      <c r="C28" s="4" t="s">
        <v>191</v>
      </c>
      <c r="D28" s="4" t="s">
        <v>192</v>
      </c>
      <c r="E28" s="4" t="s">
        <v>193</v>
      </c>
      <c r="F28" s="4" t="s">
        <v>194</v>
      </c>
      <c r="G28" s="4" t="s">
        <v>195</v>
      </c>
      <c r="H28" s="4" t="s">
        <v>196</v>
      </c>
      <c r="I28" s="4" t="s">
        <v>197</v>
      </c>
      <c r="J28" s="4" t="s">
        <v>198</v>
      </c>
      <c r="K28" s="4" t="s">
        <v>179</v>
      </c>
      <c r="L28" s="4" t="s">
        <v>699</v>
      </c>
      <c r="M28" s="4" t="s">
        <v>700</v>
      </c>
      <c r="N28" s="4" t="s">
        <v>701</v>
      </c>
      <c r="O28" s="4" t="s">
        <v>702</v>
      </c>
      <c r="P28" s="4" t="s">
        <v>703</v>
      </c>
      <c r="Q28" s="4" t="s">
        <v>704</v>
      </c>
      <c r="R28" s="4" t="s">
        <v>705</v>
      </c>
      <c r="S28" s="4" t="s">
        <v>706</v>
      </c>
    </row>
    <row r="29" spans="1:20" x14ac:dyDescent="0.2">
      <c r="A29" s="5" t="s">
        <v>53</v>
      </c>
      <c r="B29" s="17">
        <f>Standing!B$25*$B14</f>
        <v>0</v>
      </c>
      <c r="C29" s="17">
        <f>Standing!C$25*$B14</f>
        <v>0</v>
      </c>
      <c r="D29" s="17">
        <f>Standing!D$25*$B14</f>
        <v>0</v>
      </c>
      <c r="E29" s="17">
        <f>Standing!E$25*$B14</f>
        <v>0</v>
      </c>
      <c r="F29" s="17">
        <f>Standing!F$25*$B14</f>
        <v>0</v>
      </c>
      <c r="G29" s="17">
        <f>Standing!G$25*$B14</f>
        <v>0</v>
      </c>
      <c r="H29" s="17">
        <f>Standing!H$25*$B14</f>
        <v>0</v>
      </c>
      <c r="I29" s="17">
        <f>Standing!I$25*$B14</f>
        <v>0</v>
      </c>
      <c r="J29" s="17">
        <f>Standing!J$25*$B14</f>
        <v>4.7495931039695669E-2</v>
      </c>
      <c r="K29" s="17">
        <f>Standing!K$25*$B14</f>
        <v>0</v>
      </c>
      <c r="L29" s="17">
        <f>Standing!L$25*$B14</f>
        <v>0</v>
      </c>
      <c r="M29" s="17">
        <f>Standing!M$25*$B14</f>
        <v>0</v>
      </c>
      <c r="N29" s="17">
        <f>Standing!N$25*$B14</f>
        <v>0</v>
      </c>
      <c r="O29" s="17">
        <f>Standing!O$25*$B14</f>
        <v>0</v>
      </c>
      <c r="P29" s="17">
        <f>Standing!P$25*$B14</f>
        <v>0</v>
      </c>
      <c r="Q29" s="17">
        <f>Standing!Q$25*$B14</f>
        <v>0</v>
      </c>
      <c r="R29" s="17">
        <f>Standing!R$25*$B14</f>
        <v>0</v>
      </c>
      <c r="S29" s="17">
        <f>Standing!S$25*$B14</f>
        <v>0.52268914760362417</v>
      </c>
      <c r="T29" s="6"/>
    </row>
    <row r="30" spans="1:20" x14ac:dyDescent="0.2">
      <c r="A30" s="5" t="s">
        <v>54</v>
      </c>
      <c r="B30" s="17">
        <f>Standing!B$26*$B15</f>
        <v>0</v>
      </c>
      <c r="C30" s="17">
        <f>Standing!C$26*$B15</f>
        <v>0</v>
      </c>
      <c r="D30" s="17">
        <f>Standing!D$26*$B15</f>
        <v>0</v>
      </c>
      <c r="E30" s="17">
        <f>Standing!E$26*$B15</f>
        <v>0</v>
      </c>
      <c r="F30" s="17">
        <f>Standing!F$26*$B15</f>
        <v>0</v>
      </c>
      <c r="G30" s="17">
        <f>Standing!G$26*$B15</f>
        <v>0</v>
      </c>
      <c r="H30" s="17">
        <f>Standing!H$26*$B15</f>
        <v>0</v>
      </c>
      <c r="I30" s="17">
        <f>Standing!I$26*$B15</f>
        <v>0</v>
      </c>
      <c r="J30" s="17">
        <f>Standing!J$26*$B15</f>
        <v>0.15233353647866593</v>
      </c>
      <c r="K30" s="17">
        <f>Standing!K$26*$B15</f>
        <v>0</v>
      </c>
      <c r="L30" s="17">
        <f>Standing!L$26*$B15</f>
        <v>0</v>
      </c>
      <c r="M30" s="17">
        <f>Standing!M$26*$B15</f>
        <v>0</v>
      </c>
      <c r="N30" s="17">
        <f>Standing!N$26*$B15</f>
        <v>0</v>
      </c>
      <c r="O30" s="17">
        <f>Standing!O$26*$B15</f>
        <v>0</v>
      </c>
      <c r="P30" s="17">
        <f>Standing!P$26*$B15</f>
        <v>0</v>
      </c>
      <c r="Q30" s="17">
        <f>Standing!Q$26*$B15</f>
        <v>0</v>
      </c>
      <c r="R30" s="17">
        <f>Standing!R$26*$B15</f>
        <v>0</v>
      </c>
      <c r="S30" s="17">
        <f>Standing!S$26*$B15</f>
        <v>1.6764191077112043</v>
      </c>
      <c r="T30" s="6"/>
    </row>
    <row r="31" spans="1:20" x14ac:dyDescent="0.2">
      <c r="A31" s="5" t="s">
        <v>55</v>
      </c>
      <c r="B31" s="17">
        <f>Standing!B$28*$B16</f>
        <v>0</v>
      </c>
      <c r="C31" s="17">
        <f>Standing!C$28*$B16</f>
        <v>0</v>
      </c>
      <c r="D31" s="17">
        <f>Standing!D$28*$B16</f>
        <v>0</v>
      </c>
      <c r="E31" s="17">
        <f>Standing!E$28*$B16</f>
        <v>0</v>
      </c>
      <c r="F31" s="17">
        <f>Standing!F$28*$B16</f>
        <v>0</v>
      </c>
      <c r="G31" s="17">
        <f>Standing!G$28*$B16</f>
        <v>0</v>
      </c>
      <c r="H31" s="17">
        <f>Standing!H$28*$B16</f>
        <v>0</v>
      </c>
      <c r="I31" s="17">
        <f>Standing!I$28*$B16</f>
        <v>0</v>
      </c>
      <c r="J31" s="17">
        <f>Standing!J$28*$B16</f>
        <v>0.21912340584406534</v>
      </c>
      <c r="K31" s="17">
        <f>Standing!K$28*$B16</f>
        <v>0</v>
      </c>
      <c r="L31" s="17">
        <f>Standing!L$28*$B16</f>
        <v>0</v>
      </c>
      <c r="M31" s="17">
        <f>Standing!M$28*$B16</f>
        <v>0</v>
      </c>
      <c r="N31" s="17">
        <f>Standing!N$28*$B16</f>
        <v>0</v>
      </c>
      <c r="O31" s="17">
        <f>Standing!O$28*$B16</f>
        <v>0</v>
      </c>
      <c r="P31" s="17">
        <f>Standing!P$28*$B16</f>
        <v>0</v>
      </c>
      <c r="Q31" s="17">
        <f>Standing!Q$28*$B16</f>
        <v>0</v>
      </c>
      <c r="R31" s="17">
        <f>Standing!R$28*$B16</f>
        <v>0</v>
      </c>
      <c r="S31" s="17">
        <f>Standing!S$28*$B16</f>
        <v>2.4114365949561853</v>
      </c>
      <c r="T31" s="6"/>
    </row>
    <row r="32" spans="1:20" x14ac:dyDescent="0.2">
      <c r="A32" s="5" t="s">
        <v>56</v>
      </c>
      <c r="B32" s="17">
        <f>Standing!B$29*$B17</f>
        <v>0</v>
      </c>
      <c r="C32" s="17">
        <f>Standing!C$29*$B17</f>
        <v>0</v>
      </c>
      <c r="D32" s="17">
        <f>Standing!D$29*$B17</f>
        <v>0</v>
      </c>
      <c r="E32" s="17">
        <f>Standing!E$29*$B17</f>
        <v>0</v>
      </c>
      <c r="F32" s="17">
        <f>Standing!F$29*$B17</f>
        <v>0</v>
      </c>
      <c r="G32" s="17">
        <f>Standing!G$29*$B17</f>
        <v>0</v>
      </c>
      <c r="H32" s="17">
        <f>Standing!H$29*$B17</f>
        <v>0</v>
      </c>
      <c r="I32" s="17">
        <f>Standing!I$29*$B17</f>
        <v>0</v>
      </c>
      <c r="J32" s="17">
        <f>Standing!J$29*$B17</f>
        <v>0.27810117941587209</v>
      </c>
      <c r="K32" s="17">
        <f>Standing!K$29*$B17</f>
        <v>0</v>
      </c>
      <c r="L32" s="17">
        <f>Standing!L$29*$B17</f>
        <v>0</v>
      </c>
      <c r="M32" s="17">
        <f>Standing!M$29*$B17</f>
        <v>0</v>
      </c>
      <c r="N32" s="17">
        <f>Standing!N$29*$B17</f>
        <v>0</v>
      </c>
      <c r="O32" s="17">
        <f>Standing!O$29*$B17</f>
        <v>0</v>
      </c>
      <c r="P32" s="17">
        <f>Standing!P$29*$B17</f>
        <v>0</v>
      </c>
      <c r="Q32" s="17">
        <f>Standing!Q$29*$B17</f>
        <v>0</v>
      </c>
      <c r="R32" s="17">
        <f>Standing!R$29*$B17</f>
        <v>0</v>
      </c>
      <c r="S32" s="17">
        <f>Standing!S$29*$B17</f>
        <v>3.0604825557573943</v>
      </c>
      <c r="T32" s="6"/>
    </row>
    <row r="33" spans="1:20" x14ac:dyDescent="0.2">
      <c r="A33" s="5" t="s">
        <v>57</v>
      </c>
      <c r="B33" s="17">
        <f>Standing!B$31*$B18</f>
        <v>0</v>
      </c>
      <c r="C33" s="17">
        <f>Standing!C$31*$B18</f>
        <v>0</v>
      </c>
      <c r="D33" s="17">
        <f>Standing!D$31*$B18</f>
        <v>0</v>
      </c>
      <c r="E33" s="17">
        <f>Standing!E$31*$B18</f>
        <v>0</v>
      </c>
      <c r="F33" s="17">
        <f>Standing!F$31*$B18</f>
        <v>0</v>
      </c>
      <c r="G33" s="17">
        <f>Standing!G$31*$B18</f>
        <v>0</v>
      </c>
      <c r="H33" s="17">
        <f>Standing!H$31*$B18</f>
        <v>0</v>
      </c>
      <c r="I33" s="17">
        <f>Standing!I$31*$B18</f>
        <v>0</v>
      </c>
      <c r="J33" s="17">
        <f>Standing!J$31*$B18</f>
        <v>1.1317063802337575</v>
      </c>
      <c r="K33" s="17">
        <f>Standing!K$31*$B18</f>
        <v>0</v>
      </c>
      <c r="L33" s="17">
        <f>Standing!L$31*$B18</f>
        <v>0</v>
      </c>
      <c r="M33" s="17">
        <f>Standing!M$31*$B18</f>
        <v>0</v>
      </c>
      <c r="N33" s="17">
        <f>Standing!N$31*$B18</f>
        <v>0</v>
      </c>
      <c r="O33" s="17">
        <f>Standing!O$31*$B18</f>
        <v>0</v>
      </c>
      <c r="P33" s="17">
        <f>Standing!P$31*$B18</f>
        <v>0</v>
      </c>
      <c r="Q33" s="17">
        <f>Standing!Q$31*$B18</f>
        <v>0</v>
      </c>
      <c r="R33" s="17">
        <f>Standing!R$31*$B18</f>
        <v>0</v>
      </c>
      <c r="S33" s="17">
        <f>Standing!S$31*$B18</f>
        <v>12.454343567401223</v>
      </c>
      <c r="T33" s="6"/>
    </row>
    <row r="34" spans="1:20" x14ac:dyDescent="0.2">
      <c r="A34" s="5" t="s">
        <v>58</v>
      </c>
      <c r="B34" s="17">
        <f>Standing!B$32*$B19</f>
        <v>0</v>
      </c>
      <c r="C34" s="17">
        <f>Standing!C$32*$B19</f>
        <v>0</v>
      </c>
      <c r="D34" s="17">
        <f>Standing!D$32*$B19</f>
        <v>0</v>
      </c>
      <c r="E34" s="17">
        <f>Standing!E$32*$B19</f>
        <v>0</v>
      </c>
      <c r="F34" s="17">
        <f>Standing!F$32*$B19</f>
        <v>0</v>
      </c>
      <c r="G34" s="17">
        <f>Standing!G$32*$B19</f>
        <v>0</v>
      </c>
      <c r="H34" s="17">
        <f>Standing!H$32*$B19</f>
        <v>0</v>
      </c>
      <c r="I34" s="17">
        <f>Standing!I$32*$B19</f>
        <v>1.8445227834988087</v>
      </c>
      <c r="J34" s="17">
        <f>Standing!J$32*$B19</f>
        <v>0</v>
      </c>
      <c r="K34" s="17">
        <f>Standing!K$32*$B19</f>
        <v>0</v>
      </c>
      <c r="L34" s="17">
        <f>Standing!L$32*$B19</f>
        <v>0</v>
      </c>
      <c r="M34" s="17">
        <f>Standing!M$32*$B19</f>
        <v>0</v>
      </c>
      <c r="N34" s="17">
        <f>Standing!N$32*$B19</f>
        <v>0</v>
      </c>
      <c r="O34" s="17">
        <f>Standing!O$32*$B19</f>
        <v>0</v>
      </c>
      <c r="P34" s="17">
        <f>Standing!P$32*$B19</f>
        <v>0</v>
      </c>
      <c r="Q34" s="17">
        <f>Standing!Q$32*$B19</f>
        <v>0</v>
      </c>
      <c r="R34" s="17">
        <f>Standing!R$32*$B19</f>
        <v>20.298834454612141</v>
      </c>
      <c r="S34" s="17">
        <f>Standing!S$32*$B19</f>
        <v>0</v>
      </c>
      <c r="T34" s="6"/>
    </row>
    <row r="35" spans="1:20" x14ac:dyDescent="0.2">
      <c r="A35" s="5" t="s">
        <v>72</v>
      </c>
      <c r="B35" s="17">
        <f>Standing!B$33*$B20</f>
        <v>0</v>
      </c>
      <c r="C35" s="17">
        <f>Standing!C$33*$B20</f>
        <v>0</v>
      </c>
      <c r="D35" s="17">
        <f>Standing!D$33*$B20</f>
        <v>0</v>
      </c>
      <c r="E35" s="17">
        <f>Standing!E$33*$B20</f>
        <v>17.145086654202117</v>
      </c>
      <c r="F35" s="17">
        <f>Standing!F$33*$B20</f>
        <v>45.646234700538713</v>
      </c>
      <c r="G35" s="17">
        <f>Standing!G$33*$B20</f>
        <v>0</v>
      </c>
      <c r="H35" s="17">
        <f>Standing!H$33*$B20</f>
        <v>10.403561191647627</v>
      </c>
      <c r="I35" s="17">
        <f>Standing!I$33*$B20</f>
        <v>0</v>
      </c>
      <c r="J35" s="17">
        <f>Standing!J$33*$B20</f>
        <v>0</v>
      </c>
      <c r="K35" s="17">
        <f>Standing!K$33*$B20</f>
        <v>0</v>
      </c>
      <c r="L35" s="17">
        <f>Standing!L$33*$B20</f>
        <v>0</v>
      </c>
      <c r="M35" s="17">
        <f>Standing!M$33*$B20</f>
        <v>0</v>
      </c>
      <c r="N35" s="17">
        <f>Standing!N$33*$B20</f>
        <v>5.6604116601390935</v>
      </c>
      <c r="O35" s="17">
        <f>Standing!O$33*$B20</f>
        <v>35.046514783133134</v>
      </c>
      <c r="P35" s="17">
        <f>Standing!P$33*$B20</f>
        <v>0</v>
      </c>
      <c r="Q35" s="17">
        <f>Standing!Q$33*$B20</f>
        <v>38.163469391091496</v>
      </c>
      <c r="R35" s="17">
        <f>Standing!R$33*$B20</f>
        <v>0</v>
      </c>
      <c r="S35" s="17">
        <f>Standing!S$33*$B20</f>
        <v>0</v>
      </c>
      <c r="T35" s="6"/>
    </row>
    <row r="37" spans="1:20" ht="16.5" x14ac:dyDescent="0.25">
      <c r="A37" s="3" t="s">
        <v>860</v>
      </c>
    </row>
    <row r="38" spans="1:20" x14ac:dyDescent="0.2">
      <c r="A38" s="10" t="s">
        <v>238</v>
      </c>
    </row>
    <row r="39" spans="1:20" x14ac:dyDescent="0.2">
      <c r="A39" s="11" t="s">
        <v>861</v>
      </c>
    </row>
    <row r="40" spans="1:20" x14ac:dyDescent="0.2">
      <c r="A40" s="11" t="s">
        <v>852</v>
      </c>
    </row>
    <row r="41" spans="1:20" x14ac:dyDescent="0.2">
      <c r="A41" s="11" t="s">
        <v>862</v>
      </c>
    </row>
    <row r="42" spans="1:20" x14ac:dyDescent="0.2">
      <c r="A42" s="11" t="s">
        <v>439</v>
      </c>
    </row>
    <row r="43" spans="1:20" x14ac:dyDescent="0.2">
      <c r="A43" s="10" t="s">
        <v>863</v>
      </c>
    </row>
    <row r="44" spans="1:20" x14ac:dyDescent="0.2">
      <c r="A44" s="11" t="s">
        <v>864</v>
      </c>
    </row>
    <row r="45" spans="1:20" x14ac:dyDescent="0.2">
      <c r="A45" s="18" t="s">
        <v>241</v>
      </c>
      <c r="B45" s="18" t="s">
        <v>300</v>
      </c>
      <c r="C45" s="18" t="s">
        <v>371</v>
      </c>
      <c r="D45" s="18" t="s">
        <v>405</v>
      </c>
    </row>
    <row r="46" spans="1:20" ht="25.5" x14ac:dyDescent="0.2">
      <c r="A46" s="18" t="s">
        <v>244</v>
      </c>
      <c r="B46" s="18" t="s">
        <v>865</v>
      </c>
      <c r="C46" s="18" t="s">
        <v>866</v>
      </c>
      <c r="D46" s="18" t="s">
        <v>867</v>
      </c>
    </row>
    <row r="48" spans="1:20" ht="76.5" x14ac:dyDescent="0.2">
      <c r="B48" s="4" t="s">
        <v>868</v>
      </c>
      <c r="C48" s="4" t="s">
        <v>869</v>
      </c>
      <c r="D48" s="4" t="s">
        <v>870</v>
      </c>
    </row>
    <row r="49" spans="1:5" x14ac:dyDescent="0.2">
      <c r="A49" s="5" t="s">
        <v>53</v>
      </c>
      <c r="B49" s="20">
        <f>LAFs!$J$241</f>
        <v>1</v>
      </c>
      <c r="C49" s="25">
        <f>Multi!B$115/Input!C$117/(24*Input!F$14)*1000</f>
        <v>2039151.2368626243</v>
      </c>
      <c r="D49" s="27">
        <f>Loads!E$298</f>
        <v>1974989.8815763444</v>
      </c>
      <c r="E49" s="6"/>
    </row>
    <row r="50" spans="1:5" x14ac:dyDescent="0.2">
      <c r="A50" s="5" t="s">
        <v>54</v>
      </c>
      <c r="B50" s="20">
        <f>LAFs!$J$242</f>
        <v>1</v>
      </c>
      <c r="C50" s="25">
        <f>Multi!B$116/Input!C$118/(24*Input!F$14)*1000</f>
        <v>641039.86145576718</v>
      </c>
      <c r="D50" s="27">
        <f>Loads!E$299</f>
        <v>193580.3873657005</v>
      </c>
      <c r="E50" s="6"/>
    </row>
    <row r="51" spans="1:5" x14ac:dyDescent="0.2">
      <c r="A51" s="5" t="s">
        <v>55</v>
      </c>
      <c r="B51" s="20">
        <f>LAFs!$J$244</f>
        <v>1</v>
      </c>
      <c r="C51" s="25">
        <f>Multi!B$118/Input!C$120/(24*Input!F$14)*1000</f>
        <v>569391.69700087595</v>
      </c>
      <c r="D51" s="27">
        <f>Loads!E$301</f>
        <v>119534.75714191294</v>
      </c>
      <c r="E51" s="6"/>
    </row>
    <row r="52" spans="1:5" x14ac:dyDescent="0.2">
      <c r="A52" s="5" t="s">
        <v>56</v>
      </c>
      <c r="B52" s="20">
        <f>LAFs!$J$245</f>
        <v>1</v>
      </c>
      <c r="C52" s="25">
        <f>Multi!B$119/Input!C$121/(24*Input!F$14)*1000</f>
        <v>186375.9589751692</v>
      </c>
      <c r="D52" s="27">
        <f>Loads!E$302</f>
        <v>30828.962082077825</v>
      </c>
      <c r="E52" s="6"/>
    </row>
    <row r="54" spans="1:5" ht="16.5" x14ac:dyDescent="0.25">
      <c r="A54" s="3" t="s">
        <v>871</v>
      </c>
    </row>
    <row r="55" spans="1:5" x14ac:dyDescent="0.2">
      <c r="A55" s="10" t="s">
        <v>238</v>
      </c>
    </row>
    <row r="56" spans="1:5" x14ac:dyDescent="0.2">
      <c r="A56" s="11" t="s">
        <v>872</v>
      </c>
    </row>
    <row r="57" spans="1:5" x14ac:dyDescent="0.2">
      <c r="A57" s="11" t="s">
        <v>873</v>
      </c>
    </row>
    <row r="58" spans="1:5" x14ac:dyDescent="0.2">
      <c r="A58" s="11" t="s">
        <v>874</v>
      </c>
    </row>
    <row r="59" spans="1:5" x14ac:dyDescent="0.2">
      <c r="A59" s="11" t="s">
        <v>875</v>
      </c>
    </row>
    <row r="60" spans="1:5" x14ac:dyDescent="0.2">
      <c r="A60" s="11" t="s">
        <v>876</v>
      </c>
    </row>
    <row r="61" spans="1:5" x14ac:dyDescent="0.2">
      <c r="A61" s="11" t="s">
        <v>877</v>
      </c>
    </row>
    <row r="62" spans="1:5" ht="25.5" x14ac:dyDescent="0.2">
      <c r="A62" s="18" t="s">
        <v>241</v>
      </c>
      <c r="B62" s="18" t="s">
        <v>243</v>
      </c>
      <c r="C62" s="18" t="s">
        <v>243</v>
      </c>
      <c r="D62" s="18" t="s">
        <v>371</v>
      </c>
    </row>
    <row r="63" spans="1:5" ht="25.5" x14ac:dyDescent="0.2">
      <c r="A63" s="18" t="s">
        <v>244</v>
      </c>
      <c r="B63" s="18" t="s">
        <v>246</v>
      </c>
      <c r="C63" s="18" t="s">
        <v>878</v>
      </c>
      <c r="D63" s="18" t="s">
        <v>879</v>
      </c>
    </row>
    <row r="65" spans="1:5" ht="76.5" x14ac:dyDescent="0.2">
      <c r="B65" s="4" t="s">
        <v>880</v>
      </c>
      <c r="C65" s="4" t="s">
        <v>881</v>
      </c>
      <c r="D65" s="4" t="s">
        <v>882</v>
      </c>
    </row>
    <row r="66" spans="1:5" ht="25.5" x14ac:dyDescent="0.2">
      <c r="A66" s="5" t="s">
        <v>883</v>
      </c>
      <c r="B66" s="25">
        <f>SUMPRODUCT(B$49:B$52,$C$49:$C$52)</f>
        <v>3435958.7542944369</v>
      </c>
      <c r="C66" s="25">
        <f>SUMPRODUCT(B$49:B$52,$D$49:$D$52)</f>
        <v>2318933.9881660356</v>
      </c>
      <c r="D66" s="17">
        <f>$B66/$C66/Input!E14</f>
        <v>1.5596816068021786</v>
      </c>
      <c r="E66" s="6"/>
    </row>
    <row r="68" spans="1:5" ht="16.5" x14ac:dyDescent="0.25">
      <c r="A68" s="3" t="s">
        <v>884</v>
      </c>
    </row>
    <row r="69" spans="1:5" x14ac:dyDescent="0.2">
      <c r="A69" s="10" t="s">
        <v>238</v>
      </c>
    </row>
    <row r="70" spans="1:5" x14ac:dyDescent="0.2">
      <c r="A70" s="11" t="s">
        <v>858</v>
      </c>
    </row>
    <row r="71" spans="1:5" x14ac:dyDescent="0.2">
      <c r="A71" s="11" t="s">
        <v>885</v>
      </c>
    </row>
    <row r="72" spans="1:5" x14ac:dyDescent="0.2">
      <c r="A72" s="10" t="s">
        <v>672</v>
      </c>
    </row>
    <row r="74" spans="1:5" ht="25.5" x14ac:dyDescent="0.2">
      <c r="B74" s="4" t="s">
        <v>198</v>
      </c>
      <c r="C74" s="4" t="s">
        <v>706</v>
      </c>
    </row>
    <row r="75" spans="1:5" x14ac:dyDescent="0.2">
      <c r="A75" s="5" t="s">
        <v>53</v>
      </c>
      <c r="B75" s="17">
        <f>Standing!$J$25*$D$66</f>
        <v>6.8160285218661937E-2</v>
      </c>
      <c r="C75" s="17">
        <f>Standing!$S$25*$D$66</f>
        <v>0.75009881060309447</v>
      </c>
      <c r="D75" s="6"/>
    </row>
    <row r="76" spans="1:5" x14ac:dyDescent="0.2">
      <c r="A76" s="5" t="s">
        <v>54</v>
      </c>
      <c r="B76" s="17">
        <f>Standing!$J$26*$D$66</f>
        <v>6.8160285218661937E-2</v>
      </c>
      <c r="C76" s="17">
        <f>Standing!$S$26*$D$66</f>
        <v>0.75009881060309447</v>
      </c>
      <c r="D76" s="6"/>
    </row>
    <row r="77" spans="1:5" x14ac:dyDescent="0.2">
      <c r="A77" s="5" t="s">
        <v>55</v>
      </c>
      <c r="B77" s="17">
        <f>Standing!$J$28*$D$66</f>
        <v>6.8160285218661937E-2</v>
      </c>
      <c r="C77" s="17">
        <f>Standing!$S$28*$D$66</f>
        <v>0.75009881060309447</v>
      </c>
      <c r="D77" s="6"/>
    </row>
    <row r="78" spans="1:5" x14ac:dyDescent="0.2">
      <c r="A78" s="5" t="s">
        <v>56</v>
      </c>
      <c r="B78" s="17">
        <f>Standing!$J$29*$D$66</f>
        <v>6.8160285218661937E-2</v>
      </c>
      <c r="C78" s="17">
        <f>Standing!$S$29*$D$66</f>
        <v>0.75009881060309447</v>
      </c>
      <c r="D78" s="6"/>
    </row>
    <row r="80" spans="1:5" ht="16.5" x14ac:dyDescent="0.25">
      <c r="A80" s="3" t="s">
        <v>886</v>
      </c>
    </row>
    <row r="81" spans="1:20" x14ac:dyDescent="0.2">
      <c r="A81" s="10" t="s">
        <v>238</v>
      </c>
    </row>
    <row r="82" spans="1:20" x14ac:dyDescent="0.2">
      <c r="A82" s="10" t="s">
        <v>887</v>
      </c>
    </row>
    <row r="83" spans="1:20" x14ac:dyDescent="0.2">
      <c r="A83" s="11" t="s">
        <v>888</v>
      </c>
    </row>
    <row r="84" spans="1:20" x14ac:dyDescent="0.2">
      <c r="A84" s="11" t="s">
        <v>889</v>
      </c>
    </row>
    <row r="85" spans="1:20" x14ac:dyDescent="0.2">
      <c r="A85" s="10" t="s">
        <v>281</v>
      </c>
    </row>
    <row r="87" spans="1:20" ht="25.5" x14ac:dyDescent="0.2">
      <c r="B87" s="4" t="s">
        <v>21</v>
      </c>
      <c r="C87" s="4" t="s">
        <v>191</v>
      </c>
      <c r="D87" s="4" t="s">
        <v>192</v>
      </c>
      <c r="E87" s="4" t="s">
        <v>193</v>
      </c>
      <c r="F87" s="4" t="s">
        <v>194</v>
      </c>
      <c r="G87" s="4" t="s">
        <v>195</v>
      </c>
      <c r="H87" s="4" t="s">
        <v>196</v>
      </c>
      <c r="I87" s="4" t="s">
        <v>197</v>
      </c>
      <c r="J87" s="4" t="s">
        <v>198</v>
      </c>
      <c r="K87" s="4" t="s">
        <v>179</v>
      </c>
      <c r="L87" s="4" t="s">
        <v>699</v>
      </c>
      <c r="M87" s="4" t="s">
        <v>700</v>
      </c>
      <c r="N87" s="4" t="s">
        <v>701</v>
      </c>
      <c r="O87" s="4" t="s">
        <v>702</v>
      </c>
      <c r="P87" s="4" t="s">
        <v>703</v>
      </c>
      <c r="Q87" s="4" t="s">
        <v>704</v>
      </c>
      <c r="R87" s="4" t="s">
        <v>705</v>
      </c>
      <c r="S87" s="4" t="s">
        <v>706</v>
      </c>
    </row>
    <row r="88" spans="1:20" x14ac:dyDescent="0.2">
      <c r="A88" s="5" t="s">
        <v>53</v>
      </c>
      <c r="B88" s="20">
        <f t="shared" ref="B88:I94" si="0">B29</f>
        <v>0</v>
      </c>
      <c r="C88" s="20">
        <f t="shared" si="0"/>
        <v>0</v>
      </c>
      <c r="D88" s="20">
        <f t="shared" si="0"/>
        <v>0</v>
      </c>
      <c r="E88" s="20">
        <f t="shared" si="0"/>
        <v>0</v>
      </c>
      <c r="F88" s="20">
        <f t="shared" si="0"/>
        <v>0</v>
      </c>
      <c r="G88" s="20">
        <f t="shared" si="0"/>
        <v>0</v>
      </c>
      <c r="H88" s="20">
        <f t="shared" si="0"/>
        <v>0</v>
      </c>
      <c r="I88" s="20">
        <f t="shared" si="0"/>
        <v>0</v>
      </c>
      <c r="J88" s="20">
        <f>$B$75</f>
        <v>6.8160285218661937E-2</v>
      </c>
      <c r="K88" s="20">
        <f t="shared" ref="K88:R94" si="1">K29</f>
        <v>0</v>
      </c>
      <c r="L88" s="20">
        <f t="shared" si="1"/>
        <v>0</v>
      </c>
      <c r="M88" s="20">
        <f t="shared" si="1"/>
        <v>0</v>
      </c>
      <c r="N88" s="20">
        <f t="shared" si="1"/>
        <v>0</v>
      </c>
      <c r="O88" s="20">
        <f t="shared" si="1"/>
        <v>0</v>
      </c>
      <c r="P88" s="20">
        <f t="shared" si="1"/>
        <v>0</v>
      </c>
      <c r="Q88" s="20">
        <f t="shared" si="1"/>
        <v>0</v>
      </c>
      <c r="R88" s="20">
        <f t="shared" si="1"/>
        <v>0</v>
      </c>
      <c r="S88" s="20">
        <f>$C$75</f>
        <v>0.75009881060309447</v>
      </c>
      <c r="T88" s="6"/>
    </row>
    <row r="89" spans="1:20" x14ac:dyDescent="0.2">
      <c r="A89" s="5" t="s">
        <v>54</v>
      </c>
      <c r="B89" s="20">
        <f t="shared" si="0"/>
        <v>0</v>
      </c>
      <c r="C89" s="20">
        <f t="shared" si="0"/>
        <v>0</v>
      </c>
      <c r="D89" s="20">
        <f t="shared" si="0"/>
        <v>0</v>
      </c>
      <c r="E89" s="20">
        <f t="shared" si="0"/>
        <v>0</v>
      </c>
      <c r="F89" s="20">
        <f t="shared" si="0"/>
        <v>0</v>
      </c>
      <c r="G89" s="20">
        <f t="shared" si="0"/>
        <v>0</v>
      </c>
      <c r="H89" s="20">
        <f t="shared" si="0"/>
        <v>0</v>
      </c>
      <c r="I89" s="20">
        <f t="shared" si="0"/>
        <v>0</v>
      </c>
      <c r="J89" s="20">
        <f>$B$76</f>
        <v>6.8160285218661937E-2</v>
      </c>
      <c r="K89" s="20">
        <f t="shared" si="1"/>
        <v>0</v>
      </c>
      <c r="L89" s="20">
        <f t="shared" si="1"/>
        <v>0</v>
      </c>
      <c r="M89" s="20">
        <f t="shared" si="1"/>
        <v>0</v>
      </c>
      <c r="N89" s="20">
        <f t="shared" si="1"/>
        <v>0</v>
      </c>
      <c r="O89" s="20">
        <f t="shared" si="1"/>
        <v>0</v>
      </c>
      <c r="P89" s="20">
        <f t="shared" si="1"/>
        <v>0</v>
      </c>
      <c r="Q89" s="20">
        <f t="shared" si="1"/>
        <v>0</v>
      </c>
      <c r="R89" s="20">
        <f t="shared" si="1"/>
        <v>0</v>
      </c>
      <c r="S89" s="20">
        <f>$C$76</f>
        <v>0.75009881060309447</v>
      </c>
      <c r="T89" s="6"/>
    </row>
    <row r="90" spans="1:20" x14ac:dyDescent="0.2">
      <c r="A90" s="5" t="s">
        <v>55</v>
      </c>
      <c r="B90" s="20">
        <f t="shared" si="0"/>
        <v>0</v>
      </c>
      <c r="C90" s="20">
        <f t="shared" si="0"/>
        <v>0</v>
      </c>
      <c r="D90" s="20">
        <f t="shared" si="0"/>
        <v>0</v>
      </c>
      <c r="E90" s="20">
        <f t="shared" si="0"/>
        <v>0</v>
      </c>
      <c r="F90" s="20">
        <f t="shared" si="0"/>
        <v>0</v>
      </c>
      <c r="G90" s="20">
        <f t="shared" si="0"/>
        <v>0</v>
      </c>
      <c r="H90" s="20">
        <f t="shared" si="0"/>
        <v>0</v>
      </c>
      <c r="I90" s="20">
        <f t="shared" si="0"/>
        <v>0</v>
      </c>
      <c r="J90" s="20">
        <f>$B$77</f>
        <v>6.8160285218661937E-2</v>
      </c>
      <c r="K90" s="20">
        <f t="shared" si="1"/>
        <v>0</v>
      </c>
      <c r="L90" s="20">
        <f t="shared" si="1"/>
        <v>0</v>
      </c>
      <c r="M90" s="20">
        <f t="shared" si="1"/>
        <v>0</v>
      </c>
      <c r="N90" s="20">
        <f t="shared" si="1"/>
        <v>0</v>
      </c>
      <c r="O90" s="20">
        <f t="shared" si="1"/>
        <v>0</v>
      </c>
      <c r="P90" s="20">
        <f t="shared" si="1"/>
        <v>0</v>
      </c>
      <c r="Q90" s="20">
        <f t="shared" si="1"/>
        <v>0</v>
      </c>
      <c r="R90" s="20">
        <f t="shared" si="1"/>
        <v>0</v>
      </c>
      <c r="S90" s="20">
        <f>$C$77</f>
        <v>0.75009881060309447</v>
      </c>
      <c r="T90" s="6"/>
    </row>
    <row r="91" spans="1:20" x14ac:dyDescent="0.2">
      <c r="A91" s="5" t="s">
        <v>56</v>
      </c>
      <c r="B91" s="20">
        <f t="shared" si="0"/>
        <v>0</v>
      </c>
      <c r="C91" s="20">
        <f t="shared" si="0"/>
        <v>0</v>
      </c>
      <c r="D91" s="20">
        <f t="shared" si="0"/>
        <v>0</v>
      </c>
      <c r="E91" s="20">
        <f t="shared" si="0"/>
        <v>0</v>
      </c>
      <c r="F91" s="20">
        <f t="shared" si="0"/>
        <v>0</v>
      </c>
      <c r="G91" s="20">
        <f t="shared" si="0"/>
        <v>0</v>
      </c>
      <c r="H91" s="20">
        <f t="shared" si="0"/>
        <v>0</v>
      </c>
      <c r="I91" s="20">
        <f t="shared" si="0"/>
        <v>0</v>
      </c>
      <c r="J91" s="20">
        <f>$B$78</f>
        <v>6.8160285218661937E-2</v>
      </c>
      <c r="K91" s="20">
        <f t="shared" si="1"/>
        <v>0</v>
      </c>
      <c r="L91" s="20">
        <f t="shared" si="1"/>
        <v>0</v>
      </c>
      <c r="M91" s="20">
        <f t="shared" si="1"/>
        <v>0</v>
      </c>
      <c r="N91" s="20">
        <f t="shared" si="1"/>
        <v>0</v>
      </c>
      <c r="O91" s="20">
        <f t="shared" si="1"/>
        <v>0</v>
      </c>
      <c r="P91" s="20">
        <f t="shared" si="1"/>
        <v>0</v>
      </c>
      <c r="Q91" s="20">
        <f t="shared" si="1"/>
        <v>0</v>
      </c>
      <c r="R91" s="20">
        <f t="shared" si="1"/>
        <v>0</v>
      </c>
      <c r="S91" s="20">
        <f>$C$78</f>
        <v>0.75009881060309447</v>
      </c>
      <c r="T91" s="6"/>
    </row>
    <row r="92" spans="1:20" x14ac:dyDescent="0.2">
      <c r="A92" s="5" t="s">
        <v>57</v>
      </c>
      <c r="B92" s="20">
        <f t="shared" si="0"/>
        <v>0</v>
      </c>
      <c r="C92" s="20">
        <f t="shared" si="0"/>
        <v>0</v>
      </c>
      <c r="D92" s="20">
        <f t="shared" si="0"/>
        <v>0</v>
      </c>
      <c r="E92" s="20">
        <f t="shared" si="0"/>
        <v>0</v>
      </c>
      <c r="F92" s="20">
        <f t="shared" si="0"/>
        <v>0</v>
      </c>
      <c r="G92" s="20">
        <f t="shared" si="0"/>
        <v>0</v>
      </c>
      <c r="H92" s="20">
        <f t="shared" si="0"/>
        <v>0</v>
      </c>
      <c r="I92" s="20">
        <f t="shared" si="0"/>
        <v>0</v>
      </c>
      <c r="J92" s="20">
        <f>J33</f>
        <v>1.1317063802337575</v>
      </c>
      <c r="K92" s="20">
        <f t="shared" si="1"/>
        <v>0</v>
      </c>
      <c r="L92" s="20">
        <f t="shared" si="1"/>
        <v>0</v>
      </c>
      <c r="M92" s="20">
        <f t="shared" si="1"/>
        <v>0</v>
      </c>
      <c r="N92" s="20">
        <f t="shared" si="1"/>
        <v>0</v>
      </c>
      <c r="O92" s="20">
        <f t="shared" si="1"/>
        <v>0</v>
      </c>
      <c r="P92" s="20">
        <f t="shared" si="1"/>
        <v>0</v>
      </c>
      <c r="Q92" s="20">
        <f t="shared" si="1"/>
        <v>0</v>
      </c>
      <c r="R92" s="20">
        <f t="shared" si="1"/>
        <v>0</v>
      </c>
      <c r="S92" s="20">
        <f>S33</f>
        <v>12.454343567401223</v>
      </c>
      <c r="T92" s="6"/>
    </row>
    <row r="93" spans="1:20" x14ac:dyDescent="0.2">
      <c r="A93" s="5" t="s">
        <v>58</v>
      </c>
      <c r="B93" s="20">
        <f t="shared" si="0"/>
        <v>0</v>
      </c>
      <c r="C93" s="20">
        <f t="shared" si="0"/>
        <v>0</v>
      </c>
      <c r="D93" s="20">
        <f t="shared" si="0"/>
        <v>0</v>
      </c>
      <c r="E93" s="20">
        <f t="shared" si="0"/>
        <v>0</v>
      </c>
      <c r="F93" s="20">
        <f t="shared" si="0"/>
        <v>0</v>
      </c>
      <c r="G93" s="20">
        <f t="shared" si="0"/>
        <v>0</v>
      </c>
      <c r="H93" s="20">
        <f t="shared" si="0"/>
        <v>0</v>
      </c>
      <c r="I93" s="20">
        <f t="shared" si="0"/>
        <v>1.8445227834988087</v>
      </c>
      <c r="J93" s="20">
        <f>J34</f>
        <v>0</v>
      </c>
      <c r="K93" s="20">
        <f t="shared" si="1"/>
        <v>0</v>
      </c>
      <c r="L93" s="20">
        <f t="shared" si="1"/>
        <v>0</v>
      </c>
      <c r="M93" s="20">
        <f t="shared" si="1"/>
        <v>0</v>
      </c>
      <c r="N93" s="20">
        <f t="shared" si="1"/>
        <v>0</v>
      </c>
      <c r="O93" s="20">
        <f t="shared" si="1"/>
        <v>0</v>
      </c>
      <c r="P93" s="20">
        <f t="shared" si="1"/>
        <v>0</v>
      </c>
      <c r="Q93" s="20">
        <f t="shared" si="1"/>
        <v>0</v>
      </c>
      <c r="R93" s="20">
        <f t="shared" si="1"/>
        <v>20.298834454612141</v>
      </c>
      <c r="S93" s="20">
        <f>S34</f>
        <v>0</v>
      </c>
      <c r="T93" s="6"/>
    </row>
    <row r="94" spans="1:20" x14ac:dyDescent="0.2">
      <c r="A94" s="5" t="s">
        <v>72</v>
      </c>
      <c r="B94" s="20">
        <f t="shared" si="0"/>
        <v>0</v>
      </c>
      <c r="C94" s="20">
        <f t="shared" si="0"/>
        <v>0</v>
      </c>
      <c r="D94" s="20">
        <f t="shared" si="0"/>
        <v>0</v>
      </c>
      <c r="E94" s="20">
        <f t="shared" si="0"/>
        <v>17.145086654202117</v>
      </c>
      <c r="F94" s="20">
        <f t="shared" si="0"/>
        <v>45.646234700538713</v>
      </c>
      <c r="G94" s="20">
        <f t="shared" si="0"/>
        <v>0</v>
      </c>
      <c r="H94" s="20">
        <f t="shared" si="0"/>
        <v>10.403561191647627</v>
      </c>
      <c r="I94" s="20">
        <f t="shared" si="0"/>
        <v>0</v>
      </c>
      <c r="J94" s="20">
        <f>J35</f>
        <v>0</v>
      </c>
      <c r="K94" s="20">
        <f t="shared" si="1"/>
        <v>0</v>
      </c>
      <c r="L94" s="20">
        <f t="shared" si="1"/>
        <v>0</v>
      </c>
      <c r="M94" s="20">
        <f t="shared" si="1"/>
        <v>0</v>
      </c>
      <c r="N94" s="20">
        <f t="shared" si="1"/>
        <v>5.6604116601390935</v>
      </c>
      <c r="O94" s="20">
        <f t="shared" si="1"/>
        <v>35.046514783133134</v>
      </c>
      <c r="P94" s="20">
        <f t="shared" si="1"/>
        <v>0</v>
      </c>
      <c r="Q94" s="20">
        <f t="shared" si="1"/>
        <v>38.163469391091496</v>
      </c>
      <c r="R94" s="20">
        <f t="shared" si="1"/>
        <v>0</v>
      </c>
      <c r="S94" s="20">
        <f>S35</f>
        <v>0</v>
      </c>
      <c r="T94" s="6"/>
    </row>
  </sheetData>
  <sheetProtection sheet="1" objects="1"/>
  <hyperlinks>
    <hyperlink ref="A6" location="'Loads'!E298" display="'Loads'!E298"/>
    <hyperlink ref="A7" location="'Multi'!B115" display="'Multi'!B115"/>
    <hyperlink ref="A8" location="'Input'!E14" display="'Input'!E14"/>
    <hyperlink ref="A9" location="'Input'!C117" display="'Input'!C117"/>
    <hyperlink ref="A10" location="'Input'!F14" display="'Input'!F14"/>
    <hyperlink ref="A24" location="'Standing'!B25" display="'Standing'!B25"/>
    <hyperlink ref="A25" location="'NHH'!B14" display="'NHH'!B14"/>
    <hyperlink ref="A39" location="'LAFs'!B241" display="'LAFs'!B241"/>
    <hyperlink ref="A40" location="'Multi'!B115" display="'Multi'!B115"/>
    <hyperlink ref="A41" location="'Input'!C117" display="'Input'!C117"/>
    <hyperlink ref="A42" location="'Input'!F14" display="'Input'!F14"/>
    <hyperlink ref="A44" location="'Loads'!E298" display="'Loads'!E298"/>
    <hyperlink ref="A56" location="'NHH'!B49" display="'NHH'!B49"/>
    <hyperlink ref="A57" location="'NHH'!C49" display="'NHH'!C49"/>
    <hyperlink ref="A58" location="'NHH'!D49" display="'NHH'!D49"/>
    <hyperlink ref="A59" location="'NHH'!B66" display="'NHH'!B66"/>
    <hyperlink ref="A60" location="'NHH'!C66" display="'NHH'!C66"/>
    <hyperlink ref="A61" location="'Input'!E14" display="'Input'!E14"/>
    <hyperlink ref="A70" location="'Standing'!B25" display="'Standing'!B25"/>
    <hyperlink ref="A71" location="'NHH'!D66" display="'NHH'!D66"/>
    <hyperlink ref="A83" location="'NHH'!B75" display="'NHH'!B75"/>
    <hyperlink ref="A84" location="'NHH'!B29" display="'NHH'!B29"/>
  </hyperlinks>
  <pageMargins left="0.75" right="0.75" top="1" bottom="1" header="0.5" footer="0.5"/>
  <pageSetup paperSize="9" scale="36" fitToHeight="0" orientation="landscape" blackAndWhite="1" r:id="rId1"/>
  <headerFooter alignWithMargins="0">
    <oddHeader>&amp;L&amp;A&amp;Cr6140&amp;R&amp;P of &amp;N</oddHeader>
    <oddFooter>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</sheetPr>
  <dimension ref="A1:E46"/>
  <sheetViews>
    <sheetView zoomScale="80" zoomScaleNormal="80" workbookViewId="0"/>
  </sheetViews>
  <sheetFormatPr defaultRowHeight="12.75" x14ac:dyDescent="0.2"/>
  <cols>
    <col min="1" max="1" width="91.140625" style="36" customWidth="1"/>
    <col min="2" max="2" width="23.85546875" style="36" customWidth="1"/>
    <col min="3" max="4" width="13.7109375" style="36" customWidth="1"/>
    <col min="5" max="16384" width="9.140625" style="36"/>
  </cols>
  <sheetData>
    <row r="1" spans="1:5" ht="15.75" x14ac:dyDescent="0.2">
      <c r="A1" s="33" t="s">
        <v>1832</v>
      </c>
      <c r="B1" s="34"/>
      <c r="C1" s="35"/>
      <c r="D1" s="35"/>
    </row>
    <row r="2" spans="1:5" x14ac:dyDescent="0.2">
      <c r="A2" s="35"/>
      <c r="B2" s="34"/>
      <c r="C2" s="35"/>
      <c r="D2" s="35"/>
    </row>
    <row r="3" spans="1:5" x14ac:dyDescent="0.2">
      <c r="B3" s="37"/>
      <c r="C3" s="35"/>
      <c r="D3" s="35"/>
    </row>
    <row r="4" spans="1:5" x14ac:dyDescent="0.2">
      <c r="A4" s="35"/>
      <c r="B4" s="34"/>
      <c r="C4" s="35"/>
      <c r="D4" s="35"/>
    </row>
    <row r="5" spans="1:5" ht="15" x14ac:dyDescent="0.2">
      <c r="A5" s="38" t="s">
        <v>1734</v>
      </c>
      <c r="B5" s="39" t="s">
        <v>1735</v>
      </c>
      <c r="C5" s="40" t="s">
        <v>1736</v>
      </c>
      <c r="D5" s="41" t="str">
        <f>+Input!C7</f>
        <v>2013/14</v>
      </c>
      <c r="E5" s="82"/>
    </row>
    <row r="6" spans="1:5" ht="14.25" x14ac:dyDescent="0.2">
      <c r="A6" s="42" t="s">
        <v>1737</v>
      </c>
      <c r="B6" s="43" t="s">
        <v>1738</v>
      </c>
      <c r="C6" s="44" t="s">
        <v>1739</v>
      </c>
      <c r="D6" s="79">
        <f>[1]LBE!K10</f>
        <v>408.3</v>
      </c>
    </row>
    <row r="7" spans="1:5" ht="14.25" x14ac:dyDescent="0.2">
      <c r="A7" s="45" t="s">
        <v>1740</v>
      </c>
      <c r="B7" s="43" t="s">
        <v>1741</v>
      </c>
      <c r="C7" s="46" t="s">
        <v>1739</v>
      </c>
      <c r="D7" s="79">
        <f>[1]LBE!K14-[1]LBE!K10</f>
        <v>53.699857710333561</v>
      </c>
    </row>
    <row r="8" spans="1:5" ht="14.25" x14ac:dyDescent="0.2">
      <c r="A8" s="45" t="s">
        <v>1742</v>
      </c>
      <c r="B8" s="43" t="s">
        <v>1743</v>
      </c>
      <c r="C8" s="46" t="s">
        <v>1739</v>
      </c>
      <c r="D8" s="79"/>
    </row>
    <row r="9" spans="1:5" x14ac:dyDescent="0.2">
      <c r="A9" s="47" t="s">
        <v>1744</v>
      </c>
      <c r="B9" s="48" t="s">
        <v>1745</v>
      </c>
      <c r="C9" s="49" t="s">
        <v>1739</v>
      </c>
      <c r="D9" s="80">
        <f>SUM(D6:D8)</f>
        <v>461.99985771033357</v>
      </c>
    </row>
    <row r="10" spans="1:5" ht="14.25" x14ac:dyDescent="0.2">
      <c r="A10" s="42" t="s">
        <v>1746</v>
      </c>
      <c r="B10" s="43" t="s">
        <v>1747</v>
      </c>
      <c r="C10" s="44" t="s">
        <v>1748</v>
      </c>
      <c r="D10" s="79">
        <f>[1]Main!N28</f>
        <v>-1.5344496004528523</v>
      </c>
    </row>
    <row r="11" spans="1:5" ht="14.25" x14ac:dyDescent="0.2">
      <c r="A11" s="42" t="s">
        <v>1749</v>
      </c>
      <c r="B11" s="43" t="s">
        <v>1750</v>
      </c>
      <c r="C11" s="44" t="s">
        <v>1748</v>
      </c>
      <c r="D11" s="79">
        <f>[1]Main!N27</f>
        <v>-0.13278881555596356</v>
      </c>
    </row>
    <row r="12" spans="1:5" ht="14.25" x14ac:dyDescent="0.2">
      <c r="A12" s="42" t="s">
        <v>1751</v>
      </c>
      <c r="B12" s="43" t="s">
        <v>1752</v>
      </c>
      <c r="C12" s="44" t="s">
        <v>1748</v>
      </c>
      <c r="D12" s="79">
        <f>[1]Main!N32</f>
        <v>0.83211480557533157</v>
      </c>
    </row>
    <row r="13" spans="1:5" ht="14.25" x14ac:dyDescent="0.2">
      <c r="A13" s="42" t="s">
        <v>1753</v>
      </c>
      <c r="B13" s="43" t="s">
        <v>1754</v>
      </c>
      <c r="C13" s="44" t="s">
        <v>1748</v>
      </c>
      <c r="D13" s="79"/>
    </row>
    <row r="14" spans="1:5" ht="14.25" x14ac:dyDescent="0.2">
      <c r="A14" s="42" t="s">
        <v>1755</v>
      </c>
      <c r="B14" s="43" t="s">
        <v>1756</v>
      </c>
      <c r="C14" s="44" t="s">
        <v>1748</v>
      </c>
      <c r="D14" s="79">
        <f>[1]Main!N29+[1]Main!N30+[1]Main!N31+[1]Main!N33</f>
        <v>0</v>
      </c>
    </row>
    <row r="15" spans="1:5" x14ac:dyDescent="0.2">
      <c r="A15" s="50" t="s">
        <v>1757</v>
      </c>
      <c r="B15" s="48" t="s">
        <v>1758</v>
      </c>
      <c r="C15" s="49" t="s">
        <v>1739</v>
      </c>
      <c r="D15" s="80">
        <f>SUM(D10:D14)</f>
        <v>-0.83512361043348426</v>
      </c>
    </row>
    <row r="16" spans="1:5" ht="14.25" x14ac:dyDescent="0.2">
      <c r="A16" s="113" t="s">
        <v>1759</v>
      </c>
      <c r="B16" s="43" t="s">
        <v>1760</v>
      </c>
      <c r="C16" s="44" t="s">
        <v>1761</v>
      </c>
      <c r="D16" s="79">
        <v>0</v>
      </c>
    </row>
    <row r="17" spans="1:5" ht="14.25" x14ac:dyDescent="0.2">
      <c r="A17" s="114"/>
      <c r="B17" s="51" t="s">
        <v>1762</v>
      </c>
      <c r="C17" s="44" t="s">
        <v>1761</v>
      </c>
      <c r="D17" s="79">
        <v>0</v>
      </c>
    </row>
    <row r="18" spans="1:5" ht="14.25" x14ac:dyDescent="0.2">
      <c r="A18" s="114"/>
      <c r="B18" s="52" t="s">
        <v>1763</v>
      </c>
      <c r="C18" s="44" t="s">
        <v>1761</v>
      </c>
      <c r="D18" s="79">
        <v>-4.5</v>
      </c>
    </row>
    <row r="19" spans="1:5" ht="14.25" x14ac:dyDescent="0.2">
      <c r="A19" s="115"/>
      <c r="B19" s="43" t="s">
        <v>1764</v>
      </c>
      <c r="C19" s="44" t="s">
        <v>1761</v>
      </c>
      <c r="D19" s="79">
        <v>1.7</v>
      </c>
      <c r="E19" s="107"/>
    </row>
    <row r="20" spans="1:5" ht="14.25" x14ac:dyDescent="0.2">
      <c r="A20" s="42" t="s">
        <v>1765</v>
      </c>
      <c r="B20" s="43" t="s">
        <v>1766</v>
      </c>
      <c r="C20" s="44" t="s">
        <v>1767</v>
      </c>
      <c r="D20" s="79">
        <v>4.6533310779715924</v>
      </c>
    </row>
    <row r="21" spans="1:5" ht="14.25" x14ac:dyDescent="0.2">
      <c r="A21" s="42" t="s">
        <v>1768</v>
      </c>
      <c r="B21" s="43" t="s">
        <v>1769</v>
      </c>
      <c r="C21" s="44" t="s">
        <v>1770</v>
      </c>
      <c r="D21" s="79">
        <v>0.11059909811727194</v>
      </c>
    </row>
    <row r="22" spans="1:5" ht="14.25" x14ac:dyDescent="0.2">
      <c r="A22" s="42" t="s">
        <v>1771</v>
      </c>
      <c r="B22" s="43" t="s">
        <v>1772</v>
      </c>
      <c r="C22" s="44" t="s">
        <v>1773</v>
      </c>
      <c r="D22" s="79">
        <v>1.9521227010111759</v>
      </c>
    </row>
    <row r="23" spans="1:5" ht="14.25" x14ac:dyDescent="0.2">
      <c r="A23" s="42" t="s">
        <v>1774</v>
      </c>
      <c r="B23" s="53" t="s">
        <v>1775</v>
      </c>
      <c r="C23" s="44" t="s">
        <v>1776</v>
      </c>
      <c r="D23" s="79">
        <v>2.2610576163931064</v>
      </c>
    </row>
    <row r="24" spans="1:5" ht="14.25" x14ac:dyDescent="0.2">
      <c r="A24" s="42" t="s">
        <v>1777</v>
      </c>
      <c r="B24" s="43" t="s">
        <v>1778</v>
      </c>
      <c r="C24" s="44" t="s">
        <v>1779</v>
      </c>
      <c r="D24" s="79">
        <v>0</v>
      </c>
    </row>
    <row r="25" spans="1:5" ht="14.25" x14ac:dyDescent="0.2">
      <c r="A25" s="113" t="s">
        <v>1780</v>
      </c>
      <c r="B25" s="43" t="s">
        <v>1781</v>
      </c>
      <c r="C25" s="44" t="s">
        <v>1782</v>
      </c>
      <c r="D25" s="79">
        <v>5.2080000000000002</v>
      </c>
    </row>
    <row r="26" spans="1:5" ht="14.25" x14ac:dyDescent="0.2">
      <c r="A26" s="114"/>
      <c r="B26" s="43" t="s">
        <v>1783</v>
      </c>
      <c r="C26" s="44" t="s">
        <v>1782</v>
      </c>
      <c r="D26" s="79">
        <v>1.3004</v>
      </c>
    </row>
    <row r="27" spans="1:5" ht="14.25" x14ac:dyDescent="0.2">
      <c r="A27" s="115"/>
      <c r="B27" s="43" t="s">
        <v>1784</v>
      </c>
      <c r="C27" s="44" t="s">
        <v>1782</v>
      </c>
      <c r="D27" s="79"/>
    </row>
    <row r="28" spans="1:5" x14ac:dyDescent="0.2">
      <c r="A28" s="54" t="s">
        <v>1785</v>
      </c>
      <c r="B28" s="48"/>
      <c r="C28" s="49"/>
      <c r="D28" s="80">
        <f>SUM(D16:D27)</f>
        <v>12.685510493493148</v>
      </c>
    </row>
    <row r="29" spans="1:5" ht="14.25" x14ac:dyDescent="0.2">
      <c r="A29" s="54" t="s">
        <v>1786</v>
      </c>
      <c r="B29" s="55" t="s">
        <v>1787</v>
      </c>
      <c r="C29" s="49" t="s">
        <v>1739</v>
      </c>
      <c r="D29" s="81">
        <f>-[1]Main!N51</f>
        <v>15.187897040288473</v>
      </c>
    </row>
    <row r="30" spans="1:5" ht="14.25" x14ac:dyDescent="0.2">
      <c r="A30" s="54" t="s">
        <v>1788</v>
      </c>
      <c r="B30" s="48" t="s">
        <v>1789</v>
      </c>
      <c r="C30" s="49" t="s">
        <v>1739</v>
      </c>
      <c r="D30" s="81">
        <f>[1]Main!N55</f>
        <v>-3.8074536399938808</v>
      </c>
    </row>
    <row r="31" spans="1:5" ht="14.25" x14ac:dyDescent="0.2">
      <c r="A31" s="54" t="s">
        <v>1790</v>
      </c>
      <c r="B31" s="48" t="s">
        <v>1791</v>
      </c>
      <c r="C31" s="56"/>
      <c r="D31" s="80">
        <f>D9+D15+D28+D29+D30</f>
        <v>485.23068799368787</v>
      </c>
      <c r="E31" s="107"/>
    </row>
    <row r="32" spans="1:5" x14ac:dyDescent="0.2">
      <c r="A32" s="57" t="s">
        <v>1792</v>
      </c>
      <c r="B32" s="51" t="s">
        <v>1793</v>
      </c>
      <c r="C32" s="44" t="s">
        <v>1794</v>
      </c>
      <c r="D32" s="79">
        <f>4.598+5.112</f>
        <v>9.7100000000000009</v>
      </c>
      <c r="E32" s="107"/>
    </row>
    <row r="33" spans="1:5" x14ac:dyDescent="0.2">
      <c r="A33" s="57" t="s">
        <v>1795</v>
      </c>
      <c r="B33" s="43" t="s">
        <v>1796</v>
      </c>
      <c r="C33" s="44" t="s">
        <v>1794</v>
      </c>
      <c r="D33" s="79"/>
      <c r="E33" s="107"/>
    </row>
    <row r="34" spans="1:5" x14ac:dyDescent="0.2">
      <c r="A34" s="57" t="s">
        <v>1797</v>
      </c>
      <c r="B34" s="43" t="s">
        <v>1798</v>
      </c>
      <c r="C34" s="44" t="s">
        <v>1794</v>
      </c>
      <c r="D34" s="79"/>
    </row>
    <row r="35" spans="1:5" x14ac:dyDescent="0.2">
      <c r="A35" s="58" t="s">
        <v>1799</v>
      </c>
      <c r="B35" s="43"/>
      <c r="C35" s="44"/>
      <c r="D35" s="79"/>
    </row>
    <row r="36" spans="1:5" x14ac:dyDescent="0.2">
      <c r="A36" s="58" t="s">
        <v>1800</v>
      </c>
      <c r="B36" s="43"/>
      <c r="C36" s="44"/>
      <c r="D36" s="79"/>
    </row>
    <row r="37" spans="1:5" ht="25.5" x14ac:dyDescent="0.2">
      <c r="A37" s="54" t="s">
        <v>1801</v>
      </c>
      <c r="B37" s="48"/>
      <c r="C37" s="49"/>
      <c r="D37" s="80">
        <f>SUM(D32:D36)</f>
        <v>9.7100000000000009</v>
      </c>
    </row>
    <row r="38" spans="1:5" x14ac:dyDescent="0.2">
      <c r="A38" s="54" t="s">
        <v>1802</v>
      </c>
      <c r="B38" s="59"/>
      <c r="C38" s="59"/>
      <c r="D38" s="80">
        <f>D31+D37</f>
        <v>494.94068799368785</v>
      </c>
    </row>
    <row r="39" spans="1:5" x14ac:dyDescent="0.2">
      <c r="A39" s="57" t="s">
        <v>1803</v>
      </c>
      <c r="B39" s="43"/>
      <c r="C39" s="44"/>
      <c r="D39" s="79">
        <v>13.108000000000001</v>
      </c>
    </row>
    <row r="40" spans="1:5" x14ac:dyDescent="0.2">
      <c r="A40" s="57" t="s">
        <v>1804</v>
      </c>
      <c r="B40" s="43"/>
      <c r="C40" s="44"/>
      <c r="D40" s="79"/>
    </row>
    <row r="41" spans="1:5" x14ac:dyDescent="0.2">
      <c r="A41" s="58" t="s">
        <v>1805</v>
      </c>
      <c r="B41" s="43"/>
      <c r="C41" s="44"/>
      <c r="D41" s="79"/>
    </row>
    <row r="42" spans="1:5" x14ac:dyDescent="0.2">
      <c r="A42" s="58" t="s">
        <v>1806</v>
      </c>
      <c r="B42" s="43"/>
      <c r="C42" s="44"/>
      <c r="D42" s="79"/>
    </row>
    <row r="43" spans="1:5" x14ac:dyDescent="0.2">
      <c r="A43" s="54" t="s">
        <v>1807</v>
      </c>
      <c r="B43" s="48"/>
      <c r="C43" s="49"/>
      <c r="D43" s="80">
        <f>SUM(D39:D42)</f>
        <v>13.108000000000001</v>
      </c>
    </row>
    <row r="44" spans="1:5" x14ac:dyDescent="0.2">
      <c r="A44" s="54" t="s">
        <v>1808</v>
      </c>
      <c r="B44" s="60"/>
      <c r="C44" s="60"/>
      <c r="D44" s="80">
        <f>D38-D43</f>
        <v>481.83268799368784</v>
      </c>
    </row>
    <row r="46" spans="1:5" x14ac:dyDescent="0.2">
      <c r="A46" s="61" t="s">
        <v>1809</v>
      </c>
    </row>
  </sheetData>
  <mergeCells count="2">
    <mergeCell ref="A16:A19"/>
    <mergeCell ref="A25:A27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92"/>
  <sheetViews>
    <sheetView showGridLines="0" workbookViewId="0">
      <pane xSplit="1" ySplit="1" topLeftCell="B2" activePane="bottomRight" state="frozen"/>
      <selection pane="topRight"/>
      <selection pane="bottomLeft"/>
      <selection pane="bottomRight"/>
    </sheetView>
  </sheetViews>
  <sheetFormatPr defaultRowHeight="12.75" x14ac:dyDescent="0.2"/>
  <cols>
    <col min="1" max="1" width="50.7109375" customWidth="1"/>
    <col min="2" max="251" width="16.7109375" customWidth="1"/>
  </cols>
  <sheetData>
    <row r="1" spans="1:20" ht="19.5" x14ac:dyDescent="0.3">
      <c r="A1" s="15" t="str">
        <f>"r6140: Reactive power unit charges"&amp;" for "&amp;Input!B7&amp;" in "&amp;Input!C7&amp;" ("&amp;Input!D7&amp;")"</f>
        <v>r6140: Reactive power unit charges for Electricity North West  in 2013/14 (April 2013 Indicative)</v>
      </c>
    </row>
    <row r="3" spans="1:20" ht="16.5" x14ac:dyDescent="0.25">
      <c r="A3" s="3" t="s">
        <v>890</v>
      </c>
    </row>
    <row r="4" spans="1:20" x14ac:dyDescent="0.2">
      <c r="A4" s="10" t="s">
        <v>238</v>
      </c>
    </row>
    <row r="5" spans="1:20" x14ac:dyDescent="0.2">
      <c r="A5" s="11" t="s">
        <v>891</v>
      </c>
    </row>
    <row r="6" spans="1:20" x14ac:dyDescent="0.2">
      <c r="A6" s="10" t="s">
        <v>892</v>
      </c>
    </row>
    <row r="8" spans="1:20" ht="25.5" x14ac:dyDescent="0.2">
      <c r="B8" s="4" t="s">
        <v>21</v>
      </c>
      <c r="C8" s="4" t="s">
        <v>191</v>
      </c>
      <c r="D8" s="4" t="s">
        <v>192</v>
      </c>
      <c r="E8" s="4" t="s">
        <v>193</v>
      </c>
      <c r="F8" s="4" t="s">
        <v>194</v>
      </c>
      <c r="G8" s="4" t="s">
        <v>195</v>
      </c>
      <c r="H8" s="4" t="s">
        <v>196</v>
      </c>
      <c r="I8" s="4" t="s">
        <v>197</v>
      </c>
      <c r="J8" s="4" t="s">
        <v>198</v>
      </c>
      <c r="K8" s="4" t="s">
        <v>179</v>
      </c>
      <c r="L8" s="4" t="s">
        <v>699</v>
      </c>
      <c r="M8" s="4" t="s">
        <v>700</v>
      </c>
      <c r="N8" s="4" t="s">
        <v>701</v>
      </c>
      <c r="O8" s="4" t="s">
        <v>702</v>
      </c>
      <c r="P8" s="4" t="s">
        <v>703</v>
      </c>
      <c r="Q8" s="4" t="s">
        <v>704</v>
      </c>
      <c r="R8" s="4" t="s">
        <v>705</v>
      </c>
      <c r="S8" s="4" t="s">
        <v>706</v>
      </c>
    </row>
    <row r="9" spans="1:20" x14ac:dyDescent="0.2">
      <c r="A9" s="5" t="s">
        <v>59</v>
      </c>
      <c r="B9" s="17">
        <f>ABS(Standing!B$63)</f>
        <v>0</v>
      </c>
      <c r="C9" s="17">
        <f>ABS(Standing!C$63)</f>
        <v>8.5281231958534265E-2</v>
      </c>
      <c r="D9" s="17">
        <f>ABS(Standing!D$63)</f>
        <v>7.8662112597403522E-2</v>
      </c>
      <c r="E9" s="17">
        <f>ABS(Standing!E$63)</f>
        <v>0.11990038893994112</v>
      </c>
      <c r="F9" s="17">
        <f>ABS(Standing!F$63)</f>
        <v>0.14847297354990602</v>
      </c>
      <c r="G9" s="17">
        <f>ABS(Standing!G$63)</f>
        <v>0</v>
      </c>
      <c r="H9" s="17">
        <f>ABS(Standing!H$63)</f>
        <v>0.12078975103020076</v>
      </c>
      <c r="I9" s="17">
        <f>ABS(Standing!I$63)</f>
        <v>0</v>
      </c>
      <c r="J9" s="17">
        <f>ABS(Standing!J$63)</f>
        <v>0</v>
      </c>
      <c r="K9" s="17">
        <f>ABS(Standing!K$63)</f>
        <v>5.8861527387127993E-2</v>
      </c>
      <c r="L9" s="17">
        <f>ABS(Standing!L$63)</f>
        <v>2.815540624000298E-2</v>
      </c>
      <c r="M9" s="17">
        <f>ABS(Standing!M$63)</f>
        <v>2.5970118923160281E-2</v>
      </c>
      <c r="N9" s="17">
        <f>ABS(Standing!N$63)</f>
        <v>3.9584842777362982E-2</v>
      </c>
      <c r="O9" s="17">
        <f>ABS(Standing!O$63)</f>
        <v>4.9018017094211178E-2</v>
      </c>
      <c r="P9" s="17">
        <f>ABS(Standing!P$63)</f>
        <v>0</v>
      </c>
      <c r="Q9" s="17">
        <f>ABS(Standing!Q$63)</f>
        <v>5.6969233805790623E-2</v>
      </c>
      <c r="R9" s="17">
        <f>ABS(Standing!R$63)</f>
        <v>0</v>
      </c>
      <c r="S9" s="17">
        <f>ABS(Standing!S$63)</f>
        <v>0</v>
      </c>
      <c r="T9" s="6"/>
    </row>
    <row r="10" spans="1:20" x14ac:dyDescent="0.2">
      <c r="A10" s="5" t="s">
        <v>60</v>
      </c>
      <c r="B10" s="17">
        <f>ABS(Standing!B$64)</f>
        <v>0</v>
      </c>
      <c r="C10" s="17">
        <f>ABS(Standing!C$64)</f>
        <v>9.3185770851482691E-2</v>
      </c>
      <c r="D10" s="17">
        <f>ABS(Standing!D$64)</f>
        <v>8.5953139170870385E-2</v>
      </c>
      <c r="E10" s="17">
        <f>ABS(Standing!E$64)</f>
        <v>0.13101370503411089</v>
      </c>
      <c r="F10" s="17">
        <f>ABS(Standing!F$64)</f>
        <v>0.16223462270792441</v>
      </c>
      <c r="G10" s="17">
        <f>ABS(Standing!G$64)</f>
        <v>0</v>
      </c>
      <c r="H10" s="17">
        <f>ABS(Standing!H$64)</f>
        <v>0</v>
      </c>
      <c r="I10" s="17">
        <f>ABS(Standing!I$64)</f>
        <v>0</v>
      </c>
      <c r="J10" s="17">
        <f>ABS(Standing!J$64)</f>
        <v>0</v>
      </c>
      <c r="K10" s="17">
        <f>ABS(Standing!K$64)</f>
        <v>6.4317279160931273E-2</v>
      </c>
      <c r="L10" s="17">
        <f>ABS(Standing!L$64)</f>
        <v>3.0765071913912072E-2</v>
      </c>
      <c r="M10" s="17">
        <f>ABS(Standing!M$64)</f>
        <v>2.8377234889571615E-2</v>
      </c>
      <c r="N10" s="17">
        <f>ABS(Standing!N$64)</f>
        <v>4.3253879001617486E-2</v>
      </c>
      <c r="O10" s="17">
        <f>ABS(Standing!O$64)</f>
        <v>5.3561394501854605E-2</v>
      </c>
      <c r="P10" s="17">
        <f>ABS(Standing!P$64)</f>
        <v>0</v>
      </c>
      <c r="Q10" s="17">
        <f>ABS(Standing!Q$64)</f>
        <v>0</v>
      </c>
      <c r="R10" s="17">
        <f>ABS(Standing!R$64)</f>
        <v>0</v>
      </c>
      <c r="S10" s="17">
        <f>ABS(Standing!S$64)</f>
        <v>0</v>
      </c>
      <c r="T10" s="6"/>
    </row>
    <row r="11" spans="1:20" x14ac:dyDescent="0.2">
      <c r="A11" s="5" t="s">
        <v>73</v>
      </c>
      <c r="B11" s="17">
        <f>ABS(Standing!B$65)</f>
        <v>0</v>
      </c>
      <c r="C11" s="17">
        <f>ABS(Standing!C$65)</f>
        <v>8.1893668187458413E-2</v>
      </c>
      <c r="D11" s="17">
        <f>ABS(Standing!D$65)</f>
        <v>7.5537475245532018E-2</v>
      </c>
      <c r="E11" s="17">
        <f>ABS(Standing!E$65)</f>
        <v>9.2110139048357215E-2</v>
      </c>
      <c r="F11" s="17">
        <f>ABS(Standing!F$65)</f>
        <v>0</v>
      </c>
      <c r="G11" s="17">
        <f>ABS(Standing!G$65)</f>
        <v>0</v>
      </c>
      <c r="H11" s="17">
        <f>ABS(Standing!H$65)</f>
        <v>0</v>
      </c>
      <c r="I11" s="17">
        <f>ABS(Standing!I$65)</f>
        <v>0</v>
      </c>
      <c r="J11" s="17">
        <f>ABS(Standing!J$65)</f>
        <v>0</v>
      </c>
      <c r="K11" s="17">
        <f>ABS(Standing!K$65)</f>
        <v>5.6523414145708419E-2</v>
      </c>
      <c r="L11" s="17">
        <f>ABS(Standing!L$65)</f>
        <v>2.7037009707165223E-2</v>
      </c>
      <c r="M11" s="17">
        <f>ABS(Standing!M$65)</f>
        <v>2.4938526954162873E-2</v>
      </c>
      <c r="N11" s="17">
        <f>ABS(Standing!N$65)</f>
        <v>3.040995450195454E-2</v>
      </c>
      <c r="O11" s="17">
        <f>ABS(Standing!O$65)</f>
        <v>0</v>
      </c>
      <c r="P11" s="17">
        <f>ABS(Standing!P$65)</f>
        <v>0</v>
      </c>
      <c r="Q11" s="17">
        <f>ABS(Standing!Q$65)</f>
        <v>0</v>
      </c>
      <c r="R11" s="17">
        <f>ABS(Standing!R$65)</f>
        <v>0</v>
      </c>
      <c r="S11" s="17">
        <f>ABS(Standing!S$65)</f>
        <v>0</v>
      </c>
      <c r="T11" s="6"/>
    </row>
    <row r="12" spans="1:20" x14ac:dyDescent="0.2">
      <c r="A12" s="5" t="s">
        <v>74</v>
      </c>
      <c r="B12" s="17">
        <f>ABS(Standing!B$66)</f>
        <v>0</v>
      </c>
      <c r="C12" s="17">
        <f>ABS(Standing!C$66)</f>
        <v>8.0947831788758223E-2</v>
      </c>
      <c r="D12" s="17">
        <f>ABS(Standing!D$66)</f>
        <v>7.4665050122388249E-2</v>
      </c>
      <c r="E12" s="17">
        <f>ABS(Standing!E$66)</f>
        <v>0</v>
      </c>
      <c r="F12" s="17">
        <f>ABS(Standing!F$66)</f>
        <v>0</v>
      </c>
      <c r="G12" s="17">
        <f>ABS(Standing!G$66)</f>
        <v>0</v>
      </c>
      <c r="H12" s="17">
        <f>ABS(Standing!H$66)</f>
        <v>0</v>
      </c>
      <c r="I12" s="17">
        <f>ABS(Standing!I$66)</f>
        <v>0</v>
      </c>
      <c r="J12" s="17">
        <f>ABS(Standing!J$66)</f>
        <v>0</v>
      </c>
      <c r="K12" s="17">
        <f>ABS(Standing!K$66)</f>
        <v>5.5870593193111211E-2</v>
      </c>
      <c r="L12" s="17">
        <f>ABS(Standing!L$66)</f>
        <v>2.6724743955013168E-2</v>
      </c>
      <c r="M12" s="17">
        <f>ABS(Standing!M$66)</f>
        <v>2.4650497768936738E-2</v>
      </c>
      <c r="N12" s="17">
        <f>ABS(Standing!N$66)</f>
        <v>0</v>
      </c>
      <c r="O12" s="17">
        <f>ABS(Standing!O$66)</f>
        <v>0</v>
      </c>
      <c r="P12" s="17">
        <f>ABS(Standing!P$66)</f>
        <v>0</v>
      </c>
      <c r="Q12" s="17">
        <f>ABS(Standing!Q$66)</f>
        <v>0</v>
      </c>
      <c r="R12" s="17">
        <f>ABS(Standing!R$66)</f>
        <v>0</v>
      </c>
      <c r="S12" s="17">
        <f>ABS(Standing!S$66)</f>
        <v>0</v>
      </c>
      <c r="T12" s="6"/>
    </row>
    <row r="14" spans="1:20" ht="16.5" x14ac:dyDescent="0.25">
      <c r="A14" s="3" t="s">
        <v>893</v>
      </c>
    </row>
    <row r="15" spans="1:20" x14ac:dyDescent="0.2">
      <c r="A15" s="10" t="s">
        <v>238</v>
      </c>
    </row>
    <row r="16" spans="1:20" x14ac:dyDescent="0.2">
      <c r="A16" s="11" t="s">
        <v>894</v>
      </c>
    </row>
    <row r="17" spans="1:20" x14ac:dyDescent="0.2">
      <c r="A17" s="11" t="s">
        <v>895</v>
      </c>
    </row>
    <row r="18" spans="1:20" x14ac:dyDescent="0.2">
      <c r="A18" s="11" t="s">
        <v>853</v>
      </c>
    </row>
    <row r="19" spans="1:20" x14ac:dyDescent="0.2">
      <c r="A19" s="10" t="s">
        <v>896</v>
      </c>
    </row>
    <row r="21" spans="1:20" ht="25.5" x14ac:dyDescent="0.2">
      <c r="B21" s="4" t="s">
        <v>21</v>
      </c>
      <c r="C21" s="4" t="s">
        <v>191</v>
      </c>
      <c r="D21" s="4" t="s">
        <v>192</v>
      </c>
      <c r="E21" s="4" t="s">
        <v>193</v>
      </c>
      <c r="F21" s="4" t="s">
        <v>194</v>
      </c>
      <c r="G21" s="4" t="s">
        <v>195</v>
      </c>
      <c r="H21" s="4" t="s">
        <v>196</v>
      </c>
      <c r="I21" s="4" t="s">
        <v>197</v>
      </c>
      <c r="J21" s="4" t="s">
        <v>198</v>
      </c>
      <c r="K21" s="4" t="s">
        <v>179</v>
      </c>
      <c r="L21" s="4" t="s">
        <v>699</v>
      </c>
      <c r="M21" s="4" t="s">
        <v>700</v>
      </c>
      <c r="N21" s="4" t="s">
        <v>701</v>
      </c>
      <c r="O21" s="4" t="s">
        <v>702</v>
      </c>
      <c r="P21" s="4" t="s">
        <v>703</v>
      </c>
      <c r="Q21" s="4" t="s">
        <v>704</v>
      </c>
      <c r="R21" s="4" t="s">
        <v>705</v>
      </c>
      <c r="S21" s="4" t="s">
        <v>706</v>
      </c>
    </row>
    <row r="22" spans="1:20" x14ac:dyDescent="0.2">
      <c r="A22" s="5" t="s">
        <v>59</v>
      </c>
      <c r="B22" s="17">
        <f>B9*Input!B$328*Input!$E$14</f>
        <v>0</v>
      </c>
      <c r="C22" s="17">
        <f>C9*Input!C$328*Input!$E$14</f>
        <v>2.0401458574918707E-2</v>
      </c>
      <c r="D22" s="17">
        <f>D9*Input!D$328*Input!$E$14</f>
        <v>1.8697253762905489E-2</v>
      </c>
      <c r="E22" s="17">
        <f>E9*Input!E$328*Input!$E$14</f>
        <v>2.8499209139663299E-2</v>
      </c>
      <c r="F22" s="17">
        <f>F9*Input!F$328*Input!$E$14</f>
        <v>3.7090426297063855E-2</v>
      </c>
      <c r="G22" s="17">
        <f>G9*Input!G$328*Input!$E$14</f>
        <v>0</v>
      </c>
      <c r="H22" s="17">
        <f>H9*Input!H$328*Input!$E$14</f>
        <v>3.0174807245444232E-2</v>
      </c>
      <c r="I22" s="17">
        <f>I9*Input!I$328*Input!$E$14</f>
        <v>0</v>
      </c>
      <c r="J22" s="17">
        <f>J9*Input!J$328*Input!$E$14</f>
        <v>0</v>
      </c>
      <c r="K22" s="17">
        <f>K9*Input!B$328*Input!$E$14</f>
        <v>1.4081187443783899E-2</v>
      </c>
      <c r="L22" s="17">
        <f>L9*Input!C$328*Input!$E$14</f>
        <v>6.7354954996982309E-3</v>
      </c>
      <c r="M22" s="17">
        <f>M9*Input!D$328*Input!$E$14</f>
        <v>6.1728561276294695E-3</v>
      </c>
      <c r="N22" s="17">
        <f>N9*Input!E$328*Input!$E$14</f>
        <v>9.4089495709463351E-3</v>
      </c>
      <c r="O22" s="17">
        <f>O9*Input!F$328*Input!$E$14</f>
        <v>1.2245320523939939E-2</v>
      </c>
      <c r="P22" s="17">
        <f>P9*Input!G$328*Input!$E$14</f>
        <v>0</v>
      </c>
      <c r="Q22" s="17">
        <f>Q9*Input!H$328*Input!$E$14</f>
        <v>1.4231635005030942E-2</v>
      </c>
      <c r="R22" s="17">
        <f>R9*Input!I$328*Input!$E$14</f>
        <v>0</v>
      </c>
      <c r="S22" s="17">
        <f>S9*Input!J$328*Input!$E$14</f>
        <v>0</v>
      </c>
      <c r="T22" s="6"/>
    </row>
    <row r="23" spans="1:20" x14ac:dyDescent="0.2">
      <c r="A23" s="5" t="s">
        <v>60</v>
      </c>
      <c r="B23" s="17">
        <f>B10*Input!B$328*Input!$E$14</f>
        <v>0</v>
      </c>
      <c r="C23" s="17">
        <f>C10*Input!C$328*Input!$E$14</f>
        <v>2.2292427069097256E-2</v>
      </c>
      <c r="D23" s="17">
        <f>D10*Input!D$328*Input!$E$14</f>
        <v>2.0430263080032537E-2</v>
      </c>
      <c r="E23" s="17">
        <f>E10*Input!E$328*Input!$E$14</f>
        <v>3.1140741184747633E-2</v>
      </c>
      <c r="F23" s="17">
        <f>F10*Input!F$328*Input!$E$14</f>
        <v>4.0528260278680471E-2</v>
      </c>
      <c r="G23" s="17">
        <f>G10*Input!G$328*Input!$E$14</f>
        <v>0</v>
      </c>
      <c r="H23" s="17">
        <f>H10*Input!H$328*Input!$E$14</f>
        <v>0</v>
      </c>
      <c r="I23" s="17">
        <f>I10*Input!I$328*Input!$E$14</f>
        <v>0</v>
      </c>
      <c r="J23" s="17">
        <f>J10*Input!J$328*Input!$E$14</f>
        <v>0</v>
      </c>
      <c r="K23" s="17">
        <f>K10*Input!B$328*Input!$E$14</f>
        <v>1.5386343235416999E-2</v>
      </c>
      <c r="L23" s="17">
        <f>L10*Input!C$328*Input!$E$14</f>
        <v>7.359794479883352E-3</v>
      </c>
      <c r="M23" s="17">
        <f>M10*Input!D$328*Input!$E$14</f>
        <v>6.7450052420459537E-3</v>
      </c>
      <c r="N23" s="17">
        <f>N10*Input!E$328*Input!$E$14</f>
        <v>1.0281045413341032E-2</v>
      </c>
      <c r="O23" s="17">
        <f>O10*Input!F$328*Input!$E$14</f>
        <v>1.3380313653321164E-2</v>
      </c>
      <c r="P23" s="17">
        <f>P10*Input!G$328*Input!$E$14</f>
        <v>0</v>
      </c>
      <c r="Q23" s="17">
        <f>Q10*Input!H$328*Input!$E$14</f>
        <v>0</v>
      </c>
      <c r="R23" s="17">
        <f>R10*Input!I$328*Input!$E$14</f>
        <v>0</v>
      </c>
      <c r="S23" s="17">
        <f>S10*Input!J$328*Input!$E$14</f>
        <v>0</v>
      </c>
      <c r="T23" s="6"/>
    </row>
    <row r="24" spans="1:20" x14ac:dyDescent="0.2">
      <c r="A24" s="5" t="s">
        <v>73</v>
      </c>
      <c r="B24" s="17">
        <f>B11*Input!B$328*Input!$E$14</f>
        <v>0</v>
      </c>
      <c r="C24" s="17">
        <f>C11*Input!C$328*Input!$E$14</f>
        <v>1.9591066412911681E-2</v>
      </c>
      <c r="D24" s="17">
        <f>D11*Input!D$328*Input!$E$14</f>
        <v>1.7954556477568114E-2</v>
      </c>
      <c r="E24" s="17">
        <f>E11*Input!E$328*Input!$E$14</f>
        <v>2.1893724781305853E-2</v>
      </c>
      <c r="F24" s="17">
        <f>F11*Input!F$328*Input!$E$14</f>
        <v>0</v>
      </c>
      <c r="G24" s="17">
        <f>G11*Input!G$328*Input!$E$14</f>
        <v>0</v>
      </c>
      <c r="H24" s="17">
        <f>H11*Input!H$328*Input!$E$14</f>
        <v>0</v>
      </c>
      <c r="I24" s="17">
        <f>I11*Input!I$328*Input!$E$14</f>
        <v>0</v>
      </c>
      <c r="J24" s="17">
        <f>J11*Input!J$328*Input!$E$14</f>
        <v>0</v>
      </c>
      <c r="K24" s="17">
        <f>K11*Input!B$328*Input!$E$14</f>
        <v>1.35218507721293E-2</v>
      </c>
      <c r="L24" s="17">
        <f>L11*Input!C$328*Input!$E$14</f>
        <v>6.467946356574732E-3</v>
      </c>
      <c r="M24" s="17">
        <f>M11*Input!D$328*Input!$E$14</f>
        <v>5.9276562952420989E-3</v>
      </c>
      <c r="N24" s="17">
        <f>N11*Input!E$328*Input!$E$14</f>
        <v>7.2281638194932234E-3</v>
      </c>
      <c r="O24" s="17">
        <f>O11*Input!F$328*Input!$E$14</f>
        <v>0</v>
      </c>
      <c r="P24" s="17">
        <f>P11*Input!G$328*Input!$E$14</f>
        <v>0</v>
      </c>
      <c r="Q24" s="17">
        <f>Q11*Input!H$328*Input!$E$14</f>
        <v>0</v>
      </c>
      <c r="R24" s="17">
        <f>R11*Input!I$328*Input!$E$14</f>
        <v>0</v>
      </c>
      <c r="S24" s="17">
        <f>S11*Input!J$328*Input!$E$14</f>
        <v>0</v>
      </c>
      <c r="T24" s="6"/>
    </row>
    <row r="25" spans="1:20" x14ac:dyDescent="0.2">
      <c r="A25" s="5" t="s">
        <v>74</v>
      </c>
      <c r="B25" s="17">
        <f>B12*Input!B$328*Input!$E$14</f>
        <v>0</v>
      </c>
      <c r="C25" s="17">
        <f>C12*Input!C$328*Input!$E$14</f>
        <v>1.9364798080905E-2</v>
      </c>
      <c r="D25" s="17">
        <f>D12*Input!D$328*Input!$E$14</f>
        <v>1.7747189126527872E-2</v>
      </c>
      <c r="E25" s="17">
        <f>E12*Input!E$328*Input!$E$14</f>
        <v>0</v>
      </c>
      <c r="F25" s="17">
        <f>F12*Input!F$328*Input!$E$14</f>
        <v>0</v>
      </c>
      <c r="G25" s="17">
        <f>G12*Input!G$328*Input!$E$14</f>
        <v>0</v>
      </c>
      <c r="H25" s="17">
        <f>H12*Input!H$328*Input!$E$14</f>
        <v>0</v>
      </c>
      <c r="I25" s="17">
        <f>I12*Input!I$328*Input!$E$14</f>
        <v>0</v>
      </c>
      <c r="J25" s="17">
        <f>J12*Input!J$328*Input!$E$14</f>
        <v>0</v>
      </c>
      <c r="K25" s="17">
        <f>K12*Input!B$328*Input!$E$14</f>
        <v>1.3365679252143207E-2</v>
      </c>
      <c r="L25" s="17">
        <f>L12*Input!C$328*Input!$E$14</f>
        <v>6.3932443774805097E-3</v>
      </c>
      <c r="M25" s="17">
        <f>M12*Input!D$328*Input!$E$14</f>
        <v>5.8591944323519102E-3</v>
      </c>
      <c r="N25" s="17">
        <f>N12*Input!E$328*Input!$E$14</f>
        <v>0</v>
      </c>
      <c r="O25" s="17">
        <f>O12*Input!F$328*Input!$E$14</f>
        <v>0</v>
      </c>
      <c r="P25" s="17">
        <f>P12*Input!G$328*Input!$E$14</f>
        <v>0</v>
      </c>
      <c r="Q25" s="17">
        <f>Q12*Input!H$328*Input!$E$14</f>
        <v>0</v>
      </c>
      <c r="R25" s="17">
        <f>R12*Input!I$328*Input!$E$14</f>
        <v>0</v>
      </c>
      <c r="S25" s="17">
        <f>S12*Input!J$328*Input!$E$14</f>
        <v>0</v>
      </c>
      <c r="T25" s="6"/>
    </row>
    <row r="27" spans="1:20" ht="16.5" x14ac:dyDescent="0.25">
      <c r="A27" s="3" t="s">
        <v>897</v>
      </c>
    </row>
    <row r="28" spans="1:20" x14ac:dyDescent="0.2">
      <c r="A28" s="10" t="s">
        <v>898</v>
      </c>
    </row>
    <row r="29" spans="1:20" x14ac:dyDescent="0.2">
      <c r="A29" s="10" t="s">
        <v>899</v>
      </c>
    </row>
    <row r="31" spans="1:20" x14ac:dyDescent="0.2">
      <c r="B31" s="4" t="s">
        <v>21</v>
      </c>
      <c r="C31" s="4" t="s">
        <v>22</v>
      </c>
      <c r="D31" s="4" t="s">
        <v>23</v>
      </c>
      <c r="E31" s="4" t="s">
        <v>24</v>
      </c>
      <c r="F31" s="4" t="s">
        <v>25</v>
      </c>
      <c r="G31" s="4" t="s">
        <v>30</v>
      </c>
      <c r="H31" s="4" t="s">
        <v>26</v>
      </c>
      <c r="I31" s="4" t="s">
        <v>27</v>
      </c>
      <c r="J31" s="4" t="s">
        <v>28</v>
      </c>
    </row>
    <row r="32" spans="1:20" x14ac:dyDescent="0.2">
      <c r="A32" s="5" t="s">
        <v>63</v>
      </c>
      <c r="B32" s="16">
        <v>1</v>
      </c>
      <c r="C32" s="16">
        <v>1</v>
      </c>
      <c r="D32" s="16">
        <v>1</v>
      </c>
      <c r="E32" s="16">
        <v>1</v>
      </c>
      <c r="F32" s="16">
        <v>1</v>
      </c>
      <c r="G32" s="16">
        <v>1</v>
      </c>
      <c r="H32" s="16">
        <v>1</v>
      </c>
      <c r="I32" s="16">
        <v>1</v>
      </c>
      <c r="J32" s="16">
        <v>1</v>
      </c>
      <c r="K32" s="6"/>
    </row>
    <row r="33" spans="1:11" x14ac:dyDescent="0.2">
      <c r="A33" s="5" t="s">
        <v>64</v>
      </c>
      <c r="B33" s="16">
        <v>1</v>
      </c>
      <c r="C33" s="16">
        <v>1</v>
      </c>
      <c r="D33" s="16">
        <v>1</v>
      </c>
      <c r="E33" s="16">
        <v>1</v>
      </c>
      <c r="F33" s="16">
        <v>1</v>
      </c>
      <c r="G33" s="16">
        <v>1</v>
      </c>
      <c r="H33" s="16">
        <v>1</v>
      </c>
      <c r="I33" s="16">
        <v>1</v>
      </c>
      <c r="J33" s="16">
        <v>1</v>
      </c>
      <c r="K33" s="6"/>
    </row>
    <row r="34" spans="1:11" x14ac:dyDescent="0.2">
      <c r="A34" s="5" t="s">
        <v>65</v>
      </c>
      <c r="B34" s="16">
        <v>1</v>
      </c>
      <c r="C34" s="16">
        <v>1</v>
      </c>
      <c r="D34" s="16">
        <v>1</v>
      </c>
      <c r="E34" s="16">
        <v>1</v>
      </c>
      <c r="F34" s="16">
        <v>1</v>
      </c>
      <c r="G34" s="16">
        <v>1</v>
      </c>
      <c r="H34" s="16">
        <v>1</v>
      </c>
      <c r="I34" s="16">
        <v>1</v>
      </c>
      <c r="J34" s="16">
        <v>0</v>
      </c>
      <c r="K34" s="6"/>
    </row>
    <row r="35" spans="1:11" x14ac:dyDescent="0.2">
      <c r="A35" s="5" t="s">
        <v>66</v>
      </c>
      <c r="B35" s="16">
        <v>1</v>
      </c>
      <c r="C35" s="16">
        <v>1</v>
      </c>
      <c r="D35" s="16">
        <v>1</v>
      </c>
      <c r="E35" s="16">
        <v>1</v>
      </c>
      <c r="F35" s="16">
        <v>1</v>
      </c>
      <c r="G35" s="16">
        <v>1</v>
      </c>
      <c r="H35" s="16">
        <v>1</v>
      </c>
      <c r="I35" s="16">
        <v>1</v>
      </c>
      <c r="J35" s="16">
        <v>0</v>
      </c>
      <c r="K35" s="6"/>
    </row>
    <row r="36" spans="1:11" x14ac:dyDescent="0.2">
      <c r="A36" s="5" t="s">
        <v>75</v>
      </c>
      <c r="B36" s="16">
        <v>1</v>
      </c>
      <c r="C36" s="16">
        <v>1</v>
      </c>
      <c r="D36" s="16">
        <v>1</v>
      </c>
      <c r="E36" s="16">
        <v>1</v>
      </c>
      <c r="F36" s="16">
        <v>1</v>
      </c>
      <c r="G36" s="16">
        <v>1</v>
      </c>
      <c r="H36" s="16">
        <v>1</v>
      </c>
      <c r="I36" s="16">
        <v>0</v>
      </c>
      <c r="J36" s="16">
        <v>0</v>
      </c>
      <c r="K36" s="6"/>
    </row>
    <row r="37" spans="1:11" x14ac:dyDescent="0.2">
      <c r="A37" s="5" t="s">
        <v>76</v>
      </c>
      <c r="B37" s="16">
        <v>1</v>
      </c>
      <c r="C37" s="16">
        <v>1</v>
      </c>
      <c r="D37" s="16">
        <v>1</v>
      </c>
      <c r="E37" s="16">
        <v>1</v>
      </c>
      <c r="F37" s="16">
        <v>1</v>
      </c>
      <c r="G37" s="16">
        <v>1</v>
      </c>
      <c r="H37" s="16">
        <v>1</v>
      </c>
      <c r="I37" s="16">
        <v>0</v>
      </c>
      <c r="J37" s="16">
        <v>0</v>
      </c>
      <c r="K37" s="6"/>
    </row>
    <row r="38" spans="1:11" x14ac:dyDescent="0.2">
      <c r="A38" s="5" t="s">
        <v>77</v>
      </c>
      <c r="B38" s="16">
        <v>1</v>
      </c>
      <c r="C38" s="16">
        <v>1</v>
      </c>
      <c r="D38" s="16">
        <v>1</v>
      </c>
      <c r="E38" s="16">
        <v>1</v>
      </c>
      <c r="F38" s="16">
        <v>0</v>
      </c>
      <c r="G38" s="16">
        <v>1</v>
      </c>
      <c r="H38" s="16">
        <v>0</v>
      </c>
      <c r="I38" s="16">
        <v>0</v>
      </c>
      <c r="J38" s="16">
        <v>0</v>
      </c>
      <c r="K38" s="6"/>
    </row>
    <row r="39" spans="1:11" x14ac:dyDescent="0.2">
      <c r="A39" s="5" t="s">
        <v>78</v>
      </c>
      <c r="B39" s="16">
        <v>1</v>
      </c>
      <c r="C39" s="16">
        <v>1</v>
      </c>
      <c r="D39" s="16">
        <v>1</v>
      </c>
      <c r="E39" s="16">
        <v>1</v>
      </c>
      <c r="F39" s="16">
        <v>0</v>
      </c>
      <c r="G39" s="16">
        <v>1</v>
      </c>
      <c r="H39" s="16">
        <v>0</v>
      </c>
      <c r="I39" s="16">
        <v>0</v>
      </c>
      <c r="J39" s="16">
        <v>0</v>
      </c>
      <c r="K39" s="6"/>
    </row>
    <row r="41" spans="1:11" ht="16.5" x14ac:dyDescent="0.25">
      <c r="A41" s="3" t="s">
        <v>900</v>
      </c>
    </row>
    <row r="42" spans="1:11" x14ac:dyDescent="0.2">
      <c r="A42" s="10" t="s">
        <v>238</v>
      </c>
    </row>
    <row r="43" spans="1:11" x14ac:dyDescent="0.2">
      <c r="A43" s="11" t="s">
        <v>901</v>
      </c>
    </row>
    <row r="44" spans="1:11" x14ac:dyDescent="0.2">
      <c r="A44" s="10" t="s">
        <v>892</v>
      </c>
    </row>
    <row r="46" spans="1:11" ht="25.5" x14ac:dyDescent="0.2">
      <c r="B46" s="4" t="s">
        <v>902</v>
      </c>
    </row>
    <row r="47" spans="1:11" x14ac:dyDescent="0.2">
      <c r="A47" s="5" t="s">
        <v>63</v>
      </c>
      <c r="B47" s="17">
        <f>ABS(Loads!B$65)</f>
        <v>1</v>
      </c>
      <c r="C47" s="6"/>
    </row>
    <row r="48" spans="1:11" x14ac:dyDescent="0.2">
      <c r="A48" s="5" t="s">
        <v>64</v>
      </c>
      <c r="B48" s="17">
        <f>ABS(Loads!B$66)</f>
        <v>1</v>
      </c>
      <c r="C48" s="6"/>
    </row>
    <row r="49" spans="1:3" x14ac:dyDescent="0.2">
      <c r="A49" s="5" t="s">
        <v>65</v>
      </c>
      <c r="B49" s="17">
        <f>ABS(Loads!B$67)</f>
        <v>1</v>
      </c>
      <c r="C49" s="6"/>
    </row>
    <row r="50" spans="1:3" x14ac:dyDescent="0.2">
      <c r="A50" s="5" t="s">
        <v>66</v>
      </c>
      <c r="B50" s="17">
        <f>ABS(Loads!B$68)</f>
        <v>1</v>
      </c>
      <c r="C50" s="6"/>
    </row>
    <row r="51" spans="1:3" x14ac:dyDescent="0.2">
      <c r="A51" s="5" t="s">
        <v>75</v>
      </c>
      <c r="B51" s="17">
        <f>ABS(Loads!B$69)</f>
        <v>1</v>
      </c>
      <c r="C51" s="6"/>
    </row>
    <row r="52" spans="1:3" x14ac:dyDescent="0.2">
      <c r="A52" s="5" t="s">
        <v>76</v>
      </c>
      <c r="B52" s="17">
        <f>ABS(Loads!B$70)</f>
        <v>1</v>
      </c>
      <c r="C52" s="6"/>
    </row>
    <row r="53" spans="1:3" x14ac:dyDescent="0.2">
      <c r="A53" s="5" t="s">
        <v>77</v>
      </c>
      <c r="B53" s="17">
        <f>ABS(Loads!B$71)</f>
        <v>1</v>
      </c>
      <c r="C53" s="6"/>
    </row>
    <row r="54" spans="1:3" x14ac:dyDescent="0.2">
      <c r="A54" s="5" t="s">
        <v>78</v>
      </c>
      <c r="B54" s="17">
        <f>ABS(Loads!B$72)</f>
        <v>1</v>
      </c>
      <c r="C54" s="6"/>
    </row>
    <row r="56" spans="1:3" ht="16.5" x14ac:dyDescent="0.25">
      <c r="A56" s="3" t="s">
        <v>903</v>
      </c>
    </row>
    <row r="57" spans="1:3" x14ac:dyDescent="0.2">
      <c r="A57" s="10" t="s">
        <v>238</v>
      </c>
    </row>
    <row r="58" spans="1:3" x14ac:dyDescent="0.2">
      <c r="A58" s="11" t="s">
        <v>795</v>
      </c>
    </row>
    <row r="59" spans="1:3" x14ac:dyDescent="0.2">
      <c r="A59" s="11" t="s">
        <v>904</v>
      </c>
    </row>
    <row r="60" spans="1:3" x14ac:dyDescent="0.2">
      <c r="A60" s="11" t="s">
        <v>285</v>
      </c>
    </row>
    <row r="61" spans="1:3" x14ac:dyDescent="0.2">
      <c r="A61" s="11" t="s">
        <v>905</v>
      </c>
    </row>
    <row r="62" spans="1:3" x14ac:dyDescent="0.2">
      <c r="A62" s="11" t="s">
        <v>906</v>
      </c>
    </row>
    <row r="63" spans="1:3" x14ac:dyDescent="0.2">
      <c r="A63" s="11" t="s">
        <v>907</v>
      </c>
    </row>
    <row r="64" spans="1:3" x14ac:dyDescent="0.2">
      <c r="A64" s="11" t="s">
        <v>908</v>
      </c>
    </row>
    <row r="65" spans="1:20" x14ac:dyDescent="0.2">
      <c r="A65" s="10" t="s">
        <v>909</v>
      </c>
    </row>
    <row r="67" spans="1:20" ht="25.5" x14ac:dyDescent="0.2">
      <c r="B67" s="4" t="s">
        <v>21</v>
      </c>
      <c r="C67" s="4" t="s">
        <v>191</v>
      </c>
      <c r="D67" s="4" t="s">
        <v>192</v>
      </c>
      <c r="E67" s="4" t="s">
        <v>193</v>
      </c>
      <c r="F67" s="4" t="s">
        <v>194</v>
      </c>
      <c r="G67" s="4" t="s">
        <v>195</v>
      </c>
      <c r="H67" s="4" t="s">
        <v>196</v>
      </c>
      <c r="I67" s="4" t="s">
        <v>197</v>
      </c>
      <c r="J67" s="4" t="s">
        <v>198</v>
      </c>
      <c r="K67" s="4" t="s">
        <v>179</v>
      </c>
      <c r="L67" s="4" t="s">
        <v>699</v>
      </c>
      <c r="M67" s="4" t="s">
        <v>700</v>
      </c>
      <c r="N67" s="4" t="s">
        <v>701</v>
      </c>
      <c r="O67" s="4" t="s">
        <v>702</v>
      </c>
      <c r="P67" s="4" t="s">
        <v>703</v>
      </c>
      <c r="Q67" s="4" t="s">
        <v>704</v>
      </c>
      <c r="R67" s="4" t="s">
        <v>705</v>
      </c>
      <c r="S67" s="4" t="s">
        <v>706</v>
      </c>
    </row>
    <row r="68" spans="1:20" x14ac:dyDescent="0.2">
      <c r="A68" s="5" t="s">
        <v>63</v>
      </c>
      <c r="B68" s="17">
        <f>Yard!B$11*$B$47*LAFs!$I$34/LAFs!B$78*(1-Contrib!B$116)*B32/(24*Input!$F$14)*100</f>
        <v>0</v>
      </c>
      <c r="C68" s="17">
        <f>Yard!C$11*$B$47*LAFs!$I$34/LAFs!C$78*(1-Contrib!C$116)*C32/(24*Input!$F$14)*100</f>
        <v>7.3062876189217529E-2</v>
      </c>
      <c r="D68" s="17">
        <f>Yard!D$11*$B$47*LAFs!$I$34/LAFs!D$78*(1-Contrib!D$116)*D32/(24*Input!$F$14)*100</f>
        <v>6.7392086881212551E-2</v>
      </c>
      <c r="E68" s="17">
        <f>Yard!E$11*$B$47*LAFs!$I$34/LAFs!E$78*(1-Contrib!E$116)*E32/(24*Input!$F$14)*100</f>
        <v>0.10272210040794665</v>
      </c>
      <c r="F68" s="17">
        <f>Yard!F$11*$B$47*LAFs!$I$34/LAFs!F$78*(1-Contrib!F$116)*F32/(24*Input!$F$14)*100</f>
        <v>0.12720105273803076</v>
      </c>
      <c r="G68" s="17">
        <f>Yard!G$11*$B$47*LAFs!$I$34/LAFs!G$78*(1-Contrib!G$116)*G32/(24*Input!$F$14)*100</f>
        <v>0</v>
      </c>
      <c r="H68" s="17">
        <f>Yard!H$11*$B$47*LAFs!$I$34/LAFs!H$78*(1-Contrib!H$116)*H32/(24*Input!$F$14)*100</f>
        <v>0.12935505300769182</v>
      </c>
      <c r="I68" s="17">
        <f>Yard!I$11*$B$47*LAFs!$I$34/LAFs!I$78*(1-Contrib!I$116)*I32/(24*Input!$F$14)*100</f>
        <v>0.11180837371876251</v>
      </c>
      <c r="J68" s="17">
        <f>Yard!J$11*$B$47*LAFs!$I$34/LAFs!J$78*(1-Contrib!J$116)*J32/(24*Input!$F$14)*100</f>
        <v>2.8489503594345657E-3</v>
      </c>
      <c r="K68" s="17">
        <f>Yard!K$11*$B$47*LAFs!$I$34/LAFs!B$78*(1-Contrib!K$116)*B32/(24*Input!$F$14)*100</f>
        <v>5.0428357905113505E-2</v>
      </c>
      <c r="L68" s="17">
        <f>Yard!L$11*$B$47*LAFs!$I$34/LAFs!C$78*(1-Contrib!L$116)*C32/(24*Input!$F$14)*100</f>
        <v>2.4121543661220535E-2</v>
      </c>
      <c r="M68" s="17">
        <f>Yard!M$11*$B$47*LAFs!$I$34/LAFs!D$78*(1-Contrib!M$116)*D32/(24*Input!$F$14)*100</f>
        <v>2.2249345370909987E-2</v>
      </c>
      <c r="N68" s="17">
        <f>Yard!N$11*$B$47*LAFs!$I$34/LAFs!E$78*(1-Contrib!N$116)*E32/(24*Input!$F$14)*100</f>
        <v>3.3913469592211802E-2</v>
      </c>
      <c r="O68" s="17">
        <f>Yard!O$11*$B$47*LAFs!$I$34/LAFs!F$78*(1-Contrib!O$116)*F32/(24*Input!$F$14)*100</f>
        <v>4.1995140451731035E-2</v>
      </c>
      <c r="P68" s="17">
        <f>Yard!P$11*$B$47*LAFs!$I$34/LAFs!G$78*(1-Contrib!P$116)*G32/(24*Input!$F$14)*100</f>
        <v>0</v>
      </c>
      <c r="Q68" s="17">
        <f>Yard!Q$11*$B$47*LAFs!$I$34/LAFs!H$78*(1-Contrib!Q$116)*H32/(24*Input!$F$14)*100</f>
        <v>6.100896968413419E-2</v>
      </c>
      <c r="R68" s="17">
        <f>Yard!R$11*$B$47*LAFs!$I$34/LAFs!I$78*(1-Contrib!R$116)*I32/(24*Input!$F$14)*100</f>
        <v>5.2733260309782509E-2</v>
      </c>
      <c r="S68" s="17">
        <f>Yard!S$11*$B$47*LAFs!$I$34/LAFs!J$78*(1-Contrib!S$116)*J32/(24*Input!$F$14)*100</f>
        <v>3.1352484356888054E-2</v>
      </c>
      <c r="T68" s="6"/>
    </row>
    <row r="69" spans="1:20" x14ac:dyDescent="0.2">
      <c r="A69" s="5" t="s">
        <v>64</v>
      </c>
      <c r="B69" s="17">
        <f>Yard!B$11*$B$48*LAFs!$I$35/LAFs!B$78*(1-Contrib!B$117)*B33/(24*Input!$F$14)*100</f>
        <v>0</v>
      </c>
      <c r="C69" s="17">
        <f>Yard!C$11*$B$48*LAFs!$I$35/LAFs!C$78*(1-Contrib!C$117)*C33/(24*Input!$F$14)*100</f>
        <v>7.3062876189217529E-2</v>
      </c>
      <c r="D69" s="17">
        <f>Yard!D$11*$B$48*LAFs!$I$35/LAFs!D$78*(1-Contrib!D$117)*D33/(24*Input!$F$14)*100</f>
        <v>6.7392086881212551E-2</v>
      </c>
      <c r="E69" s="17">
        <f>Yard!E$11*$B$48*LAFs!$I$35/LAFs!E$78*(1-Contrib!E$117)*E33/(24*Input!$F$14)*100</f>
        <v>0.10272210040794665</v>
      </c>
      <c r="F69" s="17">
        <f>Yard!F$11*$B$48*LAFs!$I$35/LAFs!F$78*(1-Contrib!F$117)*F33/(24*Input!$F$14)*100</f>
        <v>0.12720105273803076</v>
      </c>
      <c r="G69" s="17">
        <f>Yard!G$11*$B$48*LAFs!$I$35/LAFs!G$78*(1-Contrib!G$117)*G33/(24*Input!$F$14)*100</f>
        <v>0</v>
      </c>
      <c r="H69" s="17">
        <f>Yard!H$11*$B$48*LAFs!$I$35/LAFs!H$78*(1-Contrib!H$117)*H33/(24*Input!$F$14)*100</f>
        <v>0.12935505300769182</v>
      </c>
      <c r="I69" s="17">
        <f>Yard!I$11*$B$48*LAFs!$I$35/LAFs!I$78*(1-Contrib!I$117)*I33/(24*Input!$F$14)*100</f>
        <v>0.11180837371876251</v>
      </c>
      <c r="J69" s="17">
        <f>Yard!J$11*$B$48*LAFs!$I$35/LAFs!J$78*(1-Contrib!J$117)*J33/(24*Input!$F$14)*100</f>
        <v>2.8489503594345657E-3</v>
      </c>
      <c r="K69" s="17">
        <f>Yard!K$11*$B$48*LAFs!$I$35/LAFs!B$78*(1-Contrib!K$117)*B33/(24*Input!$F$14)*100</f>
        <v>5.0428357905113505E-2</v>
      </c>
      <c r="L69" s="17">
        <f>Yard!L$11*$B$48*LAFs!$I$35/LAFs!C$78*(1-Contrib!L$117)*C33/(24*Input!$F$14)*100</f>
        <v>2.4121543661220535E-2</v>
      </c>
      <c r="M69" s="17">
        <f>Yard!M$11*$B$48*LAFs!$I$35/LAFs!D$78*(1-Contrib!M$117)*D33/(24*Input!$F$14)*100</f>
        <v>2.2249345370909987E-2</v>
      </c>
      <c r="N69" s="17">
        <f>Yard!N$11*$B$48*LAFs!$I$35/LAFs!E$78*(1-Contrib!N$117)*E33/(24*Input!$F$14)*100</f>
        <v>3.3913469592211802E-2</v>
      </c>
      <c r="O69" s="17">
        <f>Yard!O$11*$B$48*LAFs!$I$35/LAFs!F$78*(1-Contrib!O$117)*F33/(24*Input!$F$14)*100</f>
        <v>4.1995140451731035E-2</v>
      </c>
      <c r="P69" s="17">
        <f>Yard!P$11*$B$48*LAFs!$I$35/LAFs!G$78*(1-Contrib!P$117)*G33/(24*Input!$F$14)*100</f>
        <v>0</v>
      </c>
      <c r="Q69" s="17">
        <f>Yard!Q$11*$B$48*LAFs!$I$35/LAFs!H$78*(1-Contrib!Q$117)*H33/(24*Input!$F$14)*100</f>
        <v>6.100896968413419E-2</v>
      </c>
      <c r="R69" s="17">
        <f>Yard!R$11*$B$48*LAFs!$I$35/LAFs!I$78*(1-Contrib!R$117)*I33/(24*Input!$F$14)*100</f>
        <v>5.2733260309782509E-2</v>
      </c>
      <c r="S69" s="17">
        <f>Yard!S$11*$B$48*LAFs!$I$35/LAFs!J$78*(1-Contrib!S$117)*J33/(24*Input!$F$14)*100</f>
        <v>3.1352484356888054E-2</v>
      </c>
      <c r="T69" s="6"/>
    </row>
    <row r="70" spans="1:20" x14ac:dyDescent="0.2">
      <c r="A70" s="5" t="s">
        <v>65</v>
      </c>
      <c r="B70" s="17">
        <f>Yard!B$11*$B$49*LAFs!$I$36/LAFs!B$78*(1-Contrib!B$118)*B34/(24*Input!$F$14)*100</f>
        <v>0</v>
      </c>
      <c r="C70" s="17">
        <f>Yard!C$11*$B$49*LAFs!$I$36/LAFs!C$78*(1-Contrib!C$118)*C34/(24*Input!$F$14)*100</f>
        <v>6.9747863657946302E-2</v>
      </c>
      <c r="D70" s="17">
        <f>Yard!D$11*$B$49*LAFs!$I$36/LAFs!D$78*(1-Contrib!D$118)*D34/(24*Input!$F$14)*100</f>
        <v>6.4334369690594931E-2</v>
      </c>
      <c r="E70" s="17">
        <f>Yard!E$11*$B$49*LAFs!$I$36/LAFs!E$78*(1-Contrib!E$118)*E34/(24*Input!$F$14)*100</f>
        <v>9.806138804823944E-2</v>
      </c>
      <c r="F70" s="17">
        <f>Yard!F$11*$B$49*LAFs!$I$36/LAFs!F$78*(1-Contrib!F$118)*F34/(24*Input!$F$14)*100</f>
        <v>0.1214296801092635</v>
      </c>
      <c r="G70" s="17">
        <f>Yard!G$11*$B$49*LAFs!$I$36/LAFs!G$78*(1-Contrib!G$118)*G34/(24*Input!$F$14)*100</f>
        <v>0</v>
      </c>
      <c r="H70" s="17">
        <f>Yard!H$11*$B$49*LAFs!$I$36/LAFs!H$78*(1-Contrib!H$118)*H34/(24*Input!$F$14)*100</f>
        <v>0.12348594896923028</v>
      </c>
      <c r="I70" s="17">
        <f>Yard!I$11*$B$49*LAFs!$I$36/LAFs!I$78*(1-Contrib!I$118)*I34/(24*Input!$F$14)*100</f>
        <v>4.5743742216284005E-3</v>
      </c>
      <c r="J70" s="17">
        <f>Yard!J$11*$B$49*LAFs!$I$36/LAFs!J$78*(1-Contrib!J$118)*J34/(24*Input!$F$14)*100</f>
        <v>0</v>
      </c>
      <c r="K70" s="17">
        <f>Yard!K$11*$B$49*LAFs!$I$36/LAFs!B$78*(1-Contrib!K$118)*B34/(24*Input!$F$14)*100</f>
        <v>4.8140319887640115E-2</v>
      </c>
      <c r="L70" s="17">
        <f>Yard!L$11*$B$49*LAFs!$I$36/LAFs!C$78*(1-Contrib!L$118)*C34/(24*Input!$F$14)*100</f>
        <v>2.3027099756446463E-2</v>
      </c>
      <c r="M70" s="17">
        <f>Yard!M$11*$B$49*LAFs!$I$36/LAFs!D$78*(1-Contrib!M$118)*D34/(24*Input!$F$14)*100</f>
        <v>2.1239846942102819E-2</v>
      </c>
      <c r="N70" s="17">
        <f>Yard!N$11*$B$49*LAFs!$I$36/LAFs!E$78*(1-Contrib!N$118)*E34/(24*Input!$F$14)*100</f>
        <v>3.2374745926503461E-2</v>
      </c>
      <c r="O70" s="17">
        <f>Yard!O$11*$B$49*LAFs!$I$36/LAFs!F$78*(1-Contrib!O$118)*F34/(24*Input!$F$14)*100</f>
        <v>4.0089734805100773E-2</v>
      </c>
      <c r="P70" s="17">
        <f>Yard!P$11*$B$49*LAFs!$I$36/LAFs!G$78*(1-Contrib!P$118)*G34/(24*Input!$F$14)*100</f>
        <v>0</v>
      </c>
      <c r="Q70" s="17">
        <f>Yard!Q$11*$B$49*LAFs!$I$36/LAFs!H$78*(1-Contrib!Q$118)*H34/(24*Input!$F$14)*100</f>
        <v>5.8240867611351332E-2</v>
      </c>
      <c r="R70" s="17">
        <f>Yard!R$11*$B$49*LAFs!$I$36/LAFs!I$78*(1-Contrib!R$118)*I34/(24*Input!$F$14)*100</f>
        <v>5.0340644143276943E-2</v>
      </c>
      <c r="S70" s="17">
        <f>Yard!S$11*$B$49*LAFs!$I$36/LAFs!J$78*(1-Contrib!S$118)*J34/(24*Input!$F$14)*100</f>
        <v>0</v>
      </c>
      <c r="T70" s="6"/>
    </row>
    <row r="71" spans="1:20" x14ac:dyDescent="0.2">
      <c r="A71" s="5" t="s">
        <v>66</v>
      </c>
      <c r="B71" s="17">
        <f>Yard!B$11*$B$50*LAFs!$I$37/LAFs!B$78*(1-Contrib!B$119)*B35/(24*Input!$F$14)*100</f>
        <v>0</v>
      </c>
      <c r="C71" s="17">
        <f>Yard!C$11*$B$50*LAFs!$I$37/LAFs!C$78*(1-Contrib!C$119)*C35/(24*Input!$F$14)*100</f>
        <v>6.9747863657946302E-2</v>
      </c>
      <c r="D71" s="17">
        <f>Yard!D$11*$B$50*LAFs!$I$37/LAFs!D$78*(1-Contrib!D$119)*D35/(24*Input!$F$14)*100</f>
        <v>6.4334369690594931E-2</v>
      </c>
      <c r="E71" s="17">
        <f>Yard!E$11*$B$50*LAFs!$I$37/LAFs!E$78*(1-Contrib!E$119)*E35/(24*Input!$F$14)*100</f>
        <v>9.806138804823944E-2</v>
      </c>
      <c r="F71" s="17">
        <f>Yard!F$11*$B$50*LAFs!$I$37/LAFs!F$78*(1-Contrib!F$119)*F35/(24*Input!$F$14)*100</f>
        <v>0.1214296801092635</v>
      </c>
      <c r="G71" s="17">
        <f>Yard!G$11*$B$50*LAFs!$I$37/LAFs!G$78*(1-Contrib!G$119)*G35/(24*Input!$F$14)*100</f>
        <v>0</v>
      </c>
      <c r="H71" s="17">
        <f>Yard!H$11*$B$50*LAFs!$I$37/LAFs!H$78*(1-Contrib!H$119)*H35/(24*Input!$F$14)*100</f>
        <v>0.12348594896923028</v>
      </c>
      <c r="I71" s="17">
        <f>Yard!I$11*$B$50*LAFs!$I$37/LAFs!I$78*(1-Contrib!I$119)*I35/(24*Input!$F$14)*100</f>
        <v>4.5743742216284005E-3</v>
      </c>
      <c r="J71" s="17">
        <f>Yard!J$11*$B$50*LAFs!$I$37/LAFs!J$78*(1-Contrib!J$119)*J35/(24*Input!$F$14)*100</f>
        <v>0</v>
      </c>
      <c r="K71" s="17">
        <f>Yard!K$11*$B$50*LAFs!$I$37/LAFs!B$78*(1-Contrib!K$119)*B35/(24*Input!$F$14)*100</f>
        <v>4.8140319887640115E-2</v>
      </c>
      <c r="L71" s="17">
        <f>Yard!L$11*$B$50*LAFs!$I$37/LAFs!C$78*(1-Contrib!L$119)*C35/(24*Input!$F$14)*100</f>
        <v>2.3027099756446463E-2</v>
      </c>
      <c r="M71" s="17">
        <f>Yard!M$11*$B$50*LAFs!$I$37/LAFs!D$78*(1-Contrib!M$119)*D35/(24*Input!$F$14)*100</f>
        <v>2.1239846942102819E-2</v>
      </c>
      <c r="N71" s="17">
        <f>Yard!N$11*$B$50*LAFs!$I$37/LAFs!E$78*(1-Contrib!N$119)*E35/(24*Input!$F$14)*100</f>
        <v>3.2374745926503461E-2</v>
      </c>
      <c r="O71" s="17">
        <f>Yard!O$11*$B$50*LAFs!$I$37/LAFs!F$78*(1-Contrib!O$119)*F35/(24*Input!$F$14)*100</f>
        <v>4.0089734805100773E-2</v>
      </c>
      <c r="P71" s="17">
        <f>Yard!P$11*$B$50*LAFs!$I$37/LAFs!G$78*(1-Contrib!P$119)*G35/(24*Input!$F$14)*100</f>
        <v>0</v>
      </c>
      <c r="Q71" s="17">
        <f>Yard!Q$11*$B$50*LAFs!$I$37/LAFs!H$78*(1-Contrib!Q$119)*H35/(24*Input!$F$14)*100</f>
        <v>5.8240867611351332E-2</v>
      </c>
      <c r="R71" s="17">
        <f>Yard!R$11*$B$50*LAFs!$I$37/LAFs!I$78*(1-Contrib!R$119)*I35/(24*Input!$F$14)*100</f>
        <v>5.0340644143276943E-2</v>
      </c>
      <c r="S71" s="17">
        <f>Yard!S$11*$B$50*LAFs!$I$37/LAFs!J$78*(1-Contrib!S$119)*J35/(24*Input!$F$14)*100</f>
        <v>0</v>
      </c>
      <c r="T71" s="6"/>
    </row>
    <row r="72" spans="1:20" x14ac:dyDescent="0.2">
      <c r="A72" s="5" t="s">
        <v>75</v>
      </c>
      <c r="B72" s="17">
        <f>Yard!B$11*$B$51*LAFs!$I$38/LAFs!B$78*(1-Contrib!B$120)*B36/(24*Input!$F$14)*100</f>
        <v>0</v>
      </c>
      <c r="C72" s="17">
        <f>Yard!C$11*$B$51*LAFs!$I$38/LAFs!C$78*(1-Contrib!C$120)*C36/(24*Input!$F$14)*100</f>
        <v>6.8885960399815788E-2</v>
      </c>
      <c r="D72" s="17">
        <f>Yard!D$11*$B$51*LAFs!$I$38/LAFs!D$78*(1-Contrib!D$120)*D36/(24*Input!$F$14)*100</f>
        <v>6.3539363221034331E-2</v>
      </c>
      <c r="E72" s="17">
        <f>Yard!E$11*$B$51*LAFs!$I$38/LAFs!E$78*(1-Contrib!E$120)*E36/(24*Input!$F$14)*100</f>
        <v>9.6849602834715554E-2</v>
      </c>
      <c r="F72" s="17">
        <f>Yard!F$11*$B$51*LAFs!$I$38/LAFs!F$78*(1-Contrib!F$120)*F36/(24*Input!$F$14)*100</f>
        <v>5.156952298708712E-2</v>
      </c>
      <c r="G72" s="17">
        <f>Yard!G$11*$B$51*LAFs!$I$38/LAFs!G$78*(1-Contrib!G$120)*G36/(24*Input!$F$14)*100</f>
        <v>0</v>
      </c>
      <c r="H72" s="17">
        <f>Yard!H$11*$B$51*LAFs!$I$38/LAFs!H$78*(1-Contrib!H$120)*H36/(24*Input!$F$14)*100</f>
        <v>1.5680569103901032E-2</v>
      </c>
      <c r="I72" s="17">
        <f>Yard!I$11*$B$51*LAFs!$I$38/LAFs!I$78*(1-Contrib!I$120)*I36/(24*Input!$F$14)*100</f>
        <v>0</v>
      </c>
      <c r="J72" s="17">
        <f>Yard!J$11*$B$51*LAFs!$I$38/LAFs!J$78*(1-Contrib!J$120)*J36/(24*Input!$F$14)*100</f>
        <v>0</v>
      </c>
      <c r="K72" s="17">
        <f>Yard!K$11*$B$51*LAFs!$I$38/LAFs!B$78*(1-Contrib!K$120)*B36/(24*Input!$F$14)*100</f>
        <v>4.7545430003097029E-2</v>
      </c>
      <c r="L72" s="17">
        <f>Yard!L$11*$B$51*LAFs!$I$38/LAFs!C$78*(1-Contrib!L$120)*C36/(24*Input!$F$14)*100</f>
        <v>2.2742544341205199E-2</v>
      </c>
      <c r="M72" s="17">
        <f>Yard!M$11*$B$51*LAFs!$I$38/LAFs!D$78*(1-Contrib!M$120)*D36/(24*Input!$F$14)*100</f>
        <v>2.0977377350612954E-2</v>
      </c>
      <c r="N72" s="17">
        <f>Yard!N$11*$B$51*LAFs!$I$38/LAFs!E$78*(1-Contrib!N$120)*E36/(24*Input!$F$14)*100</f>
        <v>3.1974677773419287E-2</v>
      </c>
      <c r="O72" s="17">
        <f>Yard!O$11*$B$51*LAFs!$I$38/LAFs!F$78*(1-Contrib!O$120)*F36/(24*Input!$F$14)*100</f>
        <v>3.9594329336976895E-2</v>
      </c>
      <c r="P72" s="17">
        <f>Yard!P$11*$B$51*LAFs!$I$38/LAFs!G$78*(1-Contrib!P$120)*G36/(24*Input!$F$14)*100</f>
        <v>0</v>
      </c>
      <c r="Q72" s="17">
        <f>Yard!Q$11*$B$51*LAFs!$I$38/LAFs!H$78*(1-Contrib!Q$120)*H36/(24*Input!$F$14)*100</f>
        <v>5.7521161072427773E-2</v>
      </c>
      <c r="R72" s="17">
        <f>Yard!R$11*$B$51*LAFs!$I$38/LAFs!I$78*(1-Contrib!R$120)*I36/(24*Input!$F$14)*100</f>
        <v>0</v>
      </c>
      <c r="S72" s="17">
        <f>Yard!S$11*$B$51*LAFs!$I$38/LAFs!J$78*(1-Contrib!S$120)*J36/(24*Input!$F$14)*100</f>
        <v>0</v>
      </c>
      <c r="T72" s="6"/>
    </row>
    <row r="73" spans="1:20" x14ac:dyDescent="0.2">
      <c r="A73" s="5" t="s">
        <v>76</v>
      </c>
      <c r="B73" s="17">
        <f>Yard!B$11*$B$52*LAFs!$I$39/LAFs!B$78*(1-Contrib!B$121)*B37/(24*Input!$F$14)*100</f>
        <v>0</v>
      </c>
      <c r="C73" s="17">
        <f>Yard!C$11*$B$52*LAFs!$I$39/LAFs!C$78*(1-Contrib!C$121)*C37/(24*Input!$F$14)*100</f>
        <v>6.8885960399815788E-2</v>
      </c>
      <c r="D73" s="17">
        <f>Yard!D$11*$B$52*LAFs!$I$39/LAFs!D$78*(1-Contrib!D$121)*D37/(24*Input!$F$14)*100</f>
        <v>6.3539363221034331E-2</v>
      </c>
      <c r="E73" s="17">
        <f>Yard!E$11*$B$52*LAFs!$I$39/LAFs!E$78*(1-Contrib!E$121)*E37/(24*Input!$F$14)*100</f>
        <v>9.6849602834715554E-2</v>
      </c>
      <c r="F73" s="17">
        <f>Yard!F$11*$B$52*LAFs!$I$39/LAFs!F$78*(1-Contrib!F$121)*F37/(24*Input!$F$14)*100</f>
        <v>5.156952298708712E-2</v>
      </c>
      <c r="G73" s="17">
        <f>Yard!G$11*$B$52*LAFs!$I$39/LAFs!G$78*(1-Contrib!G$121)*G37/(24*Input!$F$14)*100</f>
        <v>0</v>
      </c>
      <c r="H73" s="17">
        <f>Yard!H$11*$B$52*LAFs!$I$39/LAFs!H$78*(1-Contrib!H$121)*H37/(24*Input!$F$14)*100</f>
        <v>1.5680569103901032E-2</v>
      </c>
      <c r="I73" s="17">
        <f>Yard!I$11*$B$52*LAFs!$I$39/LAFs!I$78*(1-Contrib!I$121)*I37/(24*Input!$F$14)*100</f>
        <v>0</v>
      </c>
      <c r="J73" s="17">
        <f>Yard!J$11*$B$52*LAFs!$I$39/LAFs!J$78*(1-Contrib!J$121)*J37/(24*Input!$F$14)*100</f>
        <v>0</v>
      </c>
      <c r="K73" s="17">
        <f>Yard!K$11*$B$52*LAFs!$I$39/LAFs!B$78*(1-Contrib!K$121)*B37/(24*Input!$F$14)*100</f>
        <v>4.7545430003097029E-2</v>
      </c>
      <c r="L73" s="17">
        <f>Yard!L$11*$B$52*LAFs!$I$39/LAFs!C$78*(1-Contrib!L$121)*C37/(24*Input!$F$14)*100</f>
        <v>2.2742544341205199E-2</v>
      </c>
      <c r="M73" s="17">
        <f>Yard!M$11*$B$52*LAFs!$I$39/LAFs!D$78*(1-Contrib!M$121)*D37/(24*Input!$F$14)*100</f>
        <v>2.0977377350612954E-2</v>
      </c>
      <c r="N73" s="17">
        <f>Yard!N$11*$B$52*LAFs!$I$39/LAFs!E$78*(1-Contrib!N$121)*E37/(24*Input!$F$14)*100</f>
        <v>3.1974677773419287E-2</v>
      </c>
      <c r="O73" s="17">
        <f>Yard!O$11*$B$52*LAFs!$I$39/LAFs!F$78*(1-Contrib!O$121)*F37/(24*Input!$F$14)*100</f>
        <v>3.9594329336976895E-2</v>
      </c>
      <c r="P73" s="17">
        <f>Yard!P$11*$B$52*LAFs!$I$39/LAFs!G$78*(1-Contrib!P$121)*G37/(24*Input!$F$14)*100</f>
        <v>0</v>
      </c>
      <c r="Q73" s="17">
        <f>Yard!Q$11*$B$52*LAFs!$I$39/LAFs!H$78*(1-Contrib!Q$121)*H37/(24*Input!$F$14)*100</f>
        <v>5.7521161072427773E-2</v>
      </c>
      <c r="R73" s="17">
        <f>Yard!R$11*$B$52*LAFs!$I$39/LAFs!I$78*(1-Contrib!R$121)*I37/(24*Input!$F$14)*100</f>
        <v>0</v>
      </c>
      <c r="S73" s="17">
        <f>Yard!S$11*$B$52*LAFs!$I$39/LAFs!J$78*(1-Contrib!S$121)*J37/(24*Input!$F$14)*100</f>
        <v>0</v>
      </c>
      <c r="T73" s="6"/>
    </row>
    <row r="74" spans="1:20" x14ac:dyDescent="0.2">
      <c r="A74" s="5" t="s">
        <v>77</v>
      </c>
      <c r="B74" s="17">
        <f>Yard!B$11*$B$53*LAFs!$I$40/LAFs!B$78*(1-Contrib!B$122)*B38/(24*Input!$F$14)*100</f>
        <v>0</v>
      </c>
      <c r="C74" s="17">
        <f>Yard!C$11*$B$53*LAFs!$I$40/LAFs!C$78*(1-Contrib!C$122)*C38/(24*Input!$F$14)*100</f>
        <v>6.8090357392310702E-2</v>
      </c>
      <c r="D74" s="17">
        <f>Yard!D$11*$B$53*LAFs!$I$40/LAFs!D$78*(1-Contrib!D$122)*D38/(24*Input!$F$14)*100</f>
        <v>6.2805511095286093E-2</v>
      </c>
      <c r="E74" s="17">
        <f>Yard!E$11*$B$53*LAFs!$I$40/LAFs!E$78*(1-Contrib!E$122)*E38/(24*Input!$F$14)*100</f>
        <v>4.1164343703405909E-2</v>
      </c>
      <c r="F74" s="17">
        <f>Yard!F$11*$B$53*LAFs!$I$40/LAFs!F$78*(1-Contrib!F$122)*F38/(24*Input!$F$14)*100</f>
        <v>0</v>
      </c>
      <c r="G74" s="17">
        <f>Yard!G$11*$B$53*LAFs!$I$40/LAFs!G$78*(1-Contrib!G$122)*G38/(24*Input!$F$14)*100</f>
        <v>0</v>
      </c>
      <c r="H74" s="17">
        <f>Yard!H$11*$B$53*LAFs!$I$40/LAFs!H$78*(1-Contrib!H$122)*H38/(24*Input!$F$14)*100</f>
        <v>0</v>
      </c>
      <c r="I74" s="17">
        <f>Yard!I$11*$B$53*LAFs!$I$40/LAFs!I$78*(1-Contrib!I$122)*I38/(24*Input!$F$14)*100</f>
        <v>0</v>
      </c>
      <c r="J74" s="17">
        <f>Yard!J$11*$B$53*LAFs!$I$40/LAFs!J$78*(1-Contrib!J$122)*J38/(24*Input!$F$14)*100</f>
        <v>0</v>
      </c>
      <c r="K74" s="17">
        <f>Yard!K$11*$B$53*LAFs!$I$40/LAFs!B$78*(1-Contrib!K$122)*B38/(24*Input!$F$14)*100</f>
        <v>4.699630087890342E-2</v>
      </c>
      <c r="L74" s="17">
        <f>Yard!L$11*$B$53*LAFs!$I$40/LAFs!C$78*(1-Contrib!L$122)*C38/(24*Input!$F$14)*100</f>
        <v>2.2479877804059422E-2</v>
      </c>
      <c r="M74" s="17">
        <f>Yard!M$11*$B$53*LAFs!$I$40/LAFs!D$78*(1-Contrib!M$122)*D38/(24*Input!$F$14)*100</f>
        <v>2.0735097727699232E-2</v>
      </c>
      <c r="N74" s="17">
        <f>Yard!N$11*$B$53*LAFs!$I$40/LAFs!E$78*(1-Contrib!N$122)*E38/(24*Input!$F$14)*100</f>
        <v>3.1605384093649283E-2</v>
      </c>
      <c r="O74" s="17">
        <f>Yard!O$11*$B$53*LAFs!$I$40/LAFs!F$78*(1-Contrib!O$122)*F38/(24*Input!$F$14)*100</f>
        <v>0</v>
      </c>
      <c r="P74" s="17">
        <f>Yard!P$11*$B$53*LAFs!$I$40/LAFs!G$78*(1-Contrib!P$122)*G38/(24*Input!$F$14)*100</f>
        <v>0</v>
      </c>
      <c r="Q74" s="17">
        <f>Yard!Q$11*$B$53*LAFs!$I$40/LAFs!H$78*(1-Contrib!Q$122)*H38/(24*Input!$F$14)*100</f>
        <v>0</v>
      </c>
      <c r="R74" s="17">
        <f>Yard!R$11*$B$53*LAFs!$I$40/LAFs!I$78*(1-Contrib!R$122)*I38/(24*Input!$F$14)*100</f>
        <v>0</v>
      </c>
      <c r="S74" s="17">
        <f>Yard!S$11*$B$53*LAFs!$I$40/LAFs!J$78*(1-Contrib!S$122)*J38/(24*Input!$F$14)*100</f>
        <v>0</v>
      </c>
      <c r="T74" s="6"/>
    </row>
    <row r="75" spans="1:20" x14ac:dyDescent="0.2">
      <c r="A75" s="5" t="s">
        <v>78</v>
      </c>
      <c r="B75" s="17">
        <f>Yard!B$11*$B$54*LAFs!$I$41/LAFs!B$78*(1-Contrib!B$123)*B39/(24*Input!$F$14)*100</f>
        <v>0</v>
      </c>
      <c r="C75" s="17">
        <f>Yard!C$11*$B$54*LAFs!$I$41/LAFs!C$78*(1-Contrib!C$123)*C39/(24*Input!$F$14)*100</f>
        <v>6.8090357392310702E-2</v>
      </c>
      <c r="D75" s="17">
        <f>Yard!D$11*$B$54*LAFs!$I$41/LAFs!D$78*(1-Contrib!D$123)*D39/(24*Input!$F$14)*100</f>
        <v>6.2805511095286093E-2</v>
      </c>
      <c r="E75" s="17">
        <f>Yard!E$11*$B$54*LAFs!$I$41/LAFs!E$78*(1-Contrib!E$123)*E39/(24*Input!$F$14)*100</f>
        <v>4.1164343703405909E-2</v>
      </c>
      <c r="F75" s="17">
        <f>Yard!F$11*$B$54*LAFs!$I$41/LAFs!F$78*(1-Contrib!F$123)*F39/(24*Input!$F$14)*100</f>
        <v>0</v>
      </c>
      <c r="G75" s="17">
        <f>Yard!G$11*$B$54*LAFs!$I$41/LAFs!G$78*(1-Contrib!G$123)*G39/(24*Input!$F$14)*100</f>
        <v>0</v>
      </c>
      <c r="H75" s="17">
        <f>Yard!H$11*$B$54*LAFs!$I$41/LAFs!H$78*(1-Contrib!H$123)*H39/(24*Input!$F$14)*100</f>
        <v>0</v>
      </c>
      <c r="I75" s="17">
        <f>Yard!I$11*$B$54*LAFs!$I$41/LAFs!I$78*(1-Contrib!I$123)*I39/(24*Input!$F$14)*100</f>
        <v>0</v>
      </c>
      <c r="J75" s="17">
        <f>Yard!J$11*$B$54*LAFs!$I$41/LAFs!J$78*(1-Contrib!J$123)*J39/(24*Input!$F$14)*100</f>
        <v>0</v>
      </c>
      <c r="K75" s="17">
        <f>Yard!K$11*$B$54*LAFs!$I$41/LAFs!B$78*(1-Contrib!K$123)*B39/(24*Input!$F$14)*100</f>
        <v>4.699630087890342E-2</v>
      </c>
      <c r="L75" s="17">
        <f>Yard!L$11*$B$54*LAFs!$I$41/LAFs!C$78*(1-Contrib!L$123)*C39/(24*Input!$F$14)*100</f>
        <v>2.2479877804059422E-2</v>
      </c>
      <c r="M75" s="17">
        <f>Yard!M$11*$B$54*LAFs!$I$41/LAFs!D$78*(1-Contrib!M$123)*D39/(24*Input!$F$14)*100</f>
        <v>2.0735097727699232E-2</v>
      </c>
      <c r="N75" s="17">
        <f>Yard!N$11*$B$54*LAFs!$I$41/LAFs!E$78*(1-Contrib!N$123)*E39/(24*Input!$F$14)*100</f>
        <v>3.1605384093649283E-2</v>
      </c>
      <c r="O75" s="17">
        <f>Yard!O$11*$B$54*LAFs!$I$41/LAFs!F$78*(1-Contrib!O$123)*F39/(24*Input!$F$14)*100</f>
        <v>0</v>
      </c>
      <c r="P75" s="17">
        <f>Yard!P$11*$B$54*LAFs!$I$41/LAFs!G$78*(1-Contrib!P$123)*G39/(24*Input!$F$14)*100</f>
        <v>0</v>
      </c>
      <c r="Q75" s="17">
        <f>Yard!Q$11*$B$54*LAFs!$I$41/LAFs!H$78*(1-Contrib!Q$123)*H39/(24*Input!$F$14)*100</f>
        <v>0</v>
      </c>
      <c r="R75" s="17">
        <f>Yard!R$11*$B$54*LAFs!$I$41/LAFs!I$78*(1-Contrib!R$123)*I39/(24*Input!$F$14)*100</f>
        <v>0</v>
      </c>
      <c r="S75" s="17">
        <f>Yard!S$11*$B$54*LAFs!$I$41/LAFs!J$78*(1-Contrib!S$123)*J39/(24*Input!$F$14)*100</f>
        <v>0</v>
      </c>
      <c r="T75" s="6"/>
    </row>
    <row r="77" spans="1:20" ht="16.5" x14ac:dyDescent="0.25">
      <c r="A77" s="3" t="s">
        <v>910</v>
      </c>
    </row>
    <row r="78" spans="1:20" x14ac:dyDescent="0.2">
      <c r="A78" s="10" t="s">
        <v>238</v>
      </c>
    </row>
    <row r="79" spans="1:20" x14ac:dyDescent="0.2">
      <c r="A79" s="11" t="s">
        <v>911</v>
      </c>
    </row>
    <row r="80" spans="1:20" x14ac:dyDescent="0.2">
      <c r="A80" s="11" t="s">
        <v>895</v>
      </c>
    </row>
    <row r="81" spans="1:20" x14ac:dyDescent="0.2">
      <c r="A81" s="11" t="s">
        <v>853</v>
      </c>
    </row>
    <row r="82" spans="1:20" x14ac:dyDescent="0.2">
      <c r="A82" s="10" t="s">
        <v>896</v>
      </c>
    </row>
    <row r="84" spans="1:20" ht="25.5" x14ac:dyDescent="0.2">
      <c r="B84" s="4" t="s">
        <v>21</v>
      </c>
      <c r="C84" s="4" t="s">
        <v>191</v>
      </c>
      <c r="D84" s="4" t="s">
        <v>192</v>
      </c>
      <c r="E84" s="4" t="s">
        <v>193</v>
      </c>
      <c r="F84" s="4" t="s">
        <v>194</v>
      </c>
      <c r="G84" s="4" t="s">
        <v>195</v>
      </c>
      <c r="H84" s="4" t="s">
        <v>196</v>
      </c>
      <c r="I84" s="4" t="s">
        <v>197</v>
      </c>
      <c r="J84" s="4" t="s">
        <v>198</v>
      </c>
      <c r="K84" s="4" t="s">
        <v>179</v>
      </c>
      <c r="L84" s="4" t="s">
        <v>699</v>
      </c>
      <c r="M84" s="4" t="s">
        <v>700</v>
      </c>
      <c r="N84" s="4" t="s">
        <v>701</v>
      </c>
      <c r="O84" s="4" t="s">
        <v>702</v>
      </c>
      <c r="P84" s="4" t="s">
        <v>703</v>
      </c>
      <c r="Q84" s="4" t="s">
        <v>704</v>
      </c>
      <c r="R84" s="4" t="s">
        <v>705</v>
      </c>
      <c r="S84" s="4" t="s">
        <v>706</v>
      </c>
    </row>
    <row r="85" spans="1:20" x14ac:dyDescent="0.2">
      <c r="A85" s="5" t="s">
        <v>63</v>
      </c>
      <c r="B85" s="17">
        <f>B68*Input!B$328*Input!$E$14</f>
        <v>0</v>
      </c>
      <c r="C85" s="17">
        <f>C68*Input!C$328*Input!$E$14</f>
        <v>1.7478514412919074E-2</v>
      </c>
      <c r="D85" s="17">
        <f>D68*Input!D$328*Input!$E$14</f>
        <v>1.601847329576293E-2</v>
      </c>
      <c r="E85" s="17">
        <f>E68*Input!E$328*Input!$E$14</f>
        <v>2.4416089461210731E-2</v>
      </c>
      <c r="F85" s="17">
        <f>F68*Input!F$328*Input!$E$14</f>
        <v>3.1776431485714317E-2</v>
      </c>
      <c r="G85" s="17">
        <f>G68*Input!G$328*Input!$E$14</f>
        <v>0</v>
      </c>
      <c r="H85" s="17">
        <f>H68*Input!H$328*Input!$E$14</f>
        <v>3.2314527991330978E-2</v>
      </c>
      <c r="I85" s="17">
        <f>I68*Input!I$328*Input!$E$14</f>
        <v>2.7931145619686803E-2</v>
      </c>
      <c r="J85" s="17">
        <f>J68*Input!J$328*Input!$E$14</f>
        <v>7.1170382598340716E-4</v>
      </c>
      <c r="K85" s="17">
        <f>K68*Input!B$328*Input!$E$14</f>
        <v>1.2063756950680311E-2</v>
      </c>
      <c r="L85" s="17">
        <f>L68*Input!C$328*Input!$E$14</f>
        <v>5.7704920820886062E-3</v>
      </c>
      <c r="M85" s="17">
        <f>M68*Input!D$328*Input!$E$14</f>
        <v>5.2884628027669066E-3</v>
      </c>
      <c r="N85" s="17">
        <f>N68*Input!E$328*Input!$E$14</f>
        <v>8.0609168252505463E-3</v>
      </c>
      <c r="O85" s="17">
        <f>O68*Input!F$328*Input!$E$14</f>
        <v>1.0490917131367447E-2</v>
      </c>
      <c r="P85" s="17">
        <f>P68*Input!G$328*Input!$E$14</f>
        <v>0</v>
      </c>
      <c r="Q85" s="17">
        <f>Q68*Input!H$328*Input!$E$14</f>
        <v>1.5240812111630362E-2</v>
      </c>
      <c r="R85" s="17">
        <f>R68*Input!I$328*Input!$E$14</f>
        <v>1.3173435260030252E-2</v>
      </c>
      <c r="S85" s="17">
        <f>S68*Input!J$328*Input!$E$14</f>
        <v>7.832247057934269E-3</v>
      </c>
      <c r="T85" s="6"/>
    </row>
    <row r="86" spans="1:20" x14ac:dyDescent="0.2">
      <c r="A86" s="5" t="s">
        <v>64</v>
      </c>
      <c r="B86" s="17">
        <f>B69*Input!B$328*Input!$E$14</f>
        <v>0</v>
      </c>
      <c r="C86" s="17">
        <f>C69*Input!C$328*Input!$E$14</f>
        <v>1.7478514412919074E-2</v>
      </c>
      <c r="D86" s="17">
        <f>D69*Input!D$328*Input!$E$14</f>
        <v>1.601847329576293E-2</v>
      </c>
      <c r="E86" s="17">
        <f>E69*Input!E$328*Input!$E$14</f>
        <v>2.4416089461210731E-2</v>
      </c>
      <c r="F86" s="17">
        <f>F69*Input!F$328*Input!$E$14</f>
        <v>3.1776431485714317E-2</v>
      </c>
      <c r="G86" s="17">
        <f>G69*Input!G$328*Input!$E$14</f>
        <v>0</v>
      </c>
      <c r="H86" s="17">
        <f>H69*Input!H$328*Input!$E$14</f>
        <v>3.2314527991330978E-2</v>
      </c>
      <c r="I86" s="17">
        <f>I69*Input!I$328*Input!$E$14</f>
        <v>2.7931145619686803E-2</v>
      </c>
      <c r="J86" s="17">
        <f>J69*Input!J$328*Input!$E$14</f>
        <v>7.1170382598340716E-4</v>
      </c>
      <c r="K86" s="17">
        <f>K69*Input!B$328*Input!$E$14</f>
        <v>1.2063756950680311E-2</v>
      </c>
      <c r="L86" s="17">
        <f>L69*Input!C$328*Input!$E$14</f>
        <v>5.7704920820886062E-3</v>
      </c>
      <c r="M86" s="17">
        <f>M69*Input!D$328*Input!$E$14</f>
        <v>5.2884628027669066E-3</v>
      </c>
      <c r="N86" s="17">
        <f>N69*Input!E$328*Input!$E$14</f>
        <v>8.0609168252505463E-3</v>
      </c>
      <c r="O86" s="17">
        <f>O69*Input!F$328*Input!$E$14</f>
        <v>1.0490917131367447E-2</v>
      </c>
      <c r="P86" s="17">
        <f>P69*Input!G$328*Input!$E$14</f>
        <v>0</v>
      </c>
      <c r="Q86" s="17">
        <f>Q69*Input!H$328*Input!$E$14</f>
        <v>1.5240812111630362E-2</v>
      </c>
      <c r="R86" s="17">
        <f>R69*Input!I$328*Input!$E$14</f>
        <v>1.3173435260030252E-2</v>
      </c>
      <c r="S86" s="17">
        <f>S69*Input!J$328*Input!$E$14</f>
        <v>7.832247057934269E-3</v>
      </c>
      <c r="T86" s="6"/>
    </row>
    <row r="87" spans="1:20" x14ac:dyDescent="0.2">
      <c r="A87" s="5" t="s">
        <v>65</v>
      </c>
      <c r="B87" s="17">
        <f>B70*Input!B$328*Input!$E$14</f>
        <v>0</v>
      </c>
      <c r="C87" s="17">
        <f>C70*Input!C$328*Input!$E$14</f>
        <v>1.6685478368775736E-2</v>
      </c>
      <c r="D87" s="17">
        <f>D70*Input!D$328*Input!$E$14</f>
        <v>1.5291682311381673E-2</v>
      </c>
      <c r="E87" s="17">
        <f>E70*Input!E$328*Input!$E$14</f>
        <v>2.3308281409431655E-2</v>
      </c>
      <c r="F87" s="17">
        <f>F70*Input!F$328*Input!$E$14</f>
        <v>3.0334669621571202E-2</v>
      </c>
      <c r="G87" s="17">
        <f>G70*Input!G$328*Input!$E$14</f>
        <v>0</v>
      </c>
      <c r="H87" s="17">
        <f>H70*Input!H$328*Input!$E$14</f>
        <v>3.0848351585190725E-2</v>
      </c>
      <c r="I87" s="17">
        <f>I70*Input!I$328*Input!$E$14</f>
        <v>1.1427365254826503E-3</v>
      </c>
      <c r="J87" s="17">
        <f>J70*Input!J$328*Input!$E$14</f>
        <v>0</v>
      </c>
      <c r="K87" s="17">
        <f>K70*Input!B$328*Input!$E$14</f>
        <v>1.1516399557273764E-2</v>
      </c>
      <c r="L87" s="17">
        <f>L70*Input!C$328*Input!$E$14</f>
        <v>5.5086730221027341E-3</v>
      </c>
      <c r="M87" s="17">
        <f>M70*Input!D$328*Input!$E$14</f>
        <v>5.0485143997375543E-3</v>
      </c>
      <c r="N87" s="17">
        <f>N70*Input!E$328*Input!$E$14</f>
        <v>7.6951764974261113E-3</v>
      </c>
      <c r="O87" s="17">
        <f>O70*Input!F$328*Input!$E$14</f>
        <v>1.0014922706169287E-2</v>
      </c>
      <c r="P87" s="17">
        <f>P70*Input!G$328*Input!$E$14</f>
        <v>0</v>
      </c>
      <c r="Q87" s="17">
        <f>Q70*Input!H$328*Input!$E$14</f>
        <v>1.4549305210013741E-2</v>
      </c>
      <c r="R87" s="17">
        <f>R70*Input!I$328*Input!$E$14</f>
        <v>1.257572948598169E-2</v>
      </c>
      <c r="S87" s="17">
        <f>S70*Input!J$328*Input!$E$14</f>
        <v>0</v>
      </c>
      <c r="T87" s="6"/>
    </row>
    <row r="88" spans="1:20" x14ac:dyDescent="0.2">
      <c r="A88" s="5" t="s">
        <v>66</v>
      </c>
      <c r="B88" s="17">
        <f>B71*Input!B$328*Input!$E$14</f>
        <v>0</v>
      </c>
      <c r="C88" s="17">
        <f>C71*Input!C$328*Input!$E$14</f>
        <v>1.6685478368775736E-2</v>
      </c>
      <c r="D88" s="17">
        <f>D71*Input!D$328*Input!$E$14</f>
        <v>1.5291682311381673E-2</v>
      </c>
      <c r="E88" s="17">
        <f>E71*Input!E$328*Input!$E$14</f>
        <v>2.3308281409431655E-2</v>
      </c>
      <c r="F88" s="17">
        <f>F71*Input!F$328*Input!$E$14</f>
        <v>3.0334669621571202E-2</v>
      </c>
      <c r="G88" s="17">
        <f>G71*Input!G$328*Input!$E$14</f>
        <v>0</v>
      </c>
      <c r="H88" s="17">
        <f>H71*Input!H$328*Input!$E$14</f>
        <v>3.0848351585190725E-2</v>
      </c>
      <c r="I88" s="17">
        <f>I71*Input!I$328*Input!$E$14</f>
        <v>1.1427365254826503E-3</v>
      </c>
      <c r="J88" s="17">
        <f>J71*Input!J$328*Input!$E$14</f>
        <v>0</v>
      </c>
      <c r="K88" s="17">
        <f>K71*Input!B$328*Input!$E$14</f>
        <v>1.1516399557273764E-2</v>
      </c>
      <c r="L88" s="17">
        <f>L71*Input!C$328*Input!$E$14</f>
        <v>5.5086730221027341E-3</v>
      </c>
      <c r="M88" s="17">
        <f>M71*Input!D$328*Input!$E$14</f>
        <v>5.0485143997375543E-3</v>
      </c>
      <c r="N88" s="17">
        <f>N71*Input!E$328*Input!$E$14</f>
        <v>7.6951764974261113E-3</v>
      </c>
      <c r="O88" s="17">
        <f>O71*Input!F$328*Input!$E$14</f>
        <v>1.0014922706169287E-2</v>
      </c>
      <c r="P88" s="17">
        <f>P71*Input!G$328*Input!$E$14</f>
        <v>0</v>
      </c>
      <c r="Q88" s="17">
        <f>Q71*Input!H$328*Input!$E$14</f>
        <v>1.4549305210013741E-2</v>
      </c>
      <c r="R88" s="17">
        <f>R71*Input!I$328*Input!$E$14</f>
        <v>1.257572948598169E-2</v>
      </c>
      <c r="S88" s="17">
        <f>S71*Input!J$328*Input!$E$14</f>
        <v>0</v>
      </c>
      <c r="T88" s="6"/>
    </row>
    <row r="89" spans="1:20" x14ac:dyDescent="0.2">
      <c r="A89" s="5" t="s">
        <v>75</v>
      </c>
      <c r="B89" s="17">
        <f>B72*Input!B$328*Input!$E$14</f>
        <v>0</v>
      </c>
      <c r="C89" s="17">
        <f>C72*Input!C$328*Input!$E$14</f>
        <v>1.6479288997298471E-2</v>
      </c>
      <c r="D89" s="17">
        <f>D72*Input!D$328*Input!$E$14</f>
        <v>1.5102716655442543E-2</v>
      </c>
      <c r="E89" s="17">
        <f>E72*Input!E$328*Input!$E$14</f>
        <v>2.3020251315969097E-2</v>
      </c>
      <c r="F89" s="17">
        <f>F72*Input!F$328*Input!$E$14</f>
        <v>1.2882718960864415E-2</v>
      </c>
      <c r="G89" s="17">
        <f>G72*Input!G$328*Input!$E$14</f>
        <v>0</v>
      </c>
      <c r="H89" s="17">
        <f>H72*Input!H$328*Input!$E$14</f>
        <v>3.917204449662118E-3</v>
      </c>
      <c r="I89" s="17">
        <f>I72*Input!I$328*Input!$E$14</f>
        <v>0</v>
      </c>
      <c r="J89" s="17">
        <f>J72*Input!J$328*Input!$E$14</f>
        <v>0</v>
      </c>
      <c r="K89" s="17">
        <f>K72*Input!B$328*Input!$E$14</f>
        <v>1.1374086634988059E-2</v>
      </c>
      <c r="L89" s="17">
        <f>L72*Input!C$328*Input!$E$14</f>
        <v>5.4406000665064066E-3</v>
      </c>
      <c r="M89" s="17">
        <f>M72*Input!D$328*Input!$E$14</f>
        <v>4.9861278149499226E-3</v>
      </c>
      <c r="N89" s="17">
        <f>N72*Input!E$328*Input!$E$14</f>
        <v>7.6000840121917563E-3</v>
      </c>
      <c r="O89" s="17">
        <f>O72*Input!F$328*Input!$E$14</f>
        <v>9.8911641556177644E-3</v>
      </c>
      <c r="P89" s="17">
        <f>P72*Input!G$328*Input!$E$14</f>
        <v>0</v>
      </c>
      <c r="Q89" s="17">
        <f>Q72*Input!H$328*Input!$E$14</f>
        <v>1.4369513415593414E-2</v>
      </c>
      <c r="R89" s="17">
        <f>R72*Input!I$328*Input!$E$14</f>
        <v>0</v>
      </c>
      <c r="S89" s="17">
        <f>S72*Input!J$328*Input!$E$14</f>
        <v>0</v>
      </c>
      <c r="T89" s="6"/>
    </row>
    <row r="90" spans="1:20" x14ac:dyDescent="0.2">
      <c r="A90" s="5" t="s">
        <v>76</v>
      </c>
      <c r="B90" s="17">
        <f>B73*Input!B$328*Input!$E$14</f>
        <v>0</v>
      </c>
      <c r="C90" s="17">
        <f>C73*Input!C$328*Input!$E$14</f>
        <v>1.6479288997298471E-2</v>
      </c>
      <c r="D90" s="17">
        <f>D73*Input!D$328*Input!$E$14</f>
        <v>1.5102716655442543E-2</v>
      </c>
      <c r="E90" s="17">
        <f>E73*Input!E$328*Input!$E$14</f>
        <v>2.3020251315969097E-2</v>
      </c>
      <c r="F90" s="17">
        <f>F73*Input!F$328*Input!$E$14</f>
        <v>1.2882718960864415E-2</v>
      </c>
      <c r="G90" s="17">
        <f>G73*Input!G$328*Input!$E$14</f>
        <v>0</v>
      </c>
      <c r="H90" s="17">
        <f>H73*Input!H$328*Input!$E$14</f>
        <v>3.917204449662118E-3</v>
      </c>
      <c r="I90" s="17">
        <f>I73*Input!I$328*Input!$E$14</f>
        <v>0</v>
      </c>
      <c r="J90" s="17">
        <f>J73*Input!J$328*Input!$E$14</f>
        <v>0</v>
      </c>
      <c r="K90" s="17">
        <f>K73*Input!B$328*Input!$E$14</f>
        <v>1.1374086634988059E-2</v>
      </c>
      <c r="L90" s="17">
        <f>L73*Input!C$328*Input!$E$14</f>
        <v>5.4406000665064066E-3</v>
      </c>
      <c r="M90" s="17">
        <f>M73*Input!D$328*Input!$E$14</f>
        <v>4.9861278149499226E-3</v>
      </c>
      <c r="N90" s="17">
        <f>N73*Input!E$328*Input!$E$14</f>
        <v>7.6000840121917563E-3</v>
      </c>
      <c r="O90" s="17">
        <f>O73*Input!F$328*Input!$E$14</f>
        <v>9.8911641556177644E-3</v>
      </c>
      <c r="P90" s="17">
        <f>P73*Input!G$328*Input!$E$14</f>
        <v>0</v>
      </c>
      <c r="Q90" s="17">
        <f>Q73*Input!H$328*Input!$E$14</f>
        <v>1.4369513415593414E-2</v>
      </c>
      <c r="R90" s="17">
        <f>R73*Input!I$328*Input!$E$14</f>
        <v>0</v>
      </c>
      <c r="S90" s="17">
        <f>S73*Input!J$328*Input!$E$14</f>
        <v>0</v>
      </c>
      <c r="T90" s="6"/>
    </row>
    <row r="91" spans="1:20" x14ac:dyDescent="0.2">
      <c r="A91" s="5" t="s">
        <v>77</v>
      </c>
      <c r="B91" s="17">
        <f>B74*Input!B$328*Input!$E$14</f>
        <v>0</v>
      </c>
      <c r="C91" s="17">
        <f>C74*Input!C$328*Input!$E$14</f>
        <v>1.628896034670407E-2</v>
      </c>
      <c r="D91" s="17">
        <f>D74*Input!D$328*Input!$E$14</f>
        <v>1.4928286819191039E-2</v>
      </c>
      <c r="E91" s="17">
        <f>E74*Input!E$328*Input!$E$14</f>
        <v>9.7843822749231115E-3</v>
      </c>
      <c r="F91" s="17">
        <f>F74*Input!F$328*Input!$E$14</f>
        <v>0</v>
      </c>
      <c r="G91" s="17">
        <f>G74*Input!G$328*Input!$E$14</f>
        <v>0</v>
      </c>
      <c r="H91" s="17">
        <f>H74*Input!H$328*Input!$E$14</f>
        <v>0</v>
      </c>
      <c r="I91" s="17">
        <f>I74*Input!I$328*Input!$E$14</f>
        <v>0</v>
      </c>
      <c r="J91" s="17">
        <f>J74*Input!J$328*Input!$E$14</f>
        <v>0</v>
      </c>
      <c r="K91" s="17">
        <f>K74*Input!B$328*Input!$E$14</f>
        <v>1.1242720860570488E-2</v>
      </c>
      <c r="L91" s="17">
        <f>L74*Input!C$328*Input!$E$14</f>
        <v>5.3777634921097972E-3</v>
      </c>
      <c r="M91" s="17">
        <f>M74*Input!D$328*Input!$E$14</f>
        <v>4.9285401982228786E-3</v>
      </c>
      <c r="N91" s="17">
        <f>N74*Input!E$328*Input!$E$14</f>
        <v>7.5123063335138926E-3</v>
      </c>
      <c r="O91" s="17">
        <f>O74*Input!F$328*Input!$E$14</f>
        <v>0</v>
      </c>
      <c r="P91" s="17">
        <f>P74*Input!G$328*Input!$E$14</f>
        <v>0</v>
      </c>
      <c r="Q91" s="17">
        <f>Q74*Input!H$328*Input!$E$14</f>
        <v>0</v>
      </c>
      <c r="R91" s="17">
        <f>R74*Input!I$328*Input!$E$14</f>
        <v>0</v>
      </c>
      <c r="S91" s="17">
        <f>S74*Input!J$328*Input!$E$14</f>
        <v>0</v>
      </c>
      <c r="T91" s="6"/>
    </row>
    <row r="92" spans="1:20" x14ac:dyDescent="0.2">
      <c r="A92" s="5" t="s">
        <v>78</v>
      </c>
      <c r="B92" s="17">
        <f>B75*Input!B$328*Input!$E$14</f>
        <v>0</v>
      </c>
      <c r="C92" s="17">
        <f>C75*Input!C$328*Input!$E$14</f>
        <v>1.628896034670407E-2</v>
      </c>
      <c r="D92" s="17">
        <f>D75*Input!D$328*Input!$E$14</f>
        <v>1.4928286819191039E-2</v>
      </c>
      <c r="E92" s="17">
        <f>E75*Input!E$328*Input!$E$14</f>
        <v>9.7843822749231115E-3</v>
      </c>
      <c r="F92" s="17">
        <f>F75*Input!F$328*Input!$E$14</f>
        <v>0</v>
      </c>
      <c r="G92" s="17">
        <f>G75*Input!G$328*Input!$E$14</f>
        <v>0</v>
      </c>
      <c r="H92" s="17">
        <f>H75*Input!H$328*Input!$E$14</f>
        <v>0</v>
      </c>
      <c r="I92" s="17">
        <f>I75*Input!I$328*Input!$E$14</f>
        <v>0</v>
      </c>
      <c r="J92" s="17">
        <f>J75*Input!J$328*Input!$E$14</f>
        <v>0</v>
      </c>
      <c r="K92" s="17">
        <f>K75*Input!B$328*Input!$E$14</f>
        <v>1.1242720860570488E-2</v>
      </c>
      <c r="L92" s="17">
        <f>L75*Input!C$328*Input!$E$14</f>
        <v>5.3777634921097972E-3</v>
      </c>
      <c r="M92" s="17">
        <f>M75*Input!D$328*Input!$E$14</f>
        <v>4.9285401982228786E-3</v>
      </c>
      <c r="N92" s="17">
        <f>N75*Input!E$328*Input!$E$14</f>
        <v>7.5123063335138926E-3</v>
      </c>
      <c r="O92" s="17">
        <f>O75*Input!F$328*Input!$E$14</f>
        <v>0</v>
      </c>
      <c r="P92" s="17">
        <f>P75*Input!G$328*Input!$E$14</f>
        <v>0</v>
      </c>
      <c r="Q92" s="17">
        <f>Q75*Input!H$328*Input!$E$14</f>
        <v>0</v>
      </c>
      <c r="R92" s="17">
        <f>R75*Input!I$328*Input!$E$14</f>
        <v>0</v>
      </c>
      <c r="S92" s="17">
        <f>S75*Input!J$328*Input!$E$14</f>
        <v>0</v>
      </c>
      <c r="T92" s="6"/>
    </row>
  </sheetData>
  <sheetProtection sheet="1" objects="1"/>
  <hyperlinks>
    <hyperlink ref="A5" location="'Standing'!B54" display="'Standing'!B54"/>
    <hyperlink ref="A16" location="'Reactive'!B9" display="'Reactive'!B9"/>
    <hyperlink ref="A17" location="'Input'!B328" display="'Input'!B328"/>
    <hyperlink ref="A18" location="'Input'!E14" display="'Input'!E14"/>
    <hyperlink ref="A43" location="'Loads'!B45" display="'Loads'!B45"/>
    <hyperlink ref="A58" location="'Yard'!B11" display="'Yard'!B11"/>
    <hyperlink ref="A59" location="'Reactive'!B47" display="'Reactive'!B47"/>
    <hyperlink ref="A60" location="'LAFs'!I14" display="'LAFs'!I14"/>
    <hyperlink ref="A61" location="'LAFs'!B78" display="'LAFs'!B78"/>
    <hyperlink ref="A62" location="'Contrib'!B96" display="'Contrib'!B96"/>
    <hyperlink ref="A63" location="'Reactive'!B32" display="'Reactive'!B32"/>
    <hyperlink ref="A64" location="'Input'!F14" display="'Input'!F14"/>
    <hyperlink ref="A79" location="'Reactive'!B68" display="'Reactive'!B68"/>
    <hyperlink ref="A80" location="'Input'!B328" display="'Input'!B328"/>
    <hyperlink ref="A81" location="'Input'!E14" display="'Input'!E14"/>
  </hyperlinks>
  <pageMargins left="0.75" right="0.75" top="1" bottom="1" header="0.5" footer="0.5"/>
  <pageSetup paperSize="9" scale="36" fitToHeight="0" orientation="landscape" blackAndWhite="1" r:id="rId1"/>
  <headerFooter alignWithMargins="0">
    <oddHeader>&amp;L&amp;A&amp;Cr6140&amp;R&amp;P of &amp;N</oddHeader>
    <oddFooter>&amp;F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72"/>
  <sheetViews>
    <sheetView showGridLines="0" workbookViewId="0">
      <pane xSplit="1" ySplit="1" topLeftCell="B2" activePane="bottomRight" state="frozen"/>
      <selection pane="topRight"/>
      <selection pane="bottomLeft"/>
      <selection pane="bottomRight"/>
    </sheetView>
  </sheetViews>
  <sheetFormatPr defaultRowHeight="12.75" x14ac:dyDescent="0.2"/>
  <cols>
    <col min="1" max="1" width="50.7109375" customWidth="1"/>
    <col min="2" max="251" width="16.7109375" customWidth="1"/>
  </cols>
  <sheetData>
    <row r="1" spans="1:24" ht="19.5" x14ac:dyDescent="0.3">
      <c r="A1" s="15" t="str">
        <f>"r6140: Aggregation"&amp;" for "&amp;Input!B7&amp;" in "&amp;Input!C7&amp;" ("&amp;Input!D7&amp;")"</f>
        <v>r6140: Aggregation for Electricity North West  in 2013/14 (April 2013 Indicative)</v>
      </c>
    </row>
    <row r="2" spans="1:24" x14ac:dyDescent="0.2">
      <c r="A2" s="10" t="s">
        <v>912</v>
      </c>
    </row>
    <row r="4" spans="1:24" ht="16.5" x14ac:dyDescent="0.25">
      <c r="A4" s="3" t="s">
        <v>913</v>
      </c>
    </row>
    <row r="5" spans="1:24" x14ac:dyDescent="0.2">
      <c r="A5" s="10" t="s">
        <v>238</v>
      </c>
    </row>
    <row r="6" spans="1:24" x14ac:dyDescent="0.2">
      <c r="A6" s="11" t="s">
        <v>914</v>
      </c>
    </row>
    <row r="7" spans="1:24" x14ac:dyDescent="0.2">
      <c r="A7" s="11" t="s">
        <v>915</v>
      </c>
    </row>
    <row r="8" spans="1:24" x14ac:dyDescent="0.2">
      <c r="A8" s="11" t="s">
        <v>916</v>
      </c>
    </row>
    <row r="9" spans="1:24" x14ac:dyDescent="0.2">
      <c r="A9" s="11" t="s">
        <v>917</v>
      </c>
    </row>
    <row r="10" spans="1:24" x14ac:dyDescent="0.2">
      <c r="A10" s="11" t="s">
        <v>918</v>
      </c>
    </row>
    <row r="11" spans="1:24" x14ac:dyDescent="0.2">
      <c r="A11" s="11" t="s">
        <v>919</v>
      </c>
    </row>
    <row r="12" spans="1:24" x14ac:dyDescent="0.2">
      <c r="A12" s="11" t="s">
        <v>920</v>
      </c>
    </row>
    <row r="13" spans="1:24" x14ac:dyDescent="0.2">
      <c r="A13" s="10" t="s">
        <v>921</v>
      </c>
    </row>
    <row r="15" spans="1:24" ht="25.5" x14ac:dyDescent="0.2">
      <c r="B15" s="4" t="s">
        <v>21</v>
      </c>
      <c r="C15" s="4" t="s">
        <v>191</v>
      </c>
      <c r="D15" s="4" t="s">
        <v>192</v>
      </c>
      <c r="E15" s="4" t="s">
        <v>193</v>
      </c>
      <c r="F15" s="4" t="s">
        <v>194</v>
      </c>
      <c r="G15" s="4" t="s">
        <v>195</v>
      </c>
      <c r="H15" s="4" t="s">
        <v>196</v>
      </c>
      <c r="I15" s="4" t="s">
        <v>197</v>
      </c>
      <c r="J15" s="4" t="s">
        <v>198</v>
      </c>
      <c r="K15" s="4" t="s">
        <v>350</v>
      </c>
      <c r="L15" s="4" t="s">
        <v>362</v>
      </c>
      <c r="M15" s="4" t="s">
        <v>179</v>
      </c>
      <c r="N15" s="4" t="s">
        <v>699</v>
      </c>
      <c r="O15" s="4" t="s">
        <v>700</v>
      </c>
      <c r="P15" s="4" t="s">
        <v>701</v>
      </c>
      <c r="Q15" s="4" t="s">
        <v>702</v>
      </c>
      <c r="R15" s="4" t="s">
        <v>703</v>
      </c>
      <c r="S15" s="4" t="s">
        <v>704</v>
      </c>
      <c r="T15" s="4" t="s">
        <v>705</v>
      </c>
      <c r="U15" s="4" t="s">
        <v>706</v>
      </c>
      <c r="V15" s="4" t="s">
        <v>707</v>
      </c>
      <c r="W15" s="4" t="s">
        <v>708</v>
      </c>
    </row>
    <row r="16" spans="1:24" x14ac:dyDescent="0.2">
      <c r="A16" s="5" t="s">
        <v>53</v>
      </c>
      <c r="B16" s="20">
        <f>Standing!$B$54</f>
        <v>0</v>
      </c>
      <c r="C16" s="20">
        <f>Standing!$C$54</f>
        <v>0.1596023052588541</v>
      </c>
      <c r="D16" s="20">
        <f>Standing!$D$54</f>
        <v>0.14721474137687782</v>
      </c>
      <c r="E16" s="20">
        <f>Standing!$E$54</f>
        <v>0.22439144037638167</v>
      </c>
      <c r="F16" s="20">
        <f>Standing!$F$54</f>
        <v>0.27786452309605153</v>
      </c>
      <c r="G16" s="20">
        <f>Standing!$G$54</f>
        <v>0</v>
      </c>
      <c r="H16" s="20">
        <f>Standing!$H$54</f>
        <v>0.282569832091495</v>
      </c>
      <c r="I16" s="20">
        <f>Standing!$I$54</f>
        <v>0.24423996321392402</v>
      </c>
      <c r="J16" s="20">
        <f>Standing!$J$54</f>
        <v>0</v>
      </c>
      <c r="K16" s="21"/>
      <c r="L16" s="21"/>
      <c r="M16" s="20">
        <f>Standing!$K$54</f>
        <v>0.11015829915086825</v>
      </c>
      <c r="N16" s="20">
        <f>Standing!$L$54</f>
        <v>5.2692340837535351E-2</v>
      </c>
      <c r="O16" s="20">
        <f>Standing!$M$54</f>
        <v>4.8602614582283633E-2</v>
      </c>
      <c r="P16" s="20">
        <f>Standing!$N$54</f>
        <v>7.4082327558873784E-2</v>
      </c>
      <c r="Q16" s="20">
        <f>Standing!$O$54</f>
        <v>9.173634512289805E-2</v>
      </c>
      <c r="R16" s="20">
        <f>Standing!$P$54</f>
        <v>0</v>
      </c>
      <c r="S16" s="20">
        <f>Standing!$Q$54</f>
        <v>0.13327113181033451</v>
      </c>
      <c r="T16" s="20">
        <f>Standing!$R$54</f>
        <v>0.1151932465327527</v>
      </c>
      <c r="U16" s="20">
        <f>Standing!$S$54</f>
        <v>0</v>
      </c>
      <c r="V16" s="21"/>
      <c r="W16" s="21"/>
      <c r="X16" s="6"/>
    </row>
    <row r="17" spans="1:24" x14ac:dyDescent="0.2">
      <c r="A17" s="5" t="s">
        <v>54</v>
      </c>
      <c r="B17" s="20">
        <f>Standing!$B$83</f>
        <v>0</v>
      </c>
      <c r="C17" s="20">
        <f>Standing!$C$83</f>
        <v>0.16529444634571611</v>
      </c>
      <c r="D17" s="20">
        <f>Standing!$D$83</f>
        <v>0.15246508582913382</v>
      </c>
      <c r="E17" s="20">
        <f>Standing!$E$83</f>
        <v>0.22816994207353558</v>
      </c>
      <c r="F17" s="20">
        <f>Standing!$F$83</f>
        <v>0.2825434518926947</v>
      </c>
      <c r="G17" s="20">
        <f>Standing!$G$83</f>
        <v>0</v>
      </c>
      <c r="H17" s="20">
        <f>Standing!$H$83</f>
        <v>0.28732799304599183</v>
      </c>
      <c r="I17" s="20">
        <f>Standing!$I$83</f>
        <v>0.24835269190789144</v>
      </c>
      <c r="J17" s="20">
        <f>Standing!$J$83</f>
        <v>0</v>
      </c>
      <c r="K17" s="21"/>
      <c r="L17" s="21"/>
      <c r="M17" s="20">
        <f>Standing!$K$83</f>
        <v>0.11720896106632113</v>
      </c>
      <c r="N17" s="20">
        <f>Standing!$L$83</f>
        <v>5.4571588369441759E-2</v>
      </c>
      <c r="O17" s="20">
        <f>Standing!$M$83</f>
        <v>5.033600395246874E-2</v>
      </c>
      <c r="P17" s="20">
        <f>Standing!$N$83</f>
        <v>7.5329791365607232E-2</v>
      </c>
      <c r="Q17" s="20">
        <f>Standing!$O$83</f>
        <v>9.32810829041439E-2</v>
      </c>
      <c r="R17" s="20">
        <f>Standing!$P$83</f>
        <v>0</v>
      </c>
      <c r="S17" s="20">
        <f>Standing!$Q$83</f>
        <v>0.13551526909508266</v>
      </c>
      <c r="T17" s="20">
        <f>Standing!$R$83</f>
        <v>0.11713297238323346</v>
      </c>
      <c r="U17" s="20">
        <f>Standing!$S$83</f>
        <v>0</v>
      </c>
      <c r="V17" s="21"/>
      <c r="W17" s="21"/>
      <c r="X17" s="6"/>
    </row>
    <row r="18" spans="1:24" x14ac:dyDescent="0.2">
      <c r="A18" s="5" t="s">
        <v>94</v>
      </c>
      <c r="B18" s="20">
        <f>Standing!$B$84</f>
        <v>0</v>
      </c>
      <c r="C18" s="20">
        <f>Standing!$C$84</f>
        <v>1.6947965445974874E-2</v>
      </c>
      <c r="D18" s="20">
        <f>Standing!$D$84</f>
        <v>1.5632545820355816E-2</v>
      </c>
      <c r="E18" s="20">
        <f>Standing!$E$84</f>
        <v>2.6221277940571736E-2</v>
      </c>
      <c r="F18" s="20">
        <f>Standing!$F$84</f>
        <v>3.246987887641755E-2</v>
      </c>
      <c r="G18" s="20">
        <f>Standing!$G$84</f>
        <v>0</v>
      </c>
      <c r="H18" s="20">
        <f>Standing!$H$84</f>
        <v>3.3019718098265066E-2</v>
      </c>
      <c r="I18" s="20">
        <f>Standing!$I$84</f>
        <v>2.8540678507545256E-2</v>
      </c>
      <c r="J18" s="20">
        <f>Standing!$J$84</f>
        <v>0</v>
      </c>
      <c r="K18" s="21"/>
      <c r="L18" s="21"/>
      <c r="M18" s="20">
        <f>Standing!$K$84</f>
        <v>9.7990256225616024E-3</v>
      </c>
      <c r="N18" s="20">
        <f>Standing!$L$84</f>
        <v>5.5953325381717083E-3</v>
      </c>
      <c r="O18" s="20">
        <f>Standing!$M$84</f>
        <v>5.1610497178509965E-3</v>
      </c>
      <c r="P18" s="20">
        <f>Standing!$N$84</f>
        <v>8.6568957271605813E-3</v>
      </c>
      <c r="Q18" s="20">
        <f>Standing!$O$84</f>
        <v>1.0719857222204931E-2</v>
      </c>
      <c r="R18" s="20">
        <f>Standing!$P$84</f>
        <v>0</v>
      </c>
      <c r="S18" s="20">
        <f>Standing!$Q$84</f>
        <v>1.5573407714624976E-2</v>
      </c>
      <c r="T18" s="20">
        <f>Standing!$R$84</f>
        <v>1.3460915127358105E-2</v>
      </c>
      <c r="U18" s="20">
        <f>Standing!$S$84</f>
        <v>0</v>
      </c>
      <c r="V18" s="21"/>
      <c r="W18" s="21"/>
      <c r="X18" s="6"/>
    </row>
    <row r="19" spans="1:24" x14ac:dyDescent="0.2">
      <c r="A19" s="5" t="s">
        <v>55</v>
      </c>
      <c r="B19" s="20">
        <f>Standing!$B$57</f>
        <v>0</v>
      </c>
      <c r="C19" s="20">
        <f>Standing!$C$57</f>
        <v>0.13333301791768717</v>
      </c>
      <c r="D19" s="20">
        <f>Standing!$D$57</f>
        <v>0.12298434986835514</v>
      </c>
      <c r="E19" s="20">
        <f>Standing!$E$57</f>
        <v>0.18745836967552165</v>
      </c>
      <c r="F19" s="20">
        <f>Standing!$F$57</f>
        <v>0.23213020248402785</v>
      </c>
      <c r="G19" s="20">
        <f>Standing!$G$57</f>
        <v>0</v>
      </c>
      <c r="H19" s="20">
        <f>Standing!$H$57</f>
        <v>0.23606105453268844</v>
      </c>
      <c r="I19" s="20">
        <f>Standing!$I$57</f>
        <v>0.20403998136869517</v>
      </c>
      <c r="J19" s="20">
        <f>Standing!$J$57</f>
        <v>0</v>
      </c>
      <c r="K19" s="21"/>
      <c r="L19" s="21"/>
      <c r="M19" s="20">
        <f>Standing!$K$57</f>
        <v>9.2027107319302595E-2</v>
      </c>
      <c r="N19" s="20">
        <f>Standing!$L$57</f>
        <v>4.4019594915131882E-2</v>
      </c>
      <c r="O19" s="20">
        <f>Standing!$M$57</f>
        <v>4.0603005516968022E-2</v>
      </c>
      <c r="P19" s="20">
        <f>Standing!$N$57</f>
        <v>6.1888957629848002E-2</v>
      </c>
      <c r="Q19" s="20">
        <f>Standing!$O$57</f>
        <v>7.6637262401295689E-2</v>
      </c>
      <c r="R19" s="20">
        <f>Standing!$P$57</f>
        <v>0</v>
      </c>
      <c r="S19" s="20">
        <f>Standing!$Q$57</f>
        <v>0.11133574904671997</v>
      </c>
      <c r="T19" s="20">
        <f>Standing!$R$57</f>
        <v>9.6233341862059424E-2</v>
      </c>
      <c r="U19" s="20">
        <f>Standing!$S$57</f>
        <v>0</v>
      </c>
      <c r="V19" s="21"/>
      <c r="W19" s="21"/>
      <c r="X19" s="6"/>
    </row>
    <row r="20" spans="1:24" x14ac:dyDescent="0.2">
      <c r="A20" s="5" t="s">
        <v>56</v>
      </c>
      <c r="B20" s="20">
        <f>Standing!$B$85</f>
        <v>0</v>
      </c>
      <c r="C20" s="20">
        <f>Standing!$C$85</f>
        <v>0.14106834501229454</v>
      </c>
      <c r="D20" s="20">
        <f>Standing!$D$85</f>
        <v>0.13011929805003253</v>
      </c>
      <c r="E20" s="20">
        <f>Standing!$E$85</f>
        <v>0.19930540880265485</v>
      </c>
      <c r="F20" s="20">
        <f>Standing!$F$85</f>
        <v>0.24680042284376857</v>
      </c>
      <c r="G20" s="20">
        <f>Standing!$G$85</f>
        <v>0</v>
      </c>
      <c r="H20" s="20">
        <f>Standing!$H$85</f>
        <v>0.25097969782549984</v>
      </c>
      <c r="I20" s="20">
        <f>Standing!$I$85</f>
        <v>0.21693494917919404</v>
      </c>
      <c r="J20" s="20">
        <f>Standing!$J$85</f>
        <v>0</v>
      </c>
      <c r="K20" s="21"/>
      <c r="L20" s="21"/>
      <c r="M20" s="20">
        <f>Standing!$K$85</f>
        <v>9.6860846789876637E-2</v>
      </c>
      <c r="N20" s="20">
        <f>Standing!$L$85</f>
        <v>4.6573395695752258E-2</v>
      </c>
      <c r="O20" s="20">
        <f>Standing!$M$85</f>
        <v>4.2958592554619791E-2</v>
      </c>
      <c r="P20" s="20">
        <f>Standing!$N$85</f>
        <v>6.5800230857324712E-2</v>
      </c>
      <c r="Q20" s="20">
        <f>Standing!$O$85</f>
        <v>8.1480602540421429E-2</v>
      </c>
      <c r="R20" s="20">
        <f>Standing!$P$85</f>
        <v>0</v>
      </c>
      <c r="S20" s="20">
        <f>Standing!$Q$85</f>
        <v>0.11837197248922762</v>
      </c>
      <c r="T20" s="20">
        <f>Standing!$R$85</f>
        <v>0.10231511974345255</v>
      </c>
      <c r="U20" s="20">
        <f>Standing!$S$85</f>
        <v>0</v>
      </c>
      <c r="V20" s="21"/>
      <c r="W20" s="21"/>
      <c r="X20" s="6"/>
    </row>
    <row r="21" spans="1:24" x14ac:dyDescent="0.2">
      <c r="A21" s="5" t="s">
        <v>95</v>
      </c>
      <c r="B21" s="20">
        <f>Standing!$B$86</f>
        <v>0</v>
      </c>
      <c r="C21" s="20">
        <f>Standing!$C$86</f>
        <v>1.4049979950417417E-2</v>
      </c>
      <c r="D21" s="20">
        <f>Standing!$D$86</f>
        <v>1.2959488031181014E-2</v>
      </c>
      <c r="E21" s="20">
        <f>Standing!$E$86</f>
        <v>2.1718648198677061E-2</v>
      </c>
      <c r="F21" s="20">
        <f>Standing!$F$86</f>
        <v>2.6894260377730152E-2</v>
      </c>
      <c r="G21" s="20">
        <f>Standing!$G$86</f>
        <v>0</v>
      </c>
      <c r="H21" s="20">
        <f>Standing!$H$86</f>
        <v>2.7349683055915622E-2</v>
      </c>
      <c r="I21" s="20">
        <f>Standing!$I$86</f>
        <v>2.3639769093702804E-2</v>
      </c>
      <c r="J21" s="20">
        <f>Standing!$J$86</f>
        <v>0</v>
      </c>
      <c r="K21" s="21"/>
      <c r="L21" s="21"/>
      <c r="M21" s="20">
        <f>Standing!$K$86</f>
        <v>8.0823707543766794E-3</v>
      </c>
      <c r="N21" s="20">
        <f>Standing!$L$86</f>
        <v>4.6385691679529323E-3</v>
      </c>
      <c r="O21" s="20">
        <f>Standing!$M$86</f>
        <v>4.2785457222026414E-3</v>
      </c>
      <c r="P21" s="20">
        <f>Standing!$N$86</f>
        <v>7.1703626809095089E-3</v>
      </c>
      <c r="Q21" s="20">
        <f>Standing!$O$86</f>
        <v>8.8790793597773778E-3</v>
      </c>
      <c r="R21" s="20">
        <f>Standing!$P$86</f>
        <v>0</v>
      </c>
      <c r="S21" s="20">
        <f>Standing!$Q$86</f>
        <v>1.2899194470043753E-2</v>
      </c>
      <c r="T21" s="20">
        <f>Standing!$R$86</f>
        <v>1.1149452011680492E-2</v>
      </c>
      <c r="U21" s="20">
        <f>Standing!$S$86</f>
        <v>0</v>
      </c>
      <c r="V21" s="21"/>
      <c r="W21" s="21"/>
      <c r="X21" s="6"/>
    </row>
    <row r="22" spans="1:24" x14ac:dyDescent="0.2">
      <c r="A22" s="5" t="s">
        <v>57</v>
      </c>
      <c r="B22" s="20">
        <f>Standing!$B$87</f>
        <v>0</v>
      </c>
      <c r="C22" s="20">
        <f>Standing!$C$87</f>
        <v>0.1352227986222434</v>
      </c>
      <c r="D22" s="20">
        <f>Standing!$D$87</f>
        <v>0.12472745487695168</v>
      </c>
      <c r="E22" s="20">
        <f>Standing!$E$87</f>
        <v>0.19058072689170874</v>
      </c>
      <c r="F22" s="20">
        <f>Standing!$F$87</f>
        <v>0.23599662580818004</v>
      </c>
      <c r="G22" s="20">
        <f>Standing!$G$87</f>
        <v>0</v>
      </c>
      <c r="H22" s="20">
        <f>Standing!$H$87</f>
        <v>0.23999295118983255</v>
      </c>
      <c r="I22" s="20">
        <f>Standing!$I$87</f>
        <v>0.20743852638602339</v>
      </c>
      <c r="J22" s="20">
        <f>Standing!$J$87</f>
        <v>0</v>
      </c>
      <c r="K22" s="21"/>
      <c r="L22" s="21"/>
      <c r="M22" s="20">
        <f>Standing!$K$87</f>
        <v>9.3196826279733205E-2</v>
      </c>
      <c r="N22" s="20">
        <f>Standing!$L$87</f>
        <v>4.4643501749254189E-2</v>
      </c>
      <c r="O22" s="20">
        <f>Standing!$M$87</f>
        <v>4.1178487701135837E-2</v>
      </c>
      <c r="P22" s="20">
        <f>Standing!$N$87</f>
        <v>6.2919796817195769E-2</v>
      </c>
      <c r="Q22" s="20">
        <f>Standing!$O$87</f>
        <v>7.7913753334731758E-2</v>
      </c>
      <c r="R22" s="20">
        <f>Standing!$P$87</f>
        <v>0</v>
      </c>
      <c r="S22" s="20">
        <f>Standing!$Q$87</f>
        <v>0.11319018734177902</v>
      </c>
      <c r="T22" s="20">
        <f>Standing!$R$87</f>
        <v>9.7836230385633494E-2</v>
      </c>
      <c r="U22" s="20">
        <f>Standing!$S$87</f>
        <v>0</v>
      </c>
      <c r="V22" s="21"/>
      <c r="W22" s="21"/>
      <c r="X22" s="6"/>
    </row>
    <row r="23" spans="1:24" x14ac:dyDescent="0.2">
      <c r="A23" s="5" t="s">
        <v>58</v>
      </c>
      <c r="B23" s="20">
        <f>Standing!$B$88</f>
        <v>0</v>
      </c>
      <c r="C23" s="20">
        <f>Standing!$C$88</f>
        <v>0.13062404868376987</v>
      </c>
      <c r="D23" s="20">
        <f>Standing!$D$88</f>
        <v>0.12048563780700838</v>
      </c>
      <c r="E23" s="20">
        <f>Standing!$E$88</f>
        <v>0.18423221782405896</v>
      </c>
      <c r="F23" s="20">
        <f>Standing!$F$88</f>
        <v>0.22813524998433138</v>
      </c>
      <c r="G23" s="20">
        <f>Standing!$G$88</f>
        <v>0</v>
      </c>
      <c r="H23" s="20">
        <f>Standing!$H$88</f>
        <v>0.23199845220953211</v>
      </c>
      <c r="I23" s="20">
        <f>Standing!$I$88</f>
        <v>0</v>
      </c>
      <c r="J23" s="20">
        <f>Standing!$J$88</f>
        <v>0</v>
      </c>
      <c r="K23" s="21"/>
      <c r="L23" s="21"/>
      <c r="M23" s="20">
        <f>Standing!$K$88</f>
        <v>8.9939203132984077E-2</v>
      </c>
      <c r="N23" s="20">
        <f>Standing!$L$88</f>
        <v>4.3125234837058705E-2</v>
      </c>
      <c r="O23" s="20">
        <f>Standing!$M$88</f>
        <v>3.9778061369840544E-2</v>
      </c>
      <c r="P23" s="20">
        <f>Standing!$N$88</f>
        <v>6.0823850877942315E-2</v>
      </c>
      <c r="Q23" s="20">
        <f>Standing!$O$88</f>
        <v>7.5318337850661138E-2</v>
      </c>
      <c r="R23" s="20">
        <f>Standing!$P$88</f>
        <v>0</v>
      </c>
      <c r="S23" s="20">
        <f>Standing!$Q$88</f>
        <v>0.1094196647793555</v>
      </c>
      <c r="T23" s="20">
        <f>Standing!$R$88</f>
        <v>0</v>
      </c>
      <c r="U23" s="20">
        <f>Standing!$S$88</f>
        <v>0</v>
      </c>
      <c r="V23" s="21"/>
      <c r="W23" s="21"/>
      <c r="X23" s="6"/>
    </row>
    <row r="24" spans="1:24" x14ac:dyDescent="0.2">
      <c r="A24" s="5" t="s">
        <v>72</v>
      </c>
      <c r="B24" s="20">
        <f>Standing!$B$89</f>
        <v>0</v>
      </c>
      <c r="C24" s="20">
        <f>Standing!$C$89</f>
        <v>0.13698372920211929</v>
      </c>
      <c r="D24" s="20">
        <f>Standing!$D$89</f>
        <v>0.12635171048828897</v>
      </c>
      <c r="E24" s="20">
        <f>Standing!$E$89</f>
        <v>0.15491082102260359</v>
      </c>
      <c r="F24" s="20">
        <f>Standing!$F$89</f>
        <v>0</v>
      </c>
      <c r="G24" s="20">
        <f>Standing!$G$89</f>
        <v>0</v>
      </c>
      <c r="H24" s="20">
        <f>Standing!$H$89</f>
        <v>0</v>
      </c>
      <c r="I24" s="20">
        <f>Standing!$I$89</f>
        <v>0</v>
      </c>
      <c r="J24" s="20">
        <f>Standing!$J$89</f>
        <v>0</v>
      </c>
      <c r="K24" s="21"/>
      <c r="L24" s="21"/>
      <c r="M24" s="20">
        <f>Standing!$K$89</f>
        <v>9.4014268889402841E-2</v>
      </c>
      <c r="N24" s="20">
        <f>Standing!$L$89</f>
        <v>4.5224869005545197E-2</v>
      </c>
      <c r="O24" s="20">
        <f>Standing!$M$89</f>
        <v>4.171473202505744E-2</v>
      </c>
      <c r="P24" s="20">
        <f>Standing!$N$89</f>
        <v>5.1143457906242473E-2</v>
      </c>
      <c r="Q24" s="20">
        <f>Standing!$O$89</f>
        <v>0</v>
      </c>
      <c r="R24" s="20">
        <f>Standing!$P$89</f>
        <v>0</v>
      </c>
      <c r="S24" s="20">
        <f>Standing!$Q$89</f>
        <v>0</v>
      </c>
      <c r="T24" s="20">
        <f>Standing!$R$89</f>
        <v>0</v>
      </c>
      <c r="U24" s="20">
        <f>Standing!$S$89</f>
        <v>0</v>
      </c>
      <c r="V24" s="21"/>
      <c r="W24" s="21"/>
      <c r="X24" s="6"/>
    </row>
    <row r="25" spans="1:24" x14ac:dyDescent="0.2">
      <c r="A25" s="5" t="s">
        <v>59</v>
      </c>
      <c r="B25" s="20">
        <f>Standing!$B$90</f>
        <v>0</v>
      </c>
      <c r="C25" s="20">
        <f>Standing!$C$90</f>
        <v>0.73783183893234017</v>
      </c>
      <c r="D25" s="20">
        <f>Standing!$D$90</f>
        <v>0.6805648776305806</v>
      </c>
      <c r="E25" s="20">
        <f>Standing!$E$90</f>
        <v>0.93511949657095617</v>
      </c>
      <c r="F25" s="20">
        <f>Standing!$F$90</f>
        <v>1.1579609833453239</v>
      </c>
      <c r="G25" s="20">
        <f>Standing!$G$90</f>
        <v>0</v>
      </c>
      <c r="H25" s="20">
        <f>Standing!$H$90</f>
        <v>0.94205575288726795</v>
      </c>
      <c r="I25" s="20">
        <f>Standing!$I$90</f>
        <v>0</v>
      </c>
      <c r="J25" s="20">
        <f>Standing!$J$90</f>
        <v>0</v>
      </c>
      <c r="K25" s="21"/>
      <c r="L25" s="21"/>
      <c r="M25" s="20">
        <f>Standing!$K$90</f>
        <v>0.58284576698462587</v>
      </c>
      <c r="N25" s="20">
        <f>Standing!$L$90</f>
        <v>0.24359351623871084</v>
      </c>
      <c r="O25" s="20">
        <f>Standing!$M$90</f>
        <v>0.22468695822409937</v>
      </c>
      <c r="P25" s="20">
        <f>Standing!$N$90</f>
        <v>0.30872759110356152</v>
      </c>
      <c r="Q25" s="20">
        <f>Standing!$O$90</f>
        <v>0.38229820497918232</v>
      </c>
      <c r="R25" s="20">
        <f>Standing!$P$90</f>
        <v>0</v>
      </c>
      <c r="S25" s="20">
        <f>Standing!$Q$90</f>
        <v>0.44431082924333831</v>
      </c>
      <c r="T25" s="20">
        <f>Standing!$R$90</f>
        <v>0</v>
      </c>
      <c r="U25" s="20">
        <f>Standing!$S$90</f>
        <v>0</v>
      </c>
      <c r="V25" s="21"/>
      <c r="W25" s="21"/>
      <c r="X25" s="6"/>
    </row>
    <row r="26" spans="1:24" x14ac:dyDescent="0.2">
      <c r="A26" s="5" t="s">
        <v>60</v>
      </c>
      <c r="B26" s="20">
        <f>Standing!$B$91</f>
        <v>0</v>
      </c>
      <c r="C26" s="20">
        <f>Standing!$C$91</f>
        <v>0.83930643242805658</v>
      </c>
      <c r="D26" s="20">
        <f>Standing!$D$91</f>
        <v>0.77416350086830465</v>
      </c>
      <c r="E26" s="20">
        <f>Standing!$E$91</f>
        <v>1.0637272168907606</v>
      </c>
      <c r="F26" s="20">
        <f>Standing!$F$91</f>
        <v>1.3172162687215931</v>
      </c>
      <c r="G26" s="20">
        <f>Standing!$G$91</f>
        <v>0</v>
      </c>
      <c r="H26" s="20">
        <f>Standing!$H$91</f>
        <v>0</v>
      </c>
      <c r="I26" s="20">
        <f>Standing!$I$91</f>
        <v>0</v>
      </c>
      <c r="J26" s="20">
        <f>Standing!$J$91</f>
        <v>0</v>
      </c>
      <c r="K26" s="21"/>
      <c r="L26" s="21"/>
      <c r="M26" s="20">
        <f>Standing!$K$91</f>
        <v>0.6630050040284583</v>
      </c>
      <c r="N26" s="20">
        <f>Standing!$L$91</f>
        <v>0.27709512423963917</v>
      </c>
      <c r="O26" s="20">
        <f>Standing!$M$91</f>
        <v>0.25558833242146617</v>
      </c>
      <c r="P26" s="20">
        <f>Standing!$N$91</f>
        <v>0.35118713968237864</v>
      </c>
      <c r="Q26" s="20">
        <f>Standing!$O$91</f>
        <v>0.43487597798575234</v>
      </c>
      <c r="R26" s="20">
        <f>Standing!$P$91</f>
        <v>0</v>
      </c>
      <c r="S26" s="20">
        <f>Standing!$Q$91</f>
        <v>0</v>
      </c>
      <c r="T26" s="20">
        <f>Standing!$R$91</f>
        <v>0</v>
      </c>
      <c r="U26" s="20">
        <f>Standing!$S$91</f>
        <v>0</v>
      </c>
      <c r="V26" s="21"/>
      <c r="W26" s="21"/>
      <c r="X26" s="6"/>
    </row>
    <row r="27" spans="1:24" x14ac:dyDescent="0.2">
      <c r="A27" s="5" t="s">
        <v>73</v>
      </c>
      <c r="B27" s="20">
        <f>Standing!$B$92</f>
        <v>0</v>
      </c>
      <c r="C27" s="20">
        <f>Standing!$C$92</f>
        <v>0.77850449373732833</v>
      </c>
      <c r="D27" s="20">
        <f>Standing!$D$92</f>
        <v>0.71808071644328586</v>
      </c>
      <c r="E27" s="20">
        <f>Standing!$E$92</f>
        <v>0.78933403721401141</v>
      </c>
      <c r="F27" s="20">
        <f>Standing!$F$92</f>
        <v>0</v>
      </c>
      <c r="G27" s="20">
        <f>Standing!$G$92</f>
        <v>0</v>
      </c>
      <c r="H27" s="20">
        <f>Standing!$H$92</f>
        <v>0</v>
      </c>
      <c r="I27" s="20">
        <f>Standing!$I$92</f>
        <v>0</v>
      </c>
      <c r="J27" s="20">
        <f>Standing!$J$92</f>
        <v>0</v>
      </c>
      <c r="K27" s="21"/>
      <c r="L27" s="21"/>
      <c r="M27" s="20">
        <f>Standing!$K$92</f>
        <v>0.61497488290813673</v>
      </c>
      <c r="N27" s="20">
        <f>Standing!$L$92</f>
        <v>0.25702150141897478</v>
      </c>
      <c r="O27" s="20">
        <f>Standing!$M$92</f>
        <v>0.2370727277298656</v>
      </c>
      <c r="P27" s="20">
        <f>Standing!$N$92</f>
        <v>0.26059685075407862</v>
      </c>
      <c r="Q27" s="20">
        <f>Standing!$O$92</f>
        <v>0</v>
      </c>
      <c r="R27" s="20">
        <f>Standing!$P$92</f>
        <v>0</v>
      </c>
      <c r="S27" s="20">
        <f>Standing!$Q$92</f>
        <v>0</v>
      </c>
      <c r="T27" s="20">
        <f>Standing!$R$92</f>
        <v>0</v>
      </c>
      <c r="U27" s="20">
        <f>Standing!$S$92</f>
        <v>0</v>
      </c>
      <c r="V27" s="21"/>
      <c r="W27" s="21"/>
      <c r="X27" s="6"/>
    </row>
    <row r="28" spans="1:24" x14ac:dyDescent="0.2">
      <c r="A28" s="5" t="s">
        <v>74</v>
      </c>
      <c r="B28" s="20">
        <f>Standing!$B$93</f>
        <v>0</v>
      </c>
      <c r="C28" s="20">
        <f>Standing!$C$93</f>
        <v>0.72183178144771754</v>
      </c>
      <c r="D28" s="20">
        <f>Standing!$D$93</f>
        <v>0.66580666771128372</v>
      </c>
      <c r="E28" s="20">
        <f>Standing!$E$93</f>
        <v>0</v>
      </c>
      <c r="F28" s="20">
        <f>Standing!$F$93</f>
        <v>0</v>
      </c>
      <c r="G28" s="20">
        <f>Standing!$G$93</f>
        <v>0</v>
      </c>
      <c r="H28" s="20">
        <f>Standing!$H$93</f>
        <v>0</v>
      </c>
      <c r="I28" s="20">
        <f>Standing!$I$93</f>
        <v>0</v>
      </c>
      <c r="J28" s="20">
        <f>Standing!$J$93</f>
        <v>0</v>
      </c>
      <c r="K28" s="21"/>
      <c r="L28" s="21"/>
      <c r="M28" s="20">
        <f>Standing!$K$93</f>
        <v>0.57020661903200132</v>
      </c>
      <c r="N28" s="20">
        <f>Standing!$L$93</f>
        <v>0.23831113337442489</v>
      </c>
      <c r="O28" s="20">
        <f>Standing!$M$93</f>
        <v>0.21981456853049028</v>
      </c>
      <c r="P28" s="20">
        <f>Standing!$N$93</f>
        <v>0</v>
      </c>
      <c r="Q28" s="20">
        <f>Standing!$O$93</f>
        <v>0</v>
      </c>
      <c r="R28" s="20">
        <f>Standing!$P$93</f>
        <v>0</v>
      </c>
      <c r="S28" s="20">
        <f>Standing!$Q$93</f>
        <v>0</v>
      </c>
      <c r="T28" s="20">
        <f>Standing!$R$93</f>
        <v>0</v>
      </c>
      <c r="U28" s="20">
        <f>Standing!$S$93</f>
        <v>0</v>
      </c>
      <c r="V28" s="21"/>
      <c r="W28" s="21"/>
      <c r="X28" s="6"/>
    </row>
    <row r="29" spans="1:24" x14ac:dyDescent="0.2">
      <c r="A29" s="5" t="s">
        <v>96</v>
      </c>
      <c r="B29" s="20">
        <f>Yard!$B$80</f>
        <v>0</v>
      </c>
      <c r="C29" s="20">
        <f>Yard!$C$80</f>
        <v>6.8383530034273901E-2</v>
      </c>
      <c r="D29" s="20">
        <f>Yard!$D$80</f>
        <v>6.3075929085774335E-2</v>
      </c>
      <c r="E29" s="20">
        <f>Yard!$E$80</f>
        <v>9.6143215334673349E-2</v>
      </c>
      <c r="F29" s="20">
        <f>Yard!$F$80</f>
        <v>0.11905440168787235</v>
      </c>
      <c r="G29" s="20">
        <f>Yard!$G$80</f>
        <v>0</v>
      </c>
      <c r="H29" s="20">
        <f>Yard!$H$80</f>
        <v>0.12107044800054047</v>
      </c>
      <c r="I29" s="20">
        <f>Yard!$I$80</f>
        <v>0.10464755401196045</v>
      </c>
      <c r="J29" s="20">
        <f>Yard!$J$80</f>
        <v>2.6664879981730099E-3</v>
      </c>
      <c r="K29" s="21"/>
      <c r="L29" s="21"/>
      <c r="M29" s="20">
        <f>Yard!$K$80</f>
        <v>4.7198650083971935E-2</v>
      </c>
      <c r="N29" s="20">
        <f>Yard!$L$80</f>
        <v>2.2576668090073845E-2</v>
      </c>
      <c r="O29" s="20">
        <f>Yard!$M$80</f>
        <v>2.0824375616889476E-2</v>
      </c>
      <c r="P29" s="20">
        <f>Yard!$N$80</f>
        <v>3.1741465534691093E-2</v>
      </c>
      <c r="Q29" s="20">
        <f>Yard!$O$80</f>
        <v>3.9305541995598464E-2</v>
      </c>
      <c r="R29" s="20">
        <f>Yard!$P$80</f>
        <v>0</v>
      </c>
      <c r="S29" s="20">
        <f>Yard!$Q$80</f>
        <v>5.7101621621772305E-2</v>
      </c>
      <c r="T29" s="20">
        <f>Yard!$R$80</f>
        <v>4.9355933933673629E-2</v>
      </c>
      <c r="U29" s="20">
        <f>Yard!$S$80</f>
        <v>2.9344499799266913E-2</v>
      </c>
      <c r="V29" s="20">
        <f>Otex!$B$157</f>
        <v>1.4498443118306583</v>
      </c>
      <c r="W29" s="21"/>
      <c r="X29" s="6"/>
    </row>
    <row r="30" spans="1:24" x14ac:dyDescent="0.2">
      <c r="A30" s="5" t="s">
        <v>97</v>
      </c>
      <c r="B30" s="20">
        <f>Yard!$B$81</f>
        <v>0</v>
      </c>
      <c r="C30" s="20">
        <f>Yard!$C$81</f>
        <v>9.2166799774346761E-2</v>
      </c>
      <c r="D30" s="20">
        <f>Yard!$D$81</f>
        <v>8.5013255731544154E-2</v>
      </c>
      <c r="E30" s="20">
        <f>Yard!$E$81</f>
        <v>0.1234435411933323</v>
      </c>
      <c r="F30" s="20">
        <f>Yard!$F$81</f>
        <v>0.15286046849843821</v>
      </c>
      <c r="G30" s="20">
        <f>Yard!$G$81</f>
        <v>0</v>
      </c>
      <c r="H30" s="20">
        <f>Yard!$H$81</f>
        <v>0.15544898080457659</v>
      </c>
      <c r="I30" s="20">
        <f>Yard!$I$81</f>
        <v>0.13436272751529346</v>
      </c>
      <c r="J30" s="20">
        <f>Yard!$J$81</f>
        <v>3.4236500193819356E-3</v>
      </c>
      <c r="K30" s="21"/>
      <c r="L30" s="21"/>
      <c r="M30" s="20">
        <f>Yard!$K$81</f>
        <v>7.0411786598146842E-2</v>
      </c>
      <c r="N30" s="20">
        <f>Yard!$L$81</f>
        <v>3.0428660912749175E-2</v>
      </c>
      <c r="O30" s="20">
        <f>Yard!$M$81</f>
        <v>2.8066934493520258E-2</v>
      </c>
      <c r="P30" s="20">
        <f>Yard!$N$81</f>
        <v>4.0754606496453197E-2</v>
      </c>
      <c r="Q30" s="20">
        <f>Yard!$O$81</f>
        <v>5.0466538648308211E-2</v>
      </c>
      <c r="R30" s="20">
        <f>Yard!$P$81</f>
        <v>0</v>
      </c>
      <c r="S30" s="20">
        <f>Yard!$Q$81</f>
        <v>7.331590020508931E-2</v>
      </c>
      <c r="T30" s="20">
        <f>Yard!$R$81</f>
        <v>6.3370787449414032E-2</v>
      </c>
      <c r="U30" s="20">
        <f>Yard!$S$81</f>
        <v>3.7677010875484501E-2</v>
      </c>
      <c r="V30" s="20">
        <f>Otex!$B$158</f>
        <v>1.4498443118306583</v>
      </c>
      <c r="W30" s="21"/>
      <c r="X30" s="6"/>
    </row>
    <row r="31" spans="1:24" x14ac:dyDescent="0.2">
      <c r="A31" s="5" t="s">
        <v>98</v>
      </c>
      <c r="B31" s="20">
        <f>Yard!$B$82</f>
        <v>0</v>
      </c>
      <c r="C31" s="20">
        <f>Yard!$C$82</f>
        <v>0.16664509724887627</v>
      </c>
      <c r="D31" s="20">
        <f>Yard!$D$82</f>
        <v>0.15371090570044887</v>
      </c>
      <c r="E31" s="20">
        <f>Yard!$E$82</f>
        <v>0.22180897365565044</v>
      </c>
      <c r="F31" s="20">
        <f>Yard!$F$82</f>
        <v>0.27466664762199705</v>
      </c>
      <c r="G31" s="20">
        <f>Yard!$G$82</f>
        <v>0</v>
      </c>
      <c r="H31" s="20">
        <f>Yard!$H$82</f>
        <v>0.2793178043562351</v>
      </c>
      <c r="I31" s="20">
        <f>Yard!$I$82</f>
        <v>0.24142906465284439</v>
      </c>
      <c r="J31" s="20">
        <f>Yard!$J$82</f>
        <v>6.1517701907621005E-3</v>
      </c>
      <c r="K31" s="21"/>
      <c r="L31" s="21"/>
      <c r="M31" s="20">
        <f>Yard!$K$82</f>
        <v>0.12869898732759896</v>
      </c>
      <c r="N31" s="20">
        <f>Yard!$L$82</f>
        <v>5.501750271652097E-2</v>
      </c>
      <c r="O31" s="20">
        <f>Yard!$M$82</f>
        <v>5.074730857100191E-2</v>
      </c>
      <c r="P31" s="20">
        <f>Yard!$N$82</f>
        <v>7.3229731999995981E-2</v>
      </c>
      <c r="Q31" s="20">
        <f>Yard!$O$82</f>
        <v>9.0680573753170124E-2</v>
      </c>
      <c r="R31" s="20">
        <f>Yard!$P$82</f>
        <v>0</v>
      </c>
      <c r="S31" s="20">
        <f>Yard!$Q$82</f>
        <v>0.13173734664385456</v>
      </c>
      <c r="T31" s="20">
        <f>Yard!$R$82</f>
        <v>0.11386751536794162</v>
      </c>
      <c r="U31" s="20">
        <f>Yard!$S$82</f>
        <v>6.7699768103828523E-2</v>
      </c>
      <c r="V31" s="20">
        <f>Otex!$B$159</f>
        <v>1.4498443118306583</v>
      </c>
      <c r="W31" s="21"/>
      <c r="X31" s="6"/>
    </row>
    <row r="32" spans="1:24" x14ac:dyDescent="0.2">
      <c r="A32" s="5" t="s">
        <v>99</v>
      </c>
      <c r="B32" s="20">
        <f>Yard!$B$83</f>
        <v>0</v>
      </c>
      <c r="C32" s="20">
        <f>Yard!$C$83</f>
        <v>5.4210912122901266E-2</v>
      </c>
      <c r="D32" s="20">
        <f>Yard!$D$83</f>
        <v>5.0003321662766671E-2</v>
      </c>
      <c r="E32" s="20">
        <f>Yard!$E$83</f>
        <v>8.0732080888853641E-2</v>
      </c>
      <c r="F32" s="20">
        <f>Yard!$F$83</f>
        <v>9.9970752525613354E-2</v>
      </c>
      <c r="G32" s="20">
        <f>Yard!$G$83</f>
        <v>0</v>
      </c>
      <c r="H32" s="20">
        <f>Yard!$H$83</f>
        <v>0.10166363967759209</v>
      </c>
      <c r="I32" s="20">
        <f>Yard!$I$83</f>
        <v>8.7873229181127777E-2</v>
      </c>
      <c r="J32" s="20">
        <f>Yard!$J$83</f>
        <v>2.2390672499177887E-3</v>
      </c>
      <c r="K32" s="21"/>
      <c r="L32" s="21"/>
      <c r="M32" s="20">
        <f>Yard!$K$83</f>
        <v>3.2406405502906334E-2</v>
      </c>
      <c r="N32" s="20">
        <f>Yard!$L$83</f>
        <v>1.7897610276121769E-2</v>
      </c>
      <c r="O32" s="20">
        <f>Yard!$M$83</f>
        <v>1.6508483782800811E-2</v>
      </c>
      <c r="P32" s="20">
        <f>Yard!$N$83</f>
        <v>2.6653514282388206E-2</v>
      </c>
      <c r="Q32" s="20">
        <f>Yard!$O$83</f>
        <v>3.3005118299018352E-2</v>
      </c>
      <c r="R32" s="20">
        <f>Yard!$P$83</f>
        <v>0</v>
      </c>
      <c r="S32" s="20">
        <f>Yard!$Q$83</f>
        <v>4.7948601673103164E-2</v>
      </c>
      <c r="T32" s="20">
        <f>Yard!$R$83</f>
        <v>4.1444497532227176E-2</v>
      </c>
      <c r="U32" s="20">
        <f>Yard!$S$83</f>
        <v>2.4640766622904781E-2</v>
      </c>
      <c r="V32" s="20">
        <f>Otex!$B$160</f>
        <v>1.4498443118306583</v>
      </c>
      <c r="W32" s="21"/>
      <c r="X32" s="6"/>
    </row>
    <row r="33" spans="1:24" x14ac:dyDescent="0.2">
      <c r="A33" s="5" t="s">
        <v>100</v>
      </c>
      <c r="B33" s="20">
        <f>Yard!$B$84</f>
        <v>0</v>
      </c>
      <c r="C33" s="20">
        <f>Yard!$C$84</f>
        <v>2.1711707173295904</v>
      </c>
      <c r="D33" s="20">
        <f>Yard!$D$84</f>
        <v>2.00265488094505</v>
      </c>
      <c r="E33" s="20">
        <f>Yard!$E$84</f>
        <v>2.833170628369444</v>
      </c>
      <c r="F33" s="20">
        <f>Yard!$F$84</f>
        <v>3.5083227960083856</v>
      </c>
      <c r="G33" s="20">
        <f>Yard!$G$84</f>
        <v>0</v>
      </c>
      <c r="H33" s="20">
        <f>Yard!$H$84</f>
        <v>3.567732117598069</v>
      </c>
      <c r="I33" s="20">
        <f>Yard!$I$84</f>
        <v>3.0837784582649204</v>
      </c>
      <c r="J33" s="20">
        <f>Yard!$J$84</f>
        <v>7.8576688443650261E-2</v>
      </c>
      <c r="K33" s="21"/>
      <c r="L33" s="21"/>
      <c r="M33" s="20">
        <f>Yard!$K$84</f>
        <v>1.7378147809429405</v>
      </c>
      <c r="N33" s="20">
        <f>Yard!$L$84</f>
        <v>0.71680711170467415</v>
      </c>
      <c r="O33" s="20">
        <f>Yard!$M$84</f>
        <v>0.66117198868502114</v>
      </c>
      <c r="P33" s="20">
        <f>Yard!$N$84</f>
        <v>0.93536488811244856</v>
      </c>
      <c r="Q33" s="20">
        <f>Yard!$O$84</f>
        <v>1.1582648523500165</v>
      </c>
      <c r="R33" s="20">
        <f>Yard!$P$84</f>
        <v>0</v>
      </c>
      <c r="S33" s="20">
        <f>Yard!$Q$84</f>
        <v>1.6826838653972769</v>
      </c>
      <c r="T33" s="20">
        <f>Yard!$R$84</f>
        <v>1.4544321392816664</v>
      </c>
      <c r="U33" s="20">
        <f>Yard!$S$84</f>
        <v>0.86473054438707719</v>
      </c>
      <c r="V33" s="20">
        <f>Otex!$B$161</f>
        <v>1.4498443118306583</v>
      </c>
      <c r="W33" s="21"/>
      <c r="X33" s="6"/>
    </row>
    <row r="34" spans="1:24" x14ac:dyDescent="0.2">
      <c r="A34" s="5" t="s">
        <v>61</v>
      </c>
      <c r="B34" s="20">
        <f>Yard!$B$41</f>
        <v>0</v>
      </c>
      <c r="C34" s="20">
        <f>Yard!$C$41</f>
        <v>-7.3062876189217529E-2</v>
      </c>
      <c r="D34" s="20">
        <f>Yard!$D$41</f>
        <v>-6.7392086881212551E-2</v>
      </c>
      <c r="E34" s="20">
        <f>Yard!$E$41</f>
        <v>-0.10272210040794662</v>
      </c>
      <c r="F34" s="20">
        <f>Yard!$F$41</f>
        <v>-0.12720105273803078</v>
      </c>
      <c r="G34" s="20">
        <f>Yard!$G$41</f>
        <v>0</v>
      </c>
      <c r="H34" s="20">
        <f>Yard!$H$41</f>
        <v>-0.12935505300769179</v>
      </c>
      <c r="I34" s="20">
        <f>Yard!$I$41</f>
        <v>-0.11180837371876251</v>
      </c>
      <c r="J34" s="20">
        <f>Yard!$J$41</f>
        <v>0</v>
      </c>
      <c r="K34" s="21"/>
      <c r="L34" s="21"/>
      <c r="M34" s="20">
        <f>Yard!$K$41</f>
        <v>-5.0428357905113505E-2</v>
      </c>
      <c r="N34" s="20">
        <f>Yard!$L$41</f>
        <v>-2.4121543661220535E-2</v>
      </c>
      <c r="O34" s="20">
        <f>Yard!$M$41</f>
        <v>-2.2249345370909987E-2</v>
      </c>
      <c r="P34" s="20">
        <f>Yard!$N$41</f>
        <v>-3.3913469592211802E-2</v>
      </c>
      <c r="Q34" s="20">
        <f>Yard!$O$41</f>
        <v>-4.1995140451731042E-2</v>
      </c>
      <c r="R34" s="20">
        <f>Yard!$P$41</f>
        <v>0</v>
      </c>
      <c r="S34" s="20">
        <f>Yard!$Q$41</f>
        <v>-6.100896968413419E-2</v>
      </c>
      <c r="T34" s="20">
        <f>Yard!$R$41</f>
        <v>-5.2733260309782509E-2</v>
      </c>
      <c r="U34" s="20">
        <f>Yard!$S$41</f>
        <v>0</v>
      </c>
      <c r="V34" s="21"/>
      <c r="W34" s="21"/>
      <c r="X34" s="6"/>
    </row>
    <row r="35" spans="1:24" x14ac:dyDescent="0.2">
      <c r="A35" s="5" t="s">
        <v>62</v>
      </c>
      <c r="B35" s="20">
        <f>Yard!$B$42</f>
        <v>0</v>
      </c>
      <c r="C35" s="20">
        <f>Yard!$C$42</f>
        <v>-6.9747863657946316E-2</v>
      </c>
      <c r="D35" s="20">
        <f>Yard!$D$42</f>
        <v>-6.4334369690594931E-2</v>
      </c>
      <c r="E35" s="20">
        <f>Yard!$E$42</f>
        <v>-9.806138804823944E-2</v>
      </c>
      <c r="F35" s="20">
        <f>Yard!$F$42</f>
        <v>-0.1214296801092635</v>
      </c>
      <c r="G35" s="20">
        <f>Yard!$G$42</f>
        <v>0</v>
      </c>
      <c r="H35" s="20">
        <f>Yard!$H$42</f>
        <v>-0.12348594896923028</v>
      </c>
      <c r="I35" s="20">
        <f>Yard!$I$42</f>
        <v>0</v>
      </c>
      <c r="J35" s="20">
        <f>Yard!$J$42</f>
        <v>0</v>
      </c>
      <c r="K35" s="21"/>
      <c r="L35" s="21"/>
      <c r="M35" s="20">
        <f>Yard!$K$42</f>
        <v>-4.8140319887640115E-2</v>
      </c>
      <c r="N35" s="20">
        <f>Yard!$L$42</f>
        <v>-2.3027099756446463E-2</v>
      </c>
      <c r="O35" s="20">
        <f>Yard!$M$42</f>
        <v>-2.1239846942102819E-2</v>
      </c>
      <c r="P35" s="20">
        <f>Yard!$N$42</f>
        <v>-3.2374745926503461E-2</v>
      </c>
      <c r="Q35" s="20">
        <f>Yard!$O$42</f>
        <v>-4.0089734805100773E-2</v>
      </c>
      <c r="R35" s="20">
        <f>Yard!$P$42</f>
        <v>0</v>
      </c>
      <c r="S35" s="20">
        <f>Yard!$Q$42</f>
        <v>-5.8240867611351325E-2</v>
      </c>
      <c r="T35" s="20">
        <f>Yard!$R$42</f>
        <v>0</v>
      </c>
      <c r="U35" s="20">
        <f>Yard!$S$42</f>
        <v>0</v>
      </c>
      <c r="V35" s="21"/>
      <c r="W35" s="21"/>
      <c r="X35" s="6"/>
    </row>
    <row r="36" spans="1:24" x14ac:dyDescent="0.2">
      <c r="A36" s="5" t="s">
        <v>63</v>
      </c>
      <c r="B36" s="20">
        <f>Yard!$B$43</f>
        <v>0</v>
      </c>
      <c r="C36" s="20">
        <f>Yard!$C$43</f>
        <v>-7.3062876189217529E-2</v>
      </c>
      <c r="D36" s="20">
        <f>Yard!$D$43</f>
        <v>-6.7392086881212551E-2</v>
      </c>
      <c r="E36" s="20">
        <f>Yard!$E$43</f>
        <v>-0.10272210040794662</v>
      </c>
      <c r="F36" s="20">
        <f>Yard!$F$43</f>
        <v>-0.12720105273803078</v>
      </c>
      <c r="G36" s="20">
        <f>Yard!$G$43</f>
        <v>0</v>
      </c>
      <c r="H36" s="20">
        <f>Yard!$H$43</f>
        <v>-0.12935505300769179</v>
      </c>
      <c r="I36" s="20">
        <f>Yard!$I$43</f>
        <v>-0.11180837371876251</v>
      </c>
      <c r="J36" s="20">
        <f>Yard!$J$43</f>
        <v>0</v>
      </c>
      <c r="K36" s="21"/>
      <c r="L36" s="21"/>
      <c r="M36" s="20">
        <f>Yard!$K$43</f>
        <v>-5.0428357905113505E-2</v>
      </c>
      <c r="N36" s="20">
        <f>Yard!$L$43</f>
        <v>-2.4121543661220535E-2</v>
      </c>
      <c r="O36" s="20">
        <f>Yard!$M$43</f>
        <v>-2.2249345370909987E-2</v>
      </c>
      <c r="P36" s="20">
        <f>Yard!$N$43</f>
        <v>-3.3913469592211802E-2</v>
      </c>
      <c r="Q36" s="20">
        <f>Yard!$O$43</f>
        <v>-4.1995140451731042E-2</v>
      </c>
      <c r="R36" s="20">
        <f>Yard!$P$43</f>
        <v>0</v>
      </c>
      <c r="S36" s="20">
        <f>Yard!$Q$43</f>
        <v>-6.100896968413419E-2</v>
      </c>
      <c r="T36" s="20">
        <f>Yard!$R$43</f>
        <v>-5.2733260309782509E-2</v>
      </c>
      <c r="U36" s="20">
        <f>Yard!$S$43</f>
        <v>0</v>
      </c>
      <c r="V36" s="21"/>
      <c r="W36" s="21"/>
      <c r="X36" s="6"/>
    </row>
    <row r="37" spans="1:24" x14ac:dyDescent="0.2">
      <c r="A37" s="5" t="s">
        <v>64</v>
      </c>
      <c r="B37" s="20">
        <f>Yard!$B$76</f>
        <v>0</v>
      </c>
      <c r="C37" s="20">
        <f>Yard!$C$76</f>
        <v>-0.77454588427982929</v>
      </c>
      <c r="D37" s="20">
        <f>Yard!$D$76</f>
        <v>-0.71442935522671336</v>
      </c>
      <c r="E37" s="20">
        <f>Yard!$E$76</f>
        <v>-0.9816504509034597</v>
      </c>
      <c r="F37" s="20">
        <f>Yard!$F$76</f>
        <v>-1.2155803890281713</v>
      </c>
      <c r="G37" s="20">
        <f>Yard!$G$76</f>
        <v>0</v>
      </c>
      <c r="H37" s="20">
        <f>Yard!$H$76</f>
        <v>-1.2361648136803307</v>
      </c>
      <c r="I37" s="20">
        <f>Yard!$I$76</f>
        <v>-1.0684822452025611</v>
      </c>
      <c r="J37" s="20">
        <f>Yard!$J$76</f>
        <v>0</v>
      </c>
      <c r="K37" s="21"/>
      <c r="L37" s="21"/>
      <c r="M37" s="20">
        <f>Yard!$K$76</f>
        <v>-0.61184780347932377</v>
      </c>
      <c r="N37" s="20">
        <f>Yard!$L$76</f>
        <v>-0.25571457544169063</v>
      </c>
      <c r="O37" s="20">
        <f>Yard!$M$76</f>
        <v>-0.23586723906582302</v>
      </c>
      <c r="P37" s="20">
        <f>Yard!$N$76</f>
        <v>-0.32408968064987165</v>
      </c>
      <c r="Q37" s="20">
        <f>Yard!$O$76</f>
        <v>-0.40132112171069595</v>
      </c>
      <c r="R37" s="20">
        <f>Yard!$P$76</f>
        <v>0</v>
      </c>
      <c r="S37" s="20">
        <f>Yard!$Q$76</f>
        <v>-0.58302431863973769</v>
      </c>
      <c r="T37" s="20">
        <f>Yard!$R$76</f>
        <v>-0.50393857363826733</v>
      </c>
      <c r="U37" s="20">
        <f>Yard!$S$76</f>
        <v>0</v>
      </c>
      <c r="V37" s="21"/>
      <c r="W37" s="21"/>
      <c r="X37" s="6"/>
    </row>
    <row r="38" spans="1:24" x14ac:dyDescent="0.2">
      <c r="A38" s="5" t="s">
        <v>65</v>
      </c>
      <c r="B38" s="20">
        <f>Yard!$B$45</f>
        <v>0</v>
      </c>
      <c r="C38" s="20">
        <f>Yard!$C$45</f>
        <v>-6.9747863657946316E-2</v>
      </c>
      <c r="D38" s="20">
        <f>Yard!$D$45</f>
        <v>-6.4334369690594931E-2</v>
      </c>
      <c r="E38" s="20">
        <f>Yard!$E$45</f>
        <v>-9.806138804823944E-2</v>
      </c>
      <c r="F38" s="20">
        <f>Yard!$F$45</f>
        <v>-0.1214296801092635</v>
      </c>
      <c r="G38" s="20">
        <f>Yard!$G$45</f>
        <v>0</v>
      </c>
      <c r="H38" s="20">
        <f>Yard!$H$45</f>
        <v>-0.12348594896923028</v>
      </c>
      <c r="I38" s="20">
        <f>Yard!$I$45</f>
        <v>0</v>
      </c>
      <c r="J38" s="20">
        <f>Yard!$J$45</f>
        <v>0</v>
      </c>
      <c r="K38" s="21"/>
      <c r="L38" s="21"/>
      <c r="M38" s="20">
        <f>Yard!$K$45</f>
        <v>-4.8140319887640115E-2</v>
      </c>
      <c r="N38" s="20">
        <f>Yard!$L$45</f>
        <v>-2.3027099756446463E-2</v>
      </c>
      <c r="O38" s="20">
        <f>Yard!$M$45</f>
        <v>-2.1239846942102819E-2</v>
      </c>
      <c r="P38" s="20">
        <f>Yard!$N$45</f>
        <v>-3.2374745926503461E-2</v>
      </c>
      <c r="Q38" s="20">
        <f>Yard!$O$45</f>
        <v>-4.0089734805100773E-2</v>
      </c>
      <c r="R38" s="20">
        <f>Yard!$P$45</f>
        <v>0</v>
      </c>
      <c r="S38" s="20">
        <f>Yard!$Q$45</f>
        <v>-5.8240867611351325E-2</v>
      </c>
      <c r="T38" s="20">
        <f>Yard!$R$45</f>
        <v>0</v>
      </c>
      <c r="U38" s="20">
        <f>Yard!$S$45</f>
        <v>0</v>
      </c>
      <c r="V38" s="21"/>
      <c r="W38" s="21"/>
      <c r="X38" s="6"/>
    </row>
    <row r="39" spans="1:24" x14ac:dyDescent="0.2">
      <c r="A39" s="5" t="s">
        <v>66</v>
      </c>
      <c r="B39" s="20">
        <f>Yard!$B$77</f>
        <v>0</v>
      </c>
      <c r="C39" s="20">
        <f>Yard!$C$77</f>
        <v>-0.73940314905842142</v>
      </c>
      <c r="D39" s="20">
        <f>Yard!$D$77</f>
        <v>-0.68201423021642693</v>
      </c>
      <c r="E39" s="20">
        <f>Yard!$E$77</f>
        <v>-0.93711095676083433</v>
      </c>
      <c r="F39" s="20">
        <f>Yard!$F$77</f>
        <v>-1.1604270138454049</v>
      </c>
      <c r="G39" s="20">
        <f>Yard!$G$77</f>
        <v>0</v>
      </c>
      <c r="H39" s="20">
        <f>Yard!$H$77</f>
        <v>-1.180077480936214</v>
      </c>
      <c r="I39" s="20">
        <f>Yard!$I$77</f>
        <v>0</v>
      </c>
      <c r="J39" s="20">
        <f>Yard!$J$77</f>
        <v>0</v>
      </c>
      <c r="K39" s="21"/>
      <c r="L39" s="21"/>
      <c r="M39" s="20">
        <f>Yard!$K$77</f>
        <v>-0.5840870138477755</v>
      </c>
      <c r="N39" s="20">
        <f>Yard!$L$77</f>
        <v>-0.24411228073018018</v>
      </c>
      <c r="O39" s="20">
        <f>Yard!$M$77</f>
        <v>-0.22516545870893456</v>
      </c>
      <c r="P39" s="20">
        <f>Yard!$N$77</f>
        <v>-0.3093850671902586</v>
      </c>
      <c r="Q39" s="20">
        <f>Yard!$O$77</f>
        <v>-0.3831123593826245</v>
      </c>
      <c r="R39" s="20">
        <f>Yard!$P$77</f>
        <v>0</v>
      </c>
      <c r="S39" s="20">
        <f>Yard!$Q$77</f>
        <v>-0.55657130962704549</v>
      </c>
      <c r="T39" s="20">
        <f>Yard!$R$77</f>
        <v>0</v>
      </c>
      <c r="U39" s="20">
        <f>Yard!$S$77</f>
        <v>0</v>
      </c>
      <c r="V39" s="21"/>
      <c r="W39" s="21"/>
      <c r="X39" s="6"/>
    </row>
    <row r="40" spans="1:24" x14ac:dyDescent="0.2">
      <c r="A40" s="5" t="s">
        <v>75</v>
      </c>
      <c r="B40" s="20">
        <f>Yard!$B$47</f>
        <v>0</v>
      </c>
      <c r="C40" s="20">
        <f>Yard!$C$47</f>
        <v>-6.8885960399815802E-2</v>
      </c>
      <c r="D40" s="20">
        <f>Yard!$D$47</f>
        <v>-6.3539363221034331E-2</v>
      </c>
      <c r="E40" s="20">
        <f>Yard!$E$47</f>
        <v>-9.6849602834715554E-2</v>
      </c>
      <c r="F40" s="20">
        <f>Yard!$F$47</f>
        <v>-5.156952298708712E-2</v>
      </c>
      <c r="G40" s="20">
        <f>Yard!$G$47</f>
        <v>0</v>
      </c>
      <c r="H40" s="20">
        <f>Yard!$H$47</f>
        <v>0</v>
      </c>
      <c r="I40" s="20">
        <f>Yard!$I$47</f>
        <v>0</v>
      </c>
      <c r="J40" s="20">
        <f>Yard!$J$47</f>
        <v>0</v>
      </c>
      <c r="K40" s="21"/>
      <c r="L40" s="21"/>
      <c r="M40" s="20">
        <f>Yard!$K$47</f>
        <v>-4.7545430003097029E-2</v>
      </c>
      <c r="N40" s="20">
        <f>Yard!$L$47</f>
        <v>-2.2742544341205203E-2</v>
      </c>
      <c r="O40" s="20">
        <f>Yard!$M$47</f>
        <v>-2.0977377350612954E-2</v>
      </c>
      <c r="P40" s="20">
        <f>Yard!$N$47</f>
        <v>-3.1974677773419287E-2</v>
      </c>
      <c r="Q40" s="20">
        <f>Yard!$O$47</f>
        <v>-3.9594329336976895E-2</v>
      </c>
      <c r="R40" s="20">
        <f>Yard!$P$47</f>
        <v>0</v>
      </c>
      <c r="S40" s="20">
        <f>Yard!$Q$47</f>
        <v>0</v>
      </c>
      <c r="T40" s="20">
        <f>Yard!$R$47</f>
        <v>0</v>
      </c>
      <c r="U40" s="20">
        <f>Yard!$S$47</f>
        <v>0</v>
      </c>
      <c r="V40" s="21"/>
      <c r="W40" s="21"/>
      <c r="X40" s="6"/>
    </row>
    <row r="41" spans="1:24" x14ac:dyDescent="0.2">
      <c r="A41" s="5" t="s">
        <v>76</v>
      </c>
      <c r="B41" s="20">
        <f>Yard!$B$78</f>
        <v>0</v>
      </c>
      <c r="C41" s="20">
        <f>Yard!$C$78</f>
        <v>-0.73026603790085542</v>
      </c>
      <c r="D41" s="20">
        <f>Yard!$D$78</f>
        <v>-0.67358629771375234</v>
      </c>
      <c r="E41" s="20">
        <f>Yard!$E$78</f>
        <v>-0.92553068828375162</v>
      </c>
      <c r="F41" s="20">
        <f>Yard!$F$78</f>
        <v>-0.49281746860809089</v>
      </c>
      <c r="G41" s="20">
        <f>Yard!$G$78</f>
        <v>0</v>
      </c>
      <c r="H41" s="20">
        <f>Yard!$H$78</f>
        <v>0</v>
      </c>
      <c r="I41" s="20">
        <f>Yard!$I$78</f>
        <v>0</v>
      </c>
      <c r="J41" s="20">
        <f>Yard!$J$78</f>
        <v>0</v>
      </c>
      <c r="K41" s="21"/>
      <c r="L41" s="21"/>
      <c r="M41" s="20">
        <f>Yard!$K$78</f>
        <v>-0.57686920854357282</v>
      </c>
      <c r="N41" s="20">
        <f>Yard!$L$78</f>
        <v>-0.24109568410518747</v>
      </c>
      <c r="O41" s="20">
        <f>Yard!$M$78</f>
        <v>-0.22238299581614349</v>
      </c>
      <c r="P41" s="20">
        <f>Yard!$N$78</f>
        <v>-0.30556186769075916</v>
      </c>
      <c r="Q41" s="20">
        <f>Yard!$O$78</f>
        <v>-0.37837808117732585</v>
      </c>
      <c r="R41" s="20">
        <f>Yard!$P$78</f>
        <v>0</v>
      </c>
      <c r="S41" s="20">
        <f>Yard!$Q$78</f>
        <v>0</v>
      </c>
      <c r="T41" s="20">
        <f>Yard!$R$78</f>
        <v>0</v>
      </c>
      <c r="U41" s="20">
        <f>Yard!$S$78</f>
        <v>0</v>
      </c>
      <c r="V41" s="21"/>
      <c r="W41" s="21"/>
      <c r="X41" s="6"/>
    </row>
    <row r="42" spans="1:24" x14ac:dyDescent="0.2">
      <c r="A42" s="5" t="s">
        <v>77</v>
      </c>
      <c r="B42" s="20">
        <f>Yard!$B$49</f>
        <v>0</v>
      </c>
      <c r="C42" s="20">
        <f>Yard!$C$49</f>
        <v>-6.8090357392310702E-2</v>
      </c>
      <c r="D42" s="20">
        <f>Yard!$D$49</f>
        <v>-6.2805511095286107E-2</v>
      </c>
      <c r="E42" s="20">
        <f>Yard!$E$49</f>
        <v>-4.1164343703405909E-2</v>
      </c>
      <c r="F42" s="20">
        <f>Yard!$F$49</f>
        <v>0</v>
      </c>
      <c r="G42" s="20">
        <f>Yard!$G$49</f>
        <v>0</v>
      </c>
      <c r="H42" s="20">
        <f>Yard!$H$49</f>
        <v>0</v>
      </c>
      <c r="I42" s="20">
        <f>Yard!$I$49</f>
        <v>0</v>
      </c>
      <c r="J42" s="20">
        <f>Yard!$J$49</f>
        <v>0</v>
      </c>
      <c r="K42" s="21"/>
      <c r="L42" s="21"/>
      <c r="M42" s="20">
        <f>Yard!$K$49</f>
        <v>-4.699630087890342E-2</v>
      </c>
      <c r="N42" s="20">
        <f>Yard!$L$49</f>
        <v>-2.2479877804059422E-2</v>
      </c>
      <c r="O42" s="20">
        <f>Yard!$M$49</f>
        <v>-2.0735097727699235E-2</v>
      </c>
      <c r="P42" s="20">
        <f>Yard!$N$49</f>
        <v>-3.1605384093649283E-2</v>
      </c>
      <c r="Q42" s="20">
        <f>Yard!$O$49</f>
        <v>0</v>
      </c>
      <c r="R42" s="20">
        <f>Yard!$P$49</f>
        <v>0</v>
      </c>
      <c r="S42" s="20">
        <f>Yard!$Q$49</f>
        <v>0</v>
      </c>
      <c r="T42" s="20">
        <f>Yard!$R$49</f>
        <v>0</v>
      </c>
      <c r="U42" s="20">
        <f>Yard!$S$49</f>
        <v>0</v>
      </c>
      <c r="V42" s="21"/>
      <c r="W42" s="21"/>
      <c r="X42" s="6"/>
    </row>
    <row r="43" spans="1:24" x14ac:dyDescent="0.2">
      <c r="A43" s="5" t="s">
        <v>78</v>
      </c>
      <c r="B43" s="20">
        <f>Yard!$B$79</f>
        <v>0</v>
      </c>
      <c r="C43" s="20">
        <f>Yard!$C$79</f>
        <v>-0.72183178144771754</v>
      </c>
      <c r="D43" s="20">
        <f>Yard!$D$79</f>
        <v>-0.66580666771128372</v>
      </c>
      <c r="E43" s="20">
        <f>Yard!$E$79</f>
        <v>-0.39338172016649436</v>
      </c>
      <c r="F43" s="20">
        <f>Yard!$F$79</f>
        <v>0</v>
      </c>
      <c r="G43" s="20">
        <f>Yard!$G$79</f>
        <v>0</v>
      </c>
      <c r="H43" s="20">
        <f>Yard!$H$79</f>
        <v>0</v>
      </c>
      <c r="I43" s="20">
        <f>Yard!$I$79</f>
        <v>0</v>
      </c>
      <c r="J43" s="20">
        <f>Yard!$J$79</f>
        <v>0</v>
      </c>
      <c r="K43" s="21"/>
      <c r="L43" s="21"/>
      <c r="M43" s="20">
        <f>Yard!$K$79</f>
        <v>-0.57020661903200132</v>
      </c>
      <c r="N43" s="20">
        <f>Yard!$L$79</f>
        <v>-0.23831113337442489</v>
      </c>
      <c r="O43" s="20">
        <f>Yard!$M$79</f>
        <v>-0.21981456853049028</v>
      </c>
      <c r="P43" s="20">
        <f>Yard!$N$79</f>
        <v>-0.30203276046045202</v>
      </c>
      <c r="Q43" s="20">
        <f>Yard!$O$79</f>
        <v>0</v>
      </c>
      <c r="R43" s="20">
        <f>Yard!$P$79</f>
        <v>0</v>
      </c>
      <c r="S43" s="20">
        <f>Yard!$Q$79</f>
        <v>0</v>
      </c>
      <c r="T43" s="20">
        <f>Yard!$R$79</f>
        <v>0</v>
      </c>
      <c r="U43" s="20">
        <f>Yard!$S$79</f>
        <v>0</v>
      </c>
      <c r="V43" s="21"/>
      <c r="W43" s="21"/>
      <c r="X43" s="6"/>
    </row>
    <row r="45" spans="1:24" ht="16.5" x14ac:dyDescent="0.25">
      <c r="A45" s="3" t="s">
        <v>922</v>
      </c>
    </row>
    <row r="46" spans="1:24" x14ac:dyDescent="0.2">
      <c r="A46" s="10" t="s">
        <v>238</v>
      </c>
    </row>
    <row r="47" spans="1:24" x14ac:dyDescent="0.2">
      <c r="A47" s="11" t="s">
        <v>923</v>
      </c>
    </row>
    <row r="48" spans="1:24" x14ac:dyDescent="0.2">
      <c r="A48" s="11" t="s">
        <v>924</v>
      </c>
    </row>
    <row r="49" spans="1:24" x14ac:dyDescent="0.2">
      <c r="A49" s="11" t="s">
        <v>925</v>
      </c>
    </row>
    <row r="50" spans="1:24" x14ac:dyDescent="0.2">
      <c r="A50" s="11" t="s">
        <v>926</v>
      </c>
    </row>
    <row r="51" spans="1:24" x14ac:dyDescent="0.2">
      <c r="A51" s="11" t="s">
        <v>927</v>
      </c>
    </row>
    <row r="52" spans="1:24" x14ac:dyDescent="0.2">
      <c r="A52" s="10" t="s">
        <v>327</v>
      </c>
    </row>
    <row r="54" spans="1:24" ht="25.5" x14ac:dyDescent="0.2">
      <c r="B54" s="4" t="s">
        <v>21</v>
      </c>
      <c r="C54" s="4" t="s">
        <v>191</v>
      </c>
      <c r="D54" s="4" t="s">
        <v>192</v>
      </c>
      <c r="E54" s="4" t="s">
        <v>193</v>
      </c>
      <c r="F54" s="4" t="s">
        <v>194</v>
      </c>
      <c r="G54" s="4" t="s">
        <v>195</v>
      </c>
      <c r="H54" s="4" t="s">
        <v>196</v>
      </c>
      <c r="I54" s="4" t="s">
        <v>197</v>
      </c>
      <c r="J54" s="4" t="s">
        <v>198</v>
      </c>
      <c r="K54" s="4" t="s">
        <v>350</v>
      </c>
      <c r="L54" s="4" t="s">
        <v>362</v>
      </c>
      <c r="M54" s="4" t="s">
        <v>179</v>
      </c>
      <c r="N54" s="4" t="s">
        <v>699</v>
      </c>
      <c r="O54" s="4" t="s">
        <v>700</v>
      </c>
      <c r="P54" s="4" t="s">
        <v>701</v>
      </c>
      <c r="Q54" s="4" t="s">
        <v>702</v>
      </c>
      <c r="R54" s="4" t="s">
        <v>703</v>
      </c>
      <c r="S54" s="4" t="s">
        <v>704</v>
      </c>
      <c r="T54" s="4" t="s">
        <v>705</v>
      </c>
      <c r="U54" s="4" t="s">
        <v>706</v>
      </c>
      <c r="V54" s="4" t="s">
        <v>707</v>
      </c>
      <c r="W54" s="4" t="s">
        <v>708</v>
      </c>
    </row>
    <row r="55" spans="1:24" x14ac:dyDescent="0.2">
      <c r="A55" s="5" t="s">
        <v>53</v>
      </c>
      <c r="B55" s="21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6"/>
    </row>
    <row r="56" spans="1:24" x14ac:dyDescent="0.2">
      <c r="A56" s="5" t="s">
        <v>54</v>
      </c>
      <c r="B56" s="20">
        <f>Standing!$B$110</f>
        <v>0</v>
      </c>
      <c r="C56" s="20">
        <f>Standing!$C$110</f>
        <v>1.6314960960770779E-2</v>
      </c>
      <c r="D56" s="20">
        <f>Standing!$D$110</f>
        <v>1.5048672101059681E-2</v>
      </c>
      <c r="E56" s="20">
        <f>Standing!$E$110</f>
        <v>2.4690471456347212E-2</v>
      </c>
      <c r="F56" s="20">
        <f>Standing!$F$110</f>
        <v>3.0574277096875855E-2</v>
      </c>
      <c r="G56" s="20">
        <f>Standing!$G$110</f>
        <v>0</v>
      </c>
      <c r="H56" s="20">
        <f>Standing!$H$110</f>
        <v>3.1092016531367745E-2</v>
      </c>
      <c r="I56" s="20">
        <f>Standing!$I$110</f>
        <v>2.6874464685986366E-2</v>
      </c>
      <c r="J56" s="20">
        <f>Standing!$J$110</f>
        <v>0</v>
      </c>
      <c r="K56" s="21"/>
      <c r="L56" s="21"/>
      <c r="M56" s="20">
        <f>Standing!$K$110</f>
        <v>9.6031300062019952E-3</v>
      </c>
      <c r="N56" s="20">
        <f>Standing!$L$110</f>
        <v>5.3863475361570689E-3</v>
      </c>
      <c r="O56" s="20">
        <f>Standing!$M$110</f>
        <v>4.9682851273061832E-3</v>
      </c>
      <c r="P56" s="20">
        <f>Standing!$N$110</f>
        <v>8.1515034216281222E-3</v>
      </c>
      <c r="Q56" s="20">
        <f>Standing!$O$110</f>
        <v>1.0094028573315112E-2</v>
      </c>
      <c r="R56" s="20">
        <f>Standing!$P$110</f>
        <v>0</v>
      </c>
      <c r="S56" s="20">
        <f>Standing!$Q$110</f>
        <v>1.4664227255722431E-2</v>
      </c>
      <c r="T56" s="20">
        <f>Standing!$R$110</f>
        <v>1.2675062652613828E-2</v>
      </c>
      <c r="U56" s="20">
        <f>Standing!$S$110</f>
        <v>0</v>
      </c>
      <c r="V56" s="21"/>
      <c r="W56" s="21"/>
      <c r="X56" s="6"/>
    </row>
    <row r="57" spans="1:24" x14ac:dyDescent="0.2">
      <c r="A57" s="5" t="s">
        <v>94</v>
      </c>
      <c r="B57" s="21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6"/>
    </row>
    <row r="58" spans="1:24" x14ac:dyDescent="0.2">
      <c r="A58" s="5" t="s">
        <v>55</v>
      </c>
      <c r="B58" s="21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6"/>
    </row>
    <row r="59" spans="1:24" x14ac:dyDescent="0.2">
      <c r="A59" s="5" t="s">
        <v>56</v>
      </c>
      <c r="B59" s="20">
        <f>Standing!$B$111</f>
        <v>0</v>
      </c>
      <c r="C59" s="20">
        <f>Standing!$C$111</f>
        <v>1.4072731843893337E-2</v>
      </c>
      <c r="D59" s="20">
        <f>Standing!$D$111</f>
        <v>1.2980474032031439E-2</v>
      </c>
      <c r="E59" s="20">
        <f>Standing!$E$111</f>
        <v>2.1297163060331428E-2</v>
      </c>
      <c r="F59" s="20">
        <f>Standing!$F$111</f>
        <v>2.6372334199253653E-2</v>
      </c>
      <c r="G59" s="20">
        <f>Standing!$G$111</f>
        <v>0</v>
      </c>
      <c r="H59" s="20">
        <f>Standing!$H$111</f>
        <v>2.6818918671268788E-2</v>
      </c>
      <c r="I59" s="20">
        <f>Standing!$I$111</f>
        <v>2.318100152880781E-2</v>
      </c>
      <c r="J59" s="20">
        <f>Standing!$J$111</f>
        <v>0</v>
      </c>
      <c r="K59" s="21"/>
      <c r="L59" s="21"/>
      <c r="M59" s="20">
        <f>Standing!$K$111</f>
        <v>8.2833341596265601E-3</v>
      </c>
      <c r="N59" s="20">
        <f>Standing!$L$111</f>
        <v>4.6460806542299501E-3</v>
      </c>
      <c r="O59" s="20">
        <f>Standing!$M$111</f>
        <v>4.2854742030152063E-3</v>
      </c>
      <c r="P59" s="20">
        <f>Standing!$N$111</f>
        <v>7.0312103138328334E-3</v>
      </c>
      <c r="Q59" s="20">
        <f>Standing!$O$111</f>
        <v>8.7067666100103126E-3</v>
      </c>
      <c r="R59" s="20">
        <f>Standing!$P$111</f>
        <v>0</v>
      </c>
      <c r="S59" s="20">
        <f>Standing!$Q$111</f>
        <v>1.2648864950636335E-2</v>
      </c>
      <c r="T59" s="20">
        <f>Standing!$R$111</f>
        <v>1.0933079045894006E-2</v>
      </c>
      <c r="U59" s="20">
        <f>Standing!$S$111</f>
        <v>0</v>
      </c>
      <c r="V59" s="21"/>
      <c r="W59" s="21"/>
      <c r="X59" s="6"/>
    </row>
    <row r="60" spans="1:24" x14ac:dyDescent="0.2">
      <c r="A60" s="5" t="s">
        <v>95</v>
      </c>
      <c r="B60" s="21"/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6"/>
    </row>
    <row r="61" spans="1:24" x14ac:dyDescent="0.2">
      <c r="A61" s="5" t="s">
        <v>57</v>
      </c>
      <c r="B61" s="20">
        <f>Standing!$B$112</f>
        <v>0</v>
      </c>
      <c r="C61" s="20">
        <f>Standing!$C$112</f>
        <v>1.2621371314685966E-2</v>
      </c>
      <c r="D61" s="20">
        <f>Standing!$D$112</f>
        <v>1.1641761131830276E-2</v>
      </c>
      <c r="E61" s="20">
        <f>Standing!$E$112</f>
        <v>1.9100726562234497E-2</v>
      </c>
      <c r="F61" s="20">
        <f>Standing!$F$112</f>
        <v>2.3652480986355862E-2</v>
      </c>
      <c r="G61" s="20">
        <f>Standing!$G$112</f>
        <v>0</v>
      </c>
      <c r="H61" s="20">
        <f>Standing!$H$112</f>
        <v>2.4053007942116896E-2</v>
      </c>
      <c r="I61" s="20">
        <f>Standing!$I$112</f>
        <v>2.079027945582191E-2</v>
      </c>
      <c r="J61" s="20">
        <f>Standing!$J$112</f>
        <v>0</v>
      </c>
      <c r="K61" s="21"/>
      <c r="L61" s="21"/>
      <c r="M61" s="20">
        <f>Standing!$K$112</f>
        <v>7.4290505434192414E-3</v>
      </c>
      <c r="N61" s="20">
        <f>Standing!$L$112</f>
        <v>4.1669172514262939E-3</v>
      </c>
      <c r="O61" s="20">
        <f>Standing!$M$112</f>
        <v>3.8435011606672374E-3</v>
      </c>
      <c r="P61" s="20">
        <f>Standing!$N$112</f>
        <v>6.3060617616360554E-3</v>
      </c>
      <c r="Q61" s="20">
        <f>Standing!$O$112</f>
        <v>7.808813210843318E-3</v>
      </c>
      <c r="R61" s="20">
        <f>Standing!$P$112</f>
        <v>0</v>
      </c>
      <c r="S61" s="20">
        <f>Standing!$Q$112</f>
        <v>1.1344351830350147E-2</v>
      </c>
      <c r="T61" s="20">
        <f>Standing!$R$112</f>
        <v>9.805519765582674E-3</v>
      </c>
      <c r="U61" s="20">
        <f>Standing!$S$112</f>
        <v>0</v>
      </c>
      <c r="V61" s="21"/>
      <c r="W61" s="21"/>
      <c r="X61" s="6"/>
    </row>
    <row r="62" spans="1:24" x14ac:dyDescent="0.2">
      <c r="A62" s="5" t="s">
        <v>58</v>
      </c>
      <c r="B62" s="20">
        <f>Standing!$B$113</f>
        <v>0</v>
      </c>
      <c r="C62" s="20">
        <f>Standing!$C$113</f>
        <v>1.2072930352646621E-2</v>
      </c>
      <c r="D62" s="20">
        <f>Standing!$D$113</f>
        <v>1.1135887521445009E-2</v>
      </c>
      <c r="E62" s="20">
        <f>Standing!$E$113</f>
        <v>1.8270735859144002E-2</v>
      </c>
      <c r="F62" s="20">
        <f>Standing!$F$113</f>
        <v>2.2624701270242093E-2</v>
      </c>
      <c r="G62" s="20">
        <f>Standing!$G$113</f>
        <v>0</v>
      </c>
      <c r="H62" s="20">
        <f>Standing!$H$113</f>
        <v>2.3007823984937448E-2</v>
      </c>
      <c r="I62" s="20">
        <f>Standing!$I$113</f>
        <v>0</v>
      </c>
      <c r="J62" s="20">
        <f>Standing!$J$113</f>
        <v>0</v>
      </c>
      <c r="K62" s="21"/>
      <c r="L62" s="21"/>
      <c r="M62" s="20">
        <f>Standing!$K$113</f>
        <v>7.1062333529978722E-3</v>
      </c>
      <c r="N62" s="20">
        <f>Standing!$L$113</f>
        <v>3.9858507057133523E-3</v>
      </c>
      <c r="O62" s="20">
        <f>Standing!$M$113</f>
        <v>3.6764881300227039E-3</v>
      </c>
      <c r="P62" s="20">
        <f>Standing!$N$113</f>
        <v>6.0320422044103711E-3</v>
      </c>
      <c r="Q62" s="20">
        <f>Standing!$O$113</f>
        <v>7.4694940574041623E-3</v>
      </c>
      <c r="R62" s="20">
        <f>Standing!$P$113</f>
        <v>0</v>
      </c>
      <c r="S62" s="20">
        <f>Standing!$Q$113</f>
        <v>1.0851401652716865E-2</v>
      </c>
      <c r="T62" s="20">
        <f>Standing!$R$113</f>
        <v>0</v>
      </c>
      <c r="U62" s="20">
        <f>Standing!$S$113</f>
        <v>0</v>
      </c>
      <c r="V62" s="21"/>
      <c r="W62" s="21"/>
      <c r="X62" s="6"/>
    </row>
    <row r="63" spans="1:24" x14ac:dyDescent="0.2">
      <c r="A63" s="5" t="s">
        <v>72</v>
      </c>
      <c r="B63" s="20">
        <f>Standing!$B$114</f>
        <v>0</v>
      </c>
      <c r="C63" s="20">
        <f>Standing!$C$114</f>
        <v>1.2720056224500566E-2</v>
      </c>
      <c r="D63" s="20">
        <f>Standing!$D$114</f>
        <v>1.1732786593226935E-2</v>
      </c>
      <c r="E63" s="20">
        <f>Standing!$E$114</f>
        <v>1.5400058186560334E-2</v>
      </c>
      <c r="F63" s="20">
        <f>Standing!$F$114</f>
        <v>0</v>
      </c>
      <c r="G63" s="20">
        <f>Standing!$G$114</f>
        <v>0</v>
      </c>
      <c r="H63" s="20">
        <f>Standing!$H$114</f>
        <v>0</v>
      </c>
      <c r="I63" s="20">
        <f>Standing!$I$114</f>
        <v>0</v>
      </c>
      <c r="J63" s="20">
        <f>Standing!$J$114</f>
        <v>0</v>
      </c>
      <c r="K63" s="21"/>
      <c r="L63" s="21"/>
      <c r="M63" s="20">
        <f>Standing!$K$114</f>
        <v>7.48713735226167E-3</v>
      </c>
      <c r="N63" s="20">
        <f>Standing!$L$114</f>
        <v>4.1994978516565898E-3</v>
      </c>
      <c r="O63" s="20">
        <f>Standing!$M$114</f>
        <v>3.8735530112907449E-3</v>
      </c>
      <c r="P63" s="20">
        <f>Standing!$N$114</f>
        <v>5.084294450308992E-3</v>
      </c>
      <c r="Q63" s="20">
        <f>Standing!$O$114</f>
        <v>0</v>
      </c>
      <c r="R63" s="20">
        <f>Standing!$P$114</f>
        <v>0</v>
      </c>
      <c r="S63" s="20">
        <f>Standing!$Q$114</f>
        <v>0</v>
      </c>
      <c r="T63" s="20">
        <f>Standing!$R$114</f>
        <v>0</v>
      </c>
      <c r="U63" s="20">
        <f>Standing!$S$114</f>
        <v>0</v>
      </c>
      <c r="V63" s="21"/>
      <c r="W63" s="21"/>
      <c r="X63" s="6"/>
    </row>
    <row r="64" spans="1:24" x14ac:dyDescent="0.2">
      <c r="A64" s="5" t="s">
        <v>59</v>
      </c>
      <c r="B64" s="20">
        <f>Standing!$B$115</f>
        <v>0</v>
      </c>
      <c r="C64" s="20">
        <f>Standing!$C$115</f>
        <v>6.384665506149162E-2</v>
      </c>
      <c r="D64" s="20">
        <f>Standing!$D$115</f>
        <v>5.8891184544057749E-2</v>
      </c>
      <c r="E64" s="20">
        <f>Standing!$E$115</f>
        <v>0.10750401332804257</v>
      </c>
      <c r="F64" s="20">
        <f>Standing!$F$115</f>
        <v>0.13312250834614389</v>
      </c>
      <c r="G64" s="20">
        <f>Standing!$G$115</f>
        <v>0</v>
      </c>
      <c r="H64" s="20">
        <f>Standing!$H$115</f>
        <v>0.10830142520343373</v>
      </c>
      <c r="I64" s="20">
        <f>Standing!$I$115</f>
        <v>0</v>
      </c>
      <c r="J64" s="20">
        <f>Standing!$J$115</f>
        <v>0</v>
      </c>
      <c r="K64" s="21"/>
      <c r="L64" s="21"/>
      <c r="M64" s="20">
        <f>Standing!$K$115</f>
        <v>3.1775523491637418E-2</v>
      </c>
      <c r="N64" s="20">
        <f>Standing!$L$115</f>
        <v>2.1078829058141277E-2</v>
      </c>
      <c r="O64" s="20">
        <f>Standing!$M$115</f>
        <v>1.9442791651967928E-2</v>
      </c>
      <c r="P64" s="20">
        <f>Standing!$N$115</f>
        <v>3.5492207349366658E-2</v>
      </c>
      <c r="Q64" s="20">
        <f>Standing!$O$115</f>
        <v>4.3950095655235041E-2</v>
      </c>
      <c r="R64" s="20">
        <f>Standing!$P$115</f>
        <v>0</v>
      </c>
      <c r="S64" s="20">
        <f>Standing!$Q$115</f>
        <v>5.1079244400231684E-2</v>
      </c>
      <c r="T64" s="20">
        <f>Standing!$R$115</f>
        <v>0</v>
      </c>
      <c r="U64" s="20">
        <f>Standing!$S$115</f>
        <v>0</v>
      </c>
      <c r="V64" s="21"/>
      <c r="W64" s="21"/>
      <c r="X64" s="6"/>
    </row>
    <row r="65" spans="1:24" x14ac:dyDescent="0.2">
      <c r="A65" s="5" t="s">
        <v>60</v>
      </c>
      <c r="B65" s="20">
        <f>Standing!$B$116</f>
        <v>0</v>
      </c>
      <c r="C65" s="20">
        <f>Standing!$C$116</f>
        <v>7.2627535780601146E-2</v>
      </c>
      <c r="D65" s="20">
        <f>Standing!$D$116</f>
        <v>6.6990535502857315E-2</v>
      </c>
      <c r="E65" s="20">
        <f>Standing!$E$116</f>
        <v>0.12228912488870215</v>
      </c>
      <c r="F65" s="20">
        <f>Standing!$F$116</f>
        <v>0.15143095168887402</v>
      </c>
      <c r="G65" s="20">
        <f>Standing!$G$116</f>
        <v>0</v>
      </c>
      <c r="H65" s="20">
        <f>Standing!$H$116</f>
        <v>0</v>
      </c>
      <c r="I65" s="20">
        <f>Standing!$I$116</f>
        <v>0</v>
      </c>
      <c r="J65" s="20">
        <f>Standing!$J$116</f>
        <v>0</v>
      </c>
      <c r="K65" s="21"/>
      <c r="L65" s="21"/>
      <c r="M65" s="20">
        <f>Standing!$K$116</f>
        <v>3.6145636245369088E-2</v>
      </c>
      <c r="N65" s="20">
        <f>Standing!$L$116</f>
        <v>2.3977817007937153E-2</v>
      </c>
      <c r="O65" s="20">
        <f>Standing!$M$116</f>
        <v>2.2116774089700985E-2</v>
      </c>
      <c r="P65" s="20">
        <f>Standing!$N$116</f>
        <v>4.0373478559151015E-2</v>
      </c>
      <c r="Q65" s="20">
        <f>Standing!$O$116</f>
        <v>4.9994586900240556E-2</v>
      </c>
      <c r="R65" s="20">
        <f>Standing!$P$116</f>
        <v>0</v>
      </c>
      <c r="S65" s="20">
        <f>Standing!$Q$116</f>
        <v>0</v>
      </c>
      <c r="T65" s="20">
        <f>Standing!$R$116</f>
        <v>0</v>
      </c>
      <c r="U65" s="20">
        <f>Standing!$S$116</f>
        <v>0</v>
      </c>
      <c r="V65" s="21"/>
      <c r="W65" s="21"/>
      <c r="X65" s="6"/>
    </row>
    <row r="66" spans="1:24" x14ac:dyDescent="0.2">
      <c r="A66" s="5" t="s">
        <v>73</v>
      </c>
      <c r="B66" s="20">
        <f>Standing!$B$117</f>
        <v>0</v>
      </c>
      <c r="C66" s="20">
        <f>Standing!$C$117</f>
        <v>6.7366173771238338E-2</v>
      </c>
      <c r="D66" s="20">
        <f>Standing!$D$117</f>
        <v>6.2137535126438839E-2</v>
      </c>
      <c r="E66" s="20">
        <f>Standing!$E$117</f>
        <v>9.074409973067421E-2</v>
      </c>
      <c r="F66" s="20">
        <f>Standing!$F$117</f>
        <v>0</v>
      </c>
      <c r="G66" s="20">
        <f>Standing!$G$117</f>
        <v>0</v>
      </c>
      <c r="H66" s="20">
        <f>Standing!$H$117</f>
        <v>0</v>
      </c>
      <c r="I66" s="20">
        <f>Standing!$I$117</f>
        <v>0</v>
      </c>
      <c r="J66" s="20">
        <f>Standing!$J$117</f>
        <v>0</v>
      </c>
      <c r="K66" s="21"/>
      <c r="L66" s="21"/>
      <c r="M66" s="20">
        <f>Standing!$K$117</f>
        <v>3.3527135214022952E-2</v>
      </c>
      <c r="N66" s="20">
        <f>Standing!$L$117</f>
        <v>2.2240790216141334E-2</v>
      </c>
      <c r="O66" s="20">
        <f>Standing!$M$117</f>
        <v>2.0514566969295097E-2</v>
      </c>
      <c r="P66" s="20">
        <f>Standing!$N$117</f>
        <v>2.9958959704554301E-2</v>
      </c>
      <c r="Q66" s="20">
        <f>Standing!$O$117</f>
        <v>0</v>
      </c>
      <c r="R66" s="20">
        <f>Standing!$P$117</f>
        <v>0</v>
      </c>
      <c r="S66" s="20">
        <f>Standing!$Q$117</f>
        <v>0</v>
      </c>
      <c r="T66" s="20">
        <f>Standing!$R$117</f>
        <v>0</v>
      </c>
      <c r="U66" s="20">
        <f>Standing!$S$117</f>
        <v>0</v>
      </c>
      <c r="V66" s="21"/>
      <c r="W66" s="21"/>
      <c r="X66" s="6"/>
    </row>
    <row r="67" spans="1:24" x14ac:dyDescent="0.2">
      <c r="A67" s="5" t="s">
        <v>74</v>
      </c>
      <c r="B67" s="20">
        <f>Standing!$B$118</f>
        <v>0</v>
      </c>
      <c r="C67" s="20">
        <f>Standing!$C$118</f>
        <v>6.2462125284811161E-2</v>
      </c>
      <c r="D67" s="20">
        <f>Standing!$D$118</f>
        <v>5.7614115314562439E-2</v>
      </c>
      <c r="E67" s="20">
        <f>Standing!$E$118</f>
        <v>0</v>
      </c>
      <c r="F67" s="20">
        <f>Standing!$F$118</f>
        <v>0</v>
      </c>
      <c r="G67" s="20">
        <f>Standing!$G$118</f>
        <v>0</v>
      </c>
      <c r="H67" s="20">
        <f>Standing!$H$118</f>
        <v>0</v>
      </c>
      <c r="I67" s="20">
        <f>Standing!$I$118</f>
        <v>0</v>
      </c>
      <c r="J67" s="20">
        <f>Standing!$J$118</f>
        <v>0</v>
      </c>
      <c r="K67" s="21"/>
      <c r="L67" s="21"/>
      <c r="M67" s="20">
        <f>Standing!$K$118</f>
        <v>3.1086463768752792E-2</v>
      </c>
      <c r="N67" s="20">
        <f>Standing!$L$118</f>
        <v>2.0621729677438465E-2</v>
      </c>
      <c r="O67" s="20">
        <f>Standing!$M$118</f>
        <v>1.902117012836552E-2</v>
      </c>
      <c r="P67" s="20">
        <f>Standing!$N$118</f>
        <v>0</v>
      </c>
      <c r="Q67" s="20">
        <f>Standing!$O$118</f>
        <v>0</v>
      </c>
      <c r="R67" s="20">
        <f>Standing!$P$118</f>
        <v>0</v>
      </c>
      <c r="S67" s="20">
        <f>Standing!$Q$118</f>
        <v>0</v>
      </c>
      <c r="T67" s="20">
        <f>Standing!$R$118</f>
        <v>0</v>
      </c>
      <c r="U67" s="20">
        <f>Standing!$S$118</f>
        <v>0</v>
      </c>
      <c r="V67" s="21"/>
      <c r="W67" s="21"/>
      <c r="X67" s="6"/>
    </row>
    <row r="68" spans="1:24" x14ac:dyDescent="0.2">
      <c r="A68" s="5" t="s">
        <v>96</v>
      </c>
      <c r="B68" s="21"/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6"/>
    </row>
    <row r="69" spans="1:24" x14ac:dyDescent="0.2">
      <c r="A69" s="5" t="s">
        <v>97</v>
      </c>
      <c r="B69" s="21"/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6"/>
    </row>
    <row r="70" spans="1:24" x14ac:dyDescent="0.2">
      <c r="A70" s="5" t="s">
        <v>98</v>
      </c>
      <c r="B70" s="21"/>
      <c r="C70" s="21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6"/>
    </row>
    <row r="71" spans="1:24" x14ac:dyDescent="0.2">
      <c r="A71" s="5" t="s">
        <v>99</v>
      </c>
      <c r="B71" s="21"/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6"/>
    </row>
    <row r="72" spans="1:24" x14ac:dyDescent="0.2">
      <c r="A72" s="5" t="s">
        <v>100</v>
      </c>
      <c r="B72" s="20">
        <f>Yard!$B$112</f>
        <v>0</v>
      </c>
      <c r="C72" s="20">
        <f>Yard!$C$112</f>
        <v>5.714137030271698E-2</v>
      </c>
      <c r="D72" s="20">
        <f>Yard!$D$112</f>
        <v>5.2706331762512056E-2</v>
      </c>
      <c r="E72" s="20">
        <f>Yard!$E$112</f>
        <v>9.0919081090155243E-2</v>
      </c>
      <c r="F72" s="20">
        <f>Yard!$F$112</f>
        <v>0.11258534222638869</v>
      </c>
      <c r="G72" s="20">
        <f>Yard!$G$112</f>
        <v>0</v>
      </c>
      <c r="H72" s="20">
        <f>Yard!$H$112</f>
        <v>0.11449184262316578</v>
      </c>
      <c r="I72" s="20">
        <f>Yard!$I$112</f>
        <v>9.8961319485520768E-2</v>
      </c>
      <c r="J72" s="20">
        <f>Yard!$J$112</f>
        <v>2.5215990300293738E-3</v>
      </c>
      <c r="K72" s="21"/>
      <c r="L72" s="21"/>
      <c r="M72" s="20">
        <f>Yard!$K$112</f>
        <v>2.7631230704539999E-2</v>
      </c>
      <c r="N72" s="20">
        <f>Yard!$L$112</f>
        <v>1.8865094429753239E-2</v>
      </c>
      <c r="O72" s="20">
        <f>Yard!$M$112</f>
        <v>1.7400876466177686E-2</v>
      </c>
      <c r="P72" s="20">
        <f>Yard!$N$112</f>
        <v>3.0016729405430712E-2</v>
      </c>
      <c r="Q72" s="20">
        <f>Yard!$O$112</f>
        <v>3.7169796615919064E-2</v>
      </c>
      <c r="R72" s="20">
        <f>Yard!$P$112</f>
        <v>0</v>
      </c>
      <c r="S72" s="20">
        <f>Yard!$Q$112</f>
        <v>5.3998890598127881E-2</v>
      </c>
      <c r="T72" s="20">
        <f>Yard!$R$112</f>
        <v>4.6674080370366702E-2</v>
      </c>
      <c r="U72" s="20">
        <f>Yard!$S$112</f>
        <v>2.7750007605969951E-2</v>
      </c>
      <c r="V72" s="20">
        <f>Otex!$B$161</f>
        <v>1.4498443118306583</v>
      </c>
      <c r="W72" s="21"/>
      <c r="X72" s="6"/>
    </row>
    <row r="73" spans="1:24" x14ac:dyDescent="0.2">
      <c r="A73" s="5" t="s">
        <v>61</v>
      </c>
      <c r="B73" s="21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6"/>
    </row>
    <row r="74" spans="1:24" x14ac:dyDescent="0.2">
      <c r="A74" s="5" t="s">
        <v>62</v>
      </c>
      <c r="B74" s="21"/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6"/>
    </row>
    <row r="75" spans="1:24" x14ac:dyDescent="0.2">
      <c r="A75" s="5" t="s">
        <v>63</v>
      </c>
      <c r="B75" s="21"/>
      <c r="C75" s="21"/>
      <c r="D75" s="21"/>
      <c r="E75" s="21"/>
      <c r="F75" s="21"/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6"/>
    </row>
    <row r="76" spans="1:24" x14ac:dyDescent="0.2">
      <c r="A76" s="5" t="s">
        <v>64</v>
      </c>
      <c r="B76" s="20">
        <f>Yard!$B$108</f>
        <v>0</v>
      </c>
      <c r="C76" s="20">
        <f>Yard!$C$108</f>
        <v>-6.7023624210186872E-2</v>
      </c>
      <c r="D76" s="20">
        <f>Yard!$D$108</f>
        <v>-6.1821572616015397E-2</v>
      </c>
      <c r="E76" s="20">
        <f>Yard!$E$108</f>
        <v>-0.11285334499428532</v>
      </c>
      <c r="F76" s="20">
        <f>Yard!$F$108</f>
        <v>-0.13974660011109694</v>
      </c>
      <c r="G76" s="20">
        <f>Yard!$G$108</f>
        <v>0</v>
      </c>
      <c r="H76" s="20">
        <f>Yard!$H$108</f>
        <v>-0.14211304447491402</v>
      </c>
      <c r="I76" s="20">
        <f>Yard!$I$108</f>
        <v>-0.12283577655074268</v>
      </c>
      <c r="J76" s="20">
        <f>Yard!$J$108</f>
        <v>0</v>
      </c>
      <c r="K76" s="21"/>
      <c r="L76" s="21"/>
      <c r="M76" s="20">
        <f>Yard!$K$108</f>
        <v>-3.3356653430540971E-2</v>
      </c>
      <c r="N76" s="20">
        <f>Yard!$L$108</f>
        <v>-2.2127698251740203E-2</v>
      </c>
      <c r="O76" s="20">
        <f>Yard!$M$108</f>
        <v>-2.0410252659648298E-2</v>
      </c>
      <c r="P76" s="20">
        <f>Yard!$N$108</f>
        <v>-3.7258277124822152E-2</v>
      </c>
      <c r="Q76" s="20">
        <f>Yard!$O$108</f>
        <v>-4.6137024599976297E-2</v>
      </c>
      <c r="R76" s="20">
        <f>Yard!$P$108</f>
        <v>0</v>
      </c>
      <c r="S76" s="20">
        <f>Yard!$Q$108</f>
        <v>-6.7026144093300266E-2</v>
      </c>
      <c r="T76" s="20">
        <f>Yard!$R$108</f>
        <v>-5.7934220530725777E-2</v>
      </c>
      <c r="U76" s="20">
        <f>Yard!$S$108</f>
        <v>0</v>
      </c>
      <c r="V76" s="21"/>
      <c r="W76" s="21"/>
      <c r="X76" s="6"/>
    </row>
    <row r="77" spans="1:24" x14ac:dyDescent="0.2">
      <c r="A77" s="5" t="s">
        <v>65</v>
      </c>
      <c r="B77" s="21"/>
      <c r="C77" s="21"/>
      <c r="D77" s="21"/>
      <c r="E77" s="21"/>
      <c r="F77" s="21"/>
      <c r="G77" s="21"/>
      <c r="H77" s="21"/>
      <c r="I77" s="21"/>
      <c r="J77" s="21"/>
      <c r="K77" s="21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6"/>
    </row>
    <row r="78" spans="1:24" x14ac:dyDescent="0.2">
      <c r="A78" s="5" t="s">
        <v>66</v>
      </c>
      <c r="B78" s="20">
        <f>Yard!$B$109</f>
        <v>0</v>
      </c>
      <c r="C78" s="20">
        <f>Yard!$C$109</f>
        <v>-6.398262492660306E-2</v>
      </c>
      <c r="D78" s="20">
        <f>Yard!$D$109</f>
        <v>-5.9016601081713436E-2</v>
      </c>
      <c r="E78" s="20">
        <f>Yard!$E$109</f>
        <v>-0.10773295729037037</v>
      </c>
      <c r="F78" s="20">
        <f>Yard!$F$109</f>
        <v>-0.13340601026939564</v>
      </c>
      <c r="G78" s="20">
        <f>Yard!$G$109</f>
        <v>0</v>
      </c>
      <c r="H78" s="20">
        <f>Yard!$H$109</f>
        <v>-0.13566508419928272</v>
      </c>
      <c r="I78" s="20">
        <f>Yard!$I$109</f>
        <v>0</v>
      </c>
      <c r="J78" s="20">
        <f>Yard!$J$109</f>
        <v>0</v>
      </c>
      <c r="K78" s="21"/>
      <c r="L78" s="21"/>
      <c r="M78" s="20">
        <f>Yard!$K$109</f>
        <v>-3.1843193656015512E-2</v>
      </c>
      <c r="N78" s="20">
        <f>Yard!$L$109</f>
        <v>-2.112371920220571E-2</v>
      </c>
      <c r="O78" s="20">
        <f>Yard!$M$109</f>
        <v>-1.9484197638793114E-2</v>
      </c>
      <c r="P78" s="20">
        <f>Yard!$N$109</f>
        <v>-3.556779268177214E-2</v>
      </c>
      <c r="Q78" s="20">
        <f>Yard!$O$109</f>
        <v>-4.4043693175294982E-2</v>
      </c>
      <c r="R78" s="20">
        <f>Yard!$P$109</f>
        <v>0</v>
      </c>
      <c r="S78" s="20">
        <f>Yard!$Q$109</f>
        <v>-6.3985030477451785E-2</v>
      </c>
      <c r="T78" s="20">
        <f>Yard!$R$109</f>
        <v>0</v>
      </c>
      <c r="U78" s="20">
        <f>Yard!$S$109</f>
        <v>0</v>
      </c>
      <c r="V78" s="21"/>
      <c r="W78" s="21"/>
      <c r="X78" s="6"/>
    </row>
    <row r="79" spans="1:24" x14ac:dyDescent="0.2">
      <c r="A79" s="5" t="s">
        <v>75</v>
      </c>
      <c r="B79" s="21"/>
      <c r="C79" s="21"/>
      <c r="D79" s="21"/>
      <c r="E79" s="21"/>
      <c r="F79" s="21"/>
      <c r="G79" s="21"/>
      <c r="H79" s="21"/>
      <c r="I79" s="21"/>
      <c r="J79" s="21"/>
      <c r="K79" s="21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6"/>
    </row>
    <row r="80" spans="1:24" x14ac:dyDescent="0.2">
      <c r="A80" s="5" t="s">
        <v>76</v>
      </c>
      <c r="B80" s="20">
        <f>Yard!$B$110</f>
        <v>0</v>
      </c>
      <c r="C80" s="20">
        <f>Yard!$C$110</f>
        <v>-6.3191965112871271E-2</v>
      </c>
      <c r="D80" s="20">
        <f>Yard!$D$110</f>
        <v>-5.8287308482794918E-2</v>
      </c>
      <c r="E80" s="20">
        <f>Yard!$E$110</f>
        <v>-0.10640165648735246</v>
      </c>
      <c r="F80" s="20">
        <f>Yard!$F$110</f>
        <v>-5.6655706471537913E-2</v>
      </c>
      <c r="G80" s="20">
        <f>Yard!$G$110</f>
        <v>0</v>
      </c>
      <c r="H80" s="20">
        <f>Yard!$H$110</f>
        <v>0</v>
      </c>
      <c r="I80" s="20">
        <f>Yard!$I$110</f>
        <v>0</v>
      </c>
      <c r="J80" s="20">
        <f>Yard!$J$110</f>
        <v>0</v>
      </c>
      <c r="K80" s="21"/>
      <c r="L80" s="21"/>
      <c r="M80" s="20">
        <f>Yard!$K$110</f>
        <v>-3.1449694114638896E-2</v>
      </c>
      <c r="N80" s="20">
        <f>Yard!$L$110</f>
        <v>-2.0862684649326745E-2</v>
      </c>
      <c r="O80" s="20">
        <f>Yard!$M$110</f>
        <v>-1.9243423333370761E-2</v>
      </c>
      <c r="P80" s="20">
        <f>Yard!$N$110</f>
        <v>-3.5128266726579128E-2</v>
      </c>
      <c r="Q80" s="20">
        <f>Yard!$O$110</f>
        <v>-4.3499427004877834E-2</v>
      </c>
      <c r="R80" s="20">
        <f>Yard!$P$110</f>
        <v>0</v>
      </c>
      <c r="S80" s="20">
        <f>Yard!$Q$110</f>
        <v>0</v>
      </c>
      <c r="T80" s="20">
        <f>Yard!$R$110</f>
        <v>0</v>
      </c>
      <c r="U80" s="20">
        <f>Yard!$S$110</f>
        <v>0</v>
      </c>
      <c r="V80" s="21"/>
      <c r="W80" s="21"/>
      <c r="X80" s="6"/>
    </row>
    <row r="81" spans="1:24" x14ac:dyDescent="0.2">
      <c r="A81" s="5" t="s">
        <v>77</v>
      </c>
      <c r="B81" s="21"/>
      <c r="C81" s="21"/>
      <c r="D81" s="21"/>
      <c r="E81" s="21"/>
      <c r="F81" s="21"/>
      <c r="G81" s="21"/>
      <c r="H81" s="21"/>
      <c r="I81" s="21"/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21"/>
      <c r="X81" s="6"/>
    </row>
    <row r="82" spans="1:24" x14ac:dyDescent="0.2">
      <c r="A82" s="5" t="s">
        <v>78</v>
      </c>
      <c r="B82" s="20">
        <f>Yard!$B$111</f>
        <v>0</v>
      </c>
      <c r="C82" s="20">
        <f>Yard!$C$111</f>
        <v>-6.2462125284811161E-2</v>
      </c>
      <c r="D82" s="20">
        <f>Yard!$D$111</f>
        <v>-5.7614115314562439E-2</v>
      </c>
      <c r="E82" s="20">
        <f>Yard!$E$111</f>
        <v>-4.5224288278517544E-2</v>
      </c>
      <c r="F82" s="20">
        <f>Yard!$F$111</f>
        <v>0</v>
      </c>
      <c r="G82" s="20">
        <f>Yard!$G$111</f>
        <v>0</v>
      </c>
      <c r="H82" s="20">
        <f>Yard!$H$111</f>
        <v>0</v>
      </c>
      <c r="I82" s="20">
        <f>Yard!$I$111</f>
        <v>0</v>
      </c>
      <c r="J82" s="20">
        <f>Yard!$J$111</f>
        <v>0</v>
      </c>
      <c r="K82" s="21"/>
      <c r="L82" s="21"/>
      <c r="M82" s="20">
        <f>Yard!$K$111</f>
        <v>-3.1086463768752792E-2</v>
      </c>
      <c r="N82" s="20">
        <f>Yard!$L$111</f>
        <v>-2.0621729677438465E-2</v>
      </c>
      <c r="O82" s="20">
        <f>Yard!$M$111</f>
        <v>-1.902117012836552E-2</v>
      </c>
      <c r="P82" s="20">
        <f>Yard!$N$111</f>
        <v>-3.472255046024713E-2</v>
      </c>
      <c r="Q82" s="20">
        <f>Yard!$O$111</f>
        <v>0</v>
      </c>
      <c r="R82" s="20">
        <f>Yard!$P$111</f>
        <v>0</v>
      </c>
      <c r="S82" s="20">
        <f>Yard!$Q$111</f>
        <v>0</v>
      </c>
      <c r="T82" s="20">
        <f>Yard!$R$111</f>
        <v>0</v>
      </c>
      <c r="U82" s="20">
        <f>Yard!$S$111</f>
        <v>0</v>
      </c>
      <c r="V82" s="21"/>
      <c r="W82" s="21"/>
      <c r="X82" s="6"/>
    </row>
    <row r="84" spans="1:24" ht="16.5" x14ac:dyDescent="0.25">
      <c r="A84" s="3" t="s">
        <v>928</v>
      </c>
    </row>
    <row r="85" spans="1:24" x14ac:dyDescent="0.2">
      <c r="A85" s="10" t="s">
        <v>238</v>
      </c>
    </row>
    <row r="86" spans="1:24" x14ac:dyDescent="0.2">
      <c r="A86" s="11" t="s">
        <v>929</v>
      </c>
    </row>
    <row r="87" spans="1:24" x14ac:dyDescent="0.2">
      <c r="A87" s="11" t="s">
        <v>930</v>
      </c>
    </row>
    <row r="88" spans="1:24" x14ac:dyDescent="0.2">
      <c r="A88" s="11" t="s">
        <v>931</v>
      </c>
    </row>
    <row r="89" spans="1:24" x14ac:dyDescent="0.2">
      <c r="A89" s="11" t="s">
        <v>932</v>
      </c>
    </row>
    <row r="90" spans="1:24" x14ac:dyDescent="0.2">
      <c r="A90" s="11" t="s">
        <v>933</v>
      </c>
    </row>
    <row r="91" spans="1:24" x14ac:dyDescent="0.2">
      <c r="A91" s="10" t="s">
        <v>327</v>
      </c>
    </row>
    <row r="93" spans="1:24" ht="25.5" x14ac:dyDescent="0.2">
      <c r="B93" s="4" t="s">
        <v>21</v>
      </c>
      <c r="C93" s="4" t="s">
        <v>191</v>
      </c>
      <c r="D93" s="4" t="s">
        <v>192</v>
      </c>
      <c r="E93" s="4" t="s">
        <v>193</v>
      </c>
      <c r="F93" s="4" t="s">
        <v>194</v>
      </c>
      <c r="G93" s="4" t="s">
        <v>195</v>
      </c>
      <c r="H93" s="4" t="s">
        <v>196</v>
      </c>
      <c r="I93" s="4" t="s">
        <v>197</v>
      </c>
      <c r="J93" s="4" t="s">
        <v>198</v>
      </c>
      <c r="K93" s="4" t="s">
        <v>350</v>
      </c>
      <c r="L93" s="4" t="s">
        <v>362</v>
      </c>
      <c r="M93" s="4" t="s">
        <v>179</v>
      </c>
      <c r="N93" s="4" t="s">
        <v>699</v>
      </c>
      <c r="O93" s="4" t="s">
        <v>700</v>
      </c>
      <c r="P93" s="4" t="s">
        <v>701</v>
      </c>
      <c r="Q93" s="4" t="s">
        <v>702</v>
      </c>
      <c r="R93" s="4" t="s">
        <v>703</v>
      </c>
      <c r="S93" s="4" t="s">
        <v>704</v>
      </c>
      <c r="T93" s="4" t="s">
        <v>705</v>
      </c>
      <c r="U93" s="4" t="s">
        <v>706</v>
      </c>
      <c r="V93" s="4" t="s">
        <v>707</v>
      </c>
      <c r="W93" s="4" t="s">
        <v>708</v>
      </c>
    </row>
    <row r="94" spans="1:24" x14ac:dyDescent="0.2">
      <c r="A94" s="5" t="s">
        <v>53</v>
      </c>
      <c r="B94" s="21"/>
      <c r="C94" s="21"/>
      <c r="D94" s="21"/>
      <c r="E94" s="21"/>
      <c r="F94" s="21"/>
      <c r="G94" s="21"/>
      <c r="H94" s="21"/>
      <c r="I94" s="21"/>
      <c r="J94" s="21"/>
      <c r="K94" s="21"/>
      <c r="L94" s="21"/>
      <c r="M94" s="21"/>
      <c r="N94" s="21"/>
      <c r="O94" s="21"/>
      <c r="P94" s="21"/>
      <c r="Q94" s="21"/>
      <c r="R94" s="21"/>
      <c r="S94" s="21"/>
      <c r="T94" s="21"/>
      <c r="U94" s="21"/>
      <c r="V94" s="21"/>
      <c r="W94" s="21"/>
      <c r="X94" s="6"/>
    </row>
    <row r="95" spans="1:24" x14ac:dyDescent="0.2">
      <c r="A95" s="5" t="s">
        <v>54</v>
      </c>
      <c r="B95" s="21"/>
      <c r="C95" s="21"/>
      <c r="D95" s="21"/>
      <c r="E95" s="21"/>
      <c r="F95" s="21"/>
      <c r="G95" s="21"/>
      <c r="H95" s="21"/>
      <c r="I95" s="21"/>
      <c r="J95" s="21"/>
      <c r="K95" s="21"/>
      <c r="L95" s="21"/>
      <c r="M95" s="21"/>
      <c r="N95" s="21"/>
      <c r="O95" s="21"/>
      <c r="P95" s="21"/>
      <c r="Q95" s="21"/>
      <c r="R95" s="21"/>
      <c r="S95" s="21"/>
      <c r="T95" s="21"/>
      <c r="U95" s="21"/>
      <c r="V95" s="21"/>
      <c r="W95" s="21"/>
      <c r="X95" s="6"/>
    </row>
    <row r="96" spans="1:24" x14ac:dyDescent="0.2">
      <c r="A96" s="5" t="s">
        <v>94</v>
      </c>
      <c r="B96" s="21"/>
      <c r="C96" s="21"/>
      <c r="D96" s="21"/>
      <c r="E96" s="21"/>
      <c r="F96" s="21"/>
      <c r="G96" s="21"/>
      <c r="H96" s="21"/>
      <c r="I96" s="21"/>
      <c r="J96" s="21"/>
      <c r="K96" s="21"/>
      <c r="L96" s="21"/>
      <c r="M96" s="21"/>
      <c r="N96" s="21"/>
      <c r="O96" s="21"/>
      <c r="P96" s="21"/>
      <c r="Q96" s="21"/>
      <c r="R96" s="21"/>
      <c r="S96" s="21"/>
      <c r="T96" s="21"/>
      <c r="U96" s="21"/>
      <c r="V96" s="21"/>
      <c r="W96" s="21"/>
      <c r="X96" s="6"/>
    </row>
    <row r="97" spans="1:24" x14ac:dyDescent="0.2">
      <c r="A97" s="5" t="s">
        <v>55</v>
      </c>
      <c r="B97" s="21"/>
      <c r="C97" s="21"/>
      <c r="D97" s="21"/>
      <c r="E97" s="21"/>
      <c r="F97" s="21"/>
      <c r="G97" s="21"/>
      <c r="H97" s="21"/>
      <c r="I97" s="21"/>
      <c r="J97" s="21"/>
      <c r="K97" s="21"/>
      <c r="L97" s="21"/>
      <c r="M97" s="21"/>
      <c r="N97" s="21"/>
      <c r="O97" s="21"/>
      <c r="P97" s="21"/>
      <c r="Q97" s="21"/>
      <c r="R97" s="21"/>
      <c r="S97" s="21"/>
      <c r="T97" s="21"/>
      <c r="U97" s="21"/>
      <c r="V97" s="21"/>
      <c r="W97" s="21"/>
      <c r="X97" s="6"/>
    </row>
    <row r="98" spans="1:24" x14ac:dyDescent="0.2">
      <c r="A98" s="5" t="s">
        <v>56</v>
      </c>
      <c r="B98" s="21"/>
      <c r="C98" s="21"/>
      <c r="D98" s="21"/>
      <c r="E98" s="21"/>
      <c r="F98" s="21"/>
      <c r="G98" s="21"/>
      <c r="H98" s="21"/>
      <c r="I98" s="21"/>
      <c r="J98" s="21"/>
      <c r="K98" s="21"/>
      <c r="L98" s="21"/>
      <c r="M98" s="21"/>
      <c r="N98" s="21"/>
      <c r="O98" s="21"/>
      <c r="P98" s="21"/>
      <c r="Q98" s="21"/>
      <c r="R98" s="21"/>
      <c r="S98" s="21"/>
      <c r="T98" s="21"/>
      <c r="U98" s="21"/>
      <c r="V98" s="21"/>
      <c r="W98" s="21"/>
      <c r="X98" s="6"/>
    </row>
    <row r="99" spans="1:24" x14ac:dyDescent="0.2">
      <c r="A99" s="5" t="s">
        <v>95</v>
      </c>
      <c r="B99" s="21"/>
      <c r="C99" s="21"/>
      <c r="D99" s="21"/>
      <c r="E99" s="21"/>
      <c r="F99" s="21"/>
      <c r="G99" s="21"/>
      <c r="H99" s="21"/>
      <c r="I99" s="21"/>
      <c r="J99" s="21"/>
      <c r="K99" s="21"/>
      <c r="L99" s="21"/>
      <c r="M99" s="21"/>
      <c r="N99" s="21"/>
      <c r="O99" s="21"/>
      <c r="P99" s="21"/>
      <c r="Q99" s="21"/>
      <c r="R99" s="21"/>
      <c r="S99" s="21"/>
      <c r="T99" s="21"/>
      <c r="U99" s="21"/>
      <c r="V99" s="21"/>
      <c r="W99" s="21"/>
      <c r="X99" s="6"/>
    </row>
    <row r="100" spans="1:24" x14ac:dyDescent="0.2">
      <c r="A100" s="5" t="s">
        <v>57</v>
      </c>
      <c r="B100" s="21"/>
      <c r="C100" s="21"/>
      <c r="D100" s="21"/>
      <c r="E100" s="21"/>
      <c r="F100" s="21"/>
      <c r="G100" s="21"/>
      <c r="H100" s="21"/>
      <c r="I100" s="21"/>
      <c r="J100" s="21"/>
      <c r="K100" s="21"/>
      <c r="L100" s="21"/>
      <c r="M100" s="21"/>
      <c r="N100" s="21"/>
      <c r="O100" s="21"/>
      <c r="P100" s="21"/>
      <c r="Q100" s="21"/>
      <c r="R100" s="21"/>
      <c r="S100" s="21"/>
      <c r="T100" s="21"/>
      <c r="U100" s="21"/>
      <c r="V100" s="21"/>
      <c r="W100" s="21"/>
      <c r="X100" s="6"/>
    </row>
    <row r="101" spans="1:24" x14ac:dyDescent="0.2">
      <c r="A101" s="5" t="s">
        <v>58</v>
      </c>
      <c r="B101" s="21"/>
      <c r="C101" s="21"/>
      <c r="D101" s="21"/>
      <c r="E101" s="21"/>
      <c r="F101" s="21"/>
      <c r="G101" s="21"/>
      <c r="H101" s="21"/>
      <c r="I101" s="21"/>
      <c r="J101" s="21"/>
      <c r="K101" s="21"/>
      <c r="L101" s="21"/>
      <c r="M101" s="21"/>
      <c r="N101" s="21"/>
      <c r="O101" s="21"/>
      <c r="P101" s="21"/>
      <c r="Q101" s="21"/>
      <c r="R101" s="21"/>
      <c r="S101" s="21"/>
      <c r="T101" s="21"/>
      <c r="U101" s="21"/>
      <c r="V101" s="21"/>
      <c r="W101" s="21"/>
      <c r="X101" s="6"/>
    </row>
    <row r="102" spans="1:24" x14ac:dyDescent="0.2">
      <c r="A102" s="5" t="s">
        <v>72</v>
      </c>
      <c r="B102" s="21"/>
      <c r="C102" s="21"/>
      <c r="D102" s="21"/>
      <c r="E102" s="21"/>
      <c r="F102" s="21"/>
      <c r="G102" s="21"/>
      <c r="H102" s="21"/>
      <c r="I102" s="21"/>
      <c r="J102" s="21"/>
      <c r="K102" s="21"/>
      <c r="L102" s="21"/>
      <c r="M102" s="21"/>
      <c r="N102" s="21"/>
      <c r="O102" s="21"/>
      <c r="P102" s="21"/>
      <c r="Q102" s="21"/>
      <c r="R102" s="21"/>
      <c r="S102" s="21"/>
      <c r="T102" s="21"/>
      <c r="U102" s="21"/>
      <c r="V102" s="21"/>
      <c r="W102" s="21"/>
      <c r="X102" s="6"/>
    </row>
    <row r="103" spans="1:24" x14ac:dyDescent="0.2">
      <c r="A103" s="5" t="s">
        <v>59</v>
      </c>
      <c r="B103" s="20">
        <f>Standing!$B$131</f>
        <v>0</v>
      </c>
      <c r="C103" s="20">
        <f>Standing!$C$131</f>
        <v>9.5408988286650228E-3</v>
      </c>
      <c r="D103" s="20">
        <f>Standing!$D$131</f>
        <v>8.8003801153552479E-3</v>
      </c>
      <c r="E103" s="20">
        <f>Standing!$E$131</f>
        <v>1.443885098857884E-2</v>
      </c>
      <c r="F103" s="20">
        <f>Standing!$F$131</f>
        <v>1.7879667946633045E-2</v>
      </c>
      <c r="G103" s="20">
        <f>Standing!$G$131</f>
        <v>0</v>
      </c>
      <c r="H103" s="20">
        <f>Standing!$H$131</f>
        <v>1.4545951280827116E-2</v>
      </c>
      <c r="I103" s="20">
        <f>Standing!$I$131</f>
        <v>0</v>
      </c>
      <c r="J103" s="20">
        <f>Standing!$J$131</f>
        <v>0</v>
      </c>
      <c r="K103" s="21"/>
      <c r="L103" s="21"/>
      <c r="M103" s="20">
        <f>Standing!$K$131</f>
        <v>5.615857252003008E-3</v>
      </c>
      <c r="N103" s="20">
        <f>Standing!$L$131</f>
        <v>3.1499062132034567E-3</v>
      </c>
      <c r="O103" s="20">
        <f>Standing!$M$131</f>
        <v>2.9054256314536703E-3</v>
      </c>
      <c r="P103" s="20">
        <f>Standing!$N$131</f>
        <v>4.7669540634681607E-3</v>
      </c>
      <c r="Q103" s="20">
        <f>Standing!$O$131</f>
        <v>5.9029320157872808E-3</v>
      </c>
      <c r="R103" s="20">
        <f>Standing!$P$131</f>
        <v>0</v>
      </c>
      <c r="S103" s="20">
        <f>Standing!$Q$131</f>
        <v>6.8604471188775697E-3</v>
      </c>
      <c r="T103" s="20">
        <f>Standing!$R$131</f>
        <v>0</v>
      </c>
      <c r="U103" s="20">
        <f>Standing!$S$131</f>
        <v>0</v>
      </c>
      <c r="V103" s="21"/>
      <c r="W103" s="21"/>
      <c r="X103" s="6"/>
    </row>
    <row r="104" spans="1:24" x14ac:dyDescent="0.2">
      <c r="A104" s="5" t="s">
        <v>60</v>
      </c>
      <c r="B104" s="20">
        <f>Standing!$B$132</f>
        <v>0</v>
      </c>
      <c r="C104" s="20">
        <f>Standing!$C$132</f>
        <v>1.085306615343579E-2</v>
      </c>
      <c r="D104" s="20">
        <f>Standing!$D$132</f>
        <v>1.001070331868255E-2</v>
      </c>
      <c r="E104" s="20">
        <f>Standing!$E$132</f>
        <v>1.6424637528681812E-2</v>
      </c>
      <c r="F104" s="20">
        <f>Standing!$F$132</f>
        <v>2.0338672750964022E-2</v>
      </c>
      <c r="G104" s="20">
        <f>Standing!$G$132</f>
        <v>0</v>
      </c>
      <c r="H104" s="20">
        <f>Standing!$H$132</f>
        <v>0</v>
      </c>
      <c r="I104" s="20">
        <f>Standing!$I$132</f>
        <v>0</v>
      </c>
      <c r="J104" s="20">
        <f>Standing!$J$132</f>
        <v>0</v>
      </c>
      <c r="K104" s="21"/>
      <c r="L104" s="21"/>
      <c r="M104" s="20">
        <f>Standing!$K$132</f>
        <v>6.388210519654873E-3</v>
      </c>
      <c r="N104" s="20">
        <f>Standing!$L$132</f>
        <v>3.5831152937399833E-3</v>
      </c>
      <c r="O104" s="20">
        <f>Standing!$M$132</f>
        <v>3.3050111051713929E-3</v>
      </c>
      <c r="P104" s="20">
        <f>Standing!$N$132</f>
        <v>5.4225570074982639E-3</v>
      </c>
      <c r="Q104" s="20">
        <f>Standing!$O$132</f>
        <v>6.7147669016355644E-3</v>
      </c>
      <c r="R104" s="20">
        <f>Standing!$P$132</f>
        <v>0</v>
      </c>
      <c r="S104" s="20">
        <f>Standing!$Q$132</f>
        <v>0</v>
      </c>
      <c r="T104" s="20">
        <f>Standing!$R$132</f>
        <v>0</v>
      </c>
      <c r="U104" s="20">
        <f>Standing!$S$132</f>
        <v>0</v>
      </c>
      <c r="V104" s="21"/>
      <c r="W104" s="21"/>
      <c r="X104" s="6"/>
    </row>
    <row r="105" spans="1:24" x14ac:dyDescent="0.2">
      <c r="A105" s="5" t="s">
        <v>73</v>
      </c>
      <c r="B105" s="20">
        <f>Standing!$B$133</f>
        <v>0</v>
      </c>
      <c r="C105" s="20">
        <f>Standing!$C$133</f>
        <v>1.0066836669934024E-2</v>
      </c>
      <c r="D105" s="20">
        <f>Standing!$D$133</f>
        <v>9.2854971890538682E-3</v>
      </c>
      <c r="E105" s="20">
        <f>Standing!$E$133</f>
        <v>1.2187829026492391E-2</v>
      </c>
      <c r="F105" s="20">
        <f>Standing!$F$133</f>
        <v>0</v>
      </c>
      <c r="G105" s="20">
        <f>Standing!$G$133</f>
        <v>0</v>
      </c>
      <c r="H105" s="20">
        <f>Standing!$H$133</f>
        <v>0</v>
      </c>
      <c r="I105" s="20">
        <f>Standing!$I$133</f>
        <v>0</v>
      </c>
      <c r="J105" s="20">
        <f>Standing!$J$133</f>
        <v>0</v>
      </c>
      <c r="K105" s="21"/>
      <c r="L105" s="21"/>
      <c r="M105" s="20">
        <f>Standing!$K$133</f>
        <v>5.9254289069417881E-3</v>
      </c>
      <c r="N105" s="20">
        <f>Standing!$L$133</f>
        <v>3.3235434043866106E-3</v>
      </c>
      <c r="O105" s="20">
        <f>Standing!$M$133</f>
        <v>3.0655859383613756E-3</v>
      </c>
      <c r="P105" s="20">
        <f>Standing!$N$133</f>
        <v>4.0237842435419131E-3</v>
      </c>
      <c r="Q105" s="20">
        <f>Standing!$O$133</f>
        <v>0</v>
      </c>
      <c r="R105" s="20">
        <f>Standing!$P$133</f>
        <v>0</v>
      </c>
      <c r="S105" s="20">
        <f>Standing!$Q$133</f>
        <v>0</v>
      </c>
      <c r="T105" s="20">
        <f>Standing!$R$133</f>
        <v>0</v>
      </c>
      <c r="U105" s="20">
        <f>Standing!$S$133</f>
        <v>0</v>
      </c>
      <c r="V105" s="21"/>
      <c r="W105" s="21"/>
      <c r="X105" s="6"/>
    </row>
    <row r="106" spans="1:24" x14ac:dyDescent="0.2">
      <c r="A106" s="5" t="s">
        <v>74</v>
      </c>
      <c r="B106" s="20">
        <f>Standing!$B$134</f>
        <v>0</v>
      </c>
      <c r="C106" s="20">
        <f>Standing!$C$134</f>
        <v>9.3340021868306162E-3</v>
      </c>
      <c r="D106" s="20">
        <f>Standing!$D$134</f>
        <v>8.6095417965101825E-3</v>
      </c>
      <c r="E106" s="20">
        <f>Standing!$E$134</f>
        <v>0</v>
      </c>
      <c r="F106" s="20">
        <f>Standing!$F$134</f>
        <v>0</v>
      </c>
      <c r="G106" s="20">
        <f>Standing!$G$134</f>
        <v>0</v>
      </c>
      <c r="H106" s="20">
        <f>Standing!$H$134</f>
        <v>0</v>
      </c>
      <c r="I106" s="20">
        <f>Standing!$I$134</f>
        <v>0</v>
      </c>
      <c r="J106" s="20">
        <f>Standing!$J$134</f>
        <v>0</v>
      </c>
      <c r="K106" s="21"/>
      <c r="L106" s="21"/>
      <c r="M106" s="20">
        <f>Standing!$K$134</f>
        <v>5.4940760626909502E-3</v>
      </c>
      <c r="N106" s="20">
        <f>Standing!$L$134</f>
        <v>3.0815997538951238E-3</v>
      </c>
      <c r="O106" s="20">
        <f>Standing!$M$134</f>
        <v>2.8424207912344929E-3</v>
      </c>
      <c r="P106" s="20">
        <f>Standing!$N$134</f>
        <v>0</v>
      </c>
      <c r="Q106" s="20">
        <f>Standing!$O$134</f>
        <v>0</v>
      </c>
      <c r="R106" s="20">
        <f>Standing!$P$134</f>
        <v>0</v>
      </c>
      <c r="S106" s="20">
        <f>Standing!$Q$134</f>
        <v>0</v>
      </c>
      <c r="T106" s="20">
        <f>Standing!$R$134</f>
        <v>0</v>
      </c>
      <c r="U106" s="20">
        <f>Standing!$S$134</f>
        <v>0</v>
      </c>
      <c r="V106" s="21"/>
      <c r="W106" s="21"/>
      <c r="X106" s="6"/>
    </row>
    <row r="107" spans="1:24" x14ac:dyDescent="0.2">
      <c r="A107" s="5" t="s">
        <v>96</v>
      </c>
      <c r="B107" s="21"/>
      <c r="C107" s="21"/>
      <c r="D107" s="21"/>
      <c r="E107" s="21"/>
      <c r="F107" s="21"/>
      <c r="G107" s="21"/>
      <c r="H107" s="21"/>
      <c r="I107" s="21"/>
      <c r="J107" s="21"/>
      <c r="K107" s="21"/>
      <c r="L107" s="21"/>
      <c r="M107" s="21"/>
      <c r="N107" s="21"/>
      <c r="O107" s="21"/>
      <c r="P107" s="21"/>
      <c r="Q107" s="21"/>
      <c r="R107" s="21"/>
      <c r="S107" s="21"/>
      <c r="T107" s="21"/>
      <c r="U107" s="21"/>
      <c r="V107" s="21"/>
      <c r="W107" s="21"/>
      <c r="X107" s="6"/>
    </row>
    <row r="108" spans="1:24" x14ac:dyDescent="0.2">
      <c r="A108" s="5" t="s">
        <v>97</v>
      </c>
      <c r="B108" s="21"/>
      <c r="C108" s="21"/>
      <c r="D108" s="21"/>
      <c r="E108" s="21"/>
      <c r="F108" s="21"/>
      <c r="G108" s="21"/>
      <c r="H108" s="21"/>
      <c r="I108" s="21"/>
      <c r="J108" s="21"/>
      <c r="K108" s="21"/>
      <c r="L108" s="21"/>
      <c r="M108" s="21"/>
      <c r="N108" s="21"/>
      <c r="O108" s="21"/>
      <c r="P108" s="21"/>
      <c r="Q108" s="21"/>
      <c r="R108" s="21"/>
      <c r="S108" s="21"/>
      <c r="T108" s="21"/>
      <c r="U108" s="21"/>
      <c r="V108" s="21"/>
      <c r="W108" s="21"/>
      <c r="X108" s="6"/>
    </row>
    <row r="109" spans="1:24" x14ac:dyDescent="0.2">
      <c r="A109" s="5" t="s">
        <v>98</v>
      </c>
      <c r="B109" s="21"/>
      <c r="C109" s="21"/>
      <c r="D109" s="21"/>
      <c r="E109" s="21"/>
      <c r="F109" s="21"/>
      <c r="G109" s="21"/>
      <c r="H109" s="21"/>
      <c r="I109" s="21"/>
      <c r="J109" s="21"/>
      <c r="K109" s="21"/>
      <c r="L109" s="21"/>
      <c r="M109" s="21"/>
      <c r="N109" s="21"/>
      <c r="O109" s="21"/>
      <c r="P109" s="21"/>
      <c r="Q109" s="21"/>
      <c r="R109" s="21"/>
      <c r="S109" s="21"/>
      <c r="T109" s="21"/>
      <c r="U109" s="21"/>
      <c r="V109" s="21"/>
      <c r="W109" s="21"/>
      <c r="X109" s="6"/>
    </row>
    <row r="110" spans="1:24" x14ac:dyDescent="0.2">
      <c r="A110" s="5" t="s">
        <v>99</v>
      </c>
      <c r="B110" s="21"/>
      <c r="C110" s="21"/>
      <c r="D110" s="21"/>
      <c r="E110" s="21"/>
      <c r="F110" s="21"/>
      <c r="G110" s="21"/>
      <c r="H110" s="21"/>
      <c r="I110" s="21"/>
      <c r="J110" s="21"/>
      <c r="K110" s="21"/>
      <c r="L110" s="21"/>
      <c r="M110" s="21"/>
      <c r="N110" s="21"/>
      <c r="O110" s="21"/>
      <c r="P110" s="21"/>
      <c r="Q110" s="21"/>
      <c r="R110" s="21"/>
      <c r="S110" s="21"/>
      <c r="T110" s="21"/>
      <c r="U110" s="21"/>
      <c r="V110" s="21"/>
      <c r="W110" s="21"/>
      <c r="X110" s="6"/>
    </row>
    <row r="111" spans="1:24" x14ac:dyDescent="0.2">
      <c r="A111" s="5" t="s">
        <v>100</v>
      </c>
      <c r="B111" s="20">
        <f>Yard!$B$135</f>
        <v>0</v>
      </c>
      <c r="C111" s="20">
        <f>Yard!$C$135</f>
        <v>9.3741910503643694E-3</v>
      </c>
      <c r="D111" s="20">
        <f>Yard!$D$135</f>
        <v>8.6466113936050134E-3</v>
      </c>
      <c r="E111" s="20">
        <f>Yard!$E$135</f>
        <v>1.418656147029065E-2</v>
      </c>
      <c r="F111" s="20">
        <f>Yard!$F$135</f>
        <v>1.7567257158754086E-2</v>
      </c>
      <c r="G111" s="20">
        <f>Yard!$G$135</f>
        <v>0</v>
      </c>
      <c r="H111" s="20">
        <f>Yard!$H$135</f>
        <v>1.7864738003783659E-2</v>
      </c>
      <c r="I111" s="20">
        <f>Yard!$I$135</f>
        <v>1.5441432372928257E-2</v>
      </c>
      <c r="J111" s="20">
        <f>Yard!$J$135</f>
        <v>3.9345777821340626E-4</v>
      </c>
      <c r="K111" s="21"/>
      <c r="L111" s="21"/>
      <c r="M111" s="20">
        <f>Yard!$K$135</f>
        <v>5.5177315824463521E-3</v>
      </c>
      <c r="N111" s="20">
        <f>Yard!$L$135</f>
        <v>3.0948680164791706E-3</v>
      </c>
      <c r="O111" s="20">
        <f>Yard!$M$135</f>
        <v>2.8546592350443298E-3</v>
      </c>
      <c r="P111" s="20">
        <f>Yard!$N$135</f>
        <v>4.6836612484563852E-3</v>
      </c>
      <c r="Q111" s="20">
        <f>Yard!$O$135</f>
        <v>5.7997902993218295E-3</v>
      </c>
      <c r="R111" s="20">
        <f>Yard!$P$135</f>
        <v>0</v>
      </c>
      <c r="S111" s="20">
        <f>Yard!$Q$135</f>
        <v>8.425718469792039E-3</v>
      </c>
      <c r="T111" s="20">
        <f>Yard!$R$135</f>
        <v>7.282791492216157E-3</v>
      </c>
      <c r="U111" s="20">
        <f>Yard!$S$135</f>
        <v>4.3299732463503021E-3</v>
      </c>
      <c r="V111" s="20">
        <f>Otex!$B$161</f>
        <v>1.4498443118306583</v>
      </c>
      <c r="W111" s="21"/>
      <c r="X111" s="6"/>
    </row>
    <row r="112" spans="1:24" x14ac:dyDescent="0.2">
      <c r="A112" s="5" t="s">
        <v>61</v>
      </c>
      <c r="B112" s="21"/>
      <c r="C112" s="21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  <c r="R112" s="21"/>
      <c r="S112" s="21"/>
      <c r="T112" s="21"/>
      <c r="U112" s="21"/>
      <c r="V112" s="21"/>
      <c r="W112" s="21"/>
      <c r="X112" s="6"/>
    </row>
    <row r="113" spans="1:24" x14ac:dyDescent="0.2">
      <c r="A113" s="5" t="s">
        <v>62</v>
      </c>
      <c r="B113" s="21"/>
      <c r="C113" s="21"/>
      <c r="D113" s="21"/>
      <c r="E113" s="21"/>
      <c r="F113" s="21"/>
      <c r="G113" s="21"/>
      <c r="H113" s="21"/>
      <c r="I113" s="21"/>
      <c r="J113" s="21"/>
      <c r="K113" s="21"/>
      <c r="L113" s="21"/>
      <c r="M113" s="21"/>
      <c r="N113" s="21"/>
      <c r="O113" s="21"/>
      <c r="P113" s="21"/>
      <c r="Q113" s="21"/>
      <c r="R113" s="21"/>
      <c r="S113" s="21"/>
      <c r="T113" s="21"/>
      <c r="U113" s="21"/>
      <c r="V113" s="21"/>
      <c r="W113" s="21"/>
      <c r="X113" s="6"/>
    </row>
    <row r="114" spans="1:24" x14ac:dyDescent="0.2">
      <c r="A114" s="5" t="s">
        <v>63</v>
      </c>
      <c r="B114" s="21"/>
      <c r="C114" s="21"/>
      <c r="D114" s="21"/>
      <c r="E114" s="21"/>
      <c r="F114" s="21"/>
      <c r="G114" s="21"/>
      <c r="H114" s="21"/>
      <c r="I114" s="21"/>
      <c r="J114" s="21"/>
      <c r="K114" s="21"/>
      <c r="L114" s="21"/>
      <c r="M114" s="21"/>
      <c r="N114" s="21"/>
      <c r="O114" s="21"/>
      <c r="P114" s="21"/>
      <c r="Q114" s="21"/>
      <c r="R114" s="21"/>
      <c r="S114" s="21"/>
      <c r="T114" s="21"/>
      <c r="U114" s="21"/>
      <c r="V114" s="21"/>
      <c r="W114" s="21"/>
      <c r="X114" s="6"/>
    </row>
    <row r="115" spans="1:24" x14ac:dyDescent="0.2">
      <c r="A115" s="5" t="s">
        <v>64</v>
      </c>
      <c r="B115" s="20">
        <f>Yard!$B$131</f>
        <v>0</v>
      </c>
      <c r="C115" s="20">
        <f>Yard!$C$131</f>
        <v>-1.0015647916151255E-2</v>
      </c>
      <c r="D115" s="20">
        <f>Yard!$D$131</f>
        <v>-9.238281460325435E-3</v>
      </c>
      <c r="E115" s="20">
        <f>Yard!$E$131</f>
        <v>-1.5157319075734586E-2</v>
      </c>
      <c r="F115" s="20">
        <f>Yard!$F$131</f>
        <v>-1.8769348908003067E-2</v>
      </c>
      <c r="G115" s="20">
        <f>Yard!$G$131</f>
        <v>0</v>
      </c>
      <c r="H115" s="20">
        <f>Yard!$H$131</f>
        <v>-1.9087185763429604E-2</v>
      </c>
      <c r="I115" s="20">
        <f>Yard!$I$131</f>
        <v>-1.6498058247095153E-2</v>
      </c>
      <c r="J115" s="20">
        <f>Yard!$J$131</f>
        <v>0</v>
      </c>
      <c r="K115" s="21"/>
      <c r="L115" s="21"/>
      <c r="M115" s="20">
        <f>Yard!$K$131</f>
        <v>-5.8952987547083039E-3</v>
      </c>
      <c r="N115" s="20">
        <f>Yard!$L$131</f>
        <v>-3.3066435528650694E-3</v>
      </c>
      <c r="O115" s="20">
        <f>Yard!$M$131</f>
        <v>-3.0499977720938759E-3</v>
      </c>
      <c r="P115" s="20">
        <f>Yard!$N$131</f>
        <v>-5.0041546807643982E-3</v>
      </c>
      <c r="Q115" s="20">
        <f>Yard!$O$131</f>
        <v>-6.196658177055084E-3</v>
      </c>
      <c r="R115" s="20">
        <f>Yard!$P$131</f>
        <v>0</v>
      </c>
      <c r="S115" s="20">
        <f>Yard!$Q$131</f>
        <v>-9.0022732821057293E-3</v>
      </c>
      <c r="T115" s="20">
        <f>Yard!$R$131</f>
        <v>-7.7811381313744026E-3</v>
      </c>
      <c r="U115" s="20">
        <f>Yard!$S$131</f>
        <v>0</v>
      </c>
      <c r="V115" s="21"/>
      <c r="W115" s="21"/>
      <c r="X115" s="6"/>
    </row>
    <row r="116" spans="1:24" x14ac:dyDescent="0.2">
      <c r="A116" s="5" t="s">
        <v>65</v>
      </c>
      <c r="B116" s="21"/>
      <c r="C116" s="21"/>
      <c r="D116" s="21"/>
      <c r="E116" s="21"/>
      <c r="F116" s="21"/>
      <c r="G116" s="21"/>
      <c r="H116" s="21"/>
      <c r="I116" s="21"/>
      <c r="J116" s="21"/>
      <c r="K116" s="21"/>
      <c r="L116" s="21"/>
      <c r="M116" s="21"/>
      <c r="N116" s="21"/>
      <c r="O116" s="21"/>
      <c r="P116" s="21"/>
      <c r="Q116" s="21"/>
      <c r="R116" s="21"/>
      <c r="S116" s="21"/>
      <c r="T116" s="21"/>
      <c r="U116" s="21"/>
      <c r="V116" s="21"/>
      <c r="W116" s="21"/>
      <c r="X116" s="6"/>
    </row>
    <row r="117" spans="1:24" x14ac:dyDescent="0.2">
      <c r="A117" s="5" t="s">
        <v>66</v>
      </c>
      <c r="B117" s="20">
        <f>Yard!$B$132</f>
        <v>0</v>
      </c>
      <c r="C117" s="20">
        <f>Yard!$C$132</f>
        <v>-9.5612174299374939E-3</v>
      </c>
      <c r="D117" s="20">
        <f>Yard!$D$132</f>
        <v>-8.8191216844485994E-3</v>
      </c>
      <c r="E117" s="20">
        <f>Yard!$E$132</f>
        <v>-1.4469600424385465E-2</v>
      </c>
      <c r="F117" s="20">
        <f>Yard!$F$132</f>
        <v>-1.7917745055552832E-2</v>
      </c>
      <c r="G117" s="20">
        <f>Yard!$G$132</f>
        <v>0</v>
      </c>
      <c r="H117" s="20">
        <f>Yard!$H$132</f>
        <v>-1.8221161001023539E-2</v>
      </c>
      <c r="I117" s="20">
        <f>Yard!$I$132</f>
        <v>0</v>
      </c>
      <c r="J117" s="20">
        <f>Yard!$J$132</f>
        <v>0</v>
      </c>
      <c r="K117" s="21"/>
      <c r="L117" s="21"/>
      <c r="M117" s="20">
        <f>Yard!$K$132</f>
        <v>-5.6278169600300684E-3</v>
      </c>
      <c r="N117" s="20">
        <f>Yard!$L$132</f>
        <v>-3.1566143535517728E-3</v>
      </c>
      <c r="O117" s="20">
        <f>Yard!$M$132</f>
        <v>-2.9116131181876202E-3</v>
      </c>
      <c r="P117" s="20">
        <f>Yard!$N$132</f>
        <v>-4.7771059202941441E-3</v>
      </c>
      <c r="Q117" s="20">
        <f>Yard!$O$132</f>
        <v>-5.9155030873520396E-3</v>
      </c>
      <c r="R117" s="20">
        <f>Yard!$P$132</f>
        <v>0</v>
      </c>
      <c r="S117" s="20">
        <f>Yard!$Q$132</f>
        <v>-8.5938216812842354E-3</v>
      </c>
      <c r="T117" s="20">
        <f>Yard!$R$132</f>
        <v>0</v>
      </c>
      <c r="U117" s="20">
        <f>Yard!$S$132</f>
        <v>0</v>
      </c>
      <c r="V117" s="21"/>
      <c r="W117" s="21"/>
      <c r="X117" s="6"/>
    </row>
    <row r="118" spans="1:24" x14ac:dyDescent="0.2">
      <c r="A118" s="5" t="s">
        <v>75</v>
      </c>
      <c r="B118" s="21"/>
      <c r="C118" s="21"/>
      <c r="D118" s="21"/>
      <c r="E118" s="21"/>
      <c r="F118" s="21"/>
      <c r="G118" s="21"/>
      <c r="H118" s="21"/>
      <c r="I118" s="21"/>
      <c r="J118" s="21"/>
      <c r="K118" s="21"/>
      <c r="L118" s="21"/>
      <c r="M118" s="21"/>
      <c r="N118" s="21"/>
      <c r="O118" s="21"/>
      <c r="P118" s="21"/>
      <c r="Q118" s="21"/>
      <c r="R118" s="21"/>
      <c r="S118" s="21"/>
      <c r="T118" s="21"/>
      <c r="U118" s="21"/>
      <c r="V118" s="21"/>
      <c r="W118" s="21"/>
      <c r="X118" s="6"/>
    </row>
    <row r="119" spans="1:24" x14ac:dyDescent="0.2">
      <c r="A119" s="5" t="s">
        <v>76</v>
      </c>
      <c r="B119" s="20">
        <f>Yard!$B$133</f>
        <v>0</v>
      </c>
      <c r="C119" s="20">
        <f>Yard!$C$133</f>
        <v>-9.4430655035219191E-3</v>
      </c>
      <c r="D119" s="20">
        <f>Yard!$D$133</f>
        <v>-8.7101401427206217E-3</v>
      </c>
      <c r="E119" s="20">
        <f>Yard!$E$133</f>
        <v>-1.4290793575034693E-2</v>
      </c>
      <c r="F119" s="20">
        <f>Yard!$F$133</f>
        <v>-7.6094210631837845E-3</v>
      </c>
      <c r="G119" s="20">
        <f>Yard!$G$133</f>
        <v>0</v>
      </c>
      <c r="H119" s="20">
        <f>Yard!$H$133</f>
        <v>0</v>
      </c>
      <c r="I119" s="20">
        <f>Yard!$I$133</f>
        <v>0</v>
      </c>
      <c r="J119" s="20">
        <f>Yard!$J$133</f>
        <v>0</v>
      </c>
      <c r="K119" s="21"/>
      <c r="L119" s="21"/>
      <c r="M119" s="20">
        <f>Yard!$K$133</f>
        <v>-5.5582716934137267E-3</v>
      </c>
      <c r="N119" s="20">
        <f>Yard!$L$133</f>
        <v>-3.1176067617303144E-3</v>
      </c>
      <c r="O119" s="20">
        <f>Yard!$M$133</f>
        <v>-2.8756331081719933E-3</v>
      </c>
      <c r="P119" s="20">
        <f>Yard!$N$133</f>
        <v>-4.7180732425718772E-3</v>
      </c>
      <c r="Q119" s="20">
        <f>Yard!$O$133</f>
        <v>-5.8424027640292487E-3</v>
      </c>
      <c r="R119" s="20">
        <f>Yard!$P$133</f>
        <v>0</v>
      </c>
      <c r="S119" s="20">
        <f>Yard!$Q$133</f>
        <v>0</v>
      </c>
      <c r="T119" s="20">
        <f>Yard!$R$133</f>
        <v>0</v>
      </c>
      <c r="U119" s="20">
        <f>Yard!$S$133</f>
        <v>0</v>
      </c>
      <c r="V119" s="21"/>
      <c r="W119" s="21"/>
      <c r="X119" s="6"/>
    </row>
    <row r="120" spans="1:24" x14ac:dyDescent="0.2">
      <c r="A120" s="5" t="s">
        <v>77</v>
      </c>
      <c r="B120" s="21"/>
      <c r="C120" s="21"/>
      <c r="D120" s="21"/>
      <c r="E120" s="21"/>
      <c r="F120" s="21"/>
      <c r="G120" s="21"/>
      <c r="H120" s="21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1"/>
      <c r="X120" s="6"/>
    </row>
    <row r="121" spans="1:24" x14ac:dyDescent="0.2">
      <c r="A121" s="5" t="s">
        <v>78</v>
      </c>
      <c r="B121" s="20">
        <f>Yard!$B$134</f>
        <v>0</v>
      </c>
      <c r="C121" s="20">
        <f>Yard!$C$134</f>
        <v>-9.3340021868306162E-3</v>
      </c>
      <c r="D121" s="20">
        <f>Yard!$D$134</f>
        <v>-8.6095417965101825E-3</v>
      </c>
      <c r="E121" s="20">
        <f>Yard!$E$134</f>
        <v>-6.0740686724456896E-3</v>
      </c>
      <c r="F121" s="20">
        <f>Yard!$F$134</f>
        <v>0</v>
      </c>
      <c r="G121" s="20">
        <f>Yard!$G$134</f>
        <v>0</v>
      </c>
      <c r="H121" s="20">
        <f>Yard!$H$134</f>
        <v>0</v>
      </c>
      <c r="I121" s="20">
        <f>Yard!$I$134</f>
        <v>0</v>
      </c>
      <c r="J121" s="20">
        <f>Yard!$J$134</f>
        <v>0</v>
      </c>
      <c r="K121" s="21"/>
      <c r="L121" s="21"/>
      <c r="M121" s="20">
        <f>Yard!$K$134</f>
        <v>-5.4940760626909502E-3</v>
      </c>
      <c r="N121" s="20">
        <f>Yard!$L$134</f>
        <v>-3.0815997538951238E-3</v>
      </c>
      <c r="O121" s="20">
        <f>Yard!$M$134</f>
        <v>-2.8424207912344929E-3</v>
      </c>
      <c r="P121" s="20">
        <f>Yard!$N$134</f>
        <v>-4.6635815400590166E-3</v>
      </c>
      <c r="Q121" s="20">
        <f>Yard!$O$134</f>
        <v>0</v>
      </c>
      <c r="R121" s="20">
        <f>Yard!$P$134</f>
        <v>0</v>
      </c>
      <c r="S121" s="20">
        <f>Yard!$Q$134</f>
        <v>0</v>
      </c>
      <c r="T121" s="20">
        <f>Yard!$R$134</f>
        <v>0</v>
      </c>
      <c r="U121" s="20">
        <f>Yard!$S$134</f>
        <v>0</v>
      </c>
      <c r="V121" s="21"/>
      <c r="W121" s="21"/>
      <c r="X121" s="6"/>
    </row>
    <row r="123" spans="1:24" ht="16.5" x14ac:dyDescent="0.25">
      <c r="A123" s="3" t="s">
        <v>934</v>
      </c>
    </row>
    <row r="124" spans="1:24" x14ac:dyDescent="0.2">
      <c r="A124" s="10" t="s">
        <v>238</v>
      </c>
    </row>
    <row r="125" spans="1:24" x14ac:dyDescent="0.2">
      <c r="A125" s="11" t="s">
        <v>935</v>
      </c>
    </row>
    <row r="126" spans="1:24" x14ac:dyDescent="0.2">
      <c r="A126" s="11" t="s">
        <v>936</v>
      </c>
    </row>
    <row r="127" spans="1:24" x14ac:dyDescent="0.2">
      <c r="A127" s="11" t="s">
        <v>937</v>
      </c>
    </row>
    <row r="128" spans="1:24" x14ac:dyDescent="0.2">
      <c r="A128" s="11" t="s">
        <v>938</v>
      </c>
    </row>
    <row r="129" spans="1:24" x14ac:dyDescent="0.2">
      <c r="A129" s="11" t="s">
        <v>939</v>
      </c>
    </row>
    <row r="130" spans="1:24" x14ac:dyDescent="0.2">
      <c r="A130" s="10" t="s">
        <v>327</v>
      </c>
    </row>
    <row r="132" spans="1:24" ht="25.5" x14ac:dyDescent="0.2">
      <c r="B132" s="4" t="s">
        <v>21</v>
      </c>
      <c r="C132" s="4" t="s">
        <v>191</v>
      </c>
      <c r="D132" s="4" t="s">
        <v>192</v>
      </c>
      <c r="E132" s="4" t="s">
        <v>193</v>
      </c>
      <c r="F132" s="4" t="s">
        <v>194</v>
      </c>
      <c r="G132" s="4" t="s">
        <v>195</v>
      </c>
      <c r="H132" s="4" t="s">
        <v>196</v>
      </c>
      <c r="I132" s="4" t="s">
        <v>197</v>
      </c>
      <c r="J132" s="4" t="s">
        <v>198</v>
      </c>
      <c r="K132" s="4" t="s">
        <v>350</v>
      </c>
      <c r="L132" s="4" t="s">
        <v>362</v>
      </c>
      <c r="M132" s="4" t="s">
        <v>179</v>
      </c>
      <c r="N132" s="4" t="s">
        <v>699</v>
      </c>
      <c r="O132" s="4" t="s">
        <v>700</v>
      </c>
      <c r="P132" s="4" t="s">
        <v>701</v>
      </c>
      <c r="Q132" s="4" t="s">
        <v>702</v>
      </c>
      <c r="R132" s="4" t="s">
        <v>703</v>
      </c>
      <c r="S132" s="4" t="s">
        <v>704</v>
      </c>
      <c r="T132" s="4" t="s">
        <v>705</v>
      </c>
      <c r="U132" s="4" t="s">
        <v>706</v>
      </c>
      <c r="V132" s="4" t="s">
        <v>707</v>
      </c>
      <c r="W132" s="4" t="s">
        <v>708</v>
      </c>
    </row>
    <row r="133" spans="1:24" x14ac:dyDescent="0.2">
      <c r="A133" s="5" t="s">
        <v>53</v>
      </c>
      <c r="B133" s="20">
        <f>NHH!$B$88</f>
        <v>0</v>
      </c>
      <c r="C133" s="20">
        <f>NHH!$C$88</f>
        <v>0</v>
      </c>
      <c r="D133" s="20">
        <f>NHH!$D$88</f>
        <v>0</v>
      </c>
      <c r="E133" s="20">
        <f>NHH!$E$88</f>
        <v>0</v>
      </c>
      <c r="F133" s="20">
        <f>NHH!$F$88</f>
        <v>0</v>
      </c>
      <c r="G133" s="20">
        <f>NHH!$G$88</f>
        <v>0</v>
      </c>
      <c r="H133" s="20">
        <f>NHH!$H$88</f>
        <v>0</v>
      </c>
      <c r="I133" s="20">
        <f>NHH!$I$88</f>
        <v>0</v>
      </c>
      <c r="J133" s="20">
        <f>NHH!$J$88</f>
        <v>6.8160285218661937E-2</v>
      </c>
      <c r="K133" s="20">
        <f>SM!$B$108</f>
        <v>0</v>
      </c>
      <c r="L133" s="20">
        <f>SM!$C$108</f>
        <v>0</v>
      </c>
      <c r="M133" s="20">
        <f>NHH!$K$88</f>
        <v>0</v>
      </c>
      <c r="N133" s="20">
        <f>NHH!$L$88</f>
        <v>0</v>
      </c>
      <c r="O133" s="20">
        <f>NHH!$M$88</f>
        <v>0</v>
      </c>
      <c r="P133" s="20">
        <f>NHH!$N$88</f>
        <v>0</v>
      </c>
      <c r="Q133" s="20">
        <f>NHH!$O$88</f>
        <v>0</v>
      </c>
      <c r="R133" s="20">
        <f>NHH!$P$88</f>
        <v>0</v>
      </c>
      <c r="S133" s="20">
        <f>NHH!$Q$88</f>
        <v>0</v>
      </c>
      <c r="T133" s="20">
        <f>NHH!$R$88</f>
        <v>0</v>
      </c>
      <c r="U133" s="20">
        <f>NHH!$S$88</f>
        <v>0.75009881060309447</v>
      </c>
      <c r="V133" s="20">
        <f>Otex!$B$121</f>
        <v>2.6008745262758239</v>
      </c>
      <c r="W133" s="20">
        <f>Otex!$C$121</f>
        <v>0</v>
      </c>
      <c r="X133" s="6"/>
    </row>
    <row r="134" spans="1:24" x14ac:dyDescent="0.2">
      <c r="A134" s="5" t="s">
        <v>54</v>
      </c>
      <c r="B134" s="20">
        <f>NHH!$B$89</f>
        <v>0</v>
      </c>
      <c r="C134" s="20">
        <f>NHH!$C$89</f>
        <v>0</v>
      </c>
      <c r="D134" s="20">
        <f>NHH!$D$89</f>
        <v>0</v>
      </c>
      <c r="E134" s="20">
        <f>NHH!$E$89</f>
        <v>0</v>
      </c>
      <c r="F134" s="20">
        <f>NHH!$F$89</f>
        <v>0</v>
      </c>
      <c r="G134" s="20">
        <f>NHH!$G$89</f>
        <v>0</v>
      </c>
      <c r="H134" s="20">
        <f>NHH!$H$89</f>
        <v>0</v>
      </c>
      <c r="I134" s="20">
        <f>NHH!$I$89</f>
        <v>0</v>
      </c>
      <c r="J134" s="20">
        <f>NHH!$J$89</f>
        <v>6.8160285218661937E-2</v>
      </c>
      <c r="K134" s="20">
        <f>SM!$B$109</f>
        <v>0</v>
      </c>
      <c r="L134" s="20">
        <f>SM!$C$109</f>
        <v>0</v>
      </c>
      <c r="M134" s="20">
        <f>NHH!$K$89</f>
        <v>0</v>
      </c>
      <c r="N134" s="20">
        <f>NHH!$L$89</f>
        <v>0</v>
      </c>
      <c r="O134" s="20">
        <f>NHH!$M$89</f>
        <v>0</v>
      </c>
      <c r="P134" s="20">
        <f>NHH!$N$89</f>
        <v>0</v>
      </c>
      <c r="Q134" s="20">
        <f>NHH!$O$89</f>
        <v>0</v>
      </c>
      <c r="R134" s="20">
        <f>NHH!$P$89</f>
        <v>0</v>
      </c>
      <c r="S134" s="20">
        <f>NHH!$Q$89</f>
        <v>0</v>
      </c>
      <c r="T134" s="20">
        <f>NHH!$R$89</f>
        <v>0</v>
      </c>
      <c r="U134" s="20">
        <f>NHH!$S$89</f>
        <v>0.75009881060309447</v>
      </c>
      <c r="V134" s="20">
        <f>Otex!$B$122</f>
        <v>2.6008745262758239</v>
      </c>
      <c r="W134" s="20">
        <f>Otex!$C$122</f>
        <v>0</v>
      </c>
      <c r="X134" s="6"/>
    </row>
    <row r="135" spans="1:24" x14ac:dyDescent="0.2">
      <c r="A135" s="5" t="s">
        <v>94</v>
      </c>
      <c r="B135" s="21"/>
      <c r="C135" s="21"/>
      <c r="D135" s="21"/>
      <c r="E135" s="21"/>
      <c r="F135" s="21"/>
      <c r="G135" s="21"/>
      <c r="H135" s="21"/>
      <c r="I135" s="21"/>
      <c r="J135" s="21"/>
      <c r="K135" s="21"/>
      <c r="L135" s="21"/>
      <c r="M135" s="21"/>
      <c r="N135" s="21"/>
      <c r="O135" s="21"/>
      <c r="P135" s="21"/>
      <c r="Q135" s="21"/>
      <c r="R135" s="21"/>
      <c r="S135" s="21"/>
      <c r="T135" s="21"/>
      <c r="U135" s="21"/>
      <c r="V135" s="21"/>
      <c r="W135" s="21"/>
      <c r="X135" s="6"/>
    </row>
    <row r="136" spans="1:24" x14ac:dyDescent="0.2">
      <c r="A136" s="5" t="s">
        <v>55</v>
      </c>
      <c r="B136" s="20">
        <f>NHH!$B$90</f>
        <v>0</v>
      </c>
      <c r="C136" s="20">
        <f>NHH!$C$90</f>
        <v>0</v>
      </c>
      <c r="D136" s="20">
        <f>NHH!$D$90</f>
        <v>0</v>
      </c>
      <c r="E136" s="20">
        <f>NHH!$E$90</f>
        <v>0</v>
      </c>
      <c r="F136" s="20">
        <f>NHH!$F$90</f>
        <v>0</v>
      </c>
      <c r="G136" s="20">
        <f>NHH!$G$90</f>
        <v>0</v>
      </c>
      <c r="H136" s="20">
        <f>NHH!$H$90</f>
        <v>0</v>
      </c>
      <c r="I136" s="20">
        <f>NHH!$I$90</f>
        <v>0</v>
      </c>
      <c r="J136" s="20">
        <f>NHH!$J$90</f>
        <v>6.8160285218661937E-2</v>
      </c>
      <c r="K136" s="20">
        <f>SM!$B$111</f>
        <v>0</v>
      </c>
      <c r="L136" s="20">
        <f>SM!$C$111</f>
        <v>0</v>
      </c>
      <c r="M136" s="20">
        <f>NHH!$K$90</f>
        <v>0</v>
      </c>
      <c r="N136" s="20">
        <f>NHH!$L$90</f>
        <v>0</v>
      </c>
      <c r="O136" s="20">
        <f>NHH!$M$90</f>
        <v>0</v>
      </c>
      <c r="P136" s="20">
        <f>NHH!$N$90</f>
        <v>0</v>
      </c>
      <c r="Q136" s="20">
        <f>NHH!$O$90</f>
        <v>0</v>
      </c>
      <c r="R136" s="20">
        <f>NHH!$P$90</f>
        <v>0</v>
      </c>
      <c r="S136" s="20">
        <f>NHH!$Q$90</f>
        <v>0</v>
      </c>
      <c r="T136" s="20">
        <f>NHH!$R$90</f>
        <v>0</v>
      </c>
      <c r="U136" s="20">
        <f>NHH!$S$90</f>
        <v>0.75009881060309447</v>
      </c>
      <c r="V136" s="20">
        <f>Otex!$B$124</f>
        <v>2.5985900515052696</v>
      </c>
      <c r="W136" s="20">
        <f>Otex!$C$124</f>
        <v>0</v>
      </c>
      <c r="X136" s="6"/>
    </row>
    <row r="137" spans="1:24" x14ac:dyDescent="0.2">
      <c r="A137" s="5" t="s">
        <v>56</v>
      </c>
      <c r="B137" s="20">
        <f>NHH!$B$91</f>
        <v>0</v>
      </c>
      <c r="C137" s="20">
        <f>NHH!$C$91</f>
        <v>0</v>
      </c>
      <c r="D137" s="20">
        <f>NHH!$D$91</f>
        <v>0</v>
      </c>
      <c r="E137" s="20">
        <f>NHH!$E$91</f>
        <v>0</v>
      </c>
      <c r="F137" s="20">
        <f>NHH!$F$91</f>
        <v>0</v>
      </c>
      <c r="G137" s="20">
        <f>NHH!$G$91</f>
        <v>0</v>
      </c>
      <c r="H137" s="20">
        <f>NHH!$H$91</f>
        <v>0</v>
      </c>
      <c r="I137" s="20">
        <f>NHH!$I$91</f>
        <v>0</v>
      </c>
      <c r="J137" s="20">
        <f>NHH!$J$91</f>
        <v>6.8160285218661937E-2</v>
      </c>
      <c r="K137" s="20">
        <f>SM!$B$112</f>
        <v>0</v>
      </c>
      <c r="L137" s="20">
        <f>SM!$C$112</f>
        <v>0</v>
      </c>
      <c r="M137" s="20">
        <f>NHH!$K$91</f>
        <v>0</v>
      </c>
      <c r="N137" s="20">
        <f>NHH!$L$91</f>
        <v>0</v>
      </c>
      <c r="O137" s="20">
        <f>NHH!$M$91</f>
        <v>0</v>
      </c>
      <c r="P137" s="20">
        <f>NHH!$N$91</f>
        <v>0</v>
      </c>
      <c r="Q137" s="20">
        <f>NHH!$O$91</f>
        <v>0</v>
      </c>
      <c r="R137" s="20">
        <f>NHH!$P$91</f>
        <v>0</v>
      </c>
      <c r="S137" s="20">
        <f>NHH!$Q$91</f>
        <v>0</v>
      </c>
      <c r="T137" s="20">
        <f>NHH!$R$91</f>
        <v>0</v>
      </c>
      <c r="U137" s="20">
        <f>NHH!$S$91</f>
        <v>0.75009881060309447</v>
      </c>
      <c r="V137" s="20">
        <f>Otex!$B$125</f>
        <v>2.5985900515052696</v>
      </c>
      <c r="W137" s="20">
        <f>Otex!$C$125</f>
        <v>0</v>
      </c>
      <c r="X137" s="6"/>
    </row>
    <row r="138" spans="1:24" x14ac:dyDescent="0.2">
      <c r="A138" s="5" t="s">
        <v>95</v>
      </c>
      <c r="B138" s="21"/>
      <c r="C138" s="21"/>
      <c r="D138" s="21"/>
      <c r="E138" s="21"/>
      <c r="F138" s="21"/>
      <c r="G138" s="21"/>
      <c r="H138" s="21"/>
      <c r="I138" s="21"/>
      <c r="J138" s="21"/>
      <c r="K138" s="21"/>
      <c r="L138" s="21"/>
      <c r="M138" s="21"/>
      <c r="N138" s="21"/>
      <c r="O138" s="21"/>
      <c r="P138" s="21"/>
      <c r="Q138" s="21"/>
      <c r="R138" s="21"/>
      <c r="S138" s="21"/>
      <c r="T138" s="21"/>
      <c r="U138" s="21"/>
      <c r="V138" s="21"/>
      <c r="W138" s="21"/>
      <c r="X138" s="6"/>
    </row>
    <row r="139" spans="1:24" x14ac:dyDescent="0.2">
      <c r="A139" s="5" t="s">
        <v>57</v>
      </c>
      <c r="B139" s="20">
        <f>NHH!$B$92</f>
        <v>0</v>
      </c>
      <c r="C139" s="20">
        <f>NHH!$C$92</f>
        <v>0</v>
      </c>
      <c r="D139" s="20">
        <f>NHH!$D$92</f>
        <v>0</v>
      </c>
      <c r="E139" s="20">
        <f>NHH!$E$92</f>
        <v>0</v>
      </c>
      <c r="F139" s="20">
        <f>NHH!$F$92</f>
        <v>0</v>
      </c>
      <c r="G139" s="20">
        <f>NHH!$G$92</f>
        <v>0</v>
      </c>
      <c r="H139" s="20">
        <f>NHH!$H$92</f>
        <v>0</v>
      </c>
      <c r="I139" s="20">
        <f>NHH!$I$92</f>
        <v>0</v>
      </c>
      <c r="J139" s="20">
        <f>NHH!$J$92</f>
        <v>1.1317063802337575</v>
      </c>
      <c r="K139" s="20">
        <f>SM!$B$114</f>
        <v>0</v>
      </c>
      <c r="L139" s="20">
        <f>SM!$C$114</f>
        <v>0</v>
      </c>
      <c r="M139" s="20">
        <f>NHH!$K$92</f>
        <v>0</v>
      </c>
      <c r="N139" s="20">
        <f>NHH!$L$92</f>
        <v>0</v>
      </c>
      <c r="O139" s="20">
        <f>NHH!$M$92</f>
        <v>0</v>
      </c>
      <c r="P139" s="20">
        <f>NHH!$N$92</f>
        <v>0</v>
      </c>
      <c r="Q139" s="20">
        <f>NHH!$O$92</f>
        <v>0</v>
      </c>
      <c r="R139" s="20">
        <f>NHH!$P$92</f>
        <v>0</v>
      </c>
      <c r="S139" s="20">
        <f>NHH!$Q$92</f>
        <v>0</v>
      </c>
      <c r="T139" s="20">
        <f>NHH!$R$92</f>
        <v>0</v>
      </c>
      <c r="U139" s="20">
        <f>NHH!$S$92</f>
        <v>12.454343567401223</v>
      </c>
      <c r="V139" s="20">
        <f>Otex!$B$127</f>
        <v>10.611719362122869</v>
      </c>
      <c r="W139" s="20">
        <f>Otex!$C$127</f>
        <v>0</v>
      </c>
      <c r="X139" s="6"/>
    </row>
    <row r="140" spans="1:24" x14ac:dyDescent="0.2">
      <c r="A140" s="5" t="s">
        <v>58</v>
      </c>
      <c r="B140" s="20">
        <f>NHH!$B$93</f>
        <v>0</v>
      </c>
      <c r="C140" s="20">
        <f>NHH!$C$93</f>
        <v>0</v>
      </c>
      <c r="D140" s="20">
        <f>NHH!$D$93</f>
        <v>0</v>
      </c>
      <c r="E140" s="20">
        <f>NHH!$E$93</f>
        <v>0</v>
      </c>
      <c r="F140" s="20">
        <f>NHH!$F$93</f>
        <v>0</v>
      </c>
      <c r="G140" s="20">
        <f>NHH!$G$93</f>
        <v>0</v>
      </c>
      <c r="H140" s="20">
        <f>NHH!$H$93</f>
        <v>0</v>
      </c>
      <c r="I140" s="20">
        <f>NHH!$I$93</f>
        <v>1.8445227834988087</v>
      </c>
      <c r="J140" s="20">
        <f>NHH!$J$93</f>
        <v>0</v>
      </c>
      <c r="K140" s="20">
        <f>SM!$B$115</f>
        <v>0</v>
      </c>
      <c r="L140" s="20">
        <f>SM!$C$115</f>
        <v>0</v>
      </c>
      <c r="M140" s="20">
        <f>NHH!$K$93</f>
        <v>0</v>
      </c>
      <c r="N140" s="20">
        <f>NHH!$L$93</f>
        <v>0</v>
      </c>
      <c r="O140" s="20">
        <f>NHH!$M$93</f>
        <v>0</v>
      </c>
      <c r="P140" s="20">
        <f>NHH!$N$93</f>
        <v>0</v>
      </c>
      <c r="Q140" s="20">
        <f>NHH!$O$93</f>
        <v>0</v>
      </c>
      <c r="R140" s="20">
        <f>NHH!$P$93</f>
        <v>0</v>
      </c>
      <c r="S140" s="20">
        <f>NHH!$Q$93</f>
        <v>0</v>
      </c>
      <c r="T140" s="20">
        <f>NHH!$R$93</f>
        <v>20.298834454612141</v>
      </c>
      <c r="U140" s="20">
        <f>NHH!$S$93</f>
        <v>0</v>
      </c>
      <c r="V140" s="20">
        <f>Otex!$B$128</f>
        <v>34.941041615624705</v>
      </c>
      <c r="W140" s="20">
        <f>Otex!$C$128</f>
        <v>0</v>
      </c>
      <c r="X140" s="6"/>
    </row>
    <row r="141" spans="1:24" x14ac:dyDescent="0.2">
      <c r="A141" s="5" t="s">
        <v>72</v>
      </c>
      <c r="B141" s="20">
        <f>NHH!$B$94</f>
        <v>0</v>
      </c>
      <c r="C141" s="20">
        <f>NHH!$C$94</f>
        <v>0</v>
      </c>
      <c r="D141" s="20">
        <f>NHH!$D$94</f>
        <v>0</v>
      </c>
      <c r="E141" s="20">
        <f>NHH!$E$94</f>
        <v>17.145086654202117</v>
      </c>
      <c r="F141" s="20">
        <f>NHH!$F$94</f>
        <v>45.646234700538713</v>
      </c>
      <c r="G141" s="20">
        <f>NHH!$G$94</f>
        <v>0</v>
      </c>
      <c r="H141" s="20">
        <f>NHH!$H$94</f>
        <v>10.403561191647627</v>
      </c>
      <c r="I141" s="20">
        <f>NHH!$I$94</f>
        <v>0</v>
      </c>
      <c r="J141" s="20">
        <f>NHH!$J$94</f>
        <v>0</v>
      </c>
      <c r="K141" s="20">
        <f>SM!$B$116</f>
        <v>0</v>
      </c>
      <c r="L141" s="20">
        <f>SM!$C$116</f>
        <v>0</v>
      </c>
      <c r="M141" s="20">
        <f>NHH!$K$94</f>
        <v>0</v>
      </c>
      <c r="N141" s="20">
        <f>NHH!$L$94</f>
        <v>0</v>
      </c>
      <c r="O141" s="20">
        <f>NHH!$M$94</f>
        <v>0</v>
      </c>
      <c r="P141" s="20">
        <f>NHH!$N$94</f>
        <v>5.6604116601390935</v>
      </c>
      <c r="Q141" s="20">
        <f>NHH!$O$94</f>
        <v>35.046514783133134</v>
      </c>
      <c r="R141" s="20">
        <f>NHH!$P$94</f>
        <v>0</v>
      </c>
      <c r="S141" s="20">
        <f>NHH!$Q$94</f>
        <v>38.163469391091496</v>
      </c>
      <c r="T141" s="20">
        <f>NHH!$R$94</f>
        <v>0</v>
      </c>
      <c r="U141" s="20">
        <f>NHH!$S$94</f>
        <v>0</v>
      </c>
      <c r="V141" s="20">
        <f>Otex!$B$129</f>
        <v>0</v>
      </c>
      <c r="W141" s="20">
        <f>Otex!$C$129</f>
        <v>102.60147313251026</v>
      </c>
      <c r="X141" s="6"/>
    </row>
    <row r="142" spans="1:24" x14ac:dyDescent="0.2">
      <c r="A142" s="5" t="s">
        <v>59</v>
      </c>
      <c r="B142" s="21"/>
      <c r="C142" s="21"/>
      <c r="D142" s="21"/>
      <c r="E142" s="21"/>
      <c r="F142" s="21"/>
      <c r="G142" s="21"/>
      <c r="H142" s="21"/>
      <c r="I142" s="21"/>
      <c r="J142" s="21"/>
      <c r="K142" s="20">
        <f>SM!$B$117</f>
        <v>0</v>
      </c>
      <c r="L142" s="20">
        <f>SM!$C$117</f>
        <v>0</v>
      </c>
      <c r="M142" s="21"/>
      <c r="N142" s="21"/>
      <c r="O142" s="21"/>
      <c r="P142" s="21"/>
      <c r="Q142" s="21"/>
      <c r="R142" s="21"/>
      <c r="S142" s="21"/>
      <c r="T142" s="21"/>
      <c r="U142" s="21"/>
      <c r="V142" s="20">
        <f>Otex!$B$130</f>
        <v>11.930669489218699</v>
      </c>
      <c r="W142" s="20">
        <f>Otex!$C$130</f>
        <v>0</v>
      </c>
      <c r="X142" s="6"/>
    </row>
    <row r="143" spans="1:24" x14ac:dyDescent="0.2">
      <c r="A143" s="5" t="s">
        <v>60</v>
      </c>
      <c r="B143" s="21"/>
      <c r="C143" s="21"/>
      <c r="D143" s="21"/>
      <c r="E143" s="21"/>
      <c r="F143" s="21"/>
      <c r="G143" s="21"/>
      <c r="H143" s="21"/>
      <c r="I143" s="21"/>
      <c r="J143" s="21"/>
      <c r="K143" s="20">
        <f>SM!$B$118</f>
        <v>0</v>
      </c>
      <c r="L143" s="20">
        <f>SM!$C$118</f>
        <v>0</v>
      </c>
      <c r="M143" s="21"/>
      <c r="N143" s="21"/>
      <c r="O143" s="21"/>
      <c r="P143" s="21"/>
      <c r="Q143" s="21"/>
      <c r="R143" s="21"/>
      <c r="S143" s="21"/>
      <c r="T143" s="21"/>
      <c r="U143" s="21"/>
      <c r="V143" s="20">
        <f>Otex!$B$131</f>
        <v>34.941041615624705</v>
      </c>
      <c r="W143" s="20">
        <f>Otex!$C$131</f>
        <v>0</v>
      </c>
      <c r="X143" s="6"/>
    </row>
    <row r="144" spans="1:24" x14ac:dyDescent="0.2">
      <c r="A144" s="5" t="s">
        <v>73</v>
      </c>
      <c r="B144" s="21"/>
      <c r="C144" s="21"/>
      <c r="D144" s="21"/>
      <c r="E144" s="21"/>
      <c r="F144" s="21"/>
      <c r="G144" s="21"/>
      <c r="H144" s="21"/>
      <c r="I144" s="21"/>
      <c r="J144" s="21"/>
      <c r="K144" s="20">
        <f>SM!$B$119</f>
        <v>0</v>
      </c>
      <c r="L144" s="20">
        <f>SM!$C$119</f>
        <v>0</v>
      </c>
      <c r="M144" s="21"/>
      <c r="N144" s="21"/>
      <c r="O144" s="21"/>
      <c r="P144" s="21"/>
      <c r="Q144" s="21"/>
      <c r="R144" s="21"/>
      <c r="S144" s="21"/>
      <c r="T144" s="21"/>
      <c r="U144" s="21"/>
      <c r="V144" s="20">
        <f>Otex!$B$132</f>
        <v>0</v>
      </c>
      <c r="W144" s="20">
        <f>Otex!$C$132</f>
        <v>102.60147313251026</v>
      </c>
      <c r="X144" s="6"/>
    </row>
    <row r="145" spans="1:24" x14ac:dyDescent="0.2">
      <c r="A145" s="5" t="s">
        <v>74</v>
      </c>
      <c r="B145" s="21"/>
      <c r="C145" s="21"/>
      <c r="D145" s="21"/>
      <c r="E145" s="21"/>
      <c r="F145" s="21"/>
      <c r="G145" s="21"/>
      <c r="H145" s="21"/>
      <c r="I145" s="21"/>
      <c r="J145" s="21"/>
      <c r="K145" s="20">
        <f>SM!$B$120</f>
        <v>0</v>
      </c>
      <c r="L145" s="20">
        <f>SM!$C$120</f>
        <v>0</v>
      </c>
      <c r="M145" s="21"/>
      <c r="N145" s="21"/>
      <c r="O145" s="21"/>
      <c r="P145" s="21"/>
      <c r="Q145" s="21"/>
      <c r="R145" s="21"/>
      <c r="S145" s="21"/>
      <c r="T145" s="21"/>
      <c r="U145" s="21"/>
      <c r="V145" s="20">
        <f>Otex!$B$133</f>
        <v>0</v>
      </c>
      <c r="W145" s="20">
        <f>Otex!$C$133</f>
        <v>134.65836535031045</v>
      </c>
      <c r="X145" s="6"/>
    </row>
    <row r="146" spans="1:24" x14ac:dyDescent="0.2">
      <c r="A146" s="5" t="s">
        <v>96</v>
      </c>
      <c r="B146" s="21"/>
      <c r="C146" s="21"/>
      <c r="D146" s="21"/>
      <c r="E146" s="21"/>
      <c r="F146" s="21"/>
      <c r="G146" s="21"/>
      <c r="H146" s="21"/>
      <c r="I146" s="21"/>
      <c r="J146" s="21"/>
      <c r="K146" s="21"/>
      <c r="L146" s="21"/>
      <c r="M146" s="21"/>
      <c r="N146" s="21"/>
      <c r="O146" s="21"/>
      <c r="P146" s="21"/>
      <c r="Q146" s="21"/>
      <c r="R146" s="21"/>
      <c r="S146" s="21"/>
      <c r="T146" s="21"/>
      <c r="U146" s="21"/>
      <c r="V146" s="21"/>
      <c r="W146" s="21"/>
      <c r="X146" s="6"/>
    </row>
    <row r="147" spans="1:24" x14ac:dyDescent="0.2">
      <c r="A147" s="5" t="s">
        <v>97</v>
      </c>
      <c r="B147" s="21"/>
      <c r="C147" s="21"/>
      <c r="D147" s="21"/>
      <c r="E147" s="21"/>
      <c r="F147" s="21"/>
      <c r="G147" s="21"/>
      <c r="H147" s="21"/>
      <c r="I147" s="21"/>
      <c r="J147" s="21"/>
      <c r="K147" s="21"/>
      <c r="L147" s="21"/>
      <c r="M147" s="21"/>
      <c r="N147" s="21"/>
      <c r="O147" s="21"/>
      <c r="P147" s="21"/>
      <c r="Q147" s="21"/>
      <c r="R147" s="21"/>
      <c r="S147" s="21"/>
      <c r="T147" s="21"/>
      <c r="U147" s="21"/>
      <c r="V147" s="21"/>
      <c r="W147" s="21"/>
      <c r="X147" s="6"/>
    </row>
    <row r="148" spans="1:24" x14ac:dyDescent="0.2">
      <c r="A148" s="5" t="s">
        <v>98</v>
      </c>
      <c r="B148" s="21"/>
      <c r="C148" s="21"/>
      <c r="D148" s="21"/>
      <c r="E148" s="21"/>
      <c r="F148" s="21"/>
      <c r="G148" s="21"/>
      <c r="H148" s="21"/>
      <c r="I148" s="21"/>
      <c r="J148" s="21"/>
      <c r="K148" s="21"/>
      <c r="L148" s="21"/>
      <c r="M148" s="21"/>
      <c r="N148" s="21"/>
      <c r="O148" s="21"/>
      <c r="P148" s="21"/>
      <c r="Q148" s="21"/>
      <c r="R148" s="21"/>
      <c r="S148" s="21"/>
      <c r="T148" s="21"/>
      <c r="U148" s="21"/>
      <c r="V148" s="21"/>
      <c r="W148" s="21"/>
      <c r="X148" s="6"/>
    </row>
    <row r="149" spans="1:24" x14ac:dyDescent="0.2">
      <c r="A149" s="5" t="s">
        <v>99</v>
      </c>
      <c r="B149" s="21"/>
      <c r="C149" s="21"/>
      <c r="D149" s="21"/>
      <c r="E149" s="21"/>
      <c r="F149" s="21"/>
      <c r="G149" s="21"/>
      <c r="H149" s="21"/>
      <c r="I149" s="21"/>
      <c r="J149" s="21"/>
      <c r="K149" s="21"/>
      <c r="L149" s="21"/>
      <c r="M149" s="21"/>
      <c r="N149" s="21"/>
      <c r="O149" s="21"/>
      <c r="P149" s="21"/>
      <c r="Q149" s="21"/>
      <c r="R149" s="21"/>
      <c r="S149" s="21"/>
      <c r="T149" s="21"/>
      <c r="U149" s="21"/>
      <c r="V149" s="21"/>
      <c r="W149" s="21"/>
      <c r="X149" s="6"/>
    </row>
    <row r="150" spans="1:24" x14ac:dyDescent="0.2">
      <c r="A150" s="5" t="s">
        <v>100</v>
      </c>
      <c r="B150" s="21"/>
      <c r="C150" s="21"/>
      <c r="D150" s="21"/>
      <c r="E150" s="21"/>
      <c r="F150" s="21"/>
      <c r="G150" s="21"/>
      <c r="H150" s="21"/>
      <c r="I150" s="21"/>
      <c r="J150" s="21"/>
      <c r="K150" s="21"/>
      <c r="L150" s="21"/>
      <c r="M150" s="21"/>
      <c r="N150" s="21"/>
      <c r="O150" s="21"/>
      <c r="P150" s="21"/>
      <c r="Q150" s="21"/>
      <c r="R150" s="21"/>
      <c r="S150" s="21"/>
      <c r="T150" s="21"/>
      <c r="U150" s="21"/>
      <c r="V150" s="21"/>
      <c r="W150" s="21"/>
      <c r="X150" s="6"/>
    </row>
    <row r="151" spans="1:24" x14ac:dyDescent="0.2">
      <c r="A151" s="5" t="s">
        <v>61</v>
      </c>
      <c r="B151" s="21"/>
      <c r="C151" s="21"/>
      <c r="D151" s="21"/>
      <c r="E151" s="21"/>
      <c r="F151" s="21"/>
      <c r="G151" s="21"/>
      <c r="H151" s="21"/>
      <c r="I151" s="21"/>
      <c r="J151" s="21"/>
      <c r="K151" s="20">
        <f>SM!$B$126</f>
        <v>0</v>
      </c>
      <c r="L151" s="20">
        <f>SM!$C$126</f>
        <v>0</v>
      </c>
      <c r="M151" s="21"/>
      <c r="N151" s="21"/>
      <c r="O151" s="21"/>
      <c r="P151" s="21"/>
      <c r="Q151" s="21"/>
      <c r="R151" s="21"/>
      <c r="S151" s="21"/>
      <c r="T151" s="21"/>
      <c r="U151" s="21"/>
      <c r="V151" s="20">
        <f>Otex!$B$139</f>
        <v>0</v>
      </c>
      <c r="W151" s="20">
        <f>Otex!$C$139</f>
        <v>0</v>
      </c>
      <c r="X151" s="6"/>
    </row>
    <row r="152" spans="1:24" x14ac:dyDescent="0.2">
      <c r="A152" s="5" t="s">
        <v>62</v>
      </c>
      <c r="B152" s="21"/>
      <c r="C152" s="21"/>
      <c r="D152" s="21"/>
      <c r="E152" s="21"/>
      <c r="F152" s="21"/>
      <c r="G152" s="21"/>
      <c r="H152" s="21"/>
      <c r="I152" s="21"/>
      <c r="J152" s="21"/>
      <c r="K152" s="20">
        <f>SM!$B$127</f>
        <v>0</v>
      </c>
      <c r="L152" s="20">
        <f>SM!$C$127</f>
        <v>0</v>
      </c>
      <c r="M152" s="21"/>
      <c r="N152" s="21"/>
      <c r="O152" s="21"/>
      <c r="P152" s="21"/>
      <c r="Q152" s="21"/>
      <c r="R152" s="21"/>
      <c r="S152" s="21"/>
      <c r="T152" s="21"/>
      <c r="U152" s="21"/>
      <c r="V152" s="20">
        <f>Otex!$B$140</f>
        <v>0</v>
      </c>
      <c r="W152" s="20">
        <f>Otex!$C$140</f>
        <v>0</v>
      </c>
      <c r="X152" s="6"/>
    </row>
    <row r="153" spans="1:24" x14ac:dyDescent="0.2">
      <c r="A153" s="5" t="s">
        <v>63</v>
      </c>
      <c r="B153" s="21"/>
      <c r="C153" s="21"/>
      <c r="D153" s="21"/>
      <c r="E153" s="21"/>
      <c r="F153" s="21"/>
      <c r="G153" s="21"/>
      <c r="H153" s="21"/>
      <c r="I153" s="21"/>
      <c r="J153" s="21"/>
      <c r="K153" s="20">
        <f>SM!$B$128</f>
        <v>0</v>
      </c>
      <c r="L153" s="20">
        <f>SM!$C$128</f>
        <v>0</v>
      </c>
      <c r="M153" s="21"/>
      <c r="N153" s="21"/>
      <c r="O153" s="21"/>
      <c r="P153" s="21"/>
      <c r="Q153" s="21"/>
      <c r="R153" s="21"/>
      <c r="S153" s="21"/>
      <c r="T153" s="21"/>
      <c r="U153" s="21"/>
      <c r="V153" s="20">
        <f>Otex!$B$141</f>
        <v>0</v>
      </c>
      <c r="W153" s="20">
        <f>Otex!$C$141</f>
        <v>0</v>
      </c>
      <c r="X153" s="6"/>
    </row>
    <row r="154" spans="1:24" x14ac:dyDescent="0.2">
      <c r="A154" s="5" t="s">
        <v>64</v>
      </c>
      <c r="B154" s="21"/>
      <c r="C154" s="21"/>
      <c r="D154" s="21"/>
      <c r="E154" s="21"/>
      <c r="F154" s="21"/>
      <c r="G154" s="21"/>
      <c r="H154" s="21"/>
      <c r="I154" s="21"/>
      <c r="J154" s="21"/>
      <c r="K154" s="20">
        <f>SM!$B$129</f>
        <v>0</v>
      </c>
      <c r="L154" s="20">
        <f>SM!$C$129</f>
        <v>0</v>
      </c>
      <c r="M154" s="21"/>
      <c r="N154" s="21"/>
      <c r="O154" s="21"/>
      <c r="P154" s="21"/>
      <c r="Q154" s="21"/>
      <c r="R154" s="21"/>
      <c r="S154" s="21"/>
      <c r="T154" s="21"/>
      <c r="U154" s="21"/>
      <c r="V154" s="20">
        <f>Otex!$B$142</f>
        <v>0</v>
      </c>
      <c r="W154" s="20">
        <f>Otex!$C$142</f>
        <v>0</v>
      </c>
      <c r="X154" s="6"/>
    </row>
    <row r="155" spans="1:24" x14ac:dyDescent="0.2">
      <c r="A155" s="5" t="s">
        <v>65</v>
      </c>
      <c r="B155" s="21"/>
      <c r="C155" s="21"/>
      <c r="D155" s="21"/>
      <c r="E155" s="21"/>
      <c r="F155" s="21"/>
      <c r="G155" s="21"/>
      <c r="H155" s="21"/>
      <c r="I155" s="21"/>
      <c r="J155" s="21"/>
      <c r="K155" s="20">
        <f>SM!$B$130</f>
        <v>0</v>
      </c>
      <c r="L155" s="20">
        <f>SM!$C$130</f>
        <v>0</v>
      </c>
      <c r="M155" s="21"/>
      <c r="N155" s="21"/>
      <c r="O155" s="21"/>
      <c r="P155" s="21"/>
      <c r="Q155" s="21"/>
      <c r="R155" s="21"/>
      <c r="S155" s="21"/>
      <c r="T155" s="21"/>
      <c r="U155" s="21"/>
      <c r="V155" s="20">
        <f>Otex!$B$143</f>
        <v>0</v>
      </c>
      <c r="W155" s="20">
        <f>Otex!$C$143</f>
        <v>0</v>
      </c>
      <c r="X155" s="6"/>
    </row>
    <row r="156" spans="1:24" x14ac:dyDescent="0.2">
      <c r="A156" s="5" t="s">
        <v>66</v>
      </c>
      <c r="B156" s="21"/>
      <c r="C156" s="21"/>
      <c r="D156" s="21"/>
      <c r="E156" s="21"/>
      <c r="F156" s="21"/>
      <c r="G156" s="21"/>
      <c r="H156" s="21"/>
      <c r="I156" s="21"/>
      <c r="J156" s="21"/>
      <c r="K156" s="20">
        <f>SM!$B$131</f>
        <v>0</v>
      </c>
      <c r="L156" s="20">
        <f>SM!$C$131</f>
        <v>0</v>
      </c>
      <c r="M156" s="21"/>
      <c r="N156" s="21"/>
      <c r="O156" s="21"/>
      <c r="P156" s="21"/>
      <c r="Q156" s="21"/>
      <c r="R156" s="21"/>
      <c r="S156" s="21"/>
      <c r="T156" s="21"/>
      <c r="U156" s="21"/>
      <c r="V156" s="20">
        <f>Otex!$B$144</f>
        <v>0</v>
      </c>
      <c r="W156" s="20">
        <f>Otex!$C$144</f>
        <v>0</v>
      </c>
      <c r="X156" s="6"/>
    </row>
    <row r="157" spans="1:24" x14ac:dyDescent="0.2">
      <c r="A157" s="5" t="s">
        <v>75</v>
      </c>
      <c r="B157" s="21"/>
      <c r="C157" s="21"/>
      <c r="D157" s="21"/>
      <c r="E157" s="21"/>
      <c r="F157" s="21"/>
      <c r="G157" s="21"/>
      <c r="H157" s="21"/>
      <c r="I157" s="21"/>
      <c r="J157" s="21"/>
      <c r="K157" s="20">
        <f>SM!$B$132</f>
        <v>0</v>
      </c>
      <c r="L157" s="20">
        <f>SM!$C$132</f>
        <v>0</v>
      </c>
      <c r="M157" s="21"/>
      <c r="N157" s="21"/>
      <c r="O157" s="21"/>
      <c r="P157" s="21"/>
      <c r="Q157" s="21"/>
      <c r="R157" s="21"/>
      <c r="S157" s="21"/>
      <c r="T157" s="21"/>
      <c r="U157" s="21"/>
      <c r="V157" s="20">
        <f>Otex!$B$145</f>
        <v>0</v>
      </c>
      <c r="W157" s="20">
        <f>Otex!$C$145</f>
        <v>6.3622622359931222</v>
      </c>
      <c r="X157" s="6"/>
    </row>
    <row r="158" spans="1:24" x14ac:dyDescent="0.2">
      <c r="A158" s="5" t="s">
        <v>76</v>
      </c>
      <c r="B158" s="21"/>
      <c r="C158" s="21"/>
      <c r="D158" s="21"/>
      <c r="E158" s="21"/>
      <c r="F158" s="21"/>
      <c r="G158" s="21"/>
      <c r="H158" s="21"/>
      <c r="I158" s="21"/>
      <c r="J158" s="21"/>
      <c r="K158" s="20">
        <f>SM!$B$133</f>
        <v>0</v>
      </c>
      <c r="L158" s="20">
        <f>SM!$C$133</f>
        <v>0</v>
      </c>
      <c r="M158" s="21"/>
      <c r="N158" s="21"/>
      <c r="O158" s="21"/>
      <c r="P158" s="21"/>
      <c r="Q158" s="21"/>
      <c r="R158" s="21"/>
      <c r="S158" s="21"/>
      <c r="T158" s="21"/>
      <c r="U158" s="21"/>
      <c r="V158" s="20">
        <f>Otex!$B$146</f>
        <v>0</v>
      </c>
      <c r="W158" s="20">
        <f>Otex!$C$146</f>
        <v>6.3622622359931222</v>
      </c>
      <c r="X158" s="6"/>
    </row>
    <row r="159" spans="1:24" x14ac:dyDescent="0.2">
      <c r="A159" s="5" t="s">
        <v>77</v>
      </c>
      <c r="B159" s="21"/>
      <c r="C159" s="21"/>
      <c r="D159" s="21"/>
      <c r="E159" s="21"/>
      <c r="F159" s="21"/>
      <c r="G159" s="21"/>
      <c r="H159" s="21"/>
      <c r="I159" s="21"/>
      <c r="J159" s="21"/>
      <c r="K159" s="20">
        <f>SM!$B$134</f>
        <v>0</v>
      </c>
      <c r="L159" s="20">
        <f>SM!$C$134</f>
        <v>0</v>
      </c>
      <c r="M159" s="21"/>
      <c r="N159" s="21"/>
      <c r="O159" s="21"/>
      <c r="P159" s="21"/>
      <c r="Q159" s="21"/>
      <c r="R159" s="21"/>
      <c r="S159" s="21"/>
      <c r="T159" s="21"/>
      <c r="U159" s="21"/>
      <c r="V159" s="20">
        <f>Otex!$B$147</f>
        <v>0</v>
      </c>
      <c r="W159" s="20">
        <f>Otex!$C$147</f>
        <v>6.3622622359931222</v>
      </c>
      <c r="X159" s="6"/>
    </row>
    <row r="160" spans="1:24" x14ac:dyDescent="0.2">
      <c r="A160" s="5" t="s">
        <v>78</v>
      </c>
      <c r="B160" s="21"/>
      <c r="C160" s="21"/>
      <c r="D160" s="21"/>
      <c r="E160" s="21"/>
      <c r="F160" s="21"/>
      <c r="G160" s="21"/>
      <c r="H160" s="21"/>
      <c r="I160" s="21"/>
      <c r="J160" s="21"/>
      <c r="K160" s="20">
        <f>SM!$B$135</f>
        <v>0</v>
      </c>
      <c r="L160" s="20">
        <f>SM!$C$135</f>
        <v>0</v>
      </c>
      <c r="M160" s="21"/>
      <c r="N160" s="21"/>
      <c r="O160" s="21"/>
      <c r="P160" s="21"/>
      <c r="Q160" s="21"/>
      <c r="R160" s="21"/>
      <c r="S160" s="21"/>
      <c r="T160" s="21"/>
      <c r="U160" s="21"/>
      <c r="V160" s="20">
        <f>Otex!$B$148</f>
        <v>0</v>
      </c>
      <c r="W160" s="20">
        <f>Otex!$C$148</f>
        <v>6.3622622359931222</v>
      </c>
      <c r="X160" s="6"/>
    </row>
    <row r="162" spans="1:24" ht="16.5" x14ac:dyDescent="0.25">
      <c r="A162" s="3" t="s">
        <v>940</v>
      </c>
    </row>
    <row r="163" spans="1:24" x14ac:dyDescent="0.2">
      <c r="A163" s="10" t="s">
        <v>238</v>
      </c>
    </row>
    <row r="164" spans="1:24" x14ac:dyDescent="0.2">
      <c r="A164" s="11" t="s">
        <v>941</v>
      </c>
    </row>
    <row r="165" spans="1:24" x14ac:dyDescent="0.2">
      <c r="A165" s="10" t="s">
        <v>716</v>
      </c>
    </row>
    <row r="167" spans="1:24" ht="25.5" x14ac:dyDescent="0.2">
      <c r="B167" s="4" t="s">
        <v>21</v>
      </c>
      <c r="C167" s="4" t="s">
        <v>191</v>
      </c>
      <c r="D167" s="4" t="s">
        <v>192</v>
      </c>
      <c r="E167" s="4" t="s">
        <v>193</v>
      </c>
      <c r="F167" s="4" t="s">
        <v>194</v>
      </c>
      <c r="G167" s="4" t="s">
        <v>195</v>
      </c>
      <c r="H167" s="4" t="s">
        <v>196</v>
      </c>
      <c r="I167" s="4" t="s">
        <v>197</v>
      </c>
      <c r="J167" s="4" t="s">
        <v>198</v>
      </c>
      <c r="K167" s="4" t="s">
        <v>350</v>
      </c>
      <c r="L167" s="4" t="s">
        <v>362</v>
      </c>
      <c r="M167" s="4" t="s">
        <v>179</v>
      </c>
      <c r="N167" s="4" t="s">
        <v>699</v>
      </c>
      <c r="O167" s="4" t="s">
        <v>700</v>
      </c>
      <c r="P167" s="4" t="s">
        <v>701</v>
      </c>
      <c r="Q167" s="4" t="s">
        <v>702</v>
      </c>
      <c r="R167" s="4" t="s">
        <v>703</v>
      </c>
      <c r="S167" s="4" t="s">
        <v>704</v>
      </c>
      <c r="T167" s="4" t="s">
        <v>705</v>
      </c>
      <c r="U167" s="4" t="s">
        <v>706</v>
      </c>
      <c r="V167" s="4" t="s">
        <v>707</v>
      </c>
      <c r="W167" s="4" t="s">
        <v>708</v>
      </c>
    </row>
    <row r="168" spans="1:24" x14ac:dyDescent="0.2">
      <c r="A168" s="5" t="s">
        <v>53</v>
      </c>
      <c r="B168" s="21"/>
      <c r="C168" s="21"/>
      <c r="D168" s="21"/>
      <c r="E168" s="21"/>
      <c r="F168" s="21"/>
      <c r="G168" s="21"/>
      <c r="H168" s="21"/>
      <c r="I168" s="21"/>
      <c r="J168" s="21"/>
      <c r="K168" s="21"/>
      <c r="L168" s="21"/>
      <c r="M168" s="21"/>
      <c r="N168" s="21"/>
      <c r="O168" s="21"/>
      <c r="P168" s="21"/>
      <c r="Q168" s="21"/>
      <c r="R168" s="21"/>
      <c r="S168" s="21"/>
      <c r="T168" s="21"/>
      <c r="U168" s="21"/>
      <c r="V168" s="21"/>
      <c r="W168" s="21"/>
      <c r="X168" s="6"/>
    </row>
    <row r="169" spans="1:24" x14ac:dyDescent="0.2">
      <c r="A169" s="5" t="s">
        <v>54</v>
      </c>
      <c r="B169" s="21"/>
      <c r="C169" s="21"/>
      <c r="D169" s="21"/>
      <c r="E169" s="21"/>
      <c r="F169" s="21"/>
      <c r="G169" s="21"/>
      <c r="H169" s="21"/>
      <c r="I169" s="21"/>
      <c r="J169" s="21"/>
      <c r="K169" s="21"/>
      <c r="L169" s="21"/>
      <c r="M169" s="21"/>
      <c r="N169" s="21"/>
      <c r="O169" s="21"/>
      <c r="P169" s="21"/>
      <c r="Q169" s="21"/>
      <c r="R169" s="21"/>
      <c r="S169" s="21"/>
      <c r="T169" s="21"/>
      <c r="U169" s="21"/>
      <c r="V169" s="21"/>
      <c r="W169" s="21"/>
      <c r="X169" s="6"/>
    </row>
    <row r="170" spans="1:24" x14ac:dyDescent="0.2">
      <c r="A170" s="5" t="s">
        <v>94</v>
      </c>
      <c r="B170" s="21"/>
      <c r="C170" s="21"/>
      <c r="D170" s="21"/>
      <c r="E170" s="21"/>
      <c r="F170" s="21"/>
      <c r="G170" s="21"/>
      <c r="H170" s="21"/>
      <c r="I170" s="21"/>
      <c r="J170" s="21"/>
      <c r="K170" s="21"/>
      <c r="L170" s="21"/>
      <c r="M170" s="21"/>
      <c r="N170" s="21"/>
      <c r="O170" s="21"/>
      <c r="P170" s="21"/>
      <c r="Q170" s="21"/>
      <c r="R170" s="21"/>
      <c r="S170" s="21"/>
      <c r="T170" s="21"/>
      <c r="U170" s="21"/>
      <c r="V170" s="21"/>
      <c r="W170" s="21"/>
      <c r="X170" s="6"/>
    </row>
    <row r="171" spans="1:24" x14ac:dyDescent="0.2">
      <c r="A171" s="5" t="s">
        <v>55</v>
      </c>
      <c r="B171" s="21"/>
      <c r="C171" s="21"/>
      <c r="D171" s="21"/>
      <c r="E171" s="21"/>
      <c r="F171" s="21"/>
      <c r="G171" s="21"/>
      <c r="H171" s="21"/>
      <c r="I171" s="21"/>
      <c r="J171" s="21"/>
      <c r="K171" s="21"/>
      <c r="L171" s="21"/>
      <c r="M171" s="21"/>
      <c r="N171" s="21"/>
      <c r="O171" s="21"/>
      <c r="P171" s="21"/>
      <c r="Q171" s="21"/>
      <c r="R171" s="21"/>
      <c r="S171" s="21"/>
      <c r="T171" s="21"/>
      <c r="U171" s="21"/>
      <c r="V171" s="21"/>
      <c r="W171" s="21"/>
      <c r="X171" s="6"/>
    </row>
    <row r="172" spans="1:24" x14ac:dyDescent="0.2">
      <c r="A172" s="5" t="s">
        <v>56</v>
      </c>
      <c r="B172" s="21"/>
      <c r="C172" s="21"/>
      <c r="D172" s="21"/>
      <c r="E172" s="21"/>
      <c r="F172" s="21"/>
      <c r="G172" s="21"/>
      <c r="H172" s="21"/>
      <c r="I172" s="21"/>
      <c r="J172" s="21"/>
      <c r="K172" s="21"/>
      <c r="L172" s="21"/>
      <c r="M172" s="21"/>
      <c r="N172" s="21"/>
      <c r="O172" s="21"/>
      <c r="P172" s="21"/>
      <c r="Q172" s="21"/>
      <c r="R172" s="21"/>
      <c r="S172" s="21"/>
      <c r="T172" s="21"/>
      <c r="U172" s="21"/>
      <c r="V172" s="21"/>
      <c r="W172" s="21"/>
      <c r="X172" s="6"/>
    </row>
    <row r="173" spans="1:24" x14ac:dyDescent="0.2">
      <c r="A173" s="5" t="s">
        <v>95</v>
      </c>
      <c r="B173" s="21"/>
      <c r="C173" s="21"/>
      <c r="D173" s="21"/>
      <c r="E173" s="21"/>
      <c r="F173" s="21"/>
      <c r="G173" s="21"/>
      <c r="H173" s="21"/>
      <c r="I173" s="21"/>
      <c r="J173" s="21"/>
      <c r="K173" s="21"/>
      <c r="L173" s="21"/>
      <c r="M173" s="21"/>
      <c r="N173" s="21"/>
      <c r="O173" s="21"/>
      <c r="P173" s="21"/>
      <c r="Q173" s="21"/>
      <c r="R173" s="21"/>
      <c r="S173" s="21"/>
      <c r="T173" s="21"/>
      <c r="U173" s="21"/>
      <c r="V173" s="21"/>
      <c r="W173" s="21"/>
      <c r="X173" s="6"/>
    </row>
    <row r="174" spans="1:24" x14ac:dyDescent="0.2">
      <c r="A174" s="5" t="s">
        <v>57</v>
      </c>
      <c r="B174" s="21"/>
      <c r="C174" s="21"/>
      <c r="D174" s="21"/>
      <c r="E174" s="21"/>
      <c r="F174" s="21"/>
      <c r="G174" s="21"/>
      <c r="H174" s="21"/>
      <c r="I174" s="21"/>
      <c r="J174" s="21"/>
      <c r="K174" s="21"/>
      <c r="L174" s="21"/>
      <c r="M174" s="21"/>
      <c r="N174" s="21"/>
      <c r="O174" s="21"/>
      <c r="P174" s="21"/>
      <c r="Q174" s="21"/>
      <c r="R174" s="21"/>
      <c r="S174" s="21"/>
      <c r="T174" s="21"/>
      <c r="U174" s="21"/>
      <c r="V174" s="21"/>
      <c r="W174" s="21"/>
      <c r="X174" s="6"/>
    </row>
    <row r="175" spans="1:24" x14ac:dyDescent="0.2">
      <c r="A175" s="5" t="s">
        <v>58</v>
      </c>
      <c r="B175" s="21"/>
      <c r="C175" s="21"/>
      <c r="D175" s="21"/>
      <c r="E175" s="21"/>
      <c r="F175" s="21"/>
      <c r="G175" s="21"/>
      <c r="H175" s="21"/>
      <c r="I175" s="21"/>
      <c r="J175" s="21"/>
      <c r="K175" s="21"/>
      <c r="L175" s="21"/>
      <c r="M175" s="21"/>
      <c r="N175" s="21"/>
      <c r="O175" s="21"/>
      <c r="P175" s="21"/>
      <c r="Q175" s="21"/>
      <c r="R175" s="21"/>
      <c r="S175" s="21"/>
      <c r="T175" s="21"/>
      <c r="U175" s="21"/>
      <c r="V175" s="21"/>
      <c r="W175" s="21"/>
      <c r="X175" s="6"/>
    </row>
    <row r="176" spans="1:24" x14ac:dyDescent="0.2">
      <c r="A176" s="5" t="s">
        <v>72</v>
      </c>
      <c r="B176" s="21"/>
      <c r="C176" s="21"/>
      <c r="D176" s="21"/>
      <c r="E176" s="21"/>
      <c r="F176" s="21"/>
      <c r="G176" s="21"/>
      <c r="H176" s="21"/>
      <c r="I176" s="21"/>
      <c r="J176" s="21"/>
      <c r="K176" s="21"/>
      <c r="L176" s="21"/>
      <c r="M176" s="21"/>
      <c r="N176" s="21"/>
      <c r="O176" s="21"/>
      <c r="P176" s="21"/>
      <c r="Q176" s="21"/>
      <c r="R176" s="21"/>
      <c r="S176" s="21"/>
      <c r="T176" s="21"/>
      <c r="U176" s="21"/>
      <c r="V176" s="21"/>
      <c r="W176" s="21"/>
      <c r="X176" s="6"/>
    </row>
    <row r="177" spans="1:24" x14ac:dyDescent="0.2">
      <c r="A177" s="5" t="s">
        <v>59</v>
      </c>
      <c r="B177" s="20">
        <f>Standing!$B$34</f>
        <v>0</v>
      </c>
      <c r="C177" s="20">
        <f>Standing!$C$34</f>
        <v>0</v>
      </c>
      <c r="D177" s="20">
        <f>Standing!$D$34</f>
        <v>0</v>
      </c>
      <c r="E177" s="20">
        <f>Standing!$E$34</f>
        <v>0</v>
      </c>
      <c r="F177" s="20">
        <f>Standing!$F$34</f>
        <v>0</v>
      </c>
      <c r="G177" s="20">
        <f>Standing!$G$34</f>
        <v>0</v>
      </c>
      <c r="H177" s="20">
        <f>Standing!$H$34</f>
        <v>0.36013126770993864</v>
      </c>
      <c r="I177" s="20">
        <f>Standing!$I$34</f>
        <v>1.5564019507428997</v>
      </c>
      <c r="J177" s="20">
        <f>Standing!$J$34</f>
        <v>4.3701409904045252E-2</v>
      </c>
      <c r="K177" s="21"/>
      <c r="L177" s="21"/>
      <c r="M177" s="20">
        <f>Standing!$K$34</f>
        <v>0</v>
      </c>
      <c r="N177" s="20">
        <f>Standing!$L$34</f>
        <v>0</v>
      </c>
      <c r="O177" s="20">
        <f>Standing!$M$34</f>
        <v>0</v>
      </c>
      <c r="P177" s="20">
        <f>Standing!$N$34</f>
        <v>0</v>
      </c>
      <c r="Q177" s="20">
        <f>Standing!$O$34</f>
        <v>0</v>
      </c>
      <c r="R177" s="20">
        <f>Standing!$P$34</f>
        <v>0</v>
      </c>
      <c r="S177" s="20">
        <f>Standing!$Q$34</f>
        <v>0.16985217881452214</v>
      </c>
      <c r="T177" s="20">
        <f>Standing!$R$34</f>
        <v>0.73406084433017538</v>
      </c>
      <c r="U177" s="20">
        <f>Standing!$S$34</f>
        <v>0.48093072799712311</v>
      </c>
      <c r="V177" s="21"/>
      <c r="W177" s="21"/>
      <c r="X177" s="6"/>
    </row>
    <row r="178" spans="1:24" x14ac:dyDescent="0.2">
      <c r="A178" s="5" t="s">
        <v>60</v>
      </c>
      <c r="B178" s="20">
        <f>Standing!$B$35</f>
        <v>0</v>
      </c>
      <c r="C178" s="20">
        <f>Standing!$C$35</f>
        <v>0</v>
      </c>
      <c r="D178" s="20">
        <f>Standing!$D$35</f>
        <v>0</v>
      </c>
      <c r="E178" s="20">
        <f>Standing!$E$35</f>
        <v>0</v>
      </c>
      <c r="F178" s="20">
        <f>Standing!$F$35</f>
        <v>0</v>
      </c>
      <c r="G178" s="20">
        <f>Standing!$G$35</f>
        <v>0</v>
      </c>
      <c r="H178" s="20">
        <f>Standing!$H$35</f>
        <v>1.7189568676536087</v>
      </c>
      <c r="I178" s="20">
        <f>Standing!$I$35</f>
        <v>6.3676491528968052E-2</v>
      </c>
      <c r="J178" s="20">
        <f>Standing!$J$35</f>
        <v>0</v>
      </c>
      <c r="K178" s="21"/>
      <c r="L178" s="21"/>
      <c r="M178" s="20">
        <f>Standing!$K$35</f>
        <v>0</v>
      </c>
      <c r="N178" s="20">
        <f>Standing!$L$35</f>
        <v>0</v>
      </c>
      <c r="O178" s="20">
        <f>Standing!$M$35</f>
        <v>0</v>
      </c>
      <c r="P178" s="20">
        <f>Standing!$N$35</f>
        <v>0</v>
      </c>
      <c r="Q178" s="20">
        <f>Standing!$O$35</f>
        <v>0</v>
      </c>
      <c r="R178" s="20">
        <f>Standing!$P$35</f>
        <v>0</v>
      </c>
      <c r="S178" s="20">
        <f>Standing!$Q$35</f>
        <v>0.81072818563011473</v>
      </c>
      <c r="T178" s="20">
        <f>Standing!$R$35</f>
        <v>0.70075499839867905</v>
      </c>
      <c r="U178" s="20">
        <f>Standing!$S$35</f>
        <v>0</v>
      </c>
      <c r="V178" s="21"/>
      <c r="W178" s="21"/>
      <c r="X178" s="6"/>
    </row>
    <row r="179" spans="1:24" x14ac:dyDescent="0.2">
      <c r="A179" s="5" t="s">
        <v>73</v>
      </c>
      <c r="B179" s="20">
        <f>Standing!$B$36</f>
        <v>0</v>
      </c>
      <c r="C179" s="20">
        <f>Standing!$C$36</f>
        <v>0</v>
      </c>
      <c r="D179" s="20">
        <f>Standing!$D$36</f>
        <v>0</v>
      </c>
      <c r="E179" s="20">
        <f>Standing!$E$36</f>
        <v>0.35972193021495469</v>
      </c>
      <c r="F179" s="20">
        <f>Standing!$F$36</f>
        <v>0.95770595883796472</v>
      </c>
      <c r="G179" s="20">
        <f>Standing!$G$36</f>
        <v>0</v>
      </c>
      <c r="H179" s="20">
        <f>Standing!$H$36</f>
        <v>0.21827764352836623</v>
      </c>
      <c r="I179" s="20">
        <f>Standing!$I$36</f>
        <v>0</v>
      </c>
      <c r="J179" s="20">
        <f>Standing!$J$36</f>
        <v>0</v>
      </c>
      <c r="K179" s="21"/>
      <c r="L179" s="21"/>
      <c r="M179" s="20">
        <f>Standing!$K$36</f>
        <v>0</v>
      </c>
      <c r="N179" s="20">
        <f>Standing!$L$36</f>
        <v>0</v>
      </c>
      <c r="O179" s="20">
        <f>Standing!$M$36</f>
        <v>0</v>
      </c>
      <c r="P179" s="20">
        <f>Standing!$N$36</f>
        <v>0.11876138332012581</v>
      </c>
      <c r="Q179" s="20">
        <f>Standing!$O$36</f>
        <v>0.73531269916362452</v>
      </c>
      <c r="R179" s="20">
        <f>Standing!$P$36</f>
        <v>0</v>
      </c>
      <c r="S179" s="20">
        <f>Standing!$Q$36</f>
        <v>0.80070968143506582</v>
      </c>
      <c r="T179" s="20">
        <f>Standing!$R$36</f>
        <v>0</v>
      </c>
      <c r="U179" s="20">
        <f>Standing!$S$36</f>
        <v>0</v>
      </c>
      <c r="V179" s="21"/>
      <c r="W179" s="21"/>
      <c r="X179" s="6"/>
    </row>
    <row r="180" spans="1:24" x14ac:dyDescent="0.2">
      <c r="A180" s="5" t="s">
        <v>74</v>
      </c>
      <c r="B180" s="20">
        <f>Standing!$B$37</f>
        <v>0</v>
      </c>
      <c r="C180" s="20">
        <f>Standing!$C$37</f>
        <v>0</v>
      </c>
      <c r="D180" s="20">
        <f>Standing!$D$37</f>
        <v>0</v>
      </c>
      <c r="E180" s="20">
        <f>Standing!$E$37</f>
        <v>0.7644696900973349</v>
      </c>
      <c r="F180" s="20">
        <f>Standing!$F$37</f>
        <v>0.17611997577753008</v>
      </c>
      <c r="G180" s="20">
        <f>Standing!$G$37</f>
        <v>0</v>
      </c>
      <c r="H180" s="20">
        <f>Standing!$H$37</f>
        <v>0</v>
      </c>
      <c r="I180" s="20">
        <f>Standing!$I$37</f>
        <v>0</v>
      </c>
      <c r="J180" s="20">
        <f>Standing!$J$37</f>
        <v>0</v>
      </c>
      <c r="K180" s="21"/>
      <c r="L180" s="21"/>
      <c r="M180" s="20">
        <f>Standing!$K$37</f>
        <v>0</v>
      </c>
      <c r="N180" s="20">
        <f>Standing!$L$37</f>
        <v>0</v>
      </c>
      <c r="O180" s="20">
        <f>Standing!$M$37</f>
        <v>0</v>
      </c>
      <c r="P180" s="20">
        <f>Standing!$N$37</f>
        <v>0.58694870389686837</v>
      </c>
      <c r="Q180" s="20">
        <f>Standing!$O$37</f>
        <v>0.72682015595865479</v>
      </c>
      <c r="R180" s="20">
        <f>Standing!$P$37</f>
        <v>0</v>
      </c>
      <c r="S180" s="20">
        <f>Standing!$Q$37</f>
        <v>0</v>
      </c>
      <c r="T180" s="20">
        <f>Standing!$R$37</f>
        <v>0</v>
      </c>
      <c r="U180" s="20">
        <f>Standing!$S$37</f>
        <v>0</v>
      </c>
      <c r="V180" s="21"/>
      <c r="W180" s="21"/>
      <c r="X180" s="6"/>
    </row>
    <row r="181" spans="1:24" x14ac:dyDescent="0.2">
      <c r="A181" s="5" t="s">
        <v>96</v>
      </c>
      <c r="B181" s="21"/>
      <c r="C181" s="21"/>
      <c r="D181" s="21"/>
      <c r="E181" s="21"/>
      <c r="F181" s="21"/>
      <c r="G181" s="21"/>
      <c r="H181" s="21"/>
      <c r="I181" s="21"/>
      <c r="J181" s="21"/>
      <c r="K181" s="21"/>
      <c r="L181" s="21"/>
      <c r="M181" s="21"/>
      <c r="N181" s="21"/>
      <c r="O181" s="21"/>
      <c r="P181" s="21"/>
      <c r="Q181" s="21"/>
      <c r="R181" s="21"/>
      <c r="S181" s="21"/>
      <c r="T181" s="21"/>
      <c r="U181" s="21"/>
      <c r="V181" s="21"/>
      <c r="W181" s="21"/>
      <c r="X181" s="6"/>
    </row>
    <row r="182" spans="1:24" x14ac:dyDescent="0.2">
      <c r="A182" s="5" t="s">
        <v>97</v>
      </c>
      <c r="B182" s="21"/>
      <c r="C182" s="21"/>
      <c r="D182" s="21"/>
      <c r="E182" s="21"/>
      <c r="F182" s="21"/>
      <c r="G182" s="21"/>
      <c r="H182" s="21"/>
      <c r="I182" s="21"/>
      <c r="J182" s="21"/>
      <c r="K182" s="21"/>
      <c r="L182" s="21"/>
      <c r="M182" s="21"/>
      <c r="N182" s="21"/>
      <c r="O182" s="21"/>
      <c r="P182" s="21"/>
      <c r="Q182" s="21"/>
      <c r="R182" s="21"/>
      <c r="S182" s="21"/>
      <c r="T182" s="21"/>
      <c r="U182" s="21"/>
      <c r="V182" s="21"/>
      <c r="W182" s="21"/>
      <c r="X182" s="6"/>
    </row>
    <row r="183" spans="1:24" x14ac:dyDescent="0.2">
      <c r="A183" s="5" t="s">
        <v>98</v>
      </c>
      <c r="B183" s="21"/>
      <c r="C183" s="21"/>
      <c r="D183" s="21"/>
      <c r="E183" s="21"/>
      <c r="F183" s="21"/>
      <c r="G183" s="21"/>
      <c r="H183" s="21"/>
      <c r="I183" s="21"/>
      <c r="J183" s="21"/>
      <c r="K183" s="21"/>
      <c r="L183" s="21"/>
      <c r="M183" s="21"/>
      <c r="N183" s="21"/>
      <c r="O183" s="21"/>
      <c r="P183" s="21"/>
      <c r="Q183" s="21"/>
      <c r="R183" s="21"/>
      <c r="S183" s="21"/>
      <c r="T183" s="21"/>
      <c r="U183" s="21"/>
      <c r="V183" s="21"/>
      <c r="W183" s="21"/>
      <c r="X183" s="6"/>
    </row>
    <row r="184" spans="1:24" x14ac:dyDescent="0.2">
      <c r="A184" s="5" t="s">
        <v>99</v>
      </c>
      <c r="B184" s="21"/>
      <c r="C184" s="21"/>
      <c r="D184" s="21"/>
      <c r="E184" s="21"/>
      <c r="F184" s="21"/>
      <c r="G184" s="21"/>
      <c r="H184" s="21"/>
      <c r="I184" s="21"/>
      <c r="J184" s="21"/>
      <c r="K184" s="21"/>
      <c r="L184" s="21"/>
      <c r="M184" s="21"/>
      <c r="N184" s="21"/>
      <c r="O184" s="21"/>
      <c r="P184" s="21"/>
      <c r="Q184" s="21"/>
      <c r="R184" s="21"/>
      <c r="S184" s="21"/>
      <c r="T184" s="21"/>
      <c r="U184" s="21"/>
      <c r="V184" s="21"/>
      <c r="W184" s="21"/>
      <c r="X184" s="6"/>
    </row>
    <row r="185" spans="1:24" x14ac:dyDescent="0.2">
      <c r="A185" s="5" t="s">
        <v>100</v>
      </c>
      <c r="B185" s="21"/>
      <c r="C185" s="21"/>
      <c r="D185" s="21"/>
      <c r="E185" s="21"/>
      <c r="F185" s="21"/>
      <c r="G185" s="21"/>
      <c r="H185" s="21"/>
      <c r="I185" s="21"/>
      <c r="J185" s="21"/>
      <c r="K185" s="21"/>
      <c r="L185" s="21"/>
      <c r="M185" s="21"/>
      <c r="N185" s="21"/>
      <c r="O185" s="21"/>
      <c r="P185" s="21"/>
      <c r="Q185" s="21"/>
      <c r="R185" s="21"/>
      <c r="S185" s="21"/>
      <c r="T185" s="21"/>
      <c r="U185" s="21"/>
      <c r="V185" s="21"/>
      <c r="W185" s="21"/>
      <c r="X185" s="6"/>
    </row>
    <row r="186" spans="1:24" x14ac:dyDescent="0.2">
      <c r="A186" s="5" t="s">
        <v>61</v>
      </c>
      <c r="B186" s="21"/>
      <c r="C186" s="21"/>
      <c r="D186" s="21"/>
      <c r="E186" s="21"/>
      <c r="F186" s="21"/>
      <c r="G186" s="21"/>
      <c r="H186" s="21"/>
      <c r="I186" s="21"/>
      <c r="J186" s="21"/>
      <c r="K186" s="21"/>
      <c r="L186" s="21"/>
      <c r="M186" s="21"/>
      <c r="N186" s="21"/>
      <c r="O186" s="21"/>
      <c r="P186" s="21"/>
      <c r="Q186" s="21"/>
      <c r="R186" s="21"/>
      <c r="S186" s="21"/>
      <c r="T186" s="21"/>
      <c r="U186" s="21"/>
      <c r="V186" s="21"/>
      <c r="W186" s="21"/>
      <c r="X186" s="6"/>
    </row>
    <row r="187" spans="1:24" x14ac:dyDescent="0.2">
      <c r="A187" s="5" t="s">
        <v>62</v>
      </c>
      <c r="B187" s="21"/>
      <c r="C187" s="21"/>
      <c r="D187" s="21"/>
      <c r="E187" s="21"/>
      <c r="F187" s="21"/>
      <c r="G187" s="21"/>
      <c r="H187" s="21"/>
      <c r="I187" s="21"/>
      <c r="J187" s="21"/>
      <c r="K187" s="21"/>
      <c r="L187" s="21"/>
      <c r="M187" s="21"/>
      <c r="N187" s="21"/>
      <c r="O187" s="21"/>
      <c r="P187" s="21"/>
      <c r="Q187" s="21"/>
      <c r="R187" s="21"/>
      <c r="S187" s="21"/>
      <c r="T187" s="21"/>
      <c r="U187" s="21"/>
      <c r="V187" s="21"/>
      <c r="W187" s="21"/>
      <c r="X187" s="6"/>
    </row>
    <row r="188" spans="1:24" x14ac:dyDescent="0.2">
      <c r="A188" s="5" t="s">
        <v>63</v>
      </c>
      <c r="B188" s="21"/>
      <c r="C188" s="21"/>
      <c r="D188" s="21"/>
      <c r="E188" s="21"/>
      <c r="F188" s="21"/>
      <c r="G188" s="21"/>
      <c r="H188" s="21"/>
      <c r="I188" s="21"/>
      <c r="J188" s="21"/>
      <c r="K188" s="21"/>
      <c r="L188" s="21"/>
      <c r="M188" s="21"/>
      <c r="N188" s="21"/>
      <c r="O188" s="21"/>
      <c r="P188" s="21"/>
      <c r="Q188" s="21"/>
      <c r="R188" s="21"/>
      <c r="S188" s="21"/>
      <c r="T188" s="21"/>
      <c r="U188" s="21"/>
      <c r="V188" s="21"/>
      <c r="W188" s="21"/>
      <c r="X188" s="6"/>
    </row>
    <row r="189" spans="1:24" x14ac:dyDescent="0.2">
      <c r="A189" s="5" t="s">
        <v>64</v>
      </c>
      <c r="B189" s="21"/>
      <c r="C189" s="21"/>
      <c r="D189" s="21"/>
      <c r="E189" s="21"/>
      <c r="F189" s="21"/>
      <c r="G189" s="21"/>
      <c r="H189" s="21"/>
      <c r="I189" s="21"/>
      <c r="J189" s="21"/>
      <c r="K189" s="21"/>
      <c r="L189" s="21"/>
      <c r="M189" s="21"/>
      <c r="N189" s="21"/>
      <c r="O189" s="21"/>
      <c r="P189" s="21"/>
      <c r="Q189" s="21"/>
      <c r="R189" s="21"/>
      <c r="S189" s="21"/>
      <c r="T189" s="21"/>
      <c r="U189" s="21"/>
      <c r="V189" s="21"/>
      <c r="W189" s="21"/>
      <c r="X189" s="6"/>
    </row>
    <row r="190" spans="1:24" x14ac:dyDescent="0.2">
      <c r="A190" s="5" t="s">
        <v>65</v>
      </c>
      <c r="B190" s="21"/>
      <c r="C190" s="21"/>
      <c r="D190" s="21"/>
      <c r="E190" s="21"/>
      <c r="F190" s="21"/>
      <c r="G190" s="21"/>
      <c r="H190" s="21"/>
      <c r="I190" s="21"/>
      <c r="J190" s="21"/>
      <c r="K190" s="21"/>
      <c r="L190" s="21"/>
      <c r="M190" s="21"/>
      <c r="N190" s="21"/>
      <c r="O190" s="21"/>
      <c r="P190" s="21"/>
      <c r="Q190" s="21"/>
      <c r="R190" s="21"/>
      <c r="S190" s="21"/>
      <c r="T190" s="21"/>
      <c r="U190" s="21"/>
      <c r="V190" s="21"/>
      <c r="W190" s="21"/>
      <c r="X190" s="6"/>
    </row>
    <row r="191" spans="1:24" x14ac:dyDescent="0.2">
      <c r="A191" s="5" t="s">
        <v>66</v>
      </c>
      <c r="B191" s="21"/>
      <c r="C191" s="21"/>
      <c r="D191" s="21"/>
      <c r="E191" s="21"/>
      <c r="F191" s="21"/>
      <c r="G191" s="21"/>
      <c r="H191" s="21"/>
      <c r="I191" s="21"/>
      <c r="J191" s="21"/>
      <c r="K191" s="21"/>
      <c r="L191" s="21"/>
      <c r="M191" s="21"/>
      <c r="N191" s="21"/>
      <c r="O191" s="21"/>
      <c r="P191" s="21"/>
      <c r="Q191" s="21"/>
      <c r="R191" s="21"/>
      <c r="S191" s="21"/>
      <c r="T191" s="21"/>
      <c r="U191" s="21"/>
      <c r="V191" s="21"/>
      <c r="W191" s="21"/>
      <c r="X191" s="6"/>
    </row>
    <row r="192" spans="1:24" x14ac:dyDescent="0.2">
      <c r="A192" s="5" t="s">
        <v>75</v>
      </c>
      <c r="B192" s="21"/>
      <c r="C192" s="21"/>
      <c r="D192" s="21"/>
      <c r="E192" s="21"/>
      <c r="F192" s="21"/>
      <c r="G192" s="21"/>
      <c r="H192" s="21"/>
      <c r="I192" s="21"/>
      <c r="J192" s="21"/>
      <c r="K192" s="21"/>
      <c r="L192" s="21"/>
      <c r="M192" s="21"/>
      <c r="N192" s="21"/>
      <c r="O192" s="21"/>
      <c r="P192" s="21"/>
      <c r="Q192" s="21"/>
      <c r="R192" s="21"/>
      <c r="S192" s="21"/>
      <c r="T192" s="21"/>
      <c r="U192" s="21"/>
      <c r="V192" s="21"/>
      <c r="W192" s="21"/>
      <c r="X192" s="6"/>
    </row>
    <row r="193" spans="1:24" x14ac:dyDescent="0.2">
      <c r="A193" s="5" t="s">
        <v>76</v>
      </c>
      <c r="B193" s="21"/>
      <c r="C193" s="21"/>
      <c r="D193" s="21"/>
      <c r="E193" s="21"/>
      <c r="F193" s="21"/>
      <c r="G193" s="21"/>
      <c r="H193" s="21"/>
      <c r="I193" s="21"/>
      <c r="J193" s="21"/>
      <c r="K193" s="21"/>
      <c r="L193" s="21"/>
      <c r="M193" s="21"/>
      <c r="N193" s="21"/>
      <c r="O193" s="21"/>
      <c r="P193" s="21"/>
      <c r="Q193" s="21"/>
      <c r="R193" s="21"/>
      <c r="S193" s="21"/>
      <c r="T193" s="21"/>
      <c r="U193" s="21"/>
      <c r="V193" s="21"/>
      <c r="W193" s="21"/>
      <c r="X193" s="6"/>
    </row>
    <row r="194" spans="1:24" x14ac:dyDescent="0.2">
      <c r="A194" s="5" t="s">
        <v>77</v>
      </c>
      <c r="B194" s="21"/>
      <c r="C194" s="21"/>
      <c r="D194" s="21"/>
      <c r="E194" s="21"/>
      <c r="F194" s="21"/>
      <c r="G194" s="21"/>
      <c r="H194" s="21"/>
      <c r="I194" s="21"/>
      <c r="J194" s="21"/>
      <c r="K194" s="21"/>
      <c r="L194" s="21"/>
      <c r="M194" s="21"/>
      <c r="N194" s="21"/>
      <c r="O194" s="21"/>
      <c r="P194" s="21"/>
      <c r="Q194" s="21"/>
      <c r="R194" s="21"/>
      <c r="S194" s="21"/>
      <c r="T194" s="21"/>
      <c r="U194" s="21"/>
      <c r="V194" s="21"/>
      <c r="W194" s="21"/>
      <c r="X194" s="6"/>
    </row>
    <row r="195" spans="1:24" x14ac:dyDescent="0.2">
      <c r="A195" s="5" t="s">
        <v>78</v>
      </c>
      <c r="B195" s="21"/>
      <c r="C195" s="21"/>
      <c r="D195" s="21"/>
      <c r="E195" s="21"/>
      <c r="F195" s="21"/>
      <c r="G195" s="21"/>
      <c r="H195" s="21"/>
      <c r="I195" s="21"/>
      <c r="J195" s="21"/>
      <c r="K195" s="21"/>
      <c r="L195" s="21"/>
      <c r="M195" s="21"/>
      <c r="N195" s="21"/>
      <c r="O195" s="21"/>
      <c r="P195" s="21"/>
      <c r="Q195" s="21"/>
      <c r="R195" s="21"/>
      <c r="S195" s="21"/>
      <c r="T195" s="21"/>
      <c r="U195" s="21"/>
      <c r="V195" s="21"/>
      <c r="W195" s="21"/>
      <c r="X195" s="6"/>
    </row>
    <row r="197" spans="1:24" ht="16.5" x14ac:dyDescent="0.25">
      <c r="A197" s="3" t="s">
        <v>942</v>
      </c>
    </row>
    <row r="198" spans="1:24" x14ac:dyDescent="0.2">
      <c r="A198" s="10" t="s">
        <v>238</v>
      </c>
    </row>
    <row r="199" spans="1:24" x14ac:dyDescent="0.2">
      <c r="A199" s="11" t="s">
        <v>943</v>
      </c>
    </row>
    <row r="200" spans="1:24" x14ac:dyDescent="0.2">
      <c r="A200" s="11" t="s">
        <v>944</v>
      </c>
    </row>
    <row r="201" spans="1:24" x14ac:dyDescent="0.2">
      <c r="A201" s="10" t="s">
        <v>256</v>
      </c>
    </row>
    <row r="203" spans="1:24" ht="25.5" x14ac:dyDescent="0.2">
      <c r="B203" s="4" t="s">
        <v>21</v>
      </c>
      <c r="C203" s="4" t="s">
        <v>191</v>
      </c>
      <c r="D203" s="4" t="s">
        <v>192</v>
      </c>
      <c r="E203" s="4" t="s">
        <v>193</v>
      </c>
      <c r="F203" s="4" t="s">
        <v>194</v>
      </c>
      <c r="G203" s="4" t="s">
        <v>195</v>
      </c>
      <c r="H203" s="4" t="s">
        <v>196</v>
      </c>
      <c r="I203" s="4" t="s">
        <v>197</v>
      </c>
      <c r="J203" s="4" t="s">
        <v>198</v>
      </c>
      <c r="K203" s="4" t="s">
        <v>350</v>
      </c>
      <c r="L203" s="4" t="s">
        <v>362</v>
      </c>
      <c r="M203" s="4" t="s">
        <v>179</v>
      </c>
      <c r="N203" s="4" t="s">
        <v>699</v>
      </c>
      <c r="O203" s="4" t="s">
        <v>700</v>
      </c>
      <c r="P203" s="4" t="s">
        <v>701</v>
      </c>
      <c r="Q203" s="4" t="s">
        <v>702</v>
      </c>
      <c r="R203" s="4" t="s">
        <v>703</v>
      </c>
      <c r="S203" s="4" t="s">
        <v>704</v>
      </c>
      <c r="T203" s="4" t="s">
        <v>705</v>
      </c>
      <c r="U203" s="4" t="s">
        <v>706</v>
      </c>
      <c r="V203" s="4" t="s">
        <v>707</v>
      </c>
      <c r="W203" s="4" t="s">
        <v>708</v>
      </c>
    </row>
    <row r="204" spans="1:24" x14ac:dyDescent="0.2">
      <c r="A204" s="5" t="s">
        <v>53</v>
      </c>
      <c r="B204" s="21"/>
      <c r="C204" s="21"/>
      <c r="D204" s="21"/>
      <c r="E204" s="21"/>
      <c r="F204" s="21"/>
      <c r="G204" s="21"/>
      <c r="H204" s="21"/>
      <c r="I204" s="21"/>
      <c r="J204" s="21"/>
      <c r="K204" s="21"/>
      <c r="L204" s="21"/>
      <c r="M204" s="21"/>
      <c r="N204" s="21"/>
      <c r="O204" s="21"/>
      <c r="P204" s="21"/>
      <c r="Q204" s="21"/>
      <c r="R204" s="21"/>
      <c r="S204" s="21"/>
      <c r="T204" s="21"/>
      <c r="U204" s="21"/>
      <c r="V204" s="21"/>
      <c r="W204" s="21"/>
      <c r="X204" s="6"/>
    </row>
    <row r="205" spans="1:24" x14ac:dyDescent="0.2">
      <c r="A205" s="5" t="s">
        <v>54</v>
      </c>
      <c r="B205" s="21"/>
      <c r="C205" s="21"/>
      <c r="D205" s="21"/>
      <c r="E205" s="21"/>
      <c r="F205" s="21"/>
      <c r="G205" s="21"/>
      <c r="H205" s="21"/>
      <c r="I205" s="21"/>
      <c r="J205" s="21"/>
      <c r="K205" s="21"/>
      <c r="L205" s="21"/>
      <c r="M205" s="21"/>
      <c r="N205" s="21"/>
      <c r="O205" s="21"/>
      <c r="P205" s="21"/>
      <c r="Q205" s="21"/>
      <c r="R205" s="21"/>
      <c r="S205" s="21"/>
      <c r="T205" s="21"/>
      <c r="U205" s="21"/>
      <c r="V205" s="21"/>
      <c r="W205" s="21"/>
      <c r="X205" s="6"/>
    </row>
    <row r="206" spans="1:24" x14ac:dyDescent="0.2">
      <c r="A206" s="5" t="s">
        <v>94</v>
      </c>
      <c r="B206" s="21"/>
      <c r="C206" s="21"/>
      <c r="D206" s="21"/>
      <c r="E206" s="21"/>
      <c r="F206" s="21"/>
      <c r="G206" s="21"/>
      <c r="H206" s="21"/>
      <c r="I206" s="21"/>
      <c r="J206" s="21"/>
      <c r="K206" s="21"/>
      <c r="L206" s="21"/>
      <c r="M206" s="21"/>
      <c r="N206" s="21"/>
      <c r="O206" s="21"/>
      <c r="P206" s="21"/>
      <c r="Q206" s="21"/>
      <c r="R206" s="21"/>
      <c r="S206" s="21"/>
      <c r="T206" s="21"/>
      <c r="U206" s="21"/>
      <c r="V206" s="21"/>
      <c r="W206" s="21"/>
      <c r="X206" s="6"/>
    </row>
    <row r="207" spans="1:24" x14ac:dyDescent="0.2">
      <c r="A207" s="5" t="s">
        <v>55</v>
      </c>
      <c r="B207" s="21"/>
      <c r="C207" s="21"/>
      <c r="D207" s="21"/>
      <c r="E207" s="21"/>
      <c r="F207" s="21"/>
      <c r="G207" s="21"/>
      <c r="H207" s="21"/>
      <c r="I207" s="21"/>
      <c r="J207" s="21"/>
      <c r="K207" s="21"/>
      <c r="L207" s="21"/>
      <c r="M207" s="21"/>
      <c r="N207" s="21"/>
      <c r="O207" s="21"/>
      <c r="P207" s="21"/>
      <c r="Q207" s="21"/>
      <c r="R207" s="21"/>
      <c r="S207" s="21"/>
      <c r="T207" s="21"/>
      <c r="U207" s="21"/>
      <c r="V207" s="21"/>
      <c r="W207" s="21"/>
      <c r="X207" s="6"/>
    </row>
    <row r="208" spans="1:24" x14ac:dyDescent="0.2">
      <c r="A208" s="5" t="s">
        <v>56</v>
      </c>
      <c r="B208" s="21"/>
      <c r="C208" s="21"/>
      <c r="D208" s="21"/>
      <c r="E208" s="21"/>
      <c r="F208" s="21"/>
      <c r="G208" s="21"/>
      <c r="H208" s="21"/>
      <c r="I208" s="21"/>
      <c r="J208" s="21"/>
      <c r="K208" s="21"/>
      <c r="L208" s="21"/>
      <c r="M208" s="21"/>
      <c r="N208" s="21"/>
      <c r="O208" s="21"/>
      <c r="P208" s="21"/>
      <c r="Q208" s="21"/>
      <c r="R208" s="21"/>
      <c r="S208" s="21"/>
      <c r="T208" s="21"/>
      <c r="U208" s="21"/>
      <c r="V208" s="21"/>
      <c r="W208" s="21"/>
      <c r="X208" s="6"/>
    </row>
    <row r="209" spans="1:24" x14ac:dyDescent="0.2">
      <c r="A209" s="5" t="s">
        <v>95</v>
      </c>
      <c r="B209" s="21"/>
      <c r="C209" s="21"/>
      <c r="D209" s="21"/>
      <c r="E209" s="21"/>
      <c r="F209" s="21"/>
      <c r="G209" s="21"/>
      <c r="H209" s="21"/>
      <c r="I209" s="21"/>
      <c r="J209" s="21"/>
      <c r="K209" s="21"/>
      <c r="L209" s="21"/>
      <c r="M209" s="21"/>
      <c r="N209" s="21"/>
      <c r="O209" s="21"/>
      <c r="P209" s="21"/>
      <c r="Q209" s="21"/>
      <c r="R209" s="21"/>
      <c r="S209" s="21"/>
      <c r="T209" s="21"/>
      <c r="U209" s="21"/>
      <c r="V209" s="21"/>
      <c r="W209" s="21"/>
      <c r="X209" s="6"/>
    </row>
    <row r="210" spans="1:24" x14ac:dyDescent="0.2">
      <c r="A210" s="5" t="s">
        <v>57</v>
      </c>
      <c r="B210" s="21"/>
      <c r="C210" s="21"/>
      <c r="D210" s="21"/>
      <c r="E210" s="21"/>
      <c r="F210" s="21"/>
      <c r="G210" s="21"/>
      <c r="H210" s="21"/>
      <c r="I210" s="21"/>
      <c r="J210" s="21"/>
      <c r="K210" s="21"/>
      <c r="L210" s="21"/>
      <c r="M210" s="21"/>
      <c r="N210" s="21"/>
      <c r="O210" s="21"/>
      <c r="P210" s="21"/>
      <c r="Q210" s="21"/>
      <c r="R210" s="21"/>
      <c r="S210" s="21"/>
      <c r="T210" s="21"/>
      <c r="U210" s="21"/>
      <c r="V210" s="21"/>
      <c r="W210" s="21"/>
      <c r="X210" s="6"/>
    </row>
    <row r="211" spans="1:24" x14ac:dyDescent="0.2">
      <c r="A211" s="5" t="s">
        <v>58</v>
      </c>
      <c r="B211" s="21"/>
      <c r="C211" s="21"/>
      <c r="D211" s="21"/>
      <c r="E211" s="21"/>
      <c r="F211" s="21"/>
      <c r="G211" s="21"/>
      <c r="H211" s="21"/>
      <c r="I211" s="21"/>
      <c r="J211" s="21"/>
      <c r="K211" s="21"/>
      <c r="L211" s="21"/>
      <c r="M211" s="21"/>
      <c r="N211" s="21"/>
      <c r="O211" s="21"/>
      <c r="P211" s="21"/>
      <c r="Q211" s="21"/>
      <c r="R211" s="21"/>
      <c r="S211" s="21"/>
      <c r="T211" s="21"/>
      <c r="U211" s="21"/>
      <c r="V211" s="21"/>
      <c r="W211" s="21"/>
      <c r="X211" s="6"/>
    </row>
    <row r="212" spans="1:24" x14ac:dyDescent="0.2">
      <c r="A212" s="5" t="s">
        <v>72</v>
      </c>
      <c r="B212" s="21"/>
      <c r="C212" s="21"/>
      <c r="D212" s="21"/>
      <c r="E212" s="21"/>
      <c r="F212" s="21"/>
      <c r="G212" s="21"/>
      <c r="H212" s="21"/>
      <c r="I212" s="21"/>
      <c r="J212" s="21"/>
      <c r="K212" s="21"/>
      <c r="L212" s="21"/>
      <c r="M212" s="21"/>
      <c r="N212" s="21"/>
      <c r="O212" s="21"/>
      <c r="P212" s="21"/>
      <c r="Q212" s="21"/>
      <c r="R212" s="21"/>
      <c r="S212" s="21"/>
      <c r="T212" s="21"/>
      <c r="U212" s="21"/>
      <c r="V212" s="21"/>
      <c r="W212" s="21"/>
      <c r="X212" s="6"/>
    </row>
    <row r="213" spans="1:24" x14ac:dyDescent="0.2">
      <c r="A213" s="5" t="s">
        <v>59</v>
      </c>
      <c r="B213" s="20">
        <f>Reactive!$B$22</f>
        <v>0</v>
      </c>
      <c r="C213" s="20">
        <f>Reactive!$C$22</f>
        <v>2.0401458574918707E-2</v>
      </c>
      <c r="D213" s="20">
        <f>Reactive!$D$22</f>
        <v>1.8697253762905489E-2</v>
      </c>
      <c r="E213" s="20">
        <f>Reactive!$E$22</f>
        <v>2.8499209139663299E-2</v>
      </c>
      <c r="F213" s="20">
        <f>Reactive!$F$22</f>
        <v>3.7090426297063855E-2</v>
      </c>
      <c r="G213" s="20">
        <f>Reactive!$G$22</f>
        <v>0</v>
      </c>
      <c r="H213" s="20">
        <f>Reactive!$H$22</f>
        <v>3.0174807245444232E-2</v>
      </c>
      <c r="I213" s="20">
        <f>Reactive!$I$22</f>
        <v>0</v>
      </c>
      <c r="J213" s="20">
        <f>Reactive!$J$22</f>
        <v>0</v>
      </c>
      <c r="K213" s="21"/>
      <c r="L213" s="21"/>
      <c r="M213" s="20">
        <f>Reactive!$K$22</f>
        <v>1.4081187443783899E-2</v>
      </c>
      <c r="N213" s="20">
        <f>Reactive!$L$22</f>
        <v>6.7354954996982309E-3</v>
      </c>
      <c r="O213" s="20">
        <f>Reactive!$M$22</f>
        <v>6.1728561276294695E-3</v>
      </c>
      <c r="P213" s="20">
        <f>Reactive!$N$22</f>
        <v>9.4089495709463351E-3</v>
      </c>
      <c r="Q213" s="20">
        <f>Reactive!$O$22</f>
        <v>1.2245320523939939E-2</v>
      </c>
      <c r="R213" s="20">
        <f>Reactive!$P$22</f>
        <v>0</v>
      </c>
      <c r="S213" s="20">
        <f>Reactive!$Q$22</f>
        <v>1.4231635005030942E-2</v>
      </c>
      <c r="T213" s="20">
        <f>Reactive!$R$22</f>
        <v>0</v>
      </c>
      <c r="U213" s="20">
        <f>Reactive!$S$22</f>
        <v>0</v>
      </c>
      <c r="V213" s="21"/>
      <c r="W213" s="21"/>
      <c r="X213" s="6"/>
    </row>
    <row r="214" spans="1:24" x14ac:dyDescent="0.2">
      <c r="A214" s="5" t="s">
        <v>60</v>
      </c>
      <c r="B214" s="20">
        <f>Reactive!$B$23</f>
        <v>0</v>
      </c>
      <c r="C214" s="20">
        <f>Reactive!$C$23</f>
        <v>2.2292427069097256E-2</v>
      </c>
      <c r="D214" s="20">
        <f>Reactive!$D$23</f>
        <v>2.0430263080032537E-2</v>
      </c>
      <c r="E214" s="20">
        <f>Reactive!$E$23</f>
        <v>3.1140741184747633E-2</v>
      </c>
      <c r="F214" s="20">
        <f>Reactive!$F$23</f>
        <v>4.0528260278680471E-2</v>
      </c>
      <c r="G214" s="20">
        <f>Reactive!$G$23</f>
        <v>0</v>
      </c>
      <c r="H214" s="20">
        <f>Reactive!$H$23</f>
        <v>0</v>
      </c>
      <c r="I214" s="20">
        <f>Reactive!$I$23</f>
        <v>0</v>
      </c>
      <c r="J214" s="20">
        <f>Reactive!$J$23</f>
        <v>0</v>
      </c>
      <c r="K214" s="21"/>
      <c r="L214" s="21"/>
      <c r="M214" s="20">
        <f>Reactive!$K$23</f>
        <v>1.5386343235416999E-2</v>
      </c>
      <c r="N214" s="20">
        <f>Reactive!$L$23</f>
        <v>7.359794479883352E-3</v>
      </c>
      <c r="O214" s="20">
        <f>Reactive!$M$23</f>
        <v>6.7450052420459537E-3</v>
      </c>
      <c r="P214" s="20">
        <f>Reactive!$N$23</f>
        <v>1.0281045413341032E-2</v>
      </c>
      <c r="Q214" s="20">
        <f>Reactive!$O$23</f>
        <v>1.3380313653321164E-2</v>
      </c>
      <c r="R214" s="20">
        <f>Reactive!$P$23</f>
        <v>0</v>
      </c>
      <c r="S214" s="20">
        <f>Reactive!$Q$23</f>
        <v>0</v>
      </c>
      <c r="T214" s="20">
        <f>Reactive!$R$23</f>
        <v>0</v>
      </c>
      <c r="U214" s="20">
        <f>Reactive!$S$23</f>
        <v>0</v>
      </c>
      <c r="V214" s="21"/>
      <c r="W214" s="21"/>
      <c r="X214" s="6"/>
    </row>
    <row r="215" spans="1:24" x14ac:dyDescent="0.2">
      <c r="A215" s="5" t="s">
        <v>73</v>
      </c>
      <c r="B215" s="20">
        <f>Reactive!$B$24</f>
        <v>0</v>
      </c>
      <c r="C215" s="20">
        <f>Reactive!$C$24</f>
        <v>1.9591066412911681E-2</v>
      </c>
      <c r="D215" s="20">
        <f>Reactive!$D$24</f>
        <v>1.7954556477568114E-2</v>
      </c>
      <c r="E215" s="20">
        <f>Reactive!$E$24</f>
        <v>2.1893724781305853E-2</v>
      </c>
      <c r="F215" s="20">
        <f>Reactive!$F$24</f>
        <v>0</v>
      </c>
      <c r="G215" s="20">
        <f>Reactive!$G$24</f>
        <v>0</v>
      </c>
      <c r="H215" s="20">
        <f>Reactive!$H$24</f>
        <v>0</v>
      </c>
      <c r="I215" s="20">
        <f>Reactive!$I$24</f>
        <v>0</v>
      </c>
      <c r="J215" s="20">
        <f>Reactive!$J$24</f>
        <v>0</v>
      </c>
      <c r="K215" s="21"/>
      <c r="L215" s="21"/>
      <c r="M215" s="20">
        <f>Reactive!$K$24</f>
        <v>1.35218507721293E-2</v>
      </c>
      <c r="N215" s="20">
        <f>Reactive!$L$24</f>
        <v>6.467946356574732E-3</v>
      </c>
      <c r="O215" s="20">
        <f>Reactive!$M$24</f>
        <v>5.9276562952420989E-3</v>
      </c>
      <c r="P215" s="20">
        <f>Reactive!$N$24</f>
        <v>7.2281638194932234E-3</v>
      </c>
      <c r="Q215" s="20">
        <f>Reactive!$O$24</f>
        <v>0</v>
      </c>
      <c r="R215" s="20">
        <f>Reactive!$P$24</f>
        <v>0</v>
      </c>
      <c r="S215" s="20">
        <f>Reactive!$Q$24</f>
        <v>0</v>
      </c>
      <c r="T215" s="20">
        <f>Reactive!$R$24</f>
        <v>0</v>
      </c>
      <c r="U215" s="20">
        <f>Reactive!$S$24</f>
        <v>0</v>
      </c>
      <c r="V215" s="21"/>
      <c r="W215" s="21"/>
      <c r="X215" s="6"/>
    </row>
    <row r="216" spans="1:24" x14ac:dyDescent="0.2">
      <c r="A216" s="5" t="s">
        <v>74</v>
      </c>
      <c r="B216" s="20">
        <f>Reactive!$B$25</f>
        <v>0</v>
      </c>
      <c r="C216" s="20">
        <f>Reactive!$C$25</f>
        <v>1.9364798080905E-2</v>
      </c>
      <c r="D216" s="20">
        <f>Reactive!$D$25</f>
        <v>1.7747189126527872E-2</v>
      </c>
      <c r="E216" s="20">
        <f>Reactive!$E$25</f>
        <v>0</v>
      </c>
      <c r="F216" s="20">
        <f>Reactive!$F$25</f>
        <v>0</v>
      </c>
      <c r="G216" s="20">
        <f>Reactive!$G$25</f>
        <v>0</v>
      </c>
      <c r="H216" s="20">
        <f>Reactive!$H$25</f>
        <v>0</v>
      </c>
      <c r="I216" s="20">
        <f>Reactive!$I$25</f>
        <v>0</v>
      </c>
      <c r="J216" s="20">
        <f>Reactive!$J$25</f>
        <v>0</v>
      </c>
      <c r="K216" s="21"/>
      <c r="L216" s="21"/>
      <c r="M216" s="20">
        <f>Reactive!$K$25</f>
        <v>1.3365679252143207E-2</v>
      </c>
      <c r="N216" s="20">
        <f>Reactive!$L$25</f>
        <v>6.3932443774805097E-3</v>
      </c>
      <c r="O216" s="20">
        <f>Reactive!$M$25</f>
        <v>5.8591944323519102E-3</v>
      </c>
      <c r="P216" s="20">
        <f>Reactive!$N$25</f>
        <v>0</v>
      </c>
      <c r="Q216" s="20">
        <f>Reactive!$O$25</f>
        <v>0</v>
      </c>
      <c r="R216" s="20">
        <f>Reactive!$P$25</f>
        <v>0</v>
      </c>
      <c r="S216" s="20">
        <f>Reactive!$Q$25</f>
        <v>0</v>
      </c>
      <c r="T216" s="20">
        <f>Reactive!$R$25</f>
        <v>0</v>
      </c>
      <c r="U216" s="20">
        <f>Reactive!$S$25</f>
        <v>0</v>
      </c>
      <c r="V216" s="21"/>
      <c r="W216" s="21"/>
      <c r="X216" s="6"/>
    </row>
    <row r="217" spans="1:24" x14ac:dyDescent="0.2">
      <c r="A217" s="5" t="s">
        <v>96</v>
      </c>
      <c r="B217" s="21"/>
      <c r="C217" s="21"/>
      <c r="D217" s="21"/>
      <c r="E217" s="21"/>
      <c r="F217" s="21"/>
      <c r="G217" s="21"/>
      <c r="H217" s="21"/>
      <c r="I217" s="21"/>
      <c r="J217" s="21"/>
      <c r="K217" s="21"/>
      <c r="L217" s="21"/>
      <c r="M217" s="21"/>
      <c r="N217" s="21"/>
      <c r="O217" s="21"/>
      <c r="P217" s="21"/>
      <c r="Q217" s="21"/>
      <c r="R217" s="21"/>
      <c r="S217" s="21"/>
      <c r="T217" s="21"/>
      <c r="U217" s="21"/>
      <c r="V217" s="21"/>
      <c r="W217" s="21"/>
      <c r="X217" s="6"/>
    </row>
    <row r="218" spans="1:24" x14ac:dyDescent="0.2">
      <c r="A218" s="5" t="s">
        <v>97</v>
      </c>
      <c r="B218" s="21"/>
      <c r="C218" s="21"/>
      <c r="D218" s="21"/>
      <c r="E218" s="21"/>
      <c r="F218" s="21"/>
      <c r="G218" s="21"/>
      <c r="H218" s="21"/>
      <c r="I218" s="21"/>
      <c r="J218" s="21"/>
      <c r="K218" s="21"/>
      <c r="L218" s="21"/>
      <c r="M218" s="21"/>
      <c r="N218" s="21"/>
      <c r="O218" s="21"/>
      <c r="P218" s="21"/>
      <c r="Q218" s="21"/>
      <c r="R218" s="21"/>
      <c r="S218" s="21"/>
      <c r="T218" s="21"/>
      <c r="U218" s="21"/>
      <c r="V218" s="21"/>
      <c r="W218" s="21"/>
      <c r="X218" s="6"/>
    </row>
    <row r="219" spans="1:24" x14ac:dyDescent="0.2">
      <c r="A219" s="5" t="s">
        <v>98</v>
      </c>
      <c r="B219" s="21"/>
      <c r="C219" s="21"/>
      <c r="D219" s="21"/>
      <c r="E219" s="21"/>
      <c r="F219" s="21"/>
      <c r="G219" s="21"/>
      <c r="H219" s="21"/>
      <c r="I219" s="21"/>
      <c r="J219" s="21"/>
      <c r="K219" s="21"/>
      <c r="L219" s="21"/>
      <c r="M219" s="21"/>
      <c r="N219" s="21"/>
      <c r="O219" s="21"/>
      <c r="P219" s="21"/>
      <c r="Q219" s="21"/>
      <c r="R219" s="21"/>
      <c r="S219" s="21"/>
      <c r="T219" s="21"/>
      <c r="U219" s="21"/>
      <c r="V219" s="21"/>
      <c r="W219" s="21"/>
      <c r="X219" s="6"/>
    </row>
    <row r="220" spans="1:24" x14ac:dyDescent="0.2">
      <c r="A220" s="5" t="s">
        <v>99</v>
      </c>
      <c r="B220" s="21"/>
      <c r="C220" s="21"/>
      <c r="D220" s="21"/>
      <c r="E220" s="21"/>
      <c r="F220" s="21"/>
      <c r="G220" s="21"/>
      <c r="H220" s="21"/>
      <c r="I220" s="21"/>
      <c r="J220" s="21"/>
      <c r="K220" s="21"/>
      <c r="L220" s="21"/>
      <c r="M220" s="21"/>
      <c r="N220" s="21"/>
      <c r="O220" s="21"/>
      <c r="P220" s="21"/>
      <c r="Q220" s="21"/>
      <c r="R220" s="21"/>
      <c r="S220" s="21"/>
      <c r="T220" s="21"/>
      <c r="U220" s="21"/>
      <c r="V220" s="21"/>
      <c r="W220" s="21"/>
      <c r="X220" s="6"/>
    </row>
    <row r="221" spans="1:24" x14ac:dyDescent="0.2">
      <c r="A221" s="5" t="s">
        <v>100</v>
      </c>
      <c r="B221" s="21"/>
      <c r="C221" s="21"/>
      <c r="D221" s="21"/>
      <c r="E221" s="21"/>
      <c r="F221" s="21"/>
      <c r="G221" s="21"/>
      <c r="H221" s="21"/>
      <c r="I221" s="21"/>
      <c r="J221" s="21"/>
      <c r="K221" s="21"/>
      <c r="L221" s="21"/>
      <c r="M221" s="21"/>
      <c r="N221" s="21"/>
      <c r="O221" s="21"/>
      <c r="P221" s="21"/>
      <c r="Q221" s="21"/>
      <c r="R221" s="21"/>
      <c r="S221" s="21"/>
      <c r="T221" s="21"/>
      <c r="U221" s="21"/>
      <c r="V221" s="21"/>
      <c r="W221" s="21"/>
      <c r="X221" s="6"/>
    </row>
    <row r="222" spans="1:24" x14ac:dyDescent="0.2">
      <c r="A222" s="5" t="s">
        <v>61</v>
      </c>
      <c r="B222" s="21"/>
      <c r="C222" s="21"/>
      <c r="D222" s="21"/>
      <c r="E222" s="21"/>
      <c r="F222" s="21"/>
      <c r="G222" s="21"/>
      <c r="H222" s="21"/>
      <c r="I222" s="21"/>
      <c r="J222" s="21"/>
      <c r="K222" s="21"/>
      <c r="L222" s="21"/>
      <c r="M222" s="21"/>
      <c r="N222" s="21"/>
      <c r="O222" s="21"/>
      <c r="P222" s="21"/>
      <c r="Q222" s="21"/>
      <c r="R222" s="21"/>
      <c r="S222" s="21"/>
      <c r="T222" s="21"/>
      <c r="U222" s="21"/>
      <c r="V222" s="21"/>
      <c r="W222" s="21"/>
      <c r="X222" s="6"/>
    </row>
    <row r="223" spans="1:24" x14ac:dyDescent="0.2">
      <c r="A223" s="5" t="s">
        <v>62</v>
      </c>
      <c r="B223" s="21"/>
      <c r="C223" s="21"/>
      <c r="D223" s="21"/>
      <c r="E223" s="21"/>
      <c r="F223" s="21"/>
      <c r="G223" s="21"/>
      <c r="H223" s="21"/>
      <c r="I223" s="21"/>
      <c r="J223" s="21"/>
      <c r="K223" s="21"/>
      <c r="L223" s="21"/>
      <c r="M223" s="21"/>
      <c r="N223" s="21"/>
      <c r="O223" s="21"/>
      <c r="P223" s="21"/>
      <c r="Q223" s="21"/>
      <c r="R223" s="21"/>
      <c r="S223" s="21"/>
      <c r="T223" s="21"/>
      <c r="U223" s="21"/>
      <c r="V223" s="21"/>
      <c r="W223" s="21"/>
      <c r="X223" s="6"/>
    </row>
    <row r="224" spans="1:24" x14ac:dyDescent="0.2">
      <c r="A224" s="5" t="s">
        <v>63</v>
      </c>
      <c r="B224" s="20">
        <f>Reactive!$B$85</f>
        <v>0</v>
      </c>
      <c r="C224" s="20">
        <f>Reactive!$C$85</f>
        <v>1.7478514412919074E-2</v>
      </c>
      <c r="D224" s="20">
        <f>Reactive!$D$85</f>
        <v>1.601847329576293E-2</v>
      </c>
      <c r="E224" s="20">
        <f>Reactive!$E$85</f>
        <v>2.4416089461210731E-2</v>
      </c>
      <c r="F224" s="20">
        <f>Reactive!$F$85</f>
        <v>3.1776431485714317E-2</v>
      </c>
      <c r="G224" s="20">
        <f>Reactive!$G$85</f>
        <v>0</v>
      </c>
      <c r="H224" s="20">
        <f>Reactive!$H$85</f>
        <v>3.2314527991330978E-2</v>
      </c>
      <c r="I224" s="20">
        <f>Reactive!$I$85</f>
        <v>2.7931145619686803E-2</v>
      </c>
      <c r="J224" s="20">
        <f>Reactive!$J$85</f>
        <v>7.1170382598340716E-4</v>
      </c>
      <c r="K224" s="21"/>
      <c r="L224" s="21"/>
      <c r="M224" s="20">
        <f>Reactive!$K$85</f>
        <v>1.2063756950680311E-2</v>
      </c>
      <c r="N224" s="20">
        <f>Reactive!$L$85</f>
        <v>5.7704920820886062E-3</v>
      </c>
      <c r="O224" s="20">
        <f>Reactive!$M$85</f>
        <v>5.2884628027669066E-3</v>
      </c>
      <c r="P224" s="20">
        <f>Reactive!$N$85</f>
        <v>8.0609168252505463E-3</v>
      </c>
      <c r="Q224" s="20">
        <f>Reactive!$O$85</f>
        <v>1.0490917131367447E-2</v>
      </c>
      <c r="R224" s="20">
        <f>Reactive!$P$85</f>
        <v>0</v>
      </c>
      <c r="S224" s="20">
        <f>Reactive!$Q$85</f>
        <v>1.5240812111630362E-2</v>
      </c>
      <c r="T224" s="20">
        <f>Reactive!$R$85</f>
        <v>1.3173435260030252E-2</v>
      </c>
      <c r="U224" s="20">
        <f>Reactive!$S$85</f>
        <v>7.832247057934269E-3</v>
      </c>
      <c r="V224" s="21"/>
      <c r="W224" s="21"/>
      <c r="X224" s="6"/>
    </row>
    <row r="225" spans="1:24" x14ac:dyDescent="0.2">
      <c r="A225" s="5" t="s">
        <v>64</v>
      </c>
      <c r="B225" s="20">
        <f>Reactive!$B$86</f>
        <v>0</v>
      </c>
      <c r="C225" s="20">
        <f>Reactive!$C$86</f>
        <v>1.7478514412919074E-2</v>
      </c>
      <c r="D225" s="20">
        <f>Reactive!$D$86</f>
        <v>1.601847329576293E-2</v>
      </c>
      <c r="E225" s="20">
        <f>Reactive!$E$86</f>
        <v>2.4416089461210731E-2</v>
      </c>
      <c r="F225" s="20">
        <f>Reactive!$F$86</f>
        <v>3.1776431485714317E-2</v>
      </c>
      <c r="G225" s="20">
        <f>Reactive!$G$86</f>
        <v>0</v>
      </c>
      <c r="H225" s="20">
        <f>Reactive!$H$86</f>
        <v>3.2314527991330978E-2</v>
      </c>
      <c r="I225" s="20">
        <f>Reactive!$I$86</f>
        <v>2.7931145619686803E-2</v>
      </c>
      <c r="J225" s="20">
        <f>Reactive!$J$86</f>
        <v>7.1170382598340716E-4</v>
      </c>
      <c r="K225" s="21"/>
      <c r="L225" s="21"/>
      <c r="M225" s="20">
        <f>Reactive!$K$86</f>
        <v>1.2063756950680311E-2</v>
      </c>
      <c r="N225" s="20">
        <f>Reactive!$L$86</f>
        <v>5.7704920820886062E-3</v>
      </c>
      <c r="O225" s="20">
        <f>Reactive!$M$86</f>
        <v>5.2884628027669066E-3</v>
      </c>
      <c r="P225" s="20">
        <f>Reactive!$N$86</f>
        <v>8.0609168252505463E-3</v>
      </c>
      <c r="Q225" s="20">
        <f>Reactive!$O$86</f>
        <v>1.0490917131367447E-2</v>
      </c>
      <c r="R225" s="20">
        <f>Reactive!$P$86</f>
        <v>0</v>
      </c>
      <c r="S225" s="20">
        <f>Reactive!$Q$86</f>
        <v>1.5240812111630362E-2</v>
      </c>
      <c r="T225" s="20">
        <f>Reactive!$R$86</f>
        <v>1.3173435260030252E-2</v>
      </c>
      <c r="U225" s="20">
        <f>Reactive!$S$86</f>
        <v>7.832247057934269E-3</v>
      </c>
      <c r="V225" s="21"/>
      <c r="W225" s="21"/>
      <c r="X225" s="6"/>
    </row>
    <row r="226" spans="1:24" x14ac:dyDescent="0.2">
      <c r="A226" s="5" t="s">
        <v>65</v>
      </c>
      <c r="B226" s="20">
        <f>Reactive!$B$87</f>
        <v>0</v>
      </c>
      <c r="C226" s="20">
        <f>Reactive!$C$87</f>
        <v>1.6685478368775736E-2</v>
      </c>
      <c r="D226" s="20">
        <f>Reactive!$D$87</f>
        <v>1.5291682311381673E-2</v>
      </c>
      <c r="E226" s="20">
        <f>Reactive!$E$87</f>
        <v>2.3308281409431655E-2</v>
      </c>
      <c r="F226" s="20">
        <f>Reactive!$F$87</f>
        <v>3.0334669621571202E-2</v>
      </c>
      <c r="G226" s="20">
        <f>Reactive!$G$87</f>
        <v>0</v>
      </c>
      <c r="H226" s="20">
        <f>Reactive!$H$87</f>
        <v>3.0848351585190725E-2</v>
      </c>
      <c r="I226" s="20">
        <f>Reactive!$I$87</f>
        <v>1.1427365254826503E-3</v>
      </c>
      <c r="J226" s="20">
        <f>Reactive!$J$87</f>
        <v>0</v>
      </c>
      <c r="K226" s="21"/>
      <c r="L226" s="21"/>
      <c r="M226" s="20">
        <f>Reactive!$K$87</f>
        <v>1.1516399557273764E-2</v>
      </c>
      <c r="N226" s="20">
        <f>Reactive!$L$87</f>
        <v>5.5086730221027341E-3</v>
      </c>
      <c r="O226" s="20">
        <f>Reactive!$M$87</f>
        <v>5.0485143997375543E-3</v>
      </c>
      <c r="P226" s="20">
        <f>Reactive!$N$87</f>
        <v>7.6951764974261113E-3</v>
      </c>
      <c r="Q226" s="20">
        <f>Reactive!$O$87</f>
        <v>1.0014922706169287E-2</v>
      </c>
      <c r="R226" s="20">
        <f>Reactive!$P$87</f>
        <v>0</v>
      </c>
      <c r="S226" s="20">
        <f>Reactive!$Q$87</f>
        <v>1.4549305210013741E-2</v>
      </c>
      <c r="T226" s="20">
        <f>Reactive!$R$87</f>
        <v>1.257572948598169E-2</v>
      </c>
      <c r="U226" s="20">
        <f>Reactive!$S$87</f>
        <v>0</v>
      </c>
      <c r="V226" s="21"/>
      <c r="W226" s="21"/>
      <c r="X226" s="6"/>
    </row>
    <row r="227" spans="1:24" x14ac:dyDescent="0.2">
      <c r="A227" s="5" t="s">
        <v>66</v>
      </c>
      <c r="B227" s="20">
        <f>Reactive!$B$88</f>
        <v>0</v>
      </c>
      <c r="C227" s="20">
        <f>Reactive!$C$88</f>
        <v>1.6685478368775736E-2</v>
      </c>
      <c r="D227" s="20">
        <f>Reactive!$D$88</f>
        <v>1.5291682311381673E-2</v>
      </c>
      <c r="E227" s="20">
        <f>Reactive!$E$88</f>
        <v>2.3308281409431655E-2</v>
      </c>
      <c r="F227" s="20">
        <f>Reactive!$F$88</f>
        <v>3.0334669621571202E-2</v>
      </c>
      <c r="G227" s="20">
        <f>Reactive!$G$88</f>
        <v>0</v>
      </c>
      <c r="H227" s="20">
        <f>Reactive!$H$88</f>
        <v>3.0848351585190725E-2</v>
      </c>
      <c r="I227" s="20">
        <f>Reactive!$I$88</f>
        <v>1.1427365254826503E-3</v>
      </c>
      <c r="J227" s="20">
        <f>Reactive!$J$88</f>
        <v>0</v>
      </c>
      <c r="K227" s="21"/>
      <c r="L227" s="21"/>
      <c r="M227" s="20">
        <f>Reactive!$K$88</f>
        <v>1.1516399557273764E-2</v>
      </c>
      <c r="N227" s="20">
        <f>Reactive!$L$88</f>
        <v>5.5086730221027341E-3</v>
      </c>
      <c r="O227" s="20">
        <f>Reactive!$M$88</f>
        <v>5.0485143997375543E-3</v>
      </c>
      <c r="P227" s="20">
        <f>Reactive!$N$88</f>
        <v>7.6951764974261113E-3</v>
      </c>
      <c r="Q227" s="20">
        <f>Reactive!$O$88</f>
        <v>1.0014922706169287E-2</v>
      </c>
      <c r="R227" s="20">
        <f>Reactive!$P$88</f>
        <v>0</v>
      </c>
      <c r="S227" s="20">
        <f>Reactive!$Q$88</f>
        <v>1.4549305210013741E-2</v>
      </c>
      <c r="T227" s="20">
        <f>Reactive!$R$88</f>
        <v>1.257572948598169E-2</v>
      </c>
      <c r="U227" s="20">
        <f>Reactive!$S$88</f>
        <v>0</v>
      </c>
      <c r="V227" s="21"/>
      <c r="W227" s="21"/>
      <c r="X227" s="6"/>
    </row>
    <row r="228" spans="1:24" x14ac:dyDescent="0.2">
      <c r="A228" s="5" t="s">
        <v>75</v>
      </c>
      <c r="B228" s="20">
        <f>Reactive!$B$89</f>
        <v>0</v>
      </c>
      <c r="C228" s="20">
        <f>Reactive!$C$89</f>
        <v>1.6479288997298471E-2</v>
      </c>
      <c r="D228" s="20">
        <f>Reactive!$D$89</f>
        <v>1.5102716655442543E-2</v>
      </c>
      <c r="E228" s="20">
        <f>Reactive!$E$89</f>
        <v>2.3020251315969097E-2</v>
      </c>
      <c r="F228" s="20">
        <f>Reactive!$F$89</f>
        <v>1.2882718960864415E-2</v>
      </c>
      <c r="G228" s="20">
        <f>Reactive!$G$89</f>
        <v>0</v>
      </c>
      <c r="H228" s="20">
        <f>Reactive!$H$89</f>
        <v>3.917204449662118E-3</v>
      </c>
      <c r="I228" s="20">
        <f>Reactive!$I$89</f>
        <v>0</v>
      </c>
      <c r="J228" s="20">
        <f>Reactive!$J$89</f>
        <v>0</v>
      </c>
      <c r="K228" s="21"/>
      <c r="L228" s="21"/>
      <c r="M228" s="20">
        <f>Reactive!$K$89</f>
        <v>1.1374086634988059E-2</v>
      </c>
      <c r="N228" s="20">
        <f>Reactive!$L$89</f>
        <v>5.4406000665064066E-3</v>
      </c>
      <c r="O228" s="20">
        <f>Reactive!$M$89</f>
        <v>4.9861278149499226E-3</v>
      </c>
      <c r="P228" s="20">
        <f>Reactive!$N$89</f>
        <v>7.6000840121917563E-3</v>
      </c>
      <c r="Q228" s="20">
        <f>Reactive!$O$89</f>
        <v>9.8911641556177644E-3</v>
      </c>
      <c r="R228" s="20">
        <f>Reactive!$P$89</f>
        <v>0</v>
      </c>
      <c r="S228" s="20">
        <f>Reactive!$Q$89</f>
        <v>1.4369513415593414E-2</v>
      </c>
      <c r="T228" s="20">
        <f>Reactive!$R$89</f>
        <v>0</v>
      </c>
      <c r="U228" s="20">
        <f>Reactive!$S$89</f>
        <v>0</v>
      </c>
      <c r="V228" s="21"/>
      <c r="W228" s="21"/>
      <c r="X228" s="6"/>
    </row>
    <row r="229" spans="1:24" x14ac:dyDescent="0.2">
      <c r="A229" s="5" t="s">
        <v>76</v>
      </c>
      <c r="B229" s="20">
        <f>Reactive!$B$90</f>
        <v>0</v>
      </c>
      <c r="C229" s="20">
        <f>Reactive!$C$90</f>
        <v>1.6479288997298471E-2</v>
      </c>
      <c r="D229" s="20">
        <f>Reactive!$D$90</f>
        <v>1.5102716655442543E-2</v>
      </c>
      <c r="E229" s="20">
        <f>Reactive!$E$90</f>
        <v>2.3020251315969097E-2</v>
      </c>
      <c r="F229" s="20">
        <f>Reactive!$F$90</f>
        <v>1.2882718960864415E-2</v>
      </c>
      <c r="G229" s="20">
        <f>Reactive!$G$90</f>
        <v>0</v>
      </c>
      <c r="H229" s="20">
        <f>Reactive!$H$90</f>
        <v>3.917204449662118E-3</v>
      </c>
      <c r="I229" s="20">
        <f>Reactive!$I$90</f>
        <v>0</v>
      </c>
      <c r="J229" s="20">
        <f>Reactive!$J$90</f>
        <v>0</v>
      </c>
      <c r="K229" s="21"/>
      <c r="L229" s="21"/>
      <c r="M229" s="20">
        <f>Reactive!$K$90</f>
        <v>1.1374086634988059E-2</v>
      </c>
      <c r="N229" s="20">
        <f>Reactive!$L$90</f>
        <v>5.4406000665064066E-3</v>
      </c>
      <c r="O229" s="20">
        <f>Reactive!$M$90</f>
        <v>4.9861278149499226E-3</v>
      </c>
      <c r="P229" s="20">
        <f>Reactive!$N$90</f>
        <v>7.6000840121917563E-3</v>
      </c>
      <c r="Q229" s="20">
        <f>Reactive!$O$90</f>
        <v>9.8911641556177644E-3</v>
      </c>
      <c r="R229" s="20">
        <f>Reactive!$P$90</f>
        <v>0</v>
      </c>
      <c r="S229" s="20">
        <f>Reactive!$Q$90</f>
        <v>1.4369513415593414E-2</v>
      </c>
      <c r="T229" s="20">
        <f>Reactive!$R$90</f>
        <v>0</v>
      </c>
      <c r="U229" s="20">
        <f>Reactive!$S$90</f>
        <v>0</v>
      </c>
      <c r="V229" s="21"/>
      <c r="W229" s="21"/>
      <c r="X229" s="6"/>
    </row>
    <row r="230" spans="1:24" x14ac:dyDescent="0.2">
      <c r="A230" s="5" t="s">
        <v>77</v>
      </c>
      <c r="B230" s="20">
        <f>Reactive!$B$91</f>
        <v>0</v>
      </c>
      <c r="C230" s="20">
        <f>Reactive!$C$91</f>
        <v>1.628896034670407E-2</v>
      </c>
      <c r="D230" s="20">
        <f>Reactive!$D$91</f>
        <v>1.4928286819191039E-2</v>
      </c>
      <c r="E230" s="20">
        <f>Reactive!$E$91</f>
        <v>9.7843822749231115E-3</v>
      </c>
      <c r="F230" s="20">
        <f>Reactive!$F$91</f>
        <v>0</v>
      </c>
      <c r="G230" s="20">
        <f>Reactive!$G$91</f>
        <v>0</v>
      </c>
      <c r="H230" s="20">
        <f>Reactive!$H$91</f>
        <v>0</v>
      </c>
      <c r="I230" s="20">
        <f>Reactive!$I$91</f>
        <v>0</v>
      </c>
      <c r="J230" s="20">
        <f>Reactive!$J$91</f>
        <v>0</v>
      </c>
      <c r="K230" s="21"/>
      <c r="L230" s="21"/>
      <c r="M230" s="20">
        <f>Reactive!$K$91</f>
        <v>1.1242720860570488E-2</v>
      </c>
      <c r="N230" s="20">
        <f>Reactive!$L$91</f>
        <v>5.3777634921097972E-3</v>
      </c>
      <c r="O230" s="20">
        <f>Reactive!$M$91</f>
        <v>4.9285401982228786E-3</v>
      </c>
      <c r="P230" s="20">
        <f>Reactive!$N$91</f>
        <v>7.5123063335138926E-3</v>
      </c>
      <c r="Q230" s="20">
        <f>Reactive!$O$91</f>
        <v>0</v>
      </c>
      <c r="R230" s="20">
        <f>Reactive!$P$91</f>
        <v>0</v>
      </c>
      <c r="S230" s="20">
        <f>Reactive!$Q$91</f>
        <v>0</v>
      </c>
      <c r="T230" s="20">
        <f>Reactive!$R$91</f>
        <v>0</v>
      </c>
      <c r="U230" s="20">
        <f>Reactive!$S$91</f>
        <v>0</v>
      </c>
      <c r="V230" s="21"/>
      <c r="W230" s="21"/>
      <c r="X230" s="6"/>
    </row>
    <row r="231" spans="1:24" x14ac:dyDescent="0.2">
      <c r="A231" s="5" t="s">
        <v>78</v>
      </c>
      <c r="B231" s="20">
        <f>Reactive!$B$92</f>
        <v>0</v>
      </c>
      <c r="C231" s="20">
        <f>Reactive!$C$92</f>
        <v>1.628896034670407E-2</v>
      </c>
      <c r="D231" s="20">
        <f>Reactive!$D$92</f>
        <v>1.4928286819191039E-2</v>
      </c>
      <c r="E231" s="20">
        <f>Reactive!$E$92</f>
        <v>9.7843822749231115E-3</v>
      </c>
      <c r="F231" s="20">
        <f>Reactive!$F$92</f>
        <v>0</v>
      </c>
      <c r="G231" s="20">
        <f>Reactive!$G$92</f>
        <v>0</v>
      </c>
      <c r="H231" s="20">
        <f>Reactive!$H$92</f>
        <v>0</v>
      </c>
      <c r="I231" s="20">
        <f>Reactive!$I$92</f>
        <v>0</v>
      </c>
      <c r="J231" s="20">
        <f>Reactive!$J$92</f>
        <v>0</v>
      </c>
      <c r="K231" s="21"/>
      <c r="L231" s="21"/>
      <c r="M231" s="20">
        <f>Reactive!$K$92</f>
        <v>1.1242720860570488E-2</v>
      </c>
      <c r="N231" s="20">
        <f>Reactive!$L$92</f>
        <v>5.3777634921097972E-3</v>
      </c>
      <c r="O231" s="20">
        <f>Reactive!$M$92</f>
        <v>4.9285401982228786E-3</v>
      </c>
      <c r="P231" s="20">
        <f>Reactive!$N$92</f>
        <v>7.5123063335138926E-3</v>
      </c>
      <c r="Q231" s="20">
        <f>Reactive!$O$92</f>
        <v>0</v>
      </c>
      <c r="R231" s="20">
        <f>Reactive!$P$92</f>
        <v>0</v>
      </c>
      <c r="S231" s="20">
        <f>Reactive!$Q$92</f>
        <v>0</v>
      </c>
      <c r="T231" s="20">
        <f>Reactive!$R$92</f>
        <v>0</v>
      </c>
      <c r="U231" s="20">
        <f>Reactive!$S$92</f>
        <v>0</v>
      </c>
      <c r="V231" s="21"/>
      <c r="W231" s="21"/>
      <c r="X231" s="6"/>
    </row>
    <row r="233" spans="1:24" ht="16.5" x14ac:dyDescent="0.25">
      <c r="A233" s="3" t="s">
        <v>945</v>
      </c>
    </row>
    <row r="234" spans="1:24" x14ac:dyDescent="0.2">
      <c r="A234" s="10" t="s">
        <v>238</v>
      </c>
    </row>
    <row r="235" spans="1:24" x14ac:dyDescent="0.2">
      <c r="A235" s="11" t="s">
        <v>946</v>
      </c>
    </row>
    <row r="236" spans="1:24" x14ac:dyDescent="0.2">
      <c r="A236" s="11" t="s">
        <v>947</v>
      </c>
    </row>
    <row r="237" spans="1:24" x14ac:dyDescent="0.2">
      <c r="A237" s="11" t="s">
        <v>948</v>
      </c>
    </row>
    <row r="238" spans="1:24" x14ac:dyDescent="0.2">
      <c r="A238" s="11" t="s">
        <v>949</v>
      </c>
    </row>
    <row r="239" spans="1:24" x14ac:dyDescent="0.2">
      <c r="A239" s="11" t="s">
        <v>950</v>
      </c>
    </row>
    <row r="240" spans="1:24" x14ac:dyDescent="0.2">
      <c r="A240" s="11" t="s">
        <v>951</v>
      </c>
    </row>
    <row r="241" spans="1:8" x14ac:dyDescent="0.2">
      <c r="A241" s="18" t="s">
        <v>241</v>
      </c>
      <c r="B241" s="18" t="s">
        <v>372</v>
      </c>
      <c r="C241" s="18" t="s">
        <v>372</v>
      </c>
      <c r="D241" s="18" t="s">
        <v>372</v>
      </c>
      <c r="E241" s="18" t="s">
        <v>372</v>
      </c>
      <c r="F241" s="18" t="s">
        <v>372</v>
      </c>
      <c r="G241" s="18" t="s">
        <v>372</v>
      </c>
    </row>
    <row r="242" spans="1:8" x14ac:dyDescent="0.2">
      <c r="A242" s="18" t="s">
        <v>244</v>
      </c>
      <c r="B242" s="18" t="s">
        <v>422</v>
      </c>
      <c r="C242" s="18" t="s">
        <v>423</v>
      </c>
      <c r="D242" s="18" t="s">
        <v>424</v>
      </c>
      <c r="E242" s="18" t="s">
        <v>425</v>
      </c>
      <c r="F242" s="18" t="s">
        <v>374</v>
      </c>
      <c r="G242" s="18" t="s">
        <v>426</v>
      </c>
    </row>
    <row r="244" spans="1:8" ht="38.25" x14ac:dyDescent="0.2">
      <c r="B244" s="4" t="s">
        <v>952</v>
      </c>
      <c r="C244" s="4" t="s">
        <v>953</v>
      </c>
      <c r="D244" s="4" t="s">
        <v>954</v>
      </c>
      <c r="E244" s="4" t="s">
        <v>955</v>
      </c>
      <c r="F244" s="4" t="s">
        <v>956</v>
      </c>
      <c r="G244" s="4" t="s">
        <v>957</v>
      </c>
    </row>
    <row r="245" spans="1:8" x14ac:dyDescent="0.2">
      <c r="A245" s="5" t="s">
        <v>53</v>
      </c>
      <c r="B245" s="17">
        <f t="shared" ref="B245:B272" si="0">SUM($B16:$W16)</f>
        <v>1.9616191110091303</v>
      </c>
      <c r="C245" s="17">
        <f t="shared" ref="C245:C272" si="1">SUM($B55:$W55)</f>
        <v>0</v>
      </c>
      <c r="D245" s="17">
        <f t="shared" ref="D245:D272" si="2">SUM($B94:$W94)</f>
        <v>0</v>
      </c>
      <c r="E245" s="17">
        <f t="shared" ref="E245:E272" si="3">SUM($B133:$W133)</f>
        <v>3.4191336220975801</v>
      </c>
      <c r="F245" s="17">
        <f t="shared" ref="F245:F272" si="4">SUM($B168:$W168)</f>
        <v>0</v>
      </c>
      <c r="G245" s="17">
        <f t="shared" ref="G245:G272" si="5">SUM($B204:$W204)</f>
        <v>0</v>
      </c>
      <c r="H245" s="6"/>
    </row>
    <row r="246" spans="1:8" x14ac:dyDescent="0.2">
      <c r="A246" s="5" t="s">
        <v>54</v>
      </c>
      <c r="B246" s="17">
        <f t="shared" si="0"/>
        <v>2.0075292802312625</v>
      </c>
      <c r="C246" s="17">
        <f t="shared" si="1"/>
        <v>0.21013744740535242</v>
      </c>
      <c r="D246" s="17">
        <f t="shared" si="2"/>
        <v>0</v>
      </c>
      <c r="E246" s="17">
        <f t="shared" si="3"/>
        <v>3.4191336220975801</v>
      </c>
      <c r="F246" s="17">
        <f t="shared" si="4"/>
        <v>0</v>
      </c>
      <c r="G246" s="17">
        <f t="shared" si="5"/>
        <v>0</v>
      </c>
      <c r="H246" s="6"/>
    </row>
    <row r="247" spans="1:8" x14ac:dyDescent="0.2">
      <c r="A247" s="5" t="s">
        <v>94</v>
      </c>
      <c r="B247" s="17">
        <f t="shared" si="0"/>
        <v>0.22179854835906321</v>
      </c>
      <c r="C247" s="17">
        <f t="shared" si="1"/>
        <v>0</v>
      </c>
      <c r="D247" s="17">
        <f t="shared" si="2"/>
        <v>0</v>
      </c>
      <c r="E247" s="17">
        <f t="shared" si="3"/>
        <v>0</v>
      </c>
      <c r="F247" s="17">
        <f t="shared" si="4"/>
        <v>0</v>
      </c>
      <c r="G247" s="17">
        <f t="shared" si="5"/>
        <v>0</v>
      </c>
      <c r="H247" s="6"/>
    </row>
    <row r="248" spans="1:8" x14ac:dyDescent="0.2">
      <c r="A248" s="5" t="s">
        <v>55</v>
      </c>
      <c r="B248" s="17">
        <f t="shared" si="0"/>
        <v>1.6387519945383007</v>
      </c>
      <c r="C248" s="17">
        <f t="shared" si="1"/>
        <v>0</v>
      </c>
      <c r="D248" s="17">
        <f t="shared" si="2"/>
        <v>0</v>
      </c>
      <c r="E248" s="17">
        <f t="shared" si="3"/>
        <v>3.4168491473270262</v>
      </c>
      <c r="F248" s="17">
        <f t="shared" si="4"/>
        <v>0</v>
      </c>
      <c r="G248" s="17">
        <f t="shared" si="5"/>
        <v>0</v>
      </c>
      <c r="H248" s="6"/>
    </row>
    <row r="249" spans="1:8" x14ac:dyDescent="0.2">
      <c r="A249" s="5" t="s">
        <v>56</v>
      </c>
      <c r="B249" s="17">
        <f t="shared" si="0"/>
        <v>1.7395688823841196</v>
      </c>
      <c r="C249" s="17">
        <f t="shared" si="1"/>
        <v>0.18125743327283164</v>
      </c>
      <c r="D249" s="17">
        <f t="shared" si="2"/>
        <v>0</v>
      </c>
      <c r="E249" s="17">
        <f t="shared" si="3"/>
        <v>3.4168491473270262</v>
      </c>
      <c r="F249" s="17">
        <f t="shared" si="4"/>
        <v>0</v>
      </c>
      <c r="G249" s="17">
        <f t="shared" si="5"/>
        <v>0</v>
      </c>
      <c r="H249" s="6"/>
    </row>
    <row r="250" spans="1:8" x14ac:dyDescent="0.2">
      <c r="A250" s="5" t="s">
        <v>95</v>
      </c>
      <c r="B250" s="17">
        <f t="shared" si="0"/>
        <v>0.1837094028745675</v>
      </c>
      <c r="C250" s="17">
        <f t="shared" si="1"/>
        <v>0</v>
      </c>
      <c r="D250" s="17">
        <f t="shared" si="2"/>
        <v>0</v>
      </c>
      <c r="E250" s="17">
        <f t="shared" si="3"/>
        <v>0</v>
      </c>
      <c r="F250" s="17">
        <f t="shared" si="4"/>
        <v>0</v>
      </c>
      <c r="G250" s="17">
        <f t="shared" si="5"/>
        <v>0</v>
      </c>
      <c r="H250" s="6"/>
    </row>
    <row r="251" spans="1:8" x14ac:dyDescent="0.2">
      <c r="A251" s="5" t="s">
        <v>57</v>
      </c>
      <c r="B251" s="17">
        <f t="shared" si="0"/>
        <v>1.6648378673844031</v>
      </c>
      <c r="C251" s="17">
        <f t="shared" si="1"/>
        <v>0.16256384291697037</v>
      </c>
      <c r="D251" s="17">
        <f t="shared" si="2"/>
        <v>0</v>
      </c>
      <c r="E251" s="17">
        <f t="shared" si="3"/>
        <v>24.197769309757849</v>
      </c>
      <c r="F251" s="17">
        <f t="shared" si="4"/>
        <v>0</v>
      </c>
      <c r="G251" s="17">
        <f t="shared" si="5"/>
        <v>0</v>
      </c>
      <c r="H251" s="6"/>
    </row>
    <row r="252" spans="1:8" x14ac:dyDescent="0.2">
      <c r="A252" s="5" t="s">
        <v>58</v>
      </c>
      <c r="B252" s="17">
        <f t="shared" si="0"/>
        <v>1.3138799593565433</v>
      </c>
      <c r="C252" s="17">
        <f t="shared" si="1"/>
        <v>0.1262335890916805</v>
      </c>
      <c r="D252" s="17">
        <f t="shared" si="2"/>
        <v>0</v>
      </c>
      <c r="E252" s="17">
        <f t="shared" si="3"/>
        <v>57.084398853735657</v>
      </c>
      <c r="F252" s="17">
        <f t="shared" si="4"/>
        <v>0</v>
      </c>
      <c r="G252" s="17">
        <f t="shared" si="5"/>
        <v>0</v>
      </c>
      <c r="H252" s="6"/>
    </row>
    <row r="253" spans="1:8" x14ac:dyDescent="0.2">
      <c r="A253" s="5" t="s">
        <v>72</v>
      </c>
      <c r="B253" s="17">
        <f t="shared" si="0"/>
        <v>0.65034358853925989</v>
      </c>
      <c r="C253" s="17">
        <f t="shared" si="1"/>
        <v>6.0497383669805831E-2</v>
      </c>
      <c r="D253" s="17">
        <f t="shared" si="2"/>
        <v>0</v>
      </c>
      <c r="E253" s="17">
        <f t="shared" si="3"/>
        <v>254.66675151326245</v>
      </c>
      <c r="F253" s="17">
        <f t="shared" si="4"/>
        <v>0</v>
      </c>
      <c r="G253" s="17">
        <f t="shared" si="5"/>
        <v>0</v>
      </c>
      <c r="H253" s="6"/>
    </row>
    <row r="254" spans="1:8" x14ac:dyDescent="0.2">
      <c r="A254" s="5" t="s">
        <v>59</v>
      </c>
      <c r="B254" s="17">
        <f t="shared" si="0"/>
        <v>6.6399958161399883</v>
      </c>
      <c r="C254" s="17">
        <f t="shared" si="1"/>
        <v>0.67448447808974954</v>
      </c>
      <c r="D254" s="17">
        <f t="shared" si="2"/>
        <v>9.4407271454852421E-2</v>
      </c>
      <c r="E254" s="17">
        <f t="shared" si="3"/>
        <v>11.930669489218699</v>
      </c>
      <c r="F254" s="17">
        <f t="shared" si="4"/>
        <v>3.3450783794987045</v>
      </c>
      <c r="G254" s="17">
        <f t="shared" si="5"/>
        <v>0.19773859919102441</v>
      </c>
      <c r="H254" s="6"/>
    </row>
    <row r="255" spans="1:8" x14ac:dyDescent="0.2">
      <c r="A255" s="5" t="s">
        <v>60</v>
      </c>
      <c r="B255" s="17">
        <f t="shared" si="0"/>
        <v>5.9761649972664097</v>
      </c>
      <c r="C255" s="17">
        <f t="shared" si="1"/>
        <v>0.58594644066343338</v>
      </c>
      <c r="D255" s="17">
        <f t="shared" si="2"/>
        <v>8.304074057946427E-2</v>
      </c>
      <c r="E255" s="17">
        <f t="shared" si="3"/>
        <v>34.941041615624705</v>
      </c>
      <c r="F255" s="17">
        <f t="shared" si="4"/>
        <v>3.2941165432113708</v>
      </c>
      <c r="G255" s="17">
        <f t="shared" si="5"/>
        <v>0.16754419363656642</v>
      </c>
      <c r="H255" s="6"/>
    </row>
    <row r="256" spans="1:8" x14ac:dyDescent="0.2">
      <c r="A256" s="5" t="s">
        <v>73</v>
      </c>
      <c r="B256" s="17">
        <f t="shared" si="0"/>
        <v>3.6555852102056816</v>
      </c>
      <c r="C256" s="17">
        <f t="shared" si="1"/>
        <v>0.32648926073236506</v>
      </c>
      <c r="D256" s="17">
        <f t="shared" si="2"/>
        <v>4.7878505378711973E-2</v>
      </c>
      <c r="E256" s="17">
        <f t="shared" si="3"/>
        <v>102.60147313251026</v>
      </c>
      <c r="F256" s="17">
        <f t="shared" si="4"/>
        <v>3.1904892965001022</v>
      </c>
      <c r="G256" s="17">
        <f t="shared" si="5"/>
        <v>9.2584964915224985E-2</v>
      </c>
      <c r="H256" s="6"/>
    </row>
    <row r="257" spans="1:8" x14ac:dyDescent="0.2">
      <c r="A257" s="5" t="s">
        <v>74</v>
      </c>
      <c r="B257" s="17">
        <f t="shared" si="0"/>
        <v>2.4159707700959174</v>
      </c>
      <c r="C257" s="17">
        <f t="shared" si="1"/>
        <v>0.19080560417393039</v>
      </c>
      <c r="D257" s="17">
        <f t="shared" si="2"/>
        <v>2.9361640591161364E-2</v>
      </c>
      <c r="E257" s="17">
        <f t="shared" si="3"/>
        <v>134.65836535031045</v>
      </c>
      <c r="F257" s="17">
        <f t="shared" si="4"/>
        <v>2.254358525730388</v>
      </c>
      <c r="G257" s="17">
        <f t="shared" si="5"/>
        <v>6.2730105269408504E-2</v>
      </c>
      <c r="H257" s="6"/>
    </row>
    <row r="258" spans="1:8" x14ac:dyDescent="0.2">
      <c r="A258" s="5" t="s">
        <v>96</v>
      </c>
      <c r="B258" s="17">
        <f t="shared" si="0"/>
        <v>2.3223346346598639</v>
      </c>
      <c r="C258" s="17">
        <f t="shared" si="1"/>
        <v>0</v>
      </c>
      <c r="D258" s="17">
        <f t="shared" si="2"/>
        <v>0</v>
      </c>
      <c r="E258" s="17">
        <f t="shared" si="3"/>
        <v>0</v>
      </c>
      <c r="F258" s="17">
        <f t="shared" si="4"/>
        <v>0</v>
      </c>
      <c r="G258" s="17">
        <f t="shared" si="5"/>
        <v>0</v>
      </c>
      <c r="H258" s="6"/>
    </row>
    <row r="259" spans="1:8" x14ac:dyDescent="0.2">
      <c r="A259" s="5" t="s">
        <v>97</v>
      </c>
      <c r="B259" s="17">
        <f t="shared" si="0"/>
        <v>2.5910559610467372</v>
      </c>
      <c r="C259" s="17">
        <f t="shared" si="1"/>
        <v>0</v>
      </c>
      <c r="D259" s="17">
        <f t="shared" si="2"/>
        <v>0</v>
      </c>
      <c r="E259" s="17">
        <f t="shared" si="3"/>
        <v>0</v>
      </c>
      <c r="F259" s="17">
        <f t="shared" si="4"/>
        <v>0</v>
      </c>
      <c r="G259" s="17">
        <f t="shared" si="5"/>
        <v>0</v>
      </c>
      <c r="H259" s="6"/>
    </row>
    <row r="260" spans="1:8" x14ac:dyDescent="0.2">
      <c r="A260" s="5" t="s">
        <v>98</v>
      </c>
      <c r="B260" s="17">
        <f t="shared" si="0"/>
        <v>3.5052533097413852</v>
      </c>
      <c r="C260" s="17">
        <f t="shared" si="1"/>
        <v>0</v>
      </c>
      <c r="D260" s="17">
        <f t="shared" si="2"/>
        <v>0</v>
      </c>
      <c r="E260" s="17">
        <f t="shared" si="3"/>
        <v>0</v>
      </c>
      <c r="F260" s="17">
        <f t="shared" si="4"/>
        <v>0</v>
      </c>
      <c r="G260" s="17">
        <f t="shared" si="5"/>
        <v>0</v>
      </c>
      <c r="H260" s="6"/>
    </row>
    <row r="261" spans="1:8" x14ac:dyDescent="0.2">
      <c r="A261" s="5" t="s">
        <v>99</v>
      </c>
      <c r="B261" s="17">
        <f t="shared" si="0"/>
        <v>2.1670423131109016</v>
      </c>
      <c r="C261" s="17">
        <f t="shared" si="1"/>
        <v>0</v>
      </c>
      <c r="D261" s="17">
        <f t="shared" si="2"/>
        <v>0</v>
      </c>
      <c r="E261" s="17">
        <f t="shared" si="3"/>
        <v>0</v>
      </c>
      <c r="F261" s="17">
        <f t="shared" si="4"/>
        <v>0</v>
      </c>
      <c r="G261" s="17">
        <f t="shared" si="5"/>
        <v>0</v>
      </c>
      <c r="H261" s="6"/>
    </row>
    <row r="262" spans="1:8" x14ac:dyDescent="0.2">
      <c r="A262" s="5" t="s">
        <v>100</v>
      </c>
      <c r="B262" s="17">
        <f t="shared" si="0"/>
        <v>27.906520769650889</v>
      </c>
      <c r="C262" s="17">
        <f t="shared" si="1"/>
        <v>2.2386779045474325</v>
      </c>
      <c r="D262" s="17">
        <f t="shared" si="2"/>
        <v>1.5753077546487044</v>
      </c>
      <c r="E262" s="17">
        <f t="shared" si="3"/>
        <v>0</v>
      </c>
      <c r="F262" s="17">
        <f t="shared" si="4"/>
        <v>0</v>
      </c>
      <c r="G262" s="17">
        <f t="shared" si="5"/>
        <v>0</v>
      </c>
      <c r="H262" s="6"/>
    </row>
    <row r="263" spans="1:8" x14ac:dyDescent="0.2">
      <c r="A263" s="5" t="s">
        <v>61</v>
      </c>
      <c r="B263" s="17">
        <f t="shared" si="0"/>
        <v>-0.89799162991796522</v>
      </c>
      <c r="C263" s="17">
        <f t="shared" si="1"/>
        <v>0</v>
      </c>
      <c r="D263" s="17">
        <f t="shared" si="2"/>
        <v>0</v>
      </c>
      <c r="E263" s="17">
        <f t="shared" si="3"/>
        <v>0</v>
      </c>
      <c r="F263" s="17">
        <f t="shared" si="4"/>
        <v>0</v>
      </c>
      <c r="G263" s="17">
        <f t="shared" si="5"/>
        <v>0</v>
      </c>
      <c r="H263" s="6"/>
    </row>
    <row r="264" spans="1:8" x14ac:dyDescent="0.2">
      <c r="A264" s="5" t="s">
        <v>62</v>
      </c>
      <c r="B264" s="17">
        <f t="shared" si="0"/>
        <v>-0.70017186540441934</v>
      </c>
      <c r="C264" s="17">
        <f t="shared" si="1"/>
        <v>0</v>
      </c>
      <c r="D264" s="17">
        <f t="shared" si="2"/>
        <v>0</v>
      </c>
      <c r="E264" s="17">
        <f t="shared" si="3"/>
        <v>0</v>
      </c>
      <c r="F264" s="17">
        <f t="shared" si="4"/>
        <v>0</v>
      </c>
      <c r="G264" s="17">
        <f t="shared" si="5"/>
        <v>0</v>
      </c>
      <c r="H264" s="6"/>
    </row>
    <row r="265" spans="1:8" x14ac:dyDescent="0.2">
      <c r="A265" s="5" t="s">
        <v>63</v>
      </c>
      <c r="B265" s="17">
        <f t="shared" si="0"/>
        <v>-0.89799162991796522</v>
      </c>
      <c r="C265" s="17">
        <f t="shared" si="1"/>
        <v>0</v>
      </c>
      <c r="D265" s="17">
        <f t="shared" si="2"/>
        <v>0</v>
      </c>
      <c r="E265" s="17">
        <f t="shared" si="3"/>
        <v>0</v>
      </c>
      <c r="F265" s="17">
        <f t="shared" si="4"/>
        <v>0</v>
      </c>
      <c r="G265" s="17">
        <f t="shared" si="5"/>
        <v>0.22856792631435691</v>
      </c>
      <c r="H265" s="6"/>
    </row>
    <row r="266" spans="1:8" x14ac:dyDescent="0.2">
      <c r="A266" s="5" t="s">
        <v>64</v>
      </c>
      <c r="B266" s="17">
        <f t="shared" si="0"/>
        <v>-8.9066564509464765</v>
      </c>
      <c r="C266" s="17">
        <f t="shared" si="1"/>
        <v>-0.9306442336479952</v>
      </c>
      <c r="D266" s="17">
        <f t="shared" si="2"/>
        <v>-0.12900200572170595</v>
      </c>
      <c r="E266" s="17">
        <f t="shared" si="3"/>
        <v>0</v>
      </c>
      <c r="F266" s="17">
        <f t="shared" si="4"/>
        <v>0</v>
      </c>
      <c r="G266" s="17">
        <f t="shared" si="5"/>
        <v>0.22856792631435691</v>
      </c>
      <c r="H266" s="6"/>
    </row>
    <row r="267" spans="1:8" x14ac:dyDescent="0.2">
      <c r="A267" s="5" t="s">
        <v>65</v>
      </c>
      <c r="B267" s="17">
        <f t="shared" si="0"/>
        <v>-0.70017186540441934</v>
      </c>
      <c r="C267" s="17">
        <f t="shared" si="1"/>
        <v>0</v>
      </c>
      <c r="D267" s="17">
        <f t="shared" si="2"/>
        <v>0</v>
      </c>
      <c r="E267" s="17">
        <f t="shared" si="3"/>
        <v>0</v>
      </c>
      <c r="F267" s="17">
        <f t="shared" si="4"/>
        <v>0</v>
      </c>
      <c r="G267" s="17">
        <f t="shared" si="5"/>
        <v>0.18451992070053849</v>
      </c>
      <c r="H267" s="6"/>
    </row>
    <row r="268" spans="1:8" x14ac:dyDescent="0.2">
      <c r="A268" s="5" t="s">
        <v>66</v>
      </c>
      <c r="B268" s="17">
        <f t="shared" si="0"/>
        <v>-7.0014663203041207</v>
      </c>
      <c r="C268" s="17">
        <f t="shared" si="1"/>
        <v>-0.71585090459889844</v>
      </c>
      <c r="D268" s="17">
        <f t="shared" si="2"/>
        <v>-9.9971320716047821E-2</v>
      </c>
      <c r="E268" s="17">
        <f t="shared" si="3"/>
        <v>0</v>
      </c>
      <c r="F268" s="17">
        <f t="shared" si="4"/>
        <v>0</v>
      </c>
      <c r="G268" s="17">
        <f t="shared" si="5"/>
        <v>0.18451992070053849</v>
      </c>
      <c r="H268" s="6"/>
    </row>
    <row r="269" spans="1:8" x14ac:dyDescent="0.2">
      <c r="A269" s="5" t="s">
        <v>75</v>
      </c>
      <c r="B269" s="17">
        <f t="shared" si="0"/>
        <v>-0.44367880824796413</v>
      </c>
      <c r="C269" s="17">
        <f t="shared" si="1"/>
        <v>0</v>
      </c>
      <c r="D269" s="17">
        <f t="shared" si="2"/>
        <v>0</v>
      </c>
      <c r="E269" s="17">
        <f t="shared" si="3"/>
        <v>6.3622622359931222</v>
      </c>
      <c r="F269" s="17">
        <f t="shared" si="4"/>
        <v>0</v>
      </c>
      <c r="G269" s="17">
        <f t="shared" si="5"/>
        <v>0.12506375647908394</v>
      </c>
      <c r="H269" s="6"/>
    </row>
    <row r="270" spans="1:8" x14ac:dyDescent="0.2">
      <c r="A270" s="5" t="s">
        <v>76</v>
      </c>
      <c r="B270" s="17">
        <f t="shared" si="0"/>
        <v>-4.5464883298394394</v>
      </c>
      <c r="C270" s="17">
        <f t="shared" si="1"/>
        <v>-0.43472013238334989</v>
      </c>
      <c r="D270" s="17">
        <f t="shared" si="2"/>
        <v>-6.2165407854378171E-2</v>
      </c>
      <c r="E270" s="17">
        <f t="shared" si="3"/>
        <v>6.3622622359931222</v>
      </c>
      <c r="F270" s="17">
        <f t="shared" si="4"/>
        <v>0</v>
      </c>
      <c r="G270" s="17">
        <f t="shared" si="5"/>
        <v>0.12506375647908394</v>
      </c>
      <c r="H270" s="6"/>
    </row>
    <row r="271" spans="1:8" x14ac:dyDescent="0.2">
      <c r="A271" s="5" t="s">
        <v>77</v>
      </c>
      <c r="B271" s="17">
        <f t="shared" si="0"/>
        <v>-0.29387687269531404</v>
      </c>
      <c r="C271" s="17">
        <f t="shared" si="1"/>
        <v>0</v>
      </c>
      <c r="D271" s="17">
        <f t="shared" si="2"/>
        <v>0</v>
      </c>
      <c r="E271" s="17">
        <f t="shared" si="3"/>
        <v>6.3622622359931222</v>
      </c>
      <c r="F271" s="17">
        <f t="shared" si="4"/>
        <v>0</v>
      </c>
      <c r="G271" s="17">
        <f t="shared" si="5"/>
        <v>7.0062960325235277E-2</v>
      </c>
      <c r="H271" s="6"/>
    </row>
    <row r="272" spans="1:8" x14ac:dyDescent="0.2">
      <c r="A272" s="5" t="s">
        <v>78</v>
      </c>
      <c r="B272" s="17">
        <f t="shared" si="0"/>
        <v>-3.1113852507228641</v>
      </c>
      <c r="C272" s="17">
        <f t="shared" si="1"/>
        <v>-0.27075244291269507</v>
      </c>
      <c r="D272" s="17">
        <f t="shared" si="2"/>
        <v>-4.0099290803666074E-2</v>
      </c>
      <c r="E272" s="17">
        <f t="shared" si="3"/>
        <v>6.3622622359931222</v>
      </c>
      <c r="F272" s="17">
        <f t="shared" si="4"/>
        <v>0</v>
      </c>
      <c r="G272" s="17">
        <f t="shared" si="5"/>
        <v>7.0062960325235277E-2</v>
      </c>
      <c r="H272" s="6"/>
    </row>
  </sheetData>
  <sheetProtection sheet="1" objects="1"/>
  <hyperlinks>
    <hyperlink ref="A6" location="'Standing'!B83" display="'Standing'!B83"/>
    <hyperlink ref="A7" location="'Standing'!B54" display="'Standing'!B54"/>
    <hyperlink ref="A8" location="'Yard'!B65" display="'Yard'!B65"/>
    <hyperlink ref="A9" location="'Yard'!B65" display="'Yard'!B65"/>
    <hyperlink ref="A10" location="'Yard'!B23" display="'Yard'!B23"/>
    <hyperlink ref="A11" location="'SM'!B43" display="'SM'!B43"/>
    <hyperlink ref="A12" location="'Otex'!B157" display="'Otex'!B157"/>
    <hyperlink ref="A47" location="'Standing'!B110" display="'Standing'!B110"/>
    <hyperlink ref="A48" location="'Yard'!B99" display="'Yard'!B99"/>
    <hyperlink ref="A49" location="'Yard'!B99" display="'Yard'!B99"/>
    <hyperlink ref="A50" location="'SM'!B43" display="'SM'!B43"/>
    <hyperlink ref="A51" location="'Otex'!B157" display="'Otex'!B157"/>
    <hyperlink ref="A86" location="'Standing'!B131" display="'Standing'!B131"/>
    <hyperlink ref="A87" location="'Yard'!B127" display="'Yard'!B127"/>
    <hyperlink ref="A88" location="'Yard'!B127" display="'Yard'!B127"/>
    <hyperlink ref="A89" location="'SM'!B43" display="'SM'!B43"/>
    <hyperlink ref="A90" location="'Otex'!B157" display="'Otex'!B157"/>
    <hyperlink ref="A125" location="'NHH'!B88" display="'NHH'!B88"/>
    <hyperlink ref="A126" location="'SM'!B108" display="'SM'!B108"/>
    <hyperlink ref="A127" location="'SM'!B108" display="'SM'!B108"/>
    <hyperlink ref="A128" location="'Otex'!B121" display="'Otex'!B121"/>
    <hyperlink ref="A129" location="'Otex'!B121" display="'Otex'!B121"/>
    <hyperlink ref="A164" location="'Standing'!B25" display="'Standing'!B25"/>
    <hyperlink ref="A199" location="'Reactive'!B85" display="'Reactive'!B85"/>
    <hyperlink ref="A200" location="'Reactive'!B22" display="'Reactive'!B22"/>
    <hyperlink ref="A235" location="'Aggreg'!B16" display="'Aggreg'!B16"/>
    <hyperlink ref="A236" location="'Aggreg'!B55" display="'Aggreg'!B55"/>
    <hyperlink ref="A237" location="'Aggreg'!B94" display="'Aggreg'!B94"/>
    <hyperlink ref="A238" location="'Aggreg'!B133" display="'Aggreg'!B133"/>
    <hyperlink ref="A239" location="'Aggreg'!B168" display="'Aggreg'!B168"/>
    <hyperlink ref="A240" location="'Aggreg'!B204" display="'Aggreg'!B204"/>
  </hyperlinks>
  <pageMargins left="0.75" right="0.75" top="1" bottom="1" header="0.5" footer="0.5"/>
  <pageSetup paperSize="9" scale="30" fitToHeight="0" orientation="landscape" blackAndWhite="1" r:id="rId1"/>
  <headerFooter alignWithMargins="0">
    <oddHeader>&amp;L&amp;A&amp;Cr6140&amp;R&amp;P of &amp;N</oddHeader>
    <oddFooter>&amp;F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73"/>
  <sheetViews>
    <sheetView showGridLines="0" zoomScale="90" zoomScaleNormal="90" workbookViewId="0">
      <pane xSplit="1" ySplit="1" topLeftCell="B41" activePane="bottomRight" state="frozen"/>
      <selection pane="topRight"/>
      <selection pane="bottomLeft"/>
      <selection pane="bottomRight" activeCell="B56" sqref="B56"/>
    </sheetView>
  </sheetViews>
  <sheetFormatPr defaultRowHeight="12.75" x14ac:dyDescent="0.2"/>
  <cols>
    <col min="1" max="1" width="50.7109375" customWidth="1"/>
    <col min="2" max="251" width="21.7109375" customWidth="1"/>
  </cols>
  <sheetData>
    <row r="1" spans="1:1" ht="19.5" x14ac:dyDescent="0.3">
      <c r="A1" s="15" t="str">
        <f>"r6140: Revenue shortfall or surplus"&amp;" for "&amp;Input!B7&amp;" in "&amp;Input!C7&amp;" ("&amp;Input!D7&amp;")"</f>
        <v>r6140: Revenue shortfall or surplus for Electricity North West  in 2013/14 (April 2013 Indicative)</v>
      </c>
    </row>
    <row r="2" spans="1:1" s="66" customFormat="1" ht="12.75" customHeight="1" x14ac:dyDescent="0.2"/>
    <row r="3" spans="1:1" s="66" customFormat="1" ht="12.75" customHeight="1" x14ac:dyDescent="0.2">
      <c r="A3" s="67" t="s">
        <v>958</v>
      </c>
    </row>
    <row r="4" spans="1:1" s="66" customFormat="1" ht="12.75" customHeight="1" x14ac:dyDescent="0.2">
      <c r="A4" s="68" t="s">
        <v>238</v>
      </c>
    </row>
    <row r="5" spans="1:1" s="66" customFormat="1" ht="12.75" customHeight="1" x14ac:dyDescent="0.2">
      <c r="A5" s="69" t="s">
        <v>367</v>
      </c>
    </row>
    <row r="6" spans="1:1" s="66" customFormat="1" ht="12.75" customHeight="1" x14ac:dyDescent="0.2">
      <c r="A6" s="69" t="s">
        <v>959</v>
      </c>
    </row>
    <row r="7" spans="1:1" s="66" customFormat="1" ht="12.75" customHeight="1" x14ac:dyDescent="0.2">
      <c r="A7" s="69" t="s">
        <v>960</v>
      </c>
    </row>
    <row r="8" spans="1:1" s="66" customFormat="1" ht="12.75" customHeight="1" x14ac:dyDescent="0.2">
      <c r="A8" s="69" t="s">
        <v>961</v>
      </c>
    </row>
    <row r="9" spans="1:1" s="66" customFormat="1" ht="12.75" customHeight="1" x14ac:dyDescent="0.2">
      <c r="A9" s="69" t="s">
        <v>962</v>
      </c>
    </row>
    <row r="10" spans="1:1" s="66" customFormat="1" ht="12.75" customHeight="1" x14ac:dyDescent="0.2">
      <c r="A10" s="69" t="s">
        <v>963</v>
      </c>
    </row>
    <row r="11" spans="1:1" s="66" customFormat="1" ht="12.75" customHeight="1" x14ac:dyDescent="0.2">
      <c r="A11" s="69" t="s">
        <v>964</v>
      </c>
    </row>
    <row r="12" spans="1:1" s="66" customFormat="1" ht="12.75" customHeight="1" x14ac:dyDescent="0.2">
      <c r="A12" s="69" t="s">
        <v>965</v>
      </c>
    </row>
    <row r="13" spans="1:1" s="66" customFormat="1" ht="12.75" customHeight="1" x14ac:dyDescent="0.2">
      <c r="A13" s="69" t="s">
        <v>966</v>
      </c>
    </row>
    <row r="14" spans="1:1" s="66" customFormat="1" ht="12.75" customHeight="1" x14ac:dyDescent="0.2">
      <c r="A14" s="69" t="s">
        <v>967</v>
      </c>
    </row>
    <row r="15" spans="1:1" s="66" customFormat="1" ht="12.75" customHeight="1" x14ac:dyDescent="0.2">
      <c r="A15" s="69" t="s">
        <v>968</v>
      </c>
    </row>
    <row r="16" spans="1:1" s="66" customFormat="1" ht="12.75" customHeight="1" x14ac:dyDescent="0.2">
      <c r="A16" s="69" t="s">
        <v>969</v>
      </c>
    </row>
    <row r="17" spans="1:3" s="66" customFormat="1" ht="12.75" customHeight="1" x14ac:dyDescent="0.2">
      <c r="A17" s="69" t="s">
        <v>970</v>
      </c>
    </row>
    <row r="18" spans="1:3" s="66" customFormat="1" ht="12.75" customHeight="1" x14ac:dyDescent="0.2">
      <c r="A18" s="68" t="s">
        <v>971</v>
      </c>
    </row>
    <row r="19" spans="1:3" s="66" customFormat="1" ht="12.75" customHeight="1" x14ac:dyDescent="0.2"/>
    <row r="20" spans="1:3" s="66" customFormat="1" ht="12.75" customHeight="1" x14ac:dyDescent="0.2">
      <c r="B20" s="70" t="s">
        <v>972</v>
      </c>
    </row>
    <row r="21" spans="1:3" s="66" customFormat="1" ht="12.75" customHeight="1" x14ac:dyDescent="0.2">
      <c r="A21" s="71" t="s">
        <v>53</v>
      </c>
      <c r="B21" s="72">
        <f>0.01*Input!F$14*(Aggreg!E245*Loads!E298+Aggreg!F245*Loads!F298)+10*(Aggreg!B245*Loads!B298+Aggreg!C245*Loads!C298+Aggreg!D245*Loads!D298+Aggreg!G245*Loads!G298)</f>
        <v>170290751.73896056</v>
      </c>
      <c r="C21" s="73"/>
    </row>
    <row r="22" spans="1:3" s="66" customFormat="1" ht="12.75" customHeight="1" x14ac:dyDescent="0.2">
      <c r="A22" s="71" t="s">
        <v>54</v>
      </c>
      <c r="B22" s="72">
        <f>0.01*Input!F$14*(Aggreg!E246*Loads!E299+Aggreg!F246*Loads!F299)+10*(Aggreg!B246*Loads!B299+Aggreg!C246*Loads!C299+Aggreg!D246*Loads!D299+Aggreg!G246*Loads!G299)</f>
        <v>17091620.922535513</v>
      </c>
      <c r="C22" s="73"/>
    </row>
    <row r="23" spans="1:3" s="66" customFormat="1" ht="12.75" customHeight="1" x14ac:dyDescent="0.2">
      <c r="A23" s="71" t="s">
        <v>94</v>
      </c>
      <c r="B23" s="72">
        <f>0.01*Input!F$14*(Aggreg!E247*Loads!E300+Aggreg!F247*Loads!F300)+10*(Aggreg!B247*Loads!B300+Aggreg!C247*Loads!C300+Aggreg!D247*Loads!D300+Aggreg!G247*Loads!G300)</f>
        <v>64520.617088616957</v>
      </c>
      <c r="C23" s="73"/>
    </row>
    <row r="24" spans="1:3" s="66" customFormat="1" ht="12.75" customHeight="1" x14ac:dyDescent="0.2">
      <c r="A24" s="71" t="s">
        <v>55</v>
      </c>
      <c r="B24" s="72">
        <f>0.01*Input!F$14*(Aggreg!E248*Loads!E301+Aggreg!F248*Loads!F301)+10*(Aggreg!B248*Loads!B301+Aggreg!C248*Loads!C301+Aggreg!D248*Loads!D301+Aggreg!G248*Loads!G301)</f>
        <v>30590575.989243932</v>
      </c>
      <c r="C24" s="73"/>
    </row>
    <row r="25" spans="1:3" s="66" customFormat="1" ht="12.75" customHeight="1" x14ac:dyDescent="0.2">
      <c r="A25" s="71" t="s">
        <v>56</v>
      </c>
      <c r="B25" s="72">
        <f>0.01*Input!F$14*(Aggreg!E249*Loads!E302+Aggreg!F249*Loads!F302)+10*(Aggreg!B249*Loads!B302+Aggreg!C249*Loads!C302+Aggreg!D249*Loads!D302+Aggreg!G249*Loads!G302)</f>
        <v>10890456.775504505</v>
      </c>
      <c r="C25" s="73"/>
    </row>
    <row r="26" spans="1:3" s="66" customFormat="1" ht="12.75" customHeight="1" x14ac:dyDescent="0.2">
      <c r="A26" s="71" t="s">
        <v>95</v>
      </c>
      <c r="B26" s="72">
        <f>0.01*Input!F$14*(Aggreg!E250*Loads!E303+Aggreg!F250*Loads!F303)+10*(Aggreg!B250*Loads!B303+Aggreg!C250*Loads!C303+Aggreg!D250*Loads!D303+Aggreg!G250*Loads!G303)</f>
        <v>54675.888122449513</v>
      </c>
      <c r="C26" s="73"/>
    </row>
    <row r="27" spans="1:3" s="66" customFormat="1" ht="12.75" customHeight="1" x14ac:dyDescent="0.2">
      <c r="A27" s="71" t="s">
        <v>57</v>
      </c>
      <c r="B27" s="72">
        <f>0.01*Input!F$14*(Aggreg!E251*Loads!E304+Aggreg!F251*Loads!F304)+10*(Aggreg!B251*Loads!B304+Aggreg!C251*Loads!C304+Aggreg!D251*Loads!D304+Aggreg!G251*Loads!G304)</f>
        <v>18543292.389891215</v>
      </c>
      <c r="C27" s="73"/>
    </row>
    <row r="28" spans="1:3" s="66" customFormat="1" ht="12.75" customHeight="1" x14ac:dyDescent="0.2">
      <c r="A28" s="71" t="s">
        <v>58</v>
      </c>
      <c r="B28" s="72">
        <f>0.01*Input!F$14*(Aggreg!E252*Loads!E305+Aggreg!F252*Loads!F305)+10*(Aggreg!B252*Loads!B305+Aggreg!C252*Loads!C305+Aggreg!D252*Loads!D305+Aggreg!G252*Loads!G305)</f>
        <v>537644.58835209452</v>
      </c>
      <c r="C28" s="73"/>
    </row>
    <row r="29" spans="1:3" s="66" customFormat="1" ht="12.75" customHeight="1" x14ac:dyDescent="0.2">
      <c r="A29" s="71" t="s">
        <v>72</v>
      </c>
      <c r="B29" s="72">
        <f>0.01*Input!F$14*(Aggreg!E253*Loads!E306+Aggreg!F253*Loads!F306)+10*(Aggreg!B253*Loads!B306+Aggreg!C253*Loads!C306+Aggreg!D253*Loads!D306+Aggreg!G253*Loads!G306)</f>
        <v>121478.80696159636</v>
      </c>
      <c r="C29" s="73"/>
    </row>
    <row r="30" spans="1:3" s="66" customFormat="1" ht="12.75" customHeight="1" x14ac:dyDescent="0.2">
      <c r="A30" s="71" t="s">
        <v>59</v>
      </c>
      <c r="B30" s="72">
        <f>0.01*Input!F$14*(Aggreg!E254*Loads!E307+Aggreg!F254*Loads!F307)+10*(Aggreg!B254*Loads!B307+Aggreg!C254*Loads!C307+Aggreg!D254*Loads!D307+Aggreg!G254*Loads!G307)</f>
        <v>22534156.957939163</v>
      </c>
      <c r="C30" s="73"/>
    </row>
    <row r="31" spans="1:3" s="66" customFormat="1" ht="12.75" customHeight="1" x14ac:dyDescent="0.2">
      <c r="A31" s="71" t="s">
        <v>60</v>
      </c>
      <c r="B31" s="72">
        <f>0.01*Input!F$14*(Aggreg!E255*Loads!E308+Aggreg!F255*Loads!F308)+10*(Aggreg!B255*Loads!B308+Aggreg!C255*Loads!C308+Aggreg!D255*Loads!D308+Aggreg!G255*Loads!G308)</f>
        <v>17333628.304414935</v>
      </c>
      <c r="C31" s="73"/>
    </row>
    <row r="32" spans="1:3" s="66" customFormat="1" ht="12.75" customHeight="1" x14ac:dyDescent="0.2">
      <c r="A32" s="71" t="s">
        <v>73</v>
      </c>
      <c r="B32" s="72">
        <f>0.01*Input!F$14*(Aggreg!E256*Loads!E309+Aggreg!F256*Loads!F309)+10*(Aggreg!B256*Loads!B309+Aggreg!C256*Loads!C309+Aggreg!D256*Loads!D309+Aggreg!G256*Loads!G309)</f>
        <v>42782117.533597395</v>
      </c>
      <c r="C32" s="73"/>
    </row>
    <row r="33" spans="1:3" s="66" customFormat="1" ht="12.75" customHeight="1" x14ac:dyDescent="0.2">
      <c r="A33" s="71" t="s">
        <v>74</v>
      </c>
      <c r="B33" s="72">
        <f>0.01*Input!F$14*(Aggreg!E257*Loads!E310+Aggreg!F257*Loads!F310)+10*(Aggreg!B257*Loads!B310+Aggreg!C257*Loads!C310+Aggreg!D257*Loads!D310+Aggreg!G257*Loads!G310)</f>
        <v>0</v>
      </c>
      <c r="C33" s="73"/>
    </row>
    <row r="34" spans="1:3" s="66" customFormat="1" ht="12.75" customHeight="1" x14ac:dyDescent="0.2">
      <c r="A34" s="71" t="s">
        <v>96</v>
      </c>
      <c r="B34" s="72">
        <f>0.01*Input!F$14*(Aggreg!E258*Loads!E311+Aggreg!F258*Loads!F311)+10*(Aggreg!B258*Loads!B311+Aggreg!C258*Loads!C311+Aggreg!D258*Loads!D311+Aggreg!G258*Loads!G311)</f>
        <v>1002024.2630032508</v>
      </c>
      <c r="C34" s="73"/>
    </row>
    <row r="35" spans="1:3" s="66" customFormat="1" ht="12.75" customHeight="1" x14ac:dyDescent="0.2">
      <c r="A35" s="71" t="s">
        <v>97</v>
      </c>
      <c r="B35" s="72">
        <f>0.01*Input!F$14*(Aggreg!E259*Loads!E312+Aggreg!F259*Loads!F312)+10*(Aggreg!B259*Loads!B312+Aggreg!C259*Loads!C312+Aggreg!D259*Loads!D312+Aggreg!G259*Loads!G312)</f>
        <v>349274.53581451293</v>
      </c>
      <c r="C35" s="73"/>
    </row>
    <row r="36" spans="1:3" s="66" customFormat="1" ht="12.75" customHeight="1" x14ac:dyDescent="0.2">
      <c r="A36" s="71" t="s">
        <v>98</v>
      </c>
      <c r="B36" s="72">
        <f>0.01*Input!F$14*(Aggreg!E260*Loads!E313+Aggreg!F260*Loads!F313)+10*(Aggreg!B260*Loads!B313+Aggreg!C260*Loads!C313+Aggreg!D260*Loads!D313+Aggreg!G260*Loads!G313)</f>
        <v>48.887879510470562</v>
      </c>
      <c r="C36" s="73"/>
    </row>
    <row r="37" spans="1:3" s="66" customFormat="1" ht="12.75" customHeight="1" x14ac:dyDescent="0.2">
      <c r="A37" s="71" t="s">
        <v>99</v>
      </c>
      <c r="B37" s="72">
        <f>0.01*Input!F$14*(Aggreg!E261*Loads!E314+Aggreg!F261*Loads!F314)+10*(Aggreg!B261*Loads!B314+Aggreg!C261*Loads!C314+Aggreg!D261*Loads!D314+Aggreg!G261*Loads!G314)</f>
        <v>0</v>
      </c>
      <c r="C37" s="73"/>
    </row>
    <row r="38" spans="1:3" s="66" customFormat="1" ht="12.75" customHeight="1" x14ac:dyDescent="0.2">
      <c r="A38" s="71" t="s">
        <v>100</v>
      </c>
      <c r="B38" s="72">
        <f>0.01*Input!F$14*(Aggreg!E262*Loads!E315+Aggreg!F262*Loads!F315)+10*(Aggreg!B262*Loads!B315+Aggreg!C262*Loads!C315+Aggreg!D262*Loads!D315+Aggreg!G262*Loads!G315)</f>
        <v>7101672.8165111728</v>
      </c>
      <c r="C38" s="73"/>
    </row>
    <row r="39" spans="1:3" s="66" customFormat="1" ht="12.75" customHeight="1" x14ac:dyDescent="0.2">
      <c r="A39" s="71" t="s">
        <v>61</v>
      </c>
      <c r="B39" s="72">
        <f>0.01*Input!F$14*(Aggreg!E263*Loads!E316+Aggreg!F263*Loads!F316)+10*(Aggreg!B263*Loads!B316+Aggreg!C263*Loads!C316+Aggreg!D263*Loads!D316+Aggreg!G263*Loads!G316)</f>
        <v>-7893.012451556373</v>
      </c>
      <c r="C39" s="73"/>
    </row>
    <row r="40" spans="1:3" s="66" customFormat="1" ht="12.75" customHeight="1" x14ac:dyDescent="0.2">
      <c r="A40" s="71" t="s">
        <v>62</v>
      </c>
      <c r="B40" s="72">
        <f>0.01*Input!F$14*(Aggreg!E264*Loads!E317+Aggreg!F264*Loads!F317)+10*(Aggreg!B264*Loads!B317+Aggreg!C264*Loads!C317+Aggreg!D264*Loads!D317+Aggreg!G264*Loads!G317)</f>
        <v>0</v>
      </c>
      <c r="C40" s="73"/>
    </row>
    <row r="41" spans="1:3" s="66" customFormat="1" ht="12.75" customHeight="1" x14ac:dyDescent="0.2">
      <c r="A41" s="71" t="s">
        <v>63</v>
      </c>
      <c r="B41" s="72">
        <f>0.01*Input!F$14*(Aggreg!E265*Loads!E318+Aggreg!F265*Loads!F318)+10*(Aggreg!B265*Loads!B318+Aggreg!C265*Loads!C318+Aggreg!D265*Loads!D318+Aggreg!G265*Loads!G318)</f>
        <v>-31850.812482708105</v>
      </c>
      <c r="C41" s="73"/>
    </row>
    <row r="42" spans="1:3" s="66" customFormat="1" ht="12.75" customHeight="1" x14ac:dyDescent="0.2">
      <c r="A42" s="71" t="s">
        <v>64</v>
      </c>
      <c r="B42" s="72">
        <f>0.01*Input!F$14*(Aggreg!E266*Loads!E319+Aggreg!F266*Loads!F319)+10*(Aggreg!B266*Loads!B319+Aggreg!C266*Loads!C319+Aggreg!D266*Loads!D319+Aggreg!G266*Loads!G319)</f>
        <v>-4212.6856881417816</v>
      </c>
      <c r="C42" s="73"/>
    </row>
    <row r="43" spans="1:3" s="66" customFormat="1" ht="12.75" customHeight="1" x14ac:dyDescent="0.2">
      <c r="A43" s="71" t="s">
        <v>65</v>
      </c>
      <c r="B43" s="72">
        <f>0.01*Input!F$14*(Aggreg!E267*Loads!E320+Aggreg!F267*Loads!F320)+10*(Aggreg!B267*Loads!B320+Aggreg!C267*Loads!C320+Aggreg!D267*Loads!D320+Aggreg!G267*Loads!G320)</f>
        <v>-1122.718355630667</v>
      </c>
      <c r="C43" s="73"/>
    </row>
    <row r="44" spans="1:3" s="66" customFormat="1" ht="12.75" customHeight="1" x14ac:dyDescent="0.2">
      <c r="A44" s="71" t="s">
        <v>66</v>
      </c>
      <c r="B44" s="72">
        <f>0.01*Input!F$14*(Aggreg!E268*Loads!E321+Aggreg!F268*Loads!F321)+10*(Aggreg!B268*Loads!B321+Aggreg!C268*Loads!C321+Aggreg!D268*Loads!D321+Aggreg!G268*Loads!G321)</f>
        <v>-13197.699917686641</v>
      </c>
      <c r="C44" s="73"/>
    </row>
    <row r="45" spans="1:3" s="66" customFormat="1" ht="12.75" customHeight="1" x14ac:dyDescent="0.2">
      <c r="A45" s="71" t="s">
        <v>75</v>
      </c>
      <c r="B45" s="72">
        <f>0.01*Input!F$14*(Aggreg!E269*Loads!E322+Aggreg!F269*Loads!F322)+10*(Aggreg!B269*Loads!B322+Aggreg!C269*Loads!C322+Aggreg!D269*Loads!D322+Aggreg!G269*Loads!G322)</f>
        <v>-494904.23815930943</v>
      </c>
      <c r="C45" s="73"/>
    </row>
    <row r="46" spans="1:3" s="66" customFormat="1" ht="12.75" customHeight="1" x14ac:dyDescent="0.2">
      <c r="A46" s="71" t="s">
        <v>76</v>
      </c>
      <c r="B46" s="72">
        <f>0.01*Input!F$14*(Aggreg!E270*Loads!E323+Aggreg!F270*Loads!F323)+10*(Aggreg!B270*Loads!B323+Aggreg!C270*Loads!C323+Aggreg!D270*Loads!D323+Aggreg!G270*Loads!G323)</f>
        <v>-2224779.0756137995</v>
      </c>
      <c r="C46" s="73"/>
    </row>
    <row r="47" spans="1:3" s="66" customFormat="1" ht="12.75" customHeight="1" x14ac:dyDescent="0.2">
      <c r="A47" s="71" t="s">
        <v>77</v>
      </c>
      <c r="B47" s="72">
        <f>0.01*Input!F$14*(Aggreg!E271*Loads!E324+Aggreg!F271*Loads!F324)+10*(Aggreg!B271*Loads!B324+Aggreg!C271*Loads!C324+Aggreg!D271*Loads!D324+Aggreg!G271*Loads!G324)</f>
        <v>0</v>
      </c>
      <c r="C47" s="73"/>
    </row>
    <row r="48" spans="1:3" s="66" customFormat="1" ht="12.75" customHeight="1" x14ac:dyDescent="0.2">
      <c r="A48" s="71" t="s">
        <v>78</v>
      </c>
      <c r="B48" s="72">
        <f>0.01*Input!F$14*(Aggreg!E272*Loads!E325+Aggreg!F272*Loads!F325)+10*(Aggreg!B272*Loads!B325+Aggreg!C272*Loads!C325+Aggreg!D272*Loads!D325+Aggreg!G272*Loads!G325)</f>
        <v>0</v>
      </c>
      <c r="C48" s="73"/>
    </row>
    <row r="49" spans="1:3" s="66" customFormat="1" ht="12.75" customHeight="1" x14ac:dyDescent="0.2"/>
    <row r="50" spans="1:3" s="66" customFormat="1" ht="12.75" customHeight="1" x14ac:dyDescent="0.2">
      <c r="A50" s="74" t="s">
        <v>1813</v>
      </c>
    </row>
    <row r="51" spans="1:3" s="66" customFormat="1" ht="12.75" customHeight="1" x14ac:dyDescent="0.2">
      <c r="A51" s="77" t="s">
        <v>245</v>
      </c>
    </row>
    <row r="52" spans="1:3" s="66" customFormat="1" ht="12.75" customHeight="1" x14ac:dyDescent="0.2">
      <c r="A52" s="66" t="s">
        <v>1814</v>
      </c>
    </row>
    <row r="53" spans="1:3" s="66" customFormat="1" ht="12.75" customHeight="1" x14ac:dyDescent="0.2">
      <c r="A53" s="66" t="s">
        <v>238</v>
      </c>
    </row>
    <row r="54" spans="1:3" s="66" customFormat="1" ht="12.75" customHeight="1" x14ac:dyDescent="0.2">
      <c r="A54" s="75" t="s">
        <v>1815</v>
      </c>
    </row>
    <row r="55" spans="1:3" s="66" customFormat="1" ht="12.75" customHeight="1" x14ac:dyDescent="0.2">
      <c r="B55" s="62" t="s">
        <v>1816</v>
      </c>
    </row>
    <row r="56" spans="1:3" s="66" customFormat="1" ht="12.75" customHeight="1" x14ac:dyDescent="0.2">
      <c r="A56" s="65" t="s">
        <v>1817</v>
      </c>
      <c r="B56" s="72">
        <f>Input!B321</f>
        <v>481832687.99368787</v>
      </c>
      <c r="C56" s="73"/>
    </row>
    <row r="57" spans="1:3" s="66" customFormat="1" ht="12.75" customHeight="1" x14ac:dyDescent="0.2"/>
    <row r="58" spans="1:3" s="66" customFormat="1" ht="12.75" customHeight="1" x14ac:dyDescent="0.2">
      <c r="A58" s="67" t="s">
        <v>973</v>
      </c>
    </row>
    <row r="59" spans="1:3" s="66" customFormat="1" ht="12.75" customHeight="1" x14ac:dyDescent="0.2">
      <c r="A59" s="77" t="s">
        <v>245</v>
      </c>
    </row>
    <row r="60" spans="1:3" s="66" customFormat="1" ht="12.75" customHeight="1" x14ac:dyDescent="0.2">
      <c r="A60" s="66" t="s">
        <v>238</v>
      </c>
    </row>
    <row r="61" spans="1:3" s="66" customFormat="1" ht="12.75" customHeight="1" x14ac:dyDescent="0.2">
      <c r="A61" s="75" t="s">
        <v>1820</v>
      </c>
    </row>
    <row r="62" spans="1:3" s="66" customFormat="1" ht="12.75" customHeight="1" x14ac:dyDescent="0.2">
      <c r="A62" s="75" t="s">
        <v>1818</v>
      </c>
    </row>
    <row r="63" spans="1:3" s="66" customFormat="1" ht="12.75" customHeight="1" x14ac:dyDescent="0.2">
      <c r="A63" s="75" t="s">
        <v>1821</v>
      </c>
    </row>
    <row r="64" spans="1:3" s="66" customFormat="1" ht="12.75" customHeight="1" x14ac:dyDescent="0.2">
      <c r="A64" s="78" t="s">
        <v>241</v>
      </c>
      <c r="B64" s="78" t="s">
        <v>372</v>
      </c>
      <c r="C64" s="78" t="s">
        <v>1822</v>
      </c>
    </row>
    <row r="65" spans="1:4" s="66" customFormat="1" ht="12.75" customHeight="1" x14ac:dyDescent="0.2">
      <c r="A65" s="78" t="s">
        <v>244</v>
      </c>
      <c r="B65" s="78" t="s">
        <v>422</v>
      </c>
      <c r="C65" s="78" t="s">
        <v>1819</v>
      </c>
    </row>
    <row r="66" spans="1:4" s="66" customFormat="1" ht="12.75" customHeight="1" x14ac:dyDescent="0.2">
      <c r="B66" s="70" t="s">
        <v>974</v>
      </c>
      <c r="C66" s="70" t="s">
        <v>975</v>
      </c>
    </row>
    <row r="67" spans="1:4" s="66" customFormat="1" ht="12.75" customHeight="1" x14ac:dyDescent="0.2">
      <c r="A67" s="71" t="s">
        <v>976</v>
      </c>
      <c r="B67" s="72">
        <f>SUM(B$21:B$48)</f>
        <v>336509980.77315152</v>
      </c>
      <c r="C67" s="72">
        <f>B56-B67</f>
        <v>145322707.22053635</v>
      </c>
      <c r="D67" s="73"/>
    </row>
    <row r="68" spans="1:4" s="66" customFormat="1" ht="12.75" customHeight="1" x14ac:dyDescent="0.2"/>
    <row r="69" spans="1:4" s="66" customFormat="1" ht="12.75" customHeight="1" x14ac:dyDescent="0.2"/>
    <row r="70" spans="1:4" s="66" customFormat="1" ht="12.75" customHeight="1" x14ac:dyDescent="0.2"/>
    <row r="71" spans="1:4" s="66" customFormat="1" ht="12.75" customHeight="1" x14ac:dyDescent="0.2"/>
    <row r="72" spans="1:4" s="66" customFormat="1" ht="12.75" customHeight="1" x14ac:dyDescent="0.2"/>
    <row r="73" spans="1:4" s="66" customFormat="1" ht="12.75" customHeight="1" x14ac:dyDescent="0.2"/>
  </sheetData>
  <hyperlinks>
    <hyperlink ref="A5" location="'Input'!F14" display="'Input'!F14"/>
    <hyperlink ref="A6" location="'Aggreg'!E245" display="'Aggreg'!E245"/>
    <hyperlink ref="A7" location="'Loads'!E298" display="'Loads'!E298"/>
    <hyperlink ref="A8" location="'Aggreg'!F245" display="'Aggreg'!F245"/>
    <hyperlink ref="A9" location="'Loads'!F298" display="'Loads'!F298"/>
    <hyperlink ref="A10" location="'Aggreg'!B245" display="'Aggreg'!B245"/>
    <hyperlink ref="A11" location="'Loads'!B298" display="'Loads'!B298"/>
    <hyperlink ref="A12" location="'Aggreg'!C245" display="'Aggreg'!C245"/>
    <hyperlink ref="A13" location="'Loads'!C298" display="'Loads'!C298"/>
    <hyperlink ref="A14" location="'Aggreg'!D245" display="'Aggreg'!D245"/>
    <hyperlink ref="A15" location="'Loads'!D298" display="'Loads'!D298"/>
    <hyperlink ref="A16" location="'Aggreg'!G245" display="'Aggreg'!G245"/>
    <hyperlink ref="A17" location="'Loads'!G298" display="'Loads'!G298"/>
    <hyperlink ref="A54" location="'Input'!B300" display="'Input'!B300"/>
    <hyperlink ref="A61" location="'Revenue'!B22" display="'Revenue'!B22"/>
    <hyperlink ref="A62" location="'Revenue'!B56" display="'Revenue'!B56"/>
  </hyperlinks>
  <pageMargins left="0.75" right="0.75" top="1" bottom="1" header="0.5" footer="0.5"/>
  <pageSetup paperSize="9" scale="64" fitToHeight="0" orientation="portrait" blackAndWhite="1" r:id="rId1"/>
  <headerFooter alignWithMargins="0">
    <oddHeader>&amp;L&amp;A&amp;Cr6140&amp;R&amp;P of &amp;N</oddHeader>
    <oddFooter>&amp;F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34"/>
  <sheetViews>
    <sheetView showGridLines="0" workbookViewId="0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2.75" x14ac:dyDescent="0.2"/>
  <cols>
    <col min="1" max="1" width="50.7109375" customWidth="1"/>
    <col min="2" max="251" width="21.7109375" customWidth="1"/>
  </cols>
  <sheetData>
    <row r="1" spans="1:3" ht="19.5" x14ac:dyDescent="0.3">
      <c r="A1" s="15" t="str">
        <f>"r6140: Revenue matching"&amp;" for "&amp;Input!B7&amp;" in "&amp;Input!C7&amp;" ("&amp;Input!D7&amp;")"</f>
        <v>r6140: Revenue matching for Electricity North West  in 2013/14 (April 2013 Indicative)</v>
      </c>
    </row>
    <row r="2" spans="1:3" x14ac:dyDescent="0.2">
      <c r="A2" s="10" t="s">
        <v>977</v>
      </c>
    </row>
    <row r="4" spans="1:3" ht="16.5" x14ac:dyDescent="0.25">
      <c r="A4" s="3" t="s">
        <v>978</v>
      </c>
    </row>
    <row r="5" spans="1:3" x14ac:dyDescent="0.2">
      <c r="A5" s="10" t="s">
        <v>238</v>
      </c>
    </row>
    <row r="6" spans="1:3" x14ac:dyDescent="0.2">
      <c r="A6" s="11" t="s">
        <v>795</v>
      </c>
    </row>
    <row r="7" spans="1:3" x14ac:dyDescent="0.2">
      <c r="A7" s="10" t="s">
        <v>979</v>
      </c>
    </row>
    <row r="9" spans="1:3" ht="25.5" x14ac:dyDescent="0.2">
      <c r="B9" s="4" t="s">
        <v>179</v>
      </c>
    </row>
    <row r="10" spans="1:3" x14ac:dyDescent="0.2">
      <c r="A10" s="5" t="s">
        <v>980</v>
      </c>
      <c r="B10" s="17">
        <f>IF(Yard!$K11,1/Yard!$K11,0)</f>
        <v>0.24946100167428747</v>
      </c>
      <c r="C10" s="6"/>
    </row>
    <row r="12" spans="1:3" ht="16.5" x14ac:dyDescent="0.25">
      <c r="A12" s="3" t="s">
        <v>981</v>
      </c>
    </row>
    <row r="13" spans="1:3" x14ac:dyDescent="0.2">
      <c r="A13" s="10" t="s">
        <v>238</v>
      </c>
    </row>
    <row r="14" spans="1:3" x14ac:dyDescent="0.2">
      <c r="A14" s="11" t="s">
        <v>982</v>
      </c>
    </row>
    <row r="15" spans="1:3" x14ac:dyDescent="0.2">
      <c r="A15" s="10" t="s">
        <v>983</v>
      </c>
    </row>
    <row r="16" spans="1:3" x14ac:dyDescent="0.2">
      <c r="A16" s="10" t="s">
        <v>256</v>
      </c>
    </row>
    <row r="18" spans="1:24" ht="25.5" x14ac:dyDescent="0.2">
      <c r="B18" s="4" t="s">
        <v>21</v>
      </c>
      <c r="C18" s="4" t="s">
        <v>191</v>
      </c>
      <c r="D18" s="4" t="s">
        <v>192</v>
      </c>
      <c r="E18" s="4" t="s">
        <v>193</v>
      </c>
      <c r="F18" s="4" t="s">
        <v>194</v>
      </c>
      <c r="G18" s="4" t="s">
        <v>195</v>
      </c>
      <c r="H18" s="4" t="s">
        <v>196</v>
      </c>
      <c r="I18" s="4" t="s">
        <v>197</v>
      </c>
      <c r="J18" s="4" t="s">
        <v>198</v>
      </c>
      <c r="K18" s="4" t="s">
        <v>350</v>
      </c>
      <c r="L18" s="4" t="s">
        <v>362</v>
      </c>
      <c r="M18" s="4" t="s">
        <v>179</v>
      </c>
      <c r="N18" s="4" t="s">
        <v>699</v>
      </c>
      <c r="O18" s="4" t="s">
        <v>700</v>
      </c>
      <c r="P18" s="4" t="s">
        <v>701</v>
      </c>
      <c r="Q18" s="4" t="s">
        <v>702</v>
      </c>
      <c r="R18" s="4" t="s">
        <v>703</v>
      </c>
      <c r="S18" s="4" t="s">
        <v>704</v>
      </c>
      <c r="T18" s="4" t="s">
        <v>705</v>
      </c>
      <c r="U18" s="4" t="s">
        <v>706</v>
      </c>
      <c r="V18" s="4" t="s">
        <v>707</v>
      </c>
      <c r="W18" s="4" t="s">
        <v>708</v>
      </c>
    </row>
    <row r="19" spans="1:24" x14ac:dyDescent="0.2">
      <c r="A19" s="5" t="s">
        <v>984</v>
      </c>
      <c r="B19" s="8">
        <v>0</v>
      </c>
      <c r="C19" s="8">
        <v>0</v>
      </c>
      <c r="D19" s="8">
        <v>0</v>
      </c>
      <c r="E19" s="8">
        <v>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20">
        <f>$B10</f>
        <v>0.24946100167428747</v>
      </c>
      <c r="N19" s="8">
        <v>0</v>
      </c>
      <c r="O19" s="8">
        <v>0</v>
      </c>
      <c r="P19" s="8">
        <v>0</v>
      </c>
      <c r="Q19" s="8">
        <v>0</v>
      </c>
      <c r="R19" s="8">
        <v>0</v>
      </c>
      <c r="S19" s="8">
        <v>0</v>
      </c>
      <c r="T19" s="8">
        <v>0</v>
      </c>
      <c r="U19" s="8">
        <v>0</v>
      </c>
      <c r="V19" s="8">
        <v>0</v>
      </c>
      <c r="W19" s="8">
        <v>0</v>
      </c>
      <c r="X19" s="6"/>
    </row>
    <row r="21" spans="1:24" ht="16.5" x14ac:dyDescent="0.25">
      <c r="A21" s="3" t="s">
        <v>985</v>
      </c>
    </row>
    <row r="22" spans="1:24" x14ac:dyDescent="0.2">
      <c r="A22" s="10" t="s">
        <v>238</v>
      </c>
    </row>
    <row r="23" spans="1:24" x14ac:dyDescent="0.2">
      <c r="A23" s="11" t="s">
        <v>946</v>
      </c>
    </row>
    <row r="24" spans="1:24" x14ac:dyDescent="0.2">
      <c r="A24" s="11" t="s">
        <v>986</v>
      </c>
    </row>
    <row r="25" spans="1:24" x14ac:dyDescent="0.2">
      <c r="A25" s="11" t="s">
        <v>987</v>
      </c>
    </row>
    <row r="26" spans="1:24" x14ac:dyDescent="0.2">
      <c r="A26" s="11" t="s">
        <v>988</v>
      </c>
    </row>
    <row r="27" spans="1:24" x14ac:dyDescent="0.2">
      <c r="A27" s="11" t="s">
        <v>989</v>
      </c>
    </row>
    <row r="28" spans="1:24" x14ac:dyDescent="0.2">
      <c r="A28" s="11" t="s">
        <v>990</v>
      </c>
    </row>
    <row r="29" spans="1:24" x14ac:dyDescent="0.2">
      <c r="A29" s="11" t="s">
        <v>991</v>
      </c>
    </row>
    <row r="30" spans="1:24" x14ac:dyDescent="0.2">
      <c r="A30" s="18" t="s">
        <v>241</v>
      </c>
      <c r="B30" s="18" t="s">
        <v>243</v>
      </c>
      <c r="C30" s="18" t="s">
        <v>243</v>
      </c>
      <c r="D30" s="18" t="s">
        <v>243</v>
      </c>
      <c r="E30" s="18" t="s">
        <v>243</v>
      </c>
      <c r="F30" s="18" t="s">
        <v>243</v>
      </c>
      <c r="G30" s="18" t="s">
        <v>243</v>
      </c>
    </row>
    <row r="31" spans="1:24" ht="25.5" x14ac:dyDescent="0.2">
      <c r="A31" s="18" t="s">
        <v>244</v>
      </c>
      <c r="B31" s="18" t="s">
        <v>246</v>
      </c>
      <c r="C31" s="18" t="s">
        <v>992</v>
      </c>
      <c r="D31" s="18" t="s">
        <v>993</v>
      </c>
      <c r="E31" s="18" t="s">
        <v>994</v>
      </c>
      <c r="F31" s="18" t="s">
        <v>995</v>
      </c>
      <c r="G31" s="18" t="s">
        <v>996</v>
      </c>
    </row>
    <row r="33" spans="1:8" ht="38.25" x14ac:dyDescent="0.2">
      <c r="B33" s="4" t="s">
        <v>997</v>
      </c>
      <c r="C33" s="4" t="s">
        <v>998</v>
      </c>
      <c r="D33" s="4" t="s">
        <v>999</v>
      </c>
      <c r="E33" s="4" t="s">
        <v>1000</v>
      </c>
      <c r="F33" s="4" t="s">
        <v>1001</v>
      </c>
      <c r="G33" s="4" t="s">
        <v>1002</v>
      </c>
    </row>
    <row r="34" spans="1:8" x14ac:dyDescent="0.2">
      <c r="A34" s="5" t="s">
        <v>53</v>
      </c>
      <c r="B34" s="17">
        <f>SUMPRODUCT(Aggreg!$B16:$W16,$B$19:$W$19)</f>
        <v>2.7480199648911404E-2</v>
      </c>
      <c r="C34" s="17">
        <f>SUMPRODUCT(Aggreg!$B55:$W55,$B$19:$W$19)</f>
        <v>0</v>
      </c>
      <c r="D34" s="17">
        <f>SUMPRODUCT(Aggreg!$B94:$W94,$B$19:$W$19)</f>
        <v>0</v>
      </c>
      <c r="E34" s="17">
        <f>SUMPRODUCT(Aggreg!$B133:$W133,$B$19:$W$19)</f>
        <v>0</v>
      </c>
      <c r="F34" s="17">
        <f>SUMPRODUCT(Aggreg!$B168:$W168,$B$19:$W$19)</f>
        <v>0</v>
      </c>
      <c r="G34" s="17">
        <f>SUMPRODUCT(Aggreg!$B204:$W204,$B$19:$W$19)</f>
        <v>0</v>
      </c>
      <c r="H34" s="6"/>
    </row>
    <row r="35" spans="1:8" x14ac:dyDescent="0.2">
      <c r="A35" s="5" t="s">
        <v>54</v>
      </c>
      <c r="B35" s="17">
        <f>SUMPRODUCT(Aggreg!$B17:$W17,$B$19:$W$19)</f>
        <v>2.923906483280703E-2</v>
      </c>
      <c r="C35" s="17">
        <f>SUMPRODUCT(Aggreg!$B56:$W56,$B$19:$W$19)</f>
        <v>2.3956064305555563E-3</v>
      </c>
      <c r="D35" s="17">
        <f>SUMPRODUCT(Aggreg!$B95:$W95,$B$19:$W$19)</f>
        <v>0</v>
      </c>
      <c r="E35" s="17">
        <f>SUMPRODUCT(Aggreg!$B134:$W134,$B$19:$W$19)</f>
        <v>0</v>
      </c>
      <c r="F35" s="17">
        <f>SUMPRODUCT(Aggreg!$B169:$W169,$B$19:$W$19)</f>
        <v>0</v>
      </c>
      <c r="G35" s="17">
        <f>SUMPRODUCT(Aggreg!$B205:$W205,$B$19:$W$19)</f>
        <v>0</v>
      </c>
      <c r="H35" s="6"/>
    </row>
    <row r="36" spans="1:8" x14ac:dyDescent="0.2">
      <c r="A36" s="5" t="s">
        <v>94</v>
      </c>
      <c r="B36" s="17">
        <f>SUMPRODUCT(Aggreg!$B18:$W18,$B$19:$W$19)</f>
        <v>2.4444747472362259E-3</v>
      </c>
      <c r="C36" s="17">
        <f>SUMPRODUCT(Aggreg!$B57:$W57,$B$19:$W$19)</f>
        <v>0</v>
      </c>
      <c r="D36" s="17">
        <f>SUMPRODUCT(Aggreg!$B96:$W96,$B$19:$W$19)</f>
        <v>0</v>
      </c>
      <c r="E36" s="17">
        <f>SUMPRODUCT(Aggreg!$B135:$W135,$B$19:$W$19)</f>
        <v>0</v>
      </c>
      <c r="F36" s="17">
        <f>SUMPRODUCT(Aggreg!$B170:$W170,$B$19:$W$19)</f>
        <v>0</v>
      </c>
      <c r="G36" s="17">
        <f>SUMPRODUCT(Aggreg!$B206:$W206,$B$19:$W$19)</f>
        <v>0</v>
      </c>
      <c r="H36" s="6"/>
    </row>
    <row r="37" spans="1:8" x14ac:dyDescent="0.2">
      <c r="A37" s="5" t="s">
        <v>55</v>
      </c>
      <c r="B37" s="17">
        <f>SUMPRODUCT(Aggreg!$B19:$W19,$B$19:$W$19)</f>
        <v>2.2957174373060378E-2</v>
      </c>
      <c r="C37" s="17">
        <f>SUMPRODUCT(Aggreg!$B58:$W58,$B$19:$W$19)</f>
        <v>0</v>
      </c>
      <c r="D37" s="17">
        <f>SUMPRODUCT(Aggreg!$B97:$W97,$B$19:$W$19)</f>
        <v>0</v>
      </c>
      <c r="E37" s="17">
        <f>SUMPRODUCT(Aggreg!$B136:$W136,$B$19:$W$19)</f>
        <v>0</v>
      </c>
      <c r="F37" s="17">
        <f>SUMPRODUCT(Aggreg!$B171:$W171,$B$19:$W$19)</f>
        <v>0</v>
      </c>
      <c r="G37" s="17">
        <f>SUMPRODUCT(Aggreg!$B207:$W207,$B$19:$W$19)</f>
        <v>0</v>
      </c>
      <c r="H37" s="6"/>
    </row>
    <row r="38" spans="1:8" x14ac:dyDescent="0.2">
      <c r="A38" s="5" t="s">
        <v>56</v>
      </c>
      <c r="B38" s="17">
        <f>SUMPRODUCT(Aggreg!$B20:$W20,$B$19:$W$19)</f>
        <v>2.4163003863222319E-2</v>
      </c>
      <c r="C38" s="17">
        <f>SUMPRODUCT(Aggreg!$B59:$W59,$B$19:$W$19)</f>
        <v>2.0663688366632841E-3</v>
      </c>
      <c r="D38" s="17">
        <f>SUMPRODUCT(Aggreg!$B98:$W98,$B$19:$W$19)</f>
        <v>0</v>
      </c>
      <c r="E38" s="17">
        <f>SUMPRODUCT(Aggreg!$B137:$W137,$B$19:$W$19)</f>
        <v>0</v>
      </c>
      <c r="F38" s="17">
        <f>SUMPRODUCT(Aggreg!$B172:$W172,$B$19:$W$19)</f>
        <v>0</v>
      </c>
      <c r="G38" s="17">
        <f>SUMPRODUCT(Aggreg!$B208:$W208,$B$19:$W$19)</f>
        <v>0</v>
      </c>
      <c r="H38" s="6"/>
    </row>
    <row r="39" spans="1:8" x14ac:dyDescent="0.2">
      <c r="A39" s="5" t="s">
        <v>95</v>
      </c>
      <c r="B39" s="17">
        <f>SUMPRODUCT(Aggreg!$B21:$W21,$B$19:$W$19)</f>
        <v>2.0162363042897729E-3</v>
      </c>
      <c r="C39" s="17">
        <f>SUMPRODUCT(Aggreg!$B60:$W60,$B$19:$W$19)</f>
        <v>0</v>
      </c>
      <c r="D39" s="17">
        <f>SUMPRODUCT(Aggreg!$B99:$W99,$B$19:$W$19)</f>
        <v>0</v>
      </c>
      <c r="E39" s="17">
        <f>SUMPRODUCT(Aggreg!$B138:$W138,$B$19:$W$19)</f>
        <v>0</v>
      </c>
      <c r="F39" s="17">
        <f>SUMPRODUCT(Aggreg!$B173:$W173,$B$19:$W$19)</f>
        <v>0</v>
      </c>
      <c r="G39" s="17">
        <f>SUMPRODUCT(Aggreg!$B209:$W209,$B$19:$W$19)</f>
        <v>0</v>
      </c>
      <c r="H39" s="6"/>
    </row>
    <row r="40" spans="1:8" x14ac:dyDescent="0.2">
      <c r="A40" s="5" t="s">
        <v>57</v>
      </c>
      <c r="B40" s="17">
        <f>SUMPRODUCT(Aggreg!$B22:$W22,$B$19:$W$19)</f>
        <v>2.3248973636606805E-2</v>
      </c>
      <c r="C40" s="17">
        <f>SUMPRODUCT(Aggreg!$B61:$W61,$B$19:$W$19)</f>
        <v>1.8532583900502738E-3</v>
      </c>
      <c r="D40" s="17">
        <f>SUMPRODUCT(Aggreg!$B100:$W100,$B$19:$W$19)</f>
        <v>0</v>
      </c>
      <c r="E40" s="17">
        <f>SUMPRODUCT(Aggreg!$B139:$W139,$B$19:$W$19)</f>
        <v>0</v>
      </c>
      <c r="F40" s="17">
        <f>SUMPRODUCT(Aggreg!$B174:$W174,$B$19:$W$19)</f>
        <v>0</v>
      </c>
      <c r="G40" s="17">
        <f>SUMPRODUCT(Aggreg!$B210:$W210,$B$19:$W$19)</f>
        <v>0</v>
      </c>
      <c r="H40" s="6"/>
    </row>
    <row r="41" spans="1:8" x14ac:dyDescent="0.2">
      <c r="A41" s="5" t="s">
        <v>58</v>
      </c>
      <c r="B41" s="17">
        <f>SUMPRODUCT(Aggreg!$B23:$W23,$B$19:$W$19)</f>
        <v>2.2436323703341421E-2</v>
      </c>
      <c r="C41" s="17">
        <f>SUMPRODUCT(Aggreg!$B62:$W62,$B$19:$W$19)</f>
        <v>1.7727280903700798E-3</v>
      </c>
      <c r="D41" s="17">
        <f>SUMPRODUCT(Aggreg!$B101:$W101,$B$19:$W$19)</f>
        <v>0</v>
      </c>
      <c r="E41" s="17">
        <f>SUMPRODUCT(Aggreg!$B140:$W140,$B$19:$W$19)</f>
        <v>0</v>
      </c>
      <c r="F41" s="17">
        <f>SUMPRODUCT(Aggreg!$B175:$W175,$B$19:$W$19)</f>
        <v>0</v>
      </c>
      <c r="G41" s="17">
        <f>SUMPRODUCT(Aggreg!$B211:$W211,$B$19:$W$19)</f>
        <v>0</v>
      </c>
      <c r="H41" s="6"/>
    </row>
    <row r="42" spans="1:8" x14ac:dyDescent="0.2">
      <c r="A42" s="5" t="s">
        <v>72</v>
      </c>
      <c r="B42" s="17">
        <f>SUMPRODUCT(Aggreg!$B24:$W24,$B$19:$W$19)</f>
        <v>2.3452893688826235E-2</v>
      </c>
      <c r="C42" s="17">
        <f>SUMPRODUCT(Aggreg!$B63:$W63,$B$19:$W$19)</f>
        <v>1.8677487835681687E-3</v>
      </c>
      <c r="D42" s="17">
        <f>SUMPRODUCT(Aggreg!$B102:$W102,$B$19:$W$19)</f>
        <v>0</v>
      </c>
      <c r="E42" s="17">
        <f>SUMPRODUCT(Aggreg!$B141:$W141,$B$19:$W$19)</f>
        <v>0</v>
      </c>
      <c r="F42" s="17">
        <f>SUMPRODUCT(Aggreg!$B176:$W176,$B$19:$W$19)</f>
        <v>0</v>
      </c>
      <c r="G42" s="17">
        <f>SUMPRODUCT(Aggreg!$B212:$W212,$B$19:$W$19)</f>
        <v>0</v>
      </c>
      <c r="H42" s="6"/>
    </row>
    <row r="43" spans="1:8" x14ac:dyDescent="0.2">
      <c r="A43" s="5" t="s">
        <v>59</v>
      </c>
      <c r="B43" s="17">
        <f>SUMPRODUCT(Aggreg!$B25:$W25,$B$19:$W$19)</f>
        <v>0.14539728885360312</v>
      </c>
      <c r="C43" s="17">
        <f>SUMPRODUCT(Aggreg!$B64:$W64,$B$19:$W$19)</f>
        <v>7.9267539189487226E-3</v>
      </c>
      <c r="D43" s="17">
        <f>SUMPRODUCT(Aggreg!$B103:$W103,$B$19:$W$19)</f>
        <v>1.4009373753444819E-3</v>
      </c>
      <c r="E43" s="17">
        <f>SUMPRODUCT(Aggreg!$B142:$W142,$B$19:$W$19)</f>
        <v>0</v>
      </c>
      <c r="F43" s="17">
        <f>SUMPRODUCT(Aggreg!$B177:$W177,$B$19:$W$19)</f>
        <v>0</v>
      </c>
      <c r="G43" s="17">
        <f>SUMPRODUCT(Aggreg!$B213:$W213,$B$19:$W$19)</f>
        <v>3.5127071244897309E-3</v>
      </c>
      <c r="H43" s="6"/>
    </row>
    <row r="44" spans="1:8" x14ac:dyDescent="0.2">
      <c r="A44" s="5" t="s">
        <v>60</v>
      </c>
      <c r="B44" s="17">
        <f>SUMPRODUCT(Aggreg!$B26:$W26,$B$19:$W$19)</f>
        <v>0.16539389242000421</v>
      </c>
      <c r="C44" s="17">
        <f>SUMPRODUCT(Aggreg!$B65:$W65,$B$19:$W$19)</f>
        <v>9.0169266239242037E-3</v>
      </c>
      <c r="D44" s="17">
        <f>SUMPRODUCT(Aggreg!$B104:$W104,$B$19:$W$19)</f>
        <v>1.5936093951393251E-3</v>
      </c>
      <c r="E44" s="17">
        <f>SUMPRODUCT(Aggreg!$B143:$W143,$B$19:$W$19)</f>
        <v>0</v>
      </c>
      <c r="F44" s="17">
        <f>SUMPRODUCT(Aggreg!$B178:$W178,$B$19:$W$19)</f>
        <v>0</v>
      </c>
      <c r="G44" s="17">
        <f>SUMPRODUCT(Aggreg!$B214:$W214,$B$19:$W$19)</f>
        <v>3.8382925956115216E-3</v>
      </c>
      <c r="H44" s="6"/>
    </row>
    <row r="45" spans="1:8" x14ac:dyDescent="0.2">
      <c r="A45" s="5" t="s">
        <v>73</v>
      </c>
      <c r="B45" s="17">
        <f>SUMPRODUCT(Aggreg!$B27:$W27,$B$19:$W$19)</f>
        <v>0.15341225029479144</v>
      </c>
      <c r="C45" s="17">
        <f>SUMPRODUCT(Aggreg!$B66:$W66,$B$19:$W$19)</f>
        <v>8.3637127337594427E-3</v>
      </c>
      <c r="D45" s="17">
        <f>SUMPRODUCT(Aggreg!$B105:$W105,$B$19:$W$19)</f>
        <v>1.4781634304754769E-3</v>
      </c>
      <c r="E45" s="17">
        <f>SUMPRODUCT(Aggreg!$B144:$W144,$B$19:$W$19)</f>
        <v>0</v>
      </c>
      <c r="F45" s="17">
        <f>SUMPRODUCT(Aggreg!$B179:$W179,$B$19:$W$19)</f>
        <v>0</v>
      </c>
      <c r="G45" s="17">
        <f>SUMPRODUCT(Aggreg!$B215:$W215,$B$19:$W$19)</f>
        <v>3.3731744381056126E-3</v>
      </c>
      <c r="H45" s="6"/>
    </row>
    <row r="46" spans="1:8" x14ac:dyDescent="0.2">
      <c r="A46" s="5" t="s">
        <v>74</v>
      </c>
      <c r="B46" s="17">
        <f>SUMPRODUCT(Aggreg!$B28:$W28,$B$19:$W$19)</f>
        <v>0.14224431434503187</v>
      </c>
      <c r="C46" s="17">
        <f>SUMPRODUCT(Aggreg!$B67:$W67,$B$19:$W$19)</f>
        <v>7.7548603902645175E-3</v>
      </c>
      <c r="D46" s="17">
        <f>SUMPRODUCT(Aggreg!$B106:$W106,$B$19:$W$19)</f>
        <v>1.3705577178736098E-3</v>
      </c>
      <c r="E46" s="17">
        <f>SUMPRODUCT(Aggreg!$B145:$W145,$B$19:$W$19)</f>
        <v>0</v>
      </c>
      <c r="F46" s="17">
        <f>SUMPRODUCT(Aggreg!$B180:$W180,$B$19:$W$19)</f>
        <v>0</v>
      </c>
      <c r="G46" s="17">
        <f>SUMPRODUCT(Aggreg!$B216:$W216,$B$19:$W$19)</f>
        <v>3.3342157342968861E-3</v>
      </c>
      <c r="H46" s="6"/>
    </row>
    <row r="47" spans="1:8" x14ac:dyDescent="0.2">
      <c r="A47" s="5" t="s">
        <v>96</v>
      </c>
      <c r="B47" s="17">
        <f>SUMPRODUCT(Aggreg!$B29:$W29,$B$19:$W$19)</f>
        <v>1.1774222527621831E-2</v>
      </c>
      <c r="C47" s="17">
        <f>SUMPRODUCT(Aggreg!$B68:$W68,$B$19:$W$19)</f>
        <v>0</v>
      </c>
      <c r="D47" s="17">
        <f>SUMPRODUCT(Aggreg!$B107:$W107,$B$19:$W$19)</f>
        <v>0</v>
      </c>
      <c r="E47" s="17">
        <f>SUMPRODUCT(Aggreg!$B146:$W146,$B$19:$W$19)</f>
        <v>0</v>
      </c>
      <c r="F47" s="17">
        <f>SUMPRODUCT(Aggreg!$B181:$W181,$B$19:$W$19)</f>
        <v>0</v>
      </c>
      <c r="G47" s="17">
        <f>SUMPRODUCT(Aggreg!$B217:$W217,$B$19:$W$19)</f>
        <v>0</v>
      </c>
      <c r="H47" s="6"/>
    </row>
    <row r="48" spans="1:8" x14ac:dyDescent="0.2">
      <c r="A48" s="5" t="s">
        <v>97</v>
      </c>
      <c r="B48" s="17">
        <f>SUMPRODUCT(Aggreg!$B30:$W30,$B$19:$W$19)</f>
        <v>1.7564994814449883E-2</v>
      </c>
      <c r="C48" s="17">
        <f>SUMPRODUCT(Aggreg!$B69:$W69,$B$19:$W$19)</f>
        <v>0</v>
      </c>
      <c r="D48" s="17">
        <f>SUMPRODUCT(Aggreg!$B108:$W108,$B$19:$W$19)</f>
        <v>0</v>
      </c>
      <c r="E48" s="17">
        <f>SUMPRODUCT(Aggreg!$B147:$W147,$B$19:$W$19)</f>
        <v>0</v>
      </c>
      <c r="F48" s="17">
        <f>SUMPRODUCT(Aggreg!$B182:$W182,$B$19:$W$19)</f>
        <v>0</v>
      </c>
      <c r="G48" s="17">
        <f>SUMPRODUCT(Aggreg!$B218:$W218,$B$19:$W$19)</f>
        <v>0</v>
      </c>
      <c r="H48" s="6"/>
    </row>
    <row r="49" spans="1:8" x14ac:dyDescent="0.2">
      <c r="A49" s="5" t="s">
        <v>98</v>
      </c>
      <c r="B49" s="17">
        <f>SUMPRODUCT(Aggreg!$B31:$W31,$B$19:$W$19)</f>
        <v>3.2105378293209266E-2</v>
      </c>
      <c r="C49" s="17">
        <f>SUMPRODUCT(Aggreg!$B70:$W70,$B$19:$W$19)</f>
        <v>0</v>
      </c>
      <c r="D49" s="17">
        <f>SUMPRODUCT(Aggreg!$B109:$W109,$B$19:$W$19)</f>
        <v>0</v>
      </c>
      <c r="E49" s="17">
        <f>SUMPRODUCT(Aggreg!$B148:$W148,$B$19:$W$19)</f>
        <v>0</v>
      </c>
      <c r="F49" s="17">
        <f>SUMPRODUCT(Aggreg!$B183:$W183,$B$19:$W$19)</f>
        <v>0</v>
      </c>
      <c r="G49" s="17">
        <f>SUMPRODUCT(Aggreg!$B219:$W219,$B$19:$W$19)</f>
        <v>0</v>
      </c>
      <c r="H49" s="6"/>
    </row>
    <row r="50" spans="1:8" x14ac:dyDescent="0.2">
      <c r="A50" s="5" t="s">
        <v>99</v>
      </c>
      <c r="B50" s="17">
        <f>SUMPRODUCT(Aggreg!$B32:$W32,$B$19:$W$19)</f>
        <v>8.0841343774181555E-3</v>
      </c>
      <c r="C50" s="17">
        <f>SUMPRODUCT(Aggreg!$B71:$W71,$B$19:$W$19)</f>
        <v>0</v>
      </c>
      <c r="D50" s="17">
        <f>SUMPRODUCT(Aggreg!$B110:$W110,$B$19:$W$19)</f>
        <v>0</v>
      </c>
      <c r="E50" s="17">
        <f>SUMPRODUCT(Aggreg!$B149:$W149,$B$19:$W$19)</f>
        <v>0</v>
      </c>
      <c r="F50" s="17">
        <f>SUMPRODUCT(Aggreg!$B184:$W184,$B$19:$W$19)</f>
        <v>0</v>
      </c>
      <c r="G50" s="17">
        <f>SUMPRODUCT(Aggreg!$B220:$W220,$B$19:$W$19)</f>
        <v>0</v>
      </c>
      <c r="H50" s="6"/>
    </row>
    <row r="51" spans="1:8" x14ac:dyDescent="0.2">
      <c r="A51" s="5" t="s">
        <v>100</v>
      </c>
      <c r="B51" s="17">
        <f>SUMPRODUCT(Aggreg!$B33:$W33,$B$19:$W$19)</f>
        <v>0.43351701597840842</v>
      </c>
      <c r="C51" s="17">
        <f>SUMPRODUCT(Aggreg!$B72:$W72,$B$19:$W$19)</f>
        <v>6.892914489047876E-3</v>
      </c>
      <c r="D51" s="17">
        <f>SUMPRODUCT(Aggreg!$B111:$W111,$B$19:$W$19)</f>
        <v>1.3764588475269183E-3</v>
      </c>
      <c r="E51" s="17">
        <f>SUMPRODUCT(Aggreg!$B150:$W150,$B$19:$W$19)</f>
        <v>0</v>
      </c>
      <c r="F51" s="17">
        <f>SUMPRODUCT(Aggreg!$B185:$W185,$B$19:$W$19)</f>
        <v>0</v>
      </c>
      <c r="G51" s="17">
        <f>SUMPRODUCT(Aggreg!$B221:$W221,$B$19:$W$19)</f>
        <v>0</v>
      </c>
      <c r="H51" s="6"/>
    </row>
    <row r="52" spans="1:8" x14ac:dyDescent="0.2">
      <c r="A52" s="5" t="s">
        <v>61</v>
      </c>
      <c r="B52" s="17">
        <f>SUMPRODUCT(Aggreg!$B34:$W34,$B$19:$W$19)</f>
        <v>-1.2579908675799088E-2</v>
      </c>
      <c r="C52" s="17">
        <f>SUMPRODUCT(Aggreg!$B73:$W73,$B$19:$W$19)</f>
        <v>0</v>
      </c>
      <c r="D52" s="17">
        <f>SUMPRODUCT(Aggreg!$B112:$W112,$B$19:$W$19)</f>
        <v>0</v>
      </c>
      <c r="E52" s="17">
        <f>SUMPRODUCT(Aggreg!$B151:$W151,$B$19:$W$19)</f>
        <v>0</v>
      </c>
      <c r="F52" s="17">
        <f>SUMPRODUCT(Aggreg!$B186:$W186,$B$19:$W$19)</f>
        <v>0</v>
      </c>
      <c r="G52" s="17">
        <f>SUMPRODUCT(Aggreg!$B222:$W222,$B$19:$W$19)</f>
        <v>0</v>
      </c>
      <c r="H52" s="6"/>
    </row>
    <row r="53" spans="1:8" x14ac:dyDescent="0.2">
      <c r="A53" s="5" t="s">
        <v>62</v>
      </c>
      <c r="B53" s="17">
        <f>SUMPRODUCT(Aggreg!$B35:$W35,$B$19:$W$19)</f>
        <v>-1.2009132420091325E-2</v>
      </c>
      <c r="C53" s="17">
        <f>SUMPRODUCT(Aggreg!$B74:$W74,$B$19:$W$19)</f>
        <v>0</v>
      </c>
      <c r="D53" s="17">
        <f>SUMPRODUCT(Aggreg!$B113:$W113,$B$19:$W$19)</f>
        <v>0</v>
      </c>
      <c r="E53" s="17">
        <f>SUMPRODUCT(Aggreg!$B152:$W152,$B$19:$W$19)</f>
        <v>0</v>
      </c>
      <c r="F53" s="17">
        <f>SUMPRODUCT(Aggreg!$B187:$W187,$B$19:$W$19)</f>
        <v>0</v>
      </c>
      <c r="G53" s="17">
        <f>SUMPRODUCT(Aggreg!$B223:$W223,$B$19:$W$19)</f>
        <v>0</v>
      </c>
      <c r="H53" s="6"/>
    </row>
    <row r="54" spans="1:8" x14ac:dyDescent="0.2">
      <c r="A54" s="5" t="s">
        <v>63</v>
      </c>
      <c r="B54" s="17">
        <f>SUMPRODUCT(Aggreg!$B36:$W36,$B$19:$W$19)</f>
        <v>-1.2579908675799088E-2</v>
      </c>
      <c r="C54" s="17">
        <f>SUMPRODUCT(Aggreg!$B75:$W75,$B$19:$W$19)</f>
        <v>0</v>
      </c>
      <c r="D54" s="17">
        <f>SUMPRODUCT(Aggreg!$B114:$W114,$B$19:$W$19)</f>
        <v>0</v>
      </c>
      <c r="E54" s="17">
        <f>SUMPRODUCT(Aggreg!$B153:$W153,$B$19:$W$19)</f>
        <v>0</v>
      </c>
      <c r="F54" s="17">
        <f>SUMPRODUCT(Aggreg!$B188:$W188,$B$19:$W$19)</f>
        <v>0</v>
      </c>
      <c r="G54" s="17">
        <f>SUMPRODUCT(Aggreg!$B224:$W224,$B$19:$W$19)</f>
        <v>3.0094368928718579E-3</v>
      </c>
      <c r="H54" s="6"/>
    </row>
    <row r="55" spans="1:8" x14ac:dyDescent="0.2">
      <c r="A55" s="5" t="s">
        <v>64</v>
      </c>
      <c r="B55" s="17">
        <f>SUMPRODUCT(Aggreg!$B37:$W37,$B$19:$W$19)</f>
        <v>-0.1526321659281647</v>
      </c>
      <c r="C55" s="17">
        <f>SUMPRODUCT(Aggreg!$B76:$W76,$B$19:$W$19)</f>
        <v>-8.3211841772848089E-3</v>
      </c>
      <c r="D55" s="17">
        <f>SUMPRODUCT(Aggreg!$B115:$W115,$B$19:$W$19)</f>
        <v>-1.4706471325187131E-3</v>
      </c>
      <c r="E55" s="17">
        <f>SUMPRODUCT(Aggreg!$B154:$W154,$B$19:$W$19)</f>
        <v>0</v>
      </c>
      <c r="F55" s="17">
        <f>SUMPRODUCT(Aggreg!$B189:$W189,$B$19:$W$19)</f>
        <v>0</v>
      </c>
      <c r="G55" s="17">
        <f>SUMPRODUCT(Aggreg!$B225:$W225,$B$19:$W$19)</f>
        <v>3.0094368928718579E-3</v>
      </c>
      <c r="H55" s="6"/>
    </row>
    <row r="56" spans="1:8" x14ac:dyDescent="0.2">
      <c r="A56" s="5" t="s">
        <v>65</v>
      </c>
      <c r="B56" s="17">
        <f>SUMPRODUCT(Aggreg!$B38:$W38,$B$19:$W$19)</f>
        <v>-1.2009132420091325E-2</v>
      </c>
      <c r="C56" s="17">
        <f>SUMPRODUCT(Aggreg!$B77:$W77,$B$19:$W$19)</f>
        <v>0</v>
      </c>
      <c r="D56" s="17">
        <f>SUMPRODUCT(Aggreg!$B116:$W116,$B$19:$W$19)</f>
        <v>0</v>
      </c>
      <c r="E56" s="17">
        <f>SUMPRODUCT(Aggreg!$B155:$W155,$B$19:$W$19)</f>
        <v>0</v>
      </c>
      <c r="F56" s="17">
        <f>SUMPRODUCT(Aggreg!$B190:$W190,$B$19:$W$19)</f>
        <v>0</v>
      </c>
      <c r="G56" s="17">
        <f>SUMPRODUCT(Aggreg!$B226:$W226,$B$19:$W$19)</f>
        <v>2.8728925692388337E-3</v>
      </c>
      <c r="H56" s="6"/>
    </row>
    <row r="57" spans="1:8" x14ac:dyDescent="0.2">
      <c r="A57" s="5" t="s">
        <v>66</v>
      </c>
      <c r="B57" s="17">
        <f>SUMPRODUCT(Aggreg!$B39:$W39,$B$19:$W$19)</f>
        <v>-0.1457069315394095</v>
      </c>
      <c r="C57" s="17">
        <f>SUMPRODUCT(Aggreg!$B78:$W78,$B$19:$W$19)</f>
        <v>-7.9436349859379456E-3</v>
      </c>
      <c r="D57" s="17">
        <f>SUMPRODUCT(Aggreg!$B117:$W117,$B$19:$W$19)</f>
        <v>-1.4039208560886443E-3</v>
      </c>
      <c r="E57" s="17">
        <f>SUMPRODUCT(Aggreg!$B156:$W156,$B$19:$W$19)</f>
        <v>0</v>
      </c>
      <c r="F57" s="17">
        <f>SUMPRODUCT(Aggreg!$B191:$W191,$B$19:$W$19)</f>
        <v>0</v>
      </c>
      <c r="G57" s="17">
        <f>SUMPRODUCT(Aggreg!$B227:$W227,$B$19:$W$19)</f>
        <v>2.8728925692388337E-3</v>
      </c>
      <c r="H57" s="6"/>
    </row>
    <row r="58" spans="1:8" x14ac:dyDescent="0.2">
      <c r="A58" s="5" t="s">
        <v>75</v>
      </c>
      <c r="B58" s="17">
        <f>SUMPRODUCT(Aggreg!$B40:$W40,$B$19:$W$19)</f>
        <v>-1.1860730593607306E-2</v>
      </c>
      <c r="C58" s="17">
        <f>SUMPRODUCT(Aggreg!$B79:$W79,$B$19:$W$19)</f>
        <v>0</v>
      </c>
      <c r="D58" s="17">
        <f>SUMPRODUCT(Aggreg!$B118:$W118,$B$19:$W$19)</f>
        <v>0</v>
      </c>
      <c r="E58" s="17">
        <f>SUMPRODUCT(Aggreg!$B157:$W157,$B$19:$W$19)</f>
        <v>0</v>
      </c>
      <c r="F58" s="17">
        <f>SUMPRODUCT(Aggreg!$B192:$W192,$B$19:$W$19)</f>
        <v>0</v>
      </c>
      <c r="G58" s="17">
        <f>SUMPRODUCT(Aggreg!$B228:$W228,$B$19:$W$19)</f>
        <v>2.8373910450942468E-3</v>
      </c>
      <c r="H58" s="6"/>
    </row>
    <row r="59" spans="1:8" x14ac:dyDescent="0.2">
      <c r="A59" s="5" t="s">
        <v>76</v>
      </c>
      <c r="B59" s="17">
        <f>SUMPRODUCT(Aggreg!$B41:$W41,$B$19:$W$19)</f>
        <v>-0.14390637059833311</v>
      </c>
      <c r="C59" s="17">
        <f>SUMPRODUCT(Aggreg!$B80:$W80,$B$19:$W$19)</f>
        <v>-7.8454721961877631E-3</v>
      </c>
      <c r="D59" s="17">
        <f>SUMPRODUCT(Aggreg!$B119:$W119,$B$19:$W$19)</f>
        <v>-1.3865720242168264E-3</v>
      </c>
      <c r="E59" s="17">
        <f>SUMPRODUCT(Aggreg!$B158:$W158,$B$19:$W$19)</f>
        <v>0</v>
      </c>
      <c r="F59" s="17">
        <f>SUMPRODUCT(Aggreg!$B193:$W193,$B$19:$W$19)</f>
        <v>0</v>
      </c>
      <c r="G59" s="17">
        <f>SUMPRODUCT(Aggreg!$B229:$W229,$B$19:$W$19)</f>
        <v>2.8373910450942468E-3</v>
      </c>
      <c r="H59" s="6"/>
    </row>
    <row r="60" spans="1:8" x14ac:dyDescent="0.2">
      <c r="A60" s="5" t="s">
        <v>77</v>
      </c>
      <c r="B60" s="17">
        <f>SUMPRODUCT(Aggreg!$B42:$W42,$B$19:$W$19)</f>
        <v>-1.1723744292237444E-2</v>
      </c>
      <c r="C60" s="17">
        <f>SUMPRODUCT(Aggreg!$B81:$W81,$B$19:$W$19)</f>
        <v>0</v>
      </c>
      <c r="D60" s="17">
        <f>SUMPRODUCT(Aggreg!$B120:$W120,$B$19:$W$19)</f>
        <v>0</v>
      </c>
      <c r="E60" s="17">
        <f>SUMPRODUCT(Aggreg!$B159:$W159,$B$19:$W$19)</f>
        <v>0</v>
      </c>
      <c r="F60" s="17">
        <f>SUMPRODUCT(Aggreg!$B194:$W194,$B$19:$W$19)</f>
        <v>0</v>
      </c>
      <c r="G60" s="17">
        <f>SUMPRODUCT(Aggreg!$B230:$W230,$B$19:$W$19)</f>
        <v>2.804620407422321E-3</v>
      </c>
      <c r="H60" s="6"/>
    </row>
    <row r="61" spans="1:8" x14ac:dyDescent="0.2">
      <c r="A61" s="5" t="s">
        <v>78</v>
      </c>
      <c r="B61" s="17">
        <f>SUMPRODUCT(Aggreg!$B43:$W43,$B$19:$W$19)</f>
        <v>-0.14224431434503187</v>
      </c>
      <c r="C61" s="17">
        <f>SUMPRODUCT(Aggreg!$B82:$W82,$B$19:$W$19)</f>
        <v>-7.7548603902645175E-3</v>
      </c>
      <c r="D61" s="17">
        <f>SUMPRODUCT(Aggreg!$B121:$W121,$B$19:$W$19)</f>
        <v>-1.3705577178736098E-3</v>
      </c>
      <c r="E61" s="17">
        <f>SUMPRODUCT(Aggreg!$B160:$W160,$B$19:$W$19)</f>
        <v>0</v>
      </c>
      <c r="F61" s="17">
        <f>SUMPRODUCT(Aggreg!$B195:$W195,$B$19:$W$19)</f>
        <v>0</v>
      </c>
      <c r="G61" s="17">
        <f>SUMPRODUCT(Aggreg!$B231:$W231,$B$19:$W$19)</f>
        <v>2.804620407422321E-3</v>
      </c>
      <c r="H61" s="6"/>
    </row>
    <row r="63" spans="1:8" ht="16.5" x14ac:dyDescent="0.25">
      <c r="A63" s="3" t="s">
        <v>1003</v>
      </c>
    </row>
    <row r="64" spans="1:8" x14ac:dyDescent="0.2">
      <c r="A64" s="10" t="s">
        <v>238</v>
      </c>
    </row>
    <row r="65" spans="1:7" x14ac:dyDescent="0.2">
      <c r="A65" s="11" t="s">
        <v>901</v>
      </c>
    </row>
    <row r="66" spans="1:7" x14ac:dyDescent="0.2">
      <c r="A66" s="11" t="s">
        <v>1004</v>
      </c>
    </row>
    <row r="67" spans="1:7" x14ac:dyDescent="0.2">
      <c r="A67" s="11" t="s">
        <v>1005</v>
      </c>
    </row>
    <row r="68" spans="1:7" x14ac:dyDescent="0.2">
      <c r="A68" s="11" t="s">
        <v>1006</v>
      </c>
    </row>
    <row r="69" spans="1:7" x14ac:dyDescent="0.2">
      <c r="A69" s="11" t="s">
        <v>1007</v>
      </c>
    </row>
    <row r="70" spans="1:7" x14ac:dyDescent="0.2">
      <c r="A70" s="11" t="s">
        <v>1008</v>
      </c>
    </row>
    <row r="71" spans="1:7" x14ac:dyDescent="0.2">
      <c r="A71" s="11" t="s">
        <v>1009</v>
      </c>
    </row>
    <row r="72" spans="1:7" x14ac:dyDescent="0.2">
      <c r="A72" s="11" t="s">
        <v>1010</v>
      </c>
    </row>
    <row r="73" spans="1:7" x14ac:dyDescent="0.2">
      <c r="A73" s="11" t="s">
        <v>1011</v>
      </c>
    </row>
    <row r="74" spans="1:7" x14ac:dyDescent="0.2">
      <c r="A74" s="11" t="s">
        <v>1012</v>
      </c>
    </row>
    <row r="75" spans="1:7" x14ac:dyDescent="0.2">
      <c r="A75" s="11" t="s">
        <v>1013</v>
      </c>
    </row>
    <row r="76" spans="1:7" x14ac:dyDescent="0.2">
      <c r="A76" s="11" t="s">
        <v>1014</v>
      </c>
    </row>
    <row r="77" spans="1:7" x14ac:dyDescent="0.2">
      <c r="A77" s="11" t="s">
        <v>1015</v>
      </c>
    </row>
    <row r="78" spans="1:7" x14ac:dyDescent="0.2">
      <c r="A78" s="11" t="s">
        <v>1016</v>
      </c>
    </row>
    <row r="79" spans="1:7" x14ac:dyDescent="0.2">
      <c r="A79" s="18" t="s">
        <v>241</v>
      </c>
      <c r="B79" s="18" t="s">
        <v>371</v>
      </c>
      <c r="C79" s="18" t="s">
        <v>371</v>
      </c>
      <c r="D79" s="18" t="s">
        <v>371</v>
      </c>
      <c r="E79" s="18" t="s">
        <v>371</v>
      </c>
      <c r="F79" s="18" t="s">
        <v>371</v>
      </c>
      <c r="G79" s="18" t="s">
        <v>371</v>
      </c>
    </row>
    <row r="80" spans="1:7" x14ac:dyDescent="0.2">
      <c r="A80" s="18" t="s">
        <v>244</v>
      </c>
      <c r="B80" s="18" t="s">
        <v>1017</v>
      </c>
      <c r="C80" s="18" t="s">
        <v>1018</v>
      </c>
      <c r="D80" s="18" t="s">
        <v>1019</v>
      </c>
      <c r="E80" s="18" t="s">
        <v>1020</v>
      </c>
      <c r="F80" s="18" t="s">
        <v>1021</v>
      </c>
      <c r="G80" s="18" t="s">
        <v>1022</v>
      </c>
    </row>
    <row r="82" spans="1:8" ht="38.25" x14ac:dyDescent="0.2">
      <c r="B82" s="4" t="s">
        <v>1023</v>
      </c>
      <c r="C82" s="4" t="s">
        <v>1024</v>
      </c>
      <c r="D82" s="4" t="s">
        <v>1025</v>
      </c>
      <c r="E82" s="4" t="s">
        <v>1026</v>
      </c>
      <c r="F82" s="4" t="s">
        <v>1027</v>
      </c>
      <c r="G82" s="4" t="s">
        <v>1028</v>
      </c>
    </row>
    <row r="83" spans="1:8" x14ac:dyDescent="0.2">
      <c r="A83" s="5" t="s">
        <v>53</v>
      </c>
      <c r="B83" s="17">
        <f>IF(Loads!B45&lt;0,0,B34*Loads!B298*10)</f>
        <v>2040306.4745290349</v>
      </c>
      <c r="C83" s="17">
        <f>IF(Loads!B45&lt;0,0,C34*Loads!C298*10)</f>
        <v>0</v>
      </c>
      <c r="D83" s="17">
        <f>IF(Loads!B45&lt;0,0,D34*Loads!D298*10)</f>
        <v>0</v>
      </c>
      <c r="E83" s="17">
        <f>E34*Input!F$14*Loads!E298/100</f>
        <v>0</v>
      </c>
      <c r="F83" s="17">
        <f>F34*Input!F$14*Loads!F298/100</f>
        <v>0</v>
      </c>
      <c r="G83" s="17">
        <f>IF(Loads!B45&lt;0,0,G34*Loads!G298*10)</f>
        <v>0</v>
      </c>
      <c r="H83" s="6"/>
    </row>
    <row r="84" spans="1:8" x14ac:dyDescent="0.2">
      <c r="A84" s="5" t="s">
        <v>54</v>
      </c>
      <c r="B84" s="17">
        <f>IF(Loads!B46&lt;0,0,B35*Loads!B299*10)</f>
        <v>196877.51475055542</v>
      </c>
      <c r="C84" s="17">
        <f>IF(Loads!B46&lt;0,0,C35*Loads!C299*10)</f>
        <v>13205.14200405765</v>
      </c>
      <c r="D84" s="17">
        <f>IF(Loads!B46&lt;0,0,D35*Loads!D299*10)</f>
        <v>0</v>
      </c>
      <c r="E84" s="17">
        <f>E35*Input!F$14*Loads!E299/100</f>
        <v>0</v>
      </c>
      <c r="F84" s="17">
        <f>F35*Input!F$14*Loads!F299/100</f>
        <v>0</v>
      </c>
      <c r="G84" s="17">
        <f>IF(Loads!B46&lt;0,0,G35*Loads!G299*10)</f>
        <v>0</v>
      </c>
      <c r="H84" s="6"/>
    </row>
    <row r="85" spans="1:8" x14ac:dyDescent="0.2">
      <c r="A85" s="5" t="s">
        <v>94</v>
      </c>
      <c r="B85" s="17">
        <f>IF(Loads!B47&lt;0,0,B36*Loads!B300*10)</f>
        <v>711.0913047721823</v>
      </c>
      <c r="C85" s="17">
        <f>IF(Loads!B47&lt;0,0,C36*Loads!C300*10)</f>
        <v>0</v>
      </c>
      <c r="D85" s="17">
        <f>IF(Loads!B47&lt;0,0,D36*Loads!D300*10)</f>
        <v>0</v>
      </c>
      <c r="E85" s="17">
        <f>E36*Input!F$14*Loads!E300/100</f>
        <v>0</v>
      </c>
      <c r="F85" s="17">
        <f>F36*Input!F$14*Loads!F300/100</f>
        <v>0</v>
      </c>
      <c r="G85" s="17">
        <f>IF(Loads!B47&lt;0,0,G36*Loads!G300*10)</f>
        <v>0</v>
      </c>
      <c r="H85" s="6"/>
    </row>
    <row r="86" spans="1:8" x14ac:dyDescent="0.2">
      <c r="A86" s="5" t="s">
        <v>55</v>
      </c>
      <c r="B86" s="17">
        <f>IF(Loads!B48&lt;0,0,B37*Loads!B301*10)</f>
        <v>407657.2580291109</v>
      </c>
      <c r="C86" s="17">
        <f>IF(Loads!B48&lt;0,0,C37*Loads!C301*10)</f>
        <v>0</v>
      </c>
      <c r="D86" s="17">
        <f>IF(Loads!B48&lt;0,0,D37*Loads!D301*10)</f>
        <v>0</v>
      </c>
      <c r="E86" s="17">
        <f>E37*Input!F$14*Loads!E301/100</f>
        <v>0</v>
      </c>
      <c r="F86" s="17">
        <f>F37*Input!F$14*Loads!F301/100</f>
        <v>0</v>
      </c>
      <c r="G86" s="17">
        <f>IF(Loads!B48&lt;0,0,G37*Loads!G301*10)</f>
        <v>0</v>
      </c>
      <c r="H86" s="6"/>
    </row>
    <row r="87" spans="1:8" x14ac:dyDescent="0.2">
      <c r="A87" s="5" t="s">
        <v>56</v>
      </c>
      <c r="B87" s="17">
        <f>IF(Loads!B49&lt;0,0,B38*Loads!B302*10)</f>
        <v>140242.02068756433</v>
      </c>
      <c r="C87" s="17">
        <f>IF(Loads!B49&lt;0,0,C38*Loads!C302*10)</f>
        <v>4668.598982842017</v>
      </c>
      <c r="D87" s="17">
        <f>IF(Loads!B49&lt;0,0,D38*Loads!D302*10)</f>
        <v>0</v>
      </c>
      <c r="E87" s="17">
        <f>E38*Input!F$14*Loads!E302/100</f>
        <v>0</v>
      </c>
      <c r="F87" s="17">
        <f>F38*Input!F$14*Loads!F302/100</f>
        <v>0</v>
      </c>
      <c r="G87" s="17">
        <f>IF(Loads!B49&lt;0,0,G38*Loads!G302*10)</f>
        <v>0</v>
      </c>
      <c r="H87" s="6"/>
    </row>
    <row r="88" spans="1:8" x14ac:dyDescent="0.2">
      <c r="A88" s="5" t="s">
        <v>95</v>
      </c>
      <c r="B88" s="17">
        <f>IF(Loads!B50&lt;0,0,B39*Loads!B303*10)</f>
        <v>600.07549356108723</v>
      </c>
      <c r="C88" s="17">
        <f>IF(Loads!B50&lt;0,0,C39*Loads!C303*10)</f>
        <v>0</v>
      </c>
      <c r="D88" s="17">
        <f>IF(Loads!B50&lt;0,0,D39*Loads!D303*10)</f>
        <v>0</v>
      </c>
      <c r="E88" s="17">
        <f>E39*Input!F$14*Loads!E303/100</f>
        <v>0</v>
      </c>
      <c r="F88" s="17">
        <f>F39*Input!F$14*Loads!F303/100</f>
        <v>0</v>
      </c>
      <c r="G88" s="17">
        <f>IF(Loads!B50&lt;0,0,G39*Loads!G303*10)</f>
        <v>0</v>
      </c>
      <c r="H88" s="6"/>
    </row>
    <row r="89" spans="1:8" x14ac:dyDescent="0.2">
      <c r="A89" s="5" t="s">
        <v>57</v>
      </c>
      <c r="B89" s="17">
        <f>IF(Loads!B51&lt;0,0,B40*Loads!B304*10)</f>
        <v>239336.065167188</v>
      </c>
      <c r="C89" s="17">
        <f>IF(Loads!B51&lt;0,0,C40*Loads!C304*10)</f>
        <v>4705.5780744344829</v>
      </c>
      <c r="D89" s="17">
        <f>IF(Loads!B51&lt;0,0,D40*Loads!D304*10)</f>
        <v>0</v>
      </c>
      <c r="E89" s="17">
        <f>E40*Input!F$14*Loads!E304/100</f>
        <v>0</v>
      </c>
      <c r="F89" s="17">
        <f>F40*Input!F$14*Loads!F304/100</f>
        <v>0</v>
      </c>
      <c r="G89" s="17">
        <f>IF(Loads!B51&lt;0,0,G40*Loads!G304*10)</f>
        <v>0</v>
      </c>
      <c r="H89" s="6"/>
    </row>
    <row r="90" spans="1:8" x14ac:dyDescent="0.2">
      <c r="A90" s="5" t="s">
        <v>58</v>
      </c>
      <c r="B90" s="17">
        <f>IF(Loads!B52&lt;0,0,B41*Loads!B305*10)</f>
        <v>7737.3820273476776</v>
      </c>
      <c r="C90" s="17">
        <f>IF(Loads!B52&lt;0,0,C41*Loads!C305*10)</f>
        <v>166.76174866408243</v>
      </c>
      <c r="D90" s="17">
        <f>IF(Loads!B52&lt;0,0,D41*Loads!D305*10)</f>
        <v>0</v>
      </c>
      <c r="E90" s="17">
        <f>E41*Input!F$14*Loads!E305/100</f>
        <v>0</v>
      </c>
      <c r="F90" s="17">
        <f>F41*Input!F$14*Loads!F305/100</f>
        <v>0</v>
      </c>
      <c r="G90" s="17">
        <f>IF(Loads!B52&lt;0,0,G41*Loads!G305*10)</f>
        <v>0</v>
      </c>
      <c r="H90" s="6"/>
    </row>
    <row r="91" spans="1:8" x14ac:dyDescent="0.2">
      <c r="A91" s="5" t="s">
        <v>72</v>
      </c>
      <c r="B91" s="17">
        <f>IF(Loads!B53&lt;0,0,B42*Loads!B306*10)</f>
        <v>2026.7794114161297</v>
      </c>
      <c r="C91" s="17">
        <f>IF(Loads!B53&lt;0,0,C42*Loads!C306*10)</f>
        <v>47.914020063580487</v>
      </c>
      <c r="D91" s="17">
        <f>IF(Loads!B53&lt;0,0,D42*Loads!D306*10)</f>
        <v>0</v>
      </c>
      <c r="E91" s="17">
        <f>E42*Input!F$14*Loads!E306/100</f>
        <v>0</v>
      </c>
      <c r="F91" s="17">
        <f>F42*Input!F$14*Loads!F306/100</f>
        <v>0</v>
      </c>
      <c r="G91" s="17">
        <f>IF(Loads!B53&lt;0,0,G42*Loads!G306*10)</f>
        <v>0</v>
      </c>
      <c r="H91" s="6"/>
    </row>
    <row r="92" spans="1:8" x14ac:dyDescent="0.2">
      <c r="A92" s="5" t="s">
        <v>59</v>
      </c>
      <c r="B92" s="17">
        <f>IF(Loads!B54&lt;0,0,B43*Loads!B307*10)</f>
        <v>168239.26310344206</v>
      </c>
      <c r="C92" s="17">
        <f>IF(Loads!B54&lt;0,0,C43*Loads!C307*10)</f>
        <v>52397.44883174725</v>
      </c>
      <c r="D92" s="17">
        <f>IF(Loads!B54&lt;0,0,D43*Loads!D307*10)</f>
        <v>11319.718785317764</v>
      </c>
      <c r="E92" s="17">
        <f>E43*Input!F$14*Loads!E307/100</f>
        <v>0</v>
      </c>
      <c r="F92" s="17">
        <f>F43*Input!F$14*Loads!F307/100</f>
        <v>0</v>
      </c>
      <c r="G92" s="17">
        <f>IF(Loads!B54&lt;0,0,G43*Loads!G307*10)</f>
        <v>4087.4936535284946</v>
      </c>
      <c r="H92" s="6"/>
    </row>
    <row r="93" spans="1:8" x14ac:dyDescent="0.2">
      <c r="A93" s="5" t="s">
        <v>60</v>
      </c>
      <c r="B93" s="17">
        <f>IF(Loads!B55&lt;0,0,B44*Loads!B308*10)</f>
        <v>154054.55799179411</v>
      </c>
      <c r="C93" s="17">
        <f>IF(Loads!B55&lt;0,0,C44*Loads!C308*10)</f>
        <v>49227.289312636465</v>
      </c>
      <c r="D93" s="17">
        <f>IF(Loads!B55&lt;0,0,D44*Loads!D308*10)</f>
        <v>10979.124514828683</v>
      </c>
      <c r="E93" s="17">
        <f>E44*Input!F$14*Loads!E308/100</f>
        <v>0</v>
      </c>
      <c r="F93" s="17">
        <f>F44*Input!F$14*Loads!F308/100</f>
        <v>0</v>
      </c>
      <c r="G93" s="17">
        <f>IF(Loads!B55&lt;0,0,G44*Loads!G308*10)</f>
        <v>3821.5006256311535</v>
      </c>
      <c r="H93" s="6"/>
    </row>
    <row r="94" spans="1:8" x14ac:dyDescent="0.2">
      <c r="A94" s="5" t="s">
        <v>73</v>
      </c>
      <c r="B94" s="17">
        <f>IF(Loads!B56&lt;0,0,B45*Loads!B309*10)</f>
        <v>533982.73387232574</v>
      </c>
      <c r="C94" s="17">
        <f>IF(Loads!B56&lt;0,0,C45*Loads!C309*10)</f>
        <v>159913.9511285492</v>
      </c>
      <c r="D94" s="17">
        <f>IF(Loads!B56&lt;0,0,D45*Loads!D309*10)</f>
        <v>44017.939922066449</v>
      </c>
      <c r="E94" s="17">
        <f>E45*Input!F$14*Loads!E309/100</f>
        <v>0</v>
      </c>
      <c r="F94" s="17">
        <f>F45*Input!F$14*Loads!F309/100</f>
        <v>0</v>
      </c>
      <c r="G94" s="17">
        <f>IF(Loads!B56&lt;0,0,G45*Loads!G309*10)</f>
        <v>10447.859722483774</v>
      </c>
      <c r="H94" s="6"/>
    </row>
    <row r="95" spans="1:8" x14ac:dyDescent="0.2">
      <c r="A95" s="5" t="s">
        <v>74</v>
      </c>
      <c r="B95" s="17">
        <f>IF(Loads!B57&lt;0,0,B46*Loads!B310*10)</f>
        <v>0</v>
      </c>
      <c r="C95" s="17">
        <f>IF(Loads!B57&lt;0,0,C46*Loads!C310*10)</f>
        <v>0</v>
      </c>
      <c r="D95" s="17">
        <f>IF(Loads!B57&lt;0,0,D46*Loads!D310*10)</f>
        <v>0</v>
      </c>
      <c r="E95" s="17">
        <f>E46*Input!F$14*Loads!E310/100</f>
        <v>0</v>
      </c>
      <c r="F95" s="17">
        <f>F46*Input!F$14*Loads!F310/100</f>
        <v>0</v>
      </c>
      <c r="G95" s="17">
        <f>IF(Loads!B57&lt;0,0,G46*Loads!G310*10)</f>
        <v>0</v>
      </c>
      <c r="H95" s="6"/>
    </row>
    <row r="96" spans="1:8" x14ac:dyDescent="0.2">
      <c r="A96" s="5" t="s">
        <v>96</v>
      </c>
      <c r="B96" s="17">
        <f>IF(Loads!B58&lt;0,0,B47*Loads!B311*10)</f>
        <v>5080.2569425592346</v>
      </c>
      <c r="C96" s="17">
        <f>IF(Loads!B58&lt;0,0,C47*Loads!C311*10)</f>
        <v>0</v>
      </c>
      <c r="D96" s="17">
        <f>IF(Loads!B58&lt;0,0,D47*Loads!D311*10)</f>
        <v>0</v>
      </c>
      <c r="E96" s="17">
        <f>E47*Input!F$14*Loads!E311/100</f>
        <v>0</v>
      </c>
      <c r="F96" s="17">
        <f>F47*Input!F$14*Loads!F311/100</f>
        <v>0</v>
      </c>
      <c r="G96" s="17">
        <f>IF(Loads!B58&lt;0,0,G47*Loads!G311*10)</f>
        <v>0</v>
      </c>
      <c r="H96" s="6"/>
    </row>
    <row r="97" spans="1:8" x14ac:dyDescent="0.2">
      <c r="A97" s="5" t="s">
        <v>97</v>
      </c>
      <c r="B97" s="17">
        <f>IF(Loads!B59&lt;0,0,B48*Loads!B312*10)</f>
        <v>2367.762604371881</v>
      </c>
      <c r="C97" s="17">
        <f>IF(Loads!B59&lt;0,0,C48*Loads!C312*10)</f>
        <v>0</v>
      </c>
      <c r="D97" s="17">
        <f>IF(Loads!B59&lt;0,0,D48*Loads!D312*10)</f>
        <v>0</v>
      </c>
      <c r="E97" s="17">
        <f>E48*Input!F$14*Loads!E312/100</f>
        <v>0</v>
      </c>
      <c r="F97" s="17">
        <f>F48*Input!F$14*Loads!F312/100</f>
        <v>0</v>
      </c>
      <c r="G97" s="17">
        <f>IF(Loads!B59&lt;0,0,G48*Loads!G312*10)</f>
        <v>0</v>
      </c>
      <c r="H97" s="6"/>
    </row>
    <row r="98" spans="1:8" x14ac:dyDescent="0.2">
      <c r="A98" s="5" t="s">
        <v>98</v>
      </c>
      <c r="B98" s="17">
        <f>IF(Loads!B60&lt;0,0,B49*Loads!B313*10)</f>
        <v>0.447774733219578</v>
      </c>
      <c r="C98" s="17">
        <f>IF(Loads!B60&lt;0,0,C49*Loads!C313*10)</f>
        <v>0</v>
      </c>
      <c r="D98" s="17">
        <f>IF(Loads!B60&lt;0,0,D49*Loads!D313*10)</f>
        <v>0</v>
      </c>
      <c r="E98" s="17">
        <f>E49*Input!F$14*Loads!E313/100</f>
        <v>0</v>
      </c>
      <c r="F98" s="17">
        <f>F49*Input!F$14*Loads!F313/100</f>
        <v>0</v>
      </c>
      <c r="G98" s="17">
        <f>IF(Loads!B60&lt;0,0,G49*Loads!G313*10)</f>
        <v>0</v>
      </c>
      <c r="H98" s="6"/>
    </row>
    <row r="99" spans="1:8" x14ac:dyDescent="0.2">
      <c r="A99" s="5" t="s">
        <v>99</v>
      </c>
      <c r="B99" s="17">
        <f>IF(Loads!B61&lt;0,0,B50*Loads!B314*10)</f>
        <v>0</v>
      </c>
      <c r="C99" s="17">
        <f>IF(Loads!B61&lt;0,0,C50*Loads!C314*10)</f>
        <v>0</v>
      </c>
      <c r="D99" s="17">
        <f>IF(Loads!B61&lt;0,0,D50*Loads!D314*10)</f>
        <v>0</v>
      </c>
      <c r="E99" s="17">
        <f>E50*Input!F$14*Loads!E314/100</f>
        <v>0</v>
      </c>
      <c r="F99" s="17">
        <f>F50*Input!F$14*Loads!F314/100</f>
        <v>0</v>
      </c>
      <c r="G99" s="17">
        <f>IF(Loads!B61&lt;0,0,G50*Loads!G314*10)</f>
        <v>0</v>
      </c>
      <c r="H99" s="6"/>
    </row>
    <row r="100" spans="1:8" x14ac:dyDescent="0.2">
      <c r="A100" s="5" t="s">
        <v>100</v>
      </c>
      <c r="B100" s="17">
        <f>IF(Loads!B62&lt;0,0,B51*Loads!B315*10)</f>
        <v>40855.647515114259</v>
      </c>
      <c r="C100" s="17">
        <f>IF(Loads!B62&lt;0,0,C51*Loads!C315*10)</f>
        <v>2313.6738280087729</v>
      </c>
      <c r="D100" s="17">
        <f>IF(Loads!B62&lt;0,0,D51*Loads!D315*10)</f>
        <v>3250.6599423367156</v>
      </c>
      <c r="E100" s="17">
        <f>E51*Input!F$14*Loads!E315/100</f>
        <v>0</v>
      </c>
      <c r="F100" s="17">
        <f>F51*Input!F$14*Loads!F315/100</f>
        <v>0</v>
      </c>
      <c r="G100" s="17">
        <f>IF(Loads!B62&lt;0,0,G51*Loads!G315*10)</f>
        <v>0</v>
      </c>
      <c r="H100" s="6"/>
    </row>
    <row r="101" spans="1:8" x14ac:dyDescent="0.2">
      <c r="A101" s="5" t="s">
        <v>61</v>
      </c>
      <c r="B101" s="17">
        <f>IF(Loads!B63&lt;0,0,B52*Loads!B316*10)</f>
        <v>0</v>
      </c>
      <c r="C101" s="17">
        <f>IF(Loads!B63&lt;0,0,C52*Loads!C316*10)</f>
        <v>0</v>
      </c>
      <c r="D101" s="17">
        <f>IF(Loads!B63&lt;0,0,D52*Loads!D316*10)</f>
        <v>0</v>
      </c>
      <c r="E101" s="17">
        <f>E52*Input!F$14*Loads!E316/100</f>
        <v>0</v>
      </c>
      <c r="F101" s="17">
        <f>F52*Input!F$14*Loads!F316/100</f>
        <v>0</v>
      </c>
      <c r="G101" s="17">
        <f>IF(Loads!B63&lt;0,0,G52*Loads!G316*10)</f>
        <v>0</v>
      </c>
      <c r="H101" s="6"/>
    </row>
    <row r="102" spans="1:8" x14ac:dyDescent="0.2">
      <c r="A102" s="5" t="s">
        <v>62</v>
      </c>
      <c r="B102" s="17">
        <f>IF(Loads!B64&lt;0,0,B53*Loads!B317*10)</f>
        <v>0</v>
      </c>
      <c r="C102" s="17">
        <f>IF(Loads!B64&lt;0,0,C53*Loads!C317*10)</f>
        <v>0</v>
      </c>
      <c r="D102" s="17">
        <f>IF(Loads!B64&lt;0,0,D53*Loads!D317*10)</f>
        <v>0</v>
      </c>
      <c r="E102" s="17">
        <f>E53*Input!F$14*Loads!E317/100</f>
        <v>0</v>
      </c>
      <c r="F102" s="17">
        <f>F53*Input!F$14*Loads!F317/100</f>
        <v>0</v>
      </c>
      <c r="G102" s="17">
        <f>IF(Loads!B64&lt;0,0,G53*Loads!G317*10)</f>
        <v>0</v>
      </c>
      <c r="H102" s="6"/>
    </row>
    <row r="103" spans="1:8" x14ac:dyDescent="0.2">
      <c r="A103" s="5" t="s">
        <v>63</v>
      </c>
      <c r="B103" s="17">
        <f>IF(Loads!B65&lt;0,0,B54*Loads!B318*10)</f>
        <v>0</v>
      </c>
      <c r="C103" s="17">
        <f>IF(Loads!B65&lt;0,0,C54*Loads!C318*10)</f>
        <v>0</v>
      </c>
      <c r="D103" s="17">
        <f>IF(Loads!B65&lt;0,0,D54*Loads!D318*10)</f>
        <v>0</v>
      </c>
      <c r="E103" s="17">
        <f>E54*Input!F$14*Loads!E318/100</f>
        <v>0</v>
      </c>
      <c r="F103" s="17">
        <f>F54*Input!F$14*Loads!F318/100</f>
        <v>0</v>
      </c>
      <c r="G103" s="17">
        <f>IF(Loads!B65&lt;0,0,G54*Loads!G318*10)</f>
        <v>0</v>
      </c>
      <c r="H103" s="6"/>
    </row>
    <row r="104" spans="1:8" x14ac:dyDescent="0.2">
      <c r="A104" s="5" t="s">
        <v>64</v>
      </c>
      <c r="B104" s="17">
        <f>IF(Loads!B66&lt;0,0,B55*Loads!B319*10)</f>
        <v>0</v>
      </c>
      <c r="C104" s="17">
        <f>IF(Loads!B66&lt;0,0,C55*Loads!C319*10)</f>
        <v>0</v>
      </c>
      <c r="D104" s="17">
        <f>IF(Loads!B66&lt;0,0,D55*Loads!D319*10)</f>
        <v>0</v>
      </c>
      <c r="E104" s="17">
        <f>E55*Input!F$14*Loads!E319/100</f>
        <v>0</v>
      </c>
      <c r="F104" s="17">
        <f>F55*Input!F$14*Loads!F319/100</f>
        <v>0</v>
      </c>
      <c r="G104" s="17">
        <f>IF(Loads!B66&lt;0,0,G55*Loads!G319*10)</f>
        <v>0</v>
      </c>
      <c r="H104" s="6"/>
    </row>
    <row r="105" spans="1:8" x14ac:dyDescent="0.2">
      <c r="A105" s="5" t="s">
        <v>65</v>
      </c>
      <c r="B105" s="17">
        <f>IF(Loads!B67&lt;0,0,B56*Loads!B320*10)</f>
        <v>0</v>
      </c>
      <c r="C105" s="17">
        <f>IF(Loads!B67&lt;0,0,C56*Loads!C320*10)</f>
        <v>0</v>
      </c>
      <c r="D105" s="17">
        <f>IF(Loads!B67&lt;0,0,D56*Loads!D320*10)</f>
        <v>0</v>
      </c>
      <c r="E105" s="17">
        <f>E56*Input!F$14*Loads!E320/100</f>
        <v>0</v>
      </c>
      <c r="F105" s="17">
        <f>F56*Input!F$14*Loads!F320/100</f>
        <v>0</v>
      </c>
      <c r="G105" s="17">
        <f>IF(Loads!B67&lt;0,0,G56*Loads!G320*10)</f>
        <v>0</v>
      </c>
      <c r="H105" s="6"/>
    </row>
    <row r="106" spans="1:8" x14ac:dyDescent="0.2">
      <c r="A106" s="5" t="s">
        <v>66</v>
      </c>
      <c r="B106" s="17">
        <f>IF(Loads!B68&lt;0,0,B57*Loads!B321*10)</f>
        <v>0</v>
      </c>
      <c r="C106" s="17">
        <f>IF(Loads!B68&lt;0,0,C57*Loads!C321*10)</f>
        <v>0</v>
      </c>
      <c r="D106" s="17">
        <f>IF(Loads!B68&lt;0,0,D57*Loads!D321*10)</f>
        <v>0</v>
      </c>
      <c r="E106" s="17">
        <f>E57*Input!F$14*Loads!E321/100</f>
        <v>0</v>
      </c>
      <c r="F106" s="17">
        <f>F57*Input!F$14*Loads!F321/100</f>
        <v>0</v>
      </c>
      <c r="G106" s="17">
        <f>IF(Loads!B68&lt;0,0,G57*Loads!G321*10)</f>
        <v>0</v>
      </c>
      <c r="H106" s="6"/>
    </row>
    <row r="107" spans="1:8" x14ac:dyDescent="0.2">
      <c r="A107" s="5" t="s">
        <v>75</v>
      </c>
      <c r="B107" s="17">
        <f>IF(Loads!B69&lt;0,0,B58*Loads!B322*10)</f>
        <v>0</v>
      </c>
      <c r="C107" s="17">
        <f>IF(Loads!B69&lt;0,0,C58*Loads!C322*10)</f>
        <v>0</v>
      </c>
      <c r="D107" s="17">
        <f>IF(Loads!B69&lt;0,0,D58*Loads!D322*10)</f>
        <v>0</v>
      </c>
      <c r="E107" s="17">
        <f>E58*Input!F$14*Loads!E322/100</f>
        <v>0</v>
      </c>
      <c r="F107" s="17">
        <f>F58*Input!F$14*Loads!F322/100</f>
        <v>0</v>
      </c>
      <c r="G107" s="17">
        <f>IF(Loads!B69&lt;0,0,G58*Loads!G322*10)</f>
        <v>0</v>
      </c>
      <c r="H107" s="6"/>
    </row>
    <row r="108" spans="1:8" x14ac:dyDescent="0.2">
      <c r="A108" s="5" t="s">
        <v>76</v>
      </c>
      <c r="B108" s="17">
        <f>IF(Loads!B70&lt;0,0,B59*Loads!B323*10)</f>
        <v>0</v>
      </c>
      <c r="C108" s="17">
        <f>IF(Loads!B70&lt;0,0,C59*Loads!C323*10)</f>
        <v>0</v>
      </c>
      <c r="D108" s="17">
        <f>IF(Loads!B70&lt;0,0,D59*Loads!D323*10)</f>
        <v>0</v>
      </c>
      <c r="E108" s="17">
        <f>E59*Input!F$14*Loads!E323/100</f>
        <v>0</v>
      </c>
      <c r="F108" s="17">
        <f>F59*Input!F$14*Loads!F323/100</f>
        <v>0</v>
      </c>
      <c r="G108" s="17">
        <f>IF(Loads!B70&lt;0,0,G59*Loads!G323*10)</f>
        <v>0</v>
      </c>
      <c r="H108" s="6"/>
    </row>
    <row r="109" spans="1:8" x14ac:dyDescent="0.2">
      <c r="A109" s="5" t="s">
        <v>77</v>
      </c>
      <c r="B109" s="17">
        <f>IF(Loads!B71&lt;0,0,B60*Loads!B324*10)</f>
        <v>0</v>
      </c>
      <c r="C109" s="17">
        <f>IF(Loads!B71&lt;0,0,C60*Loads!C324*10)</f>
        <v>0</v>
      </c>
      <c r="D109" s="17">
        <f>IF(Loads!B71&lt;0,0,D60*Loads!D324*10)</f>
        <v>0</v>
      </c>
      <c r="E109" s="17">
        <f>E60*Input!F$14*Loads!E324/100</f>
        <v>0</v>
      </c>
      <c r="F109" s="17">
        <f>F60*Input!F$14*Loads!F324/100</f>
        <v>0</v>
      </c>
      <c r="G109" s="17">
        <f>IF(Loads!B71&lt;0,0,G60*Loads!G324*10)</f>
        <v>0</v>
      </c>
      <c r="H109" s="6"/>
    </row>
    <row r="110" spans="1:8" x14ac:dyDescent="0.2">
      <c r="A110" s="5" t="s">
        <v>78</v>
      </c>
      <c r="B110" s="17">
        <f>IF(Loads!B72&lt;0,0,B61*Loads!B325*10)</f>
        <v>0</v>
      </c>
      <c r="C110" s="17">
        <f>IF(Loads!B72&lt;0,0,C61*Loads!C325*10)</f>
        <v>0</v>
      </c>
      <c r="D110" s="17">
        <f>IF(Loads!B72&lt;0,0,D61*Loads!D325*10)</f>
        <v>0</v>
      </c>
      <c r="E110" s="17">
        <f>E61*Input!F$14*Loads!E325/100</f>
        <v>0</v>
      </c>
      <c r="F110" s="17">
        <f>F61*Input!F$14*Loads!F325/100</f>
        <v>0</v>
      </c>
      <c r="G110" s="17">
        <f>IF(Loads!B72&lt;0,0,G61*Loads!G325*10)</f>
        <v>0</v>
      </c>
      <c r="H110" s="6"/>
    </row>
    <row r="112" spans="1:8" ht="16.5" x14ac:dyDescent="0.25">
      <c r="A112" s="3" t="s">
        <v>1029</v>
      </c>
    </row>
    <row r="113" spans="1:7" x14ac:dyDescent="0.2">
      <c r="A113" s="10" t="s">
        <v>238</v>
      </c>
    </row>
    <row r="114" spans="1:7" x14ac:dyDescent="0.2">
      <c r="A114" s="11" t="s">
        <v>1030</v>
      </c>
    </row>
    <row r="115" spans="1:7" x14ac:dyDescent="0.2">
      <c r="A115" s="11" t="s">
        <v>1031</v>
      </c>
    </row>
    <row r="116" spans="1:7" x14ac:dyDescent="0.2">
      <c r="A116" s="11" t="s">
        <v>1032</v>
      </c>
    </row>
    <row r="117" spans="1:7" x14ac:dyDescent="0.2">
      <c r="A117" s="11" t="s">
        <v>1033</v>
      </c>
    </row>
    <row r="118" spans="1:7" x14ac:dyDescent="0.2">
      <c r="A118" s="11" t="s">
        <v>1034</v>
      </c>
    </row>
    <row r="119" spans="1:7" x14ac:dyDescent="0.2">
      <c r="A119" s="11" t="s">
        <v>1035</v>
      </c>
    </row>
    <row r="120" spans="1:7" x14ac:dyDescent="0.2">
      <c r="A120" s="11" t="s">
        <v>1036</v>
      </c>
    </row>
    <row r="121" spans="1:7" x14ac:dyDescent="0.2">
      <c r="A121" s="11" t="s">
        <v>1037</v>
      </c>
    </row>
    <row r="122" spans="1:7" x14ac:dyDescent="0.2">
      <c r="A122" s="11" t="s">
        <v>1038</v>
      </c>
    </row>
    <row r="123" spans="1:7" x14ac:dyDescent="0.2">
      <c r="A123" s="11" t="s">
        <v>1039</v>
      </c>
    </row>
    <row r="124" spans="1:7" x14ac:dyDescent="0.2">
      <c r="A124" s="11" t="s">
        <v>1040</v>
      </c>
    </row>
    <row r="125" spans="1:7" x14ac:dyDescent="0.2">
      <c r="A125" s="11" t="s">
        <v>969</v>
      </c>
    </row>
    <row r="126" spans="1:7" x14ac:dyDescent="0.2">
      <c r="A126" s="18" t="s">
        <v>241</v>
      </c>
      <c r="B126" s="18" t="s">
        <v>371</v>
      </c>
      <c r="C126" s="18" t="s">
        <v>371</v>
      </c>
      <c r="D126" s="18" t="s">
        <v>371</v>
      </c>
      <c r="E126" s="18" t="s">
        <v>371</v>
      </c>
      <c r="F126" s="18" t="s">
        <v>371</v>
      </c>
      <c r="G126" s="18" t="s">
        <v>371</v>
      </c>
    </row>
    <row r="127" spans="1:7" x14ac:dyDescent="0.2">
      <c r="A127" s="18" t="s">
        <v>244</v>
      </c>
      <c r="B127" s="18" t="s">
        <v>1041</v>
      </c>
      <c r="C127" s="18" t="s">
        <v>1042</v>
      </c>
      <c r="D127" s="18" t="s">
        <v>1043</v>
      </c>
      <c r="E127" s="18" t="s">
        <v>1044</v>
      </c>
      <c r="F127" s="18" t="s">
        <v>1045</v>
      </c>
      <c r="G127" s="18" t="s">
        <v>1046</v>
      </c>
    </row>
    <row r="129" spans="1:8" ht="38.25" x14ac:dyDescent="0.2">
      <c r="B129" s="4" t="s">
        <v>1047</v>
      </c>
      <c r="C129" s="4" t="s">
        <v>1048</v>
      </c>
      <c r="D129" s="4" t="s">
        <v>1049</v>
      </c>
      <c r="E129" s="4" t="s">
        <v>1050</v>
      </c>
      <c r="F129" s="4" t="s">
        <v>1051</v>
      </c>
      <c r="G129" s="4" t="s">
        <v>1052</v>
      </c>
    </row>
    <row r="130" spans="1:8" x14ac:dyDescent="0.2">
      <c r="A130" s="5" t="s">
        <v>53</v>
      </c>
      <c r="B130" s="17">
        <f>IF(B34,0-Aggreg!B245/B34,0)</f>
        <v>-71.38300070854244</v>
      </c>
      <c r="C130" s="21"/>
      <c r="D130" s="21"/>
      <c r="E130" s="17">
        <f>IF(E34,0-Aggreg!E245/E34,0)</f>
        <v>0</v>
      </c>
      <c r="F130" s="21"/>
      <c r="G130" s="21"/>
      <c r="H130" s="6"/>
    </row>
    <row r="131" spans="1:8" x14ac:dyDescent="0.2">
      <c r="A131" s="5" t="s">
        <v>54</v>
      </c>
      <c r="B131" s="17">
        <f>IF(B35,0-Aggreg!B246/B35,0)</f>
        <v>-68.659148016894164</v>
      </c>
      <c r="C131" s="17">
        <f>IF(C35,0-Aggreg!C246/C35,0)</f>
        <v>-87.717850780948282</v>
      </c>
      <c r="D131" s="21"/>
      <c r="E131" s="17">
        <f>IF(E35,0-Aggreg!E246/E35,0)</f>
        <v>0</v>
      </c>
      <c r="F131" s="21"/>
      <c r="G131" s="21"/>
      <c r="H131" s="6"/>
    </row>
    <row r="132" spans="1:8" x14ac:dyDescent="0.2">
      <c r="A132" s="5" t="s">
        <v>94</v>
      </c>
      <c r="B132" s="17">
        <f>IF(B36,0-Aggreg!B247/B36,0)</f>
        <v>-90.734644982458207</v>
      </c>
      <c r="C132" s="21"/>
      <c r="D132" s="21"/>
      <c r="E132" s="21"/>
      <c r="F132" s="21"/>
      <c r="G132" s="21"/>
      <c r="H132" s="6"/>
    </row>
    <row r="133" spans="1:8" x14ac:dyDescent="0.2">
      <c r="A133" s="5" t="s">
        <v>55</v>
      </c>
      <c r="B133" s="17">
        <f>IF(B37,0-Aggreg!B248/B37,0)</f>
        <v>-71.383000708542411</v>
      </c>
      <c r="C133" s="21"/>
      <c r="D133" s="21"/>
      <c r="E133" s="17">
        <f>IF(E37,0-Aggreg!E248/E37,0)</f>
        <v>0</v>
      </c>
      <c r="F133" s="21"/>
      <c r="G133" s="21"/>
      <c r="H133" s="6"/>
    </row>
    <row r="134" spans="1:8" x14ac:dyDescent="0.2">
      <c r="A134" s="5" t="s">
        <v>56</v>
      </c>
      <c r="B134" s="17">
        <f>IF(B38,0-Aggreg!B249/B38,0)</f>
        <v>-71.993072228567485</v>
      </c>
      <c r="C134" s="17">
        <f>IF(C38,0-Aggreg!C249/C38,0)</f>
        <v>-87.717850780948282</v>
      </c>
      <c r="D134" s="21"/>
      <c r="E134" s="17">
        <f>IF(E38,0-Aggreg!E249/E38,0)</f>
        <v>0</v>
      </c>
      <c r="F134" s="21"/>
      <c r="G134" s="21"/>
      <c r="H134" s="6"/>
    </row>
    <row r="135" spans="1:8" x14ac:dyDescent="0.2">
      <c r="A135" s="5" t="s">
        <v>95</v>
      </c>
      <c r="B135" s="17">
        <f>IF(B39,0-Aggreg!B250/B39,0)</f>
        <v>-91.1150158757209</v>
      </c>
      <c r="C135" s="21"/>
      <c r="D135" s="21"/>
      <c r="E135" s="21"/>
      <c r="F135" s="21"/>
      <c r="G135" s="21"/>
      <c r="H135" s="6"/>
    </row>
    <row r="136" spans="1:8" x14ac:dyDescent="0.2">
      <c r="A136" s="5" t="s">
        <v>57</v>
      </c>
      <c r="B136" s="17">
        <f>IF(B40,0-Aggreg!B251/B40,0)</f>
        <v>-71.609090939095182</v>
      </c>
      <c r="C136" s="17">
        <f>IF(C40,0-Aggreg!C251/C40,0)</f>
        <v>-87.717850780948282</v>
      </c>
      <c r="D136" s="21"/>
      <c r="E136" s="17">
        <f>IF(E40,0-Aggreg!E251/E40,0)</f>
        <v>0</v>
      </c>
      <c r="F136" s="21"/>
      <c r="G136" s="21"/>
      <c r="H136" s="6"/>
    </row>
    <row r="137" spans="1:8" x14ac:dyDescent="0.2">
      <c r="A137" s="5" t="s">
        <v>58</v>
      </c>
      <c r="B137" s="17">
        <f>IF(B41,0-Aggreg!B252/B41,0)</f>
        <v>-58.560394150529589</v>
      </c>
      <c r="C137" s="17">
        <f>IF(C41,0-Aggreg!C252/C41,0)</f>
        <v>-71.208658438603308</v>
      </c>
      <c r="D137" s="21"/>
      <c r="E137" s="17">
        <f>IF(E41,0-Aggreg!E252/E41,0)</f>
        <v>0</v>
      </c>
      <c r="F137" s="21"/>
      <c r="G137" s="21"/>
      <c r="H137" s="6"/>
    </row>
    <row r="138" spans="1:8" x14ac:dyDescent="0.2">
      <c r="A138" s="5" t="s">
        <v>72</v>
      </c>
      <c r="B138" s="17">
        <f>IF(B42,0-Aggreg!B253/B42,0)</f>
        <v>-27.729780263708182</v>
      </c>
      <c r="C138" s="17">
        <f>IF(C42,0-Aggreg!C253/C42,0)</f>
        <v>-32.390535709106949</v>
      </c>
      <c r="D138" s="21"/>
      <c r="E138" s="17">
        <f>IF(E42,0-Aggreg!E253/E42,0)</f>
        <v>0</v>
      </c>
      <c r="F138" s="21"/>
      <c r="G138" s="21"/>
      <c r="H138" s="6"/>
    </row>
    <row r="139" spans="1:8" x14ac:dyDescent="0.2">
      <c r="A139" s="5" t="s">
        <v>59</v>
      </c>
      <c r="B139" s="17">
        <f>IF(B43,0-Aggreg!B254/B43,0)</f>
        <v>-45.667947927320938</v>
      </c>
      <c r="C139" s="17">
        <f>IF(C43,0-Aggreg!C254/C43,0)</f>
        <v>-85.089619910794752</v>
      </c>
      <c r="D139" s="17">
        <f>IF(D43,0-Aggreg!D254/D43,0)</f>
        <v>-67.388645000379299</v>
      </c>
      <c r="E139" s="17">
        <f>IF(E43,0-Aggreg!E254/E43,0)</f>
        <v>0</v>
      </c>
      <c r="F139" s="17">
        <f>IF(F43,0-Aggreg!F254/F43,0)</f>
        <v>0</v>
      </c>
      <c r="G139" s="17">
        <f>IF(G43,0-Aggreg!G254/G43,0)</f>
        <v>-56.292367163900309</v>
      </c>
      <c r="H139" s="6"/>
    </row>
    <row r="140" spans="1:8" x14ac:dyDescent="0.2">
      <c r="A140" s="5" t="s">
        <v>60</v>
      </c>
      <c r="B140" s="17">
        <f>IF(B44,0-Aggreg!B255/B44,0)</f>
        <v>-36.132924316760317</v>
      </c>
      <c r="C140" s="17">
        <f>IF(C44,0-Aggreg!C255/C44,0)</f>
        <v>-64.982944311509442</v>
      </c>
      <c r="D140" s="17">
        <f>IF(D44,0-Aggreg!D255/D44,0)</f>
        <v>-52.108591247483346</v>
      </c>
      <c r="E140" s="17">
        <f>IF(E44,0-Aggreg!E255/E44,0)</f>
        <v>0</v>
      </c>
      <c r="F140" s="17">
        <f>IF(F44,0-Aggreg!F255/F44,0)</f>
        <v>0</v>
      </c>
      <c r="G140" s="17">
        <f>IF(G44,0-Aggreg!G255/G44,0)</f>
        <v>-43.65070912731526</v>
      </c>
      <c r="H140" s="6"/>
    </row>
    <row r="141" spans="1:8" x14ac:dyDescent="0.2">
      <c r="A141" s="5" t="s">
        <v>73</v>
      </c>
      <c r="B141" s="17">
        <f>IF(B45,0-Aggreg!B256/B45,0)</f>
        <v>-23.828509152178142</v>
      </c>
      <c r="C141" s="17">
        <f>IF(C45,0-Aggreg!C256/C45,0)</f>
        <v>-39.036402985783795</v>
      </c>
      <c r="D141" s="17">
        <f>IF(D45,0-Aggreg!D256/D45,0)</f>
        <v>-32.390535709106956</v>
      </c>
      <c r="E141" s="17">
        <f>IF(E45,0-Aggreg!E256/E45,0)</f>
        <v>0</v>
      </c>
      <c r="F141" s="17">
        <f>IF(F45,0-Aggreg!F256/F45,0)</f>
        <v>0</v>
      </c>
      <c r="G141" s="17">
        <f>IF(G45,0-Aggreg!G256/G45,0)</f>
        <v>-27.447428709681866</v>
      </c>
      <c r="H141" s="6"/>
    </row>
    <row r="142" spans="1:8" x14ac:dyDescent="0.2">
      <c r="A142" s="5" t="s">
        <v>74</v>
      </c>
      <c r="B142" s="17">
        <f>IF(B46,0-Aggreg!B257/B46,0)</f>
        <v>-16.984656161621121</v>
      </c>
      <c r="C142" s="17">
        <f>IF(C46,0-Aggreg!C257/C46,0)</f>
        <v>-24.604647224013021</v>
      </c>
      <c r="D142" s="17">
        <f>IF(D46,0-Aggreg!D257/D46,0)</f>
        <v>-21.423133231277049</v>
      </c>
      <c r="E142" s="17">
        <f>IF(E46,0-Aggreg!E257/E46,0)</f>
        <v>0</v>
      </c>
      <c r="F142" s="17">
        <f>IF(F46,0-Aggreg!F257/F46,0)</f>
        <v>0</v>
      </c>
      <c r="G142" s="17">
        <f>IF(G46,0-Aggreg!G257/G46,0)</f>
        <v>-18.814051119771626</v>
      </c>
      <c r="H142" s="6"/>
    </row>
    <row r="143" spans="1:8" x14ac:dyDescent="0.2">
      <c r="A143" s="5" t="s">
        <v>96</v>
      </c>
      <c r="B143" s="17">
        <f>IF(B47,0-Aggreg!B258/B47,0)</f>
        <v>-197.23889447577236</v>
      </c>
      <c r="C143" s="21"/>
      <c r="D143" s="21"/>
      <c r="E143" s="21"/>
      <c r="F143" s="21"/>
      <c r="G143" s="21"/>
      <c r="H143" s="6"/>
    </row>
    <row r="144" spans="1:8" x14ac:dyDescent="0.2">
      <c r="A144" s="5" t="s">
        <v>97</v>
      </c>
      <c r="B144" s="17">
        <f>IF(B48,0-Aggreg!B259/B48,0)</f>
        <v>-147.51248084145172</v>
      </c>
      <c r="C144" s="21"/>
      <c r="D144" s="21"/>
      <c r="E144" s="21"/>
      <c r="F144" s="21"/>
      <c r="G144" s="21"/>
      <c r="H144" s="6"/>
    </row>
    <row r="145" spans="1:8" x14ac:dyDescent="0.2">
      <c r="A145" s="5" t="s">
        <v>98</v>
      </c>
      <c r="B145" s="17">
        <f>IF(B49,0-Aggreg!B260/B49,0)</f>
        <v>-109.17962958507781</v>
      </c>
      <c r="C145" s="21"/>
      <c r="D145" s="21"/>
      <c r="E145" s="21"/>
      <c r="F145" s="21"/>
      <c r="G145" s="21"/>
      <c r="H145" s="6"/>
    </row>
    <row r="146" spans="1:8" x14ac:dyDescent="0.2">
      <c r="A146" s="5" t="s">
        <v>99</v>
      </c>
      <c r="B146" s="17">
        <f>IF(B50,0-Aggreg!B261/B50,0)</f>
        <v>-268.0611444515589</v>
      </c>
      <c r="C146" s="21"/>
      <c r="D146" s="21"/>
      <c r="E146" s="21"/>
      <c r="F146" s="21"/>
      <c r="G146" s="21"/>
      <c r="H146" s="6"/>
    </row>
    <row r="147" spans="1:8" x14ac:dyDescent="0.2">
      <c r="A147" s="5" t="s">
        <v>100</v>
      </c>
      <c r="B147" s="17">
        <f>IF(B51,0-Aggreg!B262/B51,0)</f>
        <v>-64.372376956573234</v>
      </c>
      <c r="C147" s="17">
        <f>IF(C51,0-Aggreg!C262/C51,0)</f>
        <v>-324.77958461612411</v>
      </c>
      <c r="D147" s="17">
        <f>IF(D51,0-Aggreg!D262/D51,0)</f>
        <v>-1144.4641134597359</v>
      </c>
      <c r="E147" s="21"/>
      <c r="F147" s="21"/>
      <c r="G147" s="21"/>
      <c r="H147" s="6"/>
    </row>
    <row r="148" spans="1:8" x14ac:dyDescent="0.2">
      <c r="A148" s="5" t="s">
        <v>61</v>
      </c>
      <c r="B148" s="17">
        <f>IF(B52,0-Aggreg!B263/B52,0)</f>
        <v>-71.383000708542426</v>
      </c>
      <c r="C148" s="21"/>
      <c r="D148" s="21"/>
      <c r="E148" s="17">
        <f>IF(E52,0-Aggreg!E263/E52,0)</f>
        <v>0</v>
      </c>
      <c r="F148" s="21"/>
      <c r="G148" s="21"/>
      <c r="H148" s="6"/>
    </row>
    <row r="149" spans="1:8" x14ac:dyDescent="0.2">
      <c r="A149" s="5" t="s">
        <v>62</v>
      </c>
      <c r="B149" s="17">
        <f>IF(B53,0-Aggreg!B264/B53,0)</f>
        <v>-58.303284609721608</v>
      </c>
      <c r="C149" s="21"/>
      <c r="D149" s="21"/>
      <c r="E149" s="17">
        <f>IF(E53,0-Aggreg!E264/E53,0)</f>
        <v>0</v>
      </c>
      <c r="F149" s="21"/>
      <c r="G149" s="21"/>
      <c r="H149" s="6"/>
    </row>
    <row r="150" spans="1:8" x14ac:dyDescent="0.2">
      <c r="A150" s="5" t="s">
        <v>63</v>
      </c>
      <c r="B150" s="17">
        <f>IF(B54,0-Aggreg!B265/B54,0)</f>
        <v>-71.383000708542426</v>
      </c>
      <c r="C150" s="21"/>
      <c r="D150" s="21"/>
      <c r="E150" s="17">
        <f>IF(E54,0-Aggreg!E265/E54,0)</f>
        <v>0</v>
      </c>
      <c r="F150" s="21"/>
      <c r="G150" s="17">
        <f>IF(G54,0-Aggreg!G265/G54,0)</f>
        <v>-75.950396851896826</v>
      </c>
      <c r="H150" s="6"/>
    </row>
    <row r="151" spans="1:8" x14ac:dyDescent="0.2">
      <c r="A151" s="5" t="s">
        <v>64</v>
      </c>
      <c r="B151" s="17">
        <f>IF(B55,0-Aggreg!B266/B55,0)</f>
        <v>-58.353731644863998</v>
      </c>
      <c r="C151" s="17">
        <f>IF(C55,0-Aggreg!C266/C55,0)</f>
        <v>-111.8403599560349</v>
      </c>
      <c r="D151" s="17">
        <f>IF(D55,0-Aggreg!D266/D55,0)</f>
        <v>-87.717850780948282</v>
      </c>
      <c r="E151" s="17">
        <f>IF(E55,0-Aggreg!E266/E55,0)</f>
        <v>0</v>
      </c>
      <c r="F151" s="21"/>
      <c r="G151" s="17">
        <f>IF(G55,0-Aggreg!G266/G55,0)</f>
        <v>-75.950396851896826</v>
      </c>
      <c r="H151" s="6"/>
    </row>
    <row r="152" spans="1:8" x14ac:dyDescent="0.2">
      <c r="A152" s="5" t="s">
        <v>65</v>
      </c>
      <c r="B152" s="17">
        <f>IF(B56,0-Aggreg!B267/B56,0)</f>
        <v>-58.303284609721608</v>
      </c>
      <c r="C152" s="21"/>
      <c r="D152" s="21"/>
      <c r="E152" s="17">
        <f>IF(E56,0-Aggreg!E267/E56,0)</f>
        <v>0</v>
      </c>
      <c r="F152" s="21"/>
      <c r="G152" s="17">
        <f>IF(G56,0-Aggreg!G267/G56,0)</f>
        <v>-64.227922295551281</v>
      </c>
      <c r="H152" s="6"/>
    </row>
    <row r="153" spans="1:8" x14ac:dyDescent="0.2">
      <c r="A153" s="5" t="s">
        <v>66</v>
      </c>
      <c r="B153" s="17">
        <f>IF(B57,0-Aggreg!B268/B57,0)</f>
        <v>-48.051703829961085</v>
      </c>
      <c r="C153" s="17">
        <f>IF(C57,0-Aggreg!C268/C57,0)</f>
        <v>-90.116288810616126</v>
      </c>
      <c r="D153" s="17">
        <f>IF(D57,0-Aggreg!D268/D57,0)</f>
        <v>-71.208658438603308</v>
      </c>
      <c r="E153" s="17">
        <f>IF(E57,0-Aggreg!E268/E57,0)</f>
        <v>0</v>
      </c>
      <c r="F153" s="21"/>
      <c r="G153" s="17">
        <f>IF(G57,0-Aggreg!G268/G57,0)</f>
        <v>-64.227922295551281</v>
      </c>
      <c r="H153" s="6"/>
    </row>
    <row r="154" spans="1:8" x14ac:dyDescent="0.2">
      <c r="A154" s="5" t="s">
        <v>75</v>
      </c>
      <c r="B154" s="17">
        <f>IF(B58,0-Aggreg!B269/B58,0)</f>
        <v>-37.407375940829318</v>
      </c>
      <c r="C154" s="21"/>
      <c r="D154" s="21"/>
      <c r="E154" s="17">
        <f>IF(E58,0-Aggreg!E269/E58,0)</f>
        <v>0</v>
      </c>
      <c r="F154" s="21"/>
      <c r="G154" s="17">
        <f>IF(G58,0-Aggreg!G269/G58,0)</f>
        <v>-44.077025158486684</v>
      </c>
      <c r="H154" s="6"/>
    </row>
    <row r="155" spans="1:8" x14ac:dyDescent="0.2">
      <c r="A155" s="5" t="s">
        <v>76</v>
      </c>
      <c r="B155" s="17">
        <f>IF(B59,0-Aggreg!B270/B59,0)</f>
        <v>-31.593377770115911</v>
      </c>
      <c r="C155" s="17">
        <f>IF(C59,0-Aggreg!C270/C59,0)</f>
        <v>-55.41032094850673</v>
      </c>
      <c r="D155" s="17">
        <f>IF(D59,0-Aggreg!D270/D59,0)</f>
        <v>-44.833882963628149</v>
      </c>
      <c r="E155" s="17">
        <f>IF(E59,0-Aggreg!E270/E59,0)</f>
        <v>0</v>
      </c>
      <c r="F155" s="21"/>
      <c r="G155" s="17">
        <f>IF(G59,0-Aggreg!G270/G59,0)</f>
        <v>-44.077025158486684</v>
      </c>
      <c r="H155" s="6"/>
    </row>
    <row r="156" spans="1:8" x14ac:dyDescent="0.2">
      <c r="A156" s="5" t="s">
        <v>77</v>
      </c>
      <c r="B156" s="17">
        <f>IF(B60,0-Aggreg!B271/B60,0)</f>
        <v>-25.06681017342698</v>
      </c>
      <c r="C156" s="21"/>
      <c r="D156" s="21"/>
      <c r="E156" s="17">
        <f>IF(E60,0-Aggreg!E271/E60,0)</f>
        <v>0</v>
      </c>
      <c r="F156" s="21"/>
      <c r="G156" s="17">
        <f>IF(G60,0-Aggreg!G271/G60,0)</f>
        <v>-24.981263111334542</v>
      </c>
      <c r="H156" s="6"/>
    </row>
    <row r="157" spans="1:8" x14ac:dyDescent="0.2">
      <c r="A157" s="5" t="s">
        <v>78</v>
      </c>
      <c r="B157" s="17">
        <f>IF(B61,0-Aggreg!B272/B61,0)</f>
        <v>-21.8735298141745</v>
      </c>
      <c r="C157" s="17">
        <f>IF(C61,0-Aggreg!C272/C61,0)</f>
        <v>-34.913902931456867</v>
      </c>
      <c r="D157" s="17">
        <f>IF(D61,0-Aggreg!D272/D61,0)</f>
        <v>-29.25764473887261</v>
      </c>
      <c r="E157" s="17">
        <f>IF(E61,0-Aggreg!E272/E61,0)</f>
        <v>0</v>
      </c>
      <c r="F157" s="21"/>
      <c r="G157" s="17">
        <f>IF(G61,0-Aggreg!G272/G61,0)</f>
        <v>-24.981263111334542</v>
      </c>
      <c r="H157" s="6"/>
    </row>
    <row r="159" spans="1:8" ht="16.5" x14ac:dyDescent="0.25">
      <c r="A159" s="3" t="s">
        <v>1053</v>
      </c>
    </row>
    <row r="160" spans="1:8" x14ac:dyDescent="0.2">
      <c r="A160" s="10" t="s">
        <v>238</v>
      </c>
    </row>
    <row r="161" spans="1:3" x14ac:dyDescent="0.2">
      <c r="A161" s="10" t="s">
        <v>1054</v>
      </c>
    </row>
    <row r="163" spans="1:3" ht="25.5" x14ac:dyDescent="0.2">
      <c r="B163" s="4" t="s">
        <v>1055</v>
      </c>
    </row>
    <row r="164" spans="1:3" x14ac:dyDescent="0.2">
      <c r="A164" s="5" t="s">
        <v>1055</v>
      </c>
      <c r="B164" s="17">
        <f>Revenue!C67/SUM(B83:G110)</f>
        <v>33.681258597321609</v>
      </c>
      <c r="C164" s="6"/>
    </row>
    <row r="166" spans="1:3" ht="16.5" x14ac:dyDescent="0.25">
      <c r="A166" s="3" t="s">
        <v>1056</v>
      </c>
    </row>
    <row r="167" spans="1:3" x14ac:dyDescent="0.2">
      <c r="A167" s="10" t="s">
        <v>238</v>
      </c>
    </row>
    <row r="168" spans="1:3" x14ac:dyDescent="0.2">
      <c r="A168" s="10" t="s">
        <v>1054</v>
      </c>
    </row>
    <row r="170" spans="1:3" x14ac:dyDescent="0.2">
      <c r="B170" s="4" t="s">
        <v>1057</v>
      </c>
    </row>
    <row r="171" spans="1:3" x14ac:dyDescent="0.2">
      <c r="A171" s="5" t="s">
        <v>1057</v>
      </c>
      <c r="B171" s="17">
        <f>MIN(B164,B130:G157)</f>
        <v>-1144.4641134597359</v>
      </c>
      <c r="C171" s="6"/>
    </row>
    <row r="173" spans="1:3" ht="16.5" x14ac:dyDescent="0.25">
      <c r="A173" s="3" t="s">
        <v>1058</v>
      </c>
    </row>
    <row r="174" spans="1:3" x14ac:dyDescent="0.2">
      <c r="A174" s="10" t="s">
        <v>238</v>
      </c>
    </row>
    <row r="175" spans="1:3" x14ac:dyDescent="0.2">
      <c r="A175" s="11" t="s">
        <v>1059</v>
      </c>
    </row>
    <row r="176" spans="1:3" x14ac:dyDescent="0.2">
      <c r="A176" s="11" t="s">
        <v>1060</v>
      </c>
    </row>
    <row r="177" spans="1:14" x14ac:dyDescent="0.2">
      <c r="A177" s="11" t="s">
        <v>1061</v>
      </c>
    </row>
    <row r="178" spans="1:14" x14ac:dyDescent="0.2">
      <c r="A178" s="11" t="s">
        <v>1062</v>
      </c>
    </row>
    <row r="179" spans="1:14" x14ac:dyDescent="0.2">
      <c r="A179" s="11" t="s">
        <v>1063</v>
      </c>
    </row>
    <row r="180" spans="1:14" x14ac:dyDescent="0.2">
      <c r="A180" s="11" t="s">
        <v>1064</v>
      </c>
    </row>
    <row r="181" spans="1:14" x14ac:dyDescent="0.2">
      <c r="A181" s="11" t="s">
        <v>1065</v>
      </c>
    </row>
    <row r="182" spans="1:14" x14ac:dyDescent="0.2">
      <c r="A182" s="11" t="s">
        <v>1066</v>
      </c>
    </row>
    <row r="183" spans="1:14" x14ac:dyDescent="0.2">
      <c r="A183" s="11" t="s">
        <v>1067</v>
      </c>
    </row>
    <row r="184" spans="1:14" x14ac:dyDescent="0.2">
      <c r="A184" s="11" t="s">
        <v>1068</v>
      </c>
    </row>
    <row r="185" spans="1:14" x14ac:dyDescent="0.2">
      <c r="A185" s="11" t="s">
        <v>1069</v>
      </c>
    </row>
    <row r="186" spans="1:14" x14ac:dyDescent="0.2">
      <c r="A186" s="11" t="s">
        <v>1070</v>
      </c>
    </row>
    <row r="187" spans="1:14" x14ac:dyDescent="0.2">
      <c r="A187" s="11" t="s">
        <v>1071</v>
      </c>
    </row>
    <row r="188" spans="1:14" x14ac:dyDescent="0.2">
      <c r="A188" s="11" t="s">
        <v>1072</v>
      </c>
    </row>
    <row r="189" spans="1:14" x14ac:dyDescent="0.2">
      <c r="A189" s="11" t="s">
        <v>1073</v>
      </c>
    </row>
    <row r="190" spans="1:14" x14ac:dyDescent="0.2">
      <c r="A190" s="11" t="s">
        <v>1074</v>
      </c>
    </row>
    <row r="191" spans="1:14" x14ac:dyDescent="0.2">
      <c r="A191" s="11" t="s">
        <v>1075</v>
      </c>
    </row>
    <row r="192" spans="1:14" x14ac:dyDescent="0.2">
      <c r="A192" s="18" t="s">
        <v>241</v>
      </c>
      <c r="B192" s="18" t="s">
        <v>309</v>
      </c>
      <c r="C192" s="18" t="s">
        <v>309</v>
      </c>
      <c r="D192" s="18" t="s">
        <v>309</v>
      </c>
      <c r="E192" s="18" t="s">
        <v>309</v>
      </c>
      <c r="F192" s="18" t="s">
        <v>309</v>
      </c>
      <c r="G192" s="18" t="s">
        <v>242</v>
      </c>
      <c r="H192" s="18" t="s">
        <v>371</v>
      </c>
      <c r="I192" s="18" t="s">
        <v>309</v>
      </c>
      <c r="J192" s="18" t="s">
        <v>309</v>
      </c>
      <c r="K192" s="18" t="s">
        <v>309</v>
      </c>
      <c r="L192" s="18" t="s">
        <v>309</v>
      </c>
      <c r="M192" s="18" t="s">
        <v>309</v>
      </c>
      <c r="N192" s="18" t="s">
        <v>309</v>
      </c>
    </row>
    <row r="193" spans="1:15" x14ac:dyDescent="0.2">
      <c r="A193" s="18" t="s">
        <v>244</v>
      </c>
      <c r="B193" s="18" t="s">
        <v>309</v>
      </c>
      <c r="C193" s="18" t="s">
        <v>309</v>
      </c>
      <c r="D193" s="18" t="s">
        <v>309</v>
      </c>
      <c r="E193" s="18" t="s">
        <v>309</v>
      </c>
      <c r="F193" s="18" t="s">
        <v>309</v>
      </c>
      <c r="G193" s="18" t="s">
        <v>245</v>
      </c>
      <c r="H193" s="18" t="s">
        <v>1076</v>
      </c>
      <c r="I193" s="18" t="s">
        <v>309</v>
      </c>
      <c r="J193" s="18" t="s">
        <v>309</v>
      </c>
      <c r="K193" s="18" t="s">
        <v>309</v>
      </c>
      <c r="L193" s="18" t="s">
        <v>309</v>
      </c>
      <c r="M193" s="18" t="s">
        <v>309</v>
      </c>
      <c r="N193" s="18" t="s">
        <v>309</v>
      </c>
    </row>
    <row r="195" spans="1:15" ht="25.5" x14ac:dyDescent="0.2">
      <c r="B195" s="4" t="s">
        <v>1077</v>
      </c>
      <c r="C195" s="4" t="s">
        <v>1078</v>
      </c>
      <c r="D195" s="4" t="s">
        <v>1079</v>
      </c>
      <c r="E195" s="4" t="s">
        <v>1080</v>
      </c>
      <c r="F195" s="4" t="s">
        <v>1081</v>
      </c>
      <c r="G195" s="4" t="s">
        <v>1082</v>
      </c>
      <c r="H195" s="4" t="s">
        <v>1083</v>
      </c>
      <c r="I195" s="4" t="s">
        <v>1084</v>
      </c>
      <c r="J195" s="4" t="s">
        <v>1085</v>
      </c>
      <c r="K195" s="4" t="s">
        <v>1086</v>
      </c>
      <c r="L195" s="4" t="s">
        <v>1087</v>
      </c>
      <c r="M195" s="4" t="s">
        <v>1088</v>
      </c>
      <c r="N195" s="4" t="s">
        <v>1089</v>
      </c>
    </row>
    <row r="196" spans="1:15" x14ac:dyDescent="0.2">
      <c r="A196" s="5" t="s">
        <v>1057</v>
      </c>
      <c r="B196" s="17">
        <f>B171</f>
        <v>-1144.4641134597359</v>
      </c>
      <c r="C196" s="21"/>
      <c r="D196" s="21"/>
      <c r="E196" s="21"/>
      <c r="F196" s="21"/>
      <c r="G196" s="16">
        <v>0</v>
      </c>
      <c r="H196" s="25">
        <f t="shared" ref="H196:H227" si="0">F196*168+G196</f>
        <v>0</v>
      </c>
      <c r="I196" s="21"/>
      <c r="J196" s="21"/>
      <c r="K196" s="17">
        <f>B196</f>
        <v>-1144.4641134597359</v>
      </c>
      <c r="L196" s="17">
        <f>SUM(D$196:D$363)</f>
        <v>0</v>
      </c>
      <c r="M196" s="17">
        <f>SUM($E$196:$E$363)-Revenue!$C$67</f>
        <v>-415211637.32684243</v>
      </c>
      <c r="N196" s="17">
        <f>IF(M$196&gt;0,K196,IF(M$364&gt;0,"",$B$164))</f>
        <v>33.681258597321609</v>
      </c>
      <c r="O196" s="6"/>
    </row>
    <row r="197" spans="1:15" x14ac:dyDescent="0.2">
      <c r="A197" s="5" t="s">
        <v>1090</v>
      </c>
      <c r="B197" s="17">
        <f t="shared" ref="B197:B224" si="1">B130</f>
        <v>-71.38300070854244</v>
      </c>
      <c r="C197" s="17">
        <f t="shared" ref="C197:C224" si="2">B83</f>
        <v>2040306.4745290349</v>
      </c>
      <c r="D197" s="17">
        <f t="shared" ref="D197:D228" si="3">IF(ISNUMBER(B197),0,C197)</f>
        <v>0</v>
      </c>
      <c r="E197" s="17">
        <f t="shared" ref="E197:E228" si="4">MAX($B$171,B197)*C197</f>
        <v>-145643198.51694983</v>
      </c>
      <c r="F197" s="25">
        <f t="shared" ref="F197:F228" si="5">RANK(B197,B$197:B$364,1)</f>
        <v>20</v>
      </c>
      <c r="G197" s="16">
        <v>1</v>
      </c>
      <c r="H197" s="25">
        <f t="shared" si="0"/>
        <v>3361</v>
      </c>
      <c r="I197" s="25">
        <f t="shared" ref="I197:I228" si="6">RANK(H197,H$197:H$364,1)</f>
        <v>20</v>
      </c>
      <c r="J197" s="25">
        <f t="shared" ref="J197:J228" si="7">MATCH(G197,I$197:I$364,0)</f>
        <v>74</v>
      </c>
      <c r="K197" s="17">
        <f t="shared" ref="K197:K228" si="8">INDEX(B$197:B$364,J197,1)</f>
        <v>-1144.4641134597359</v>
      </c>
      <c r="L197" s="17">
        <f t="shared" ref="L197:L228" si="9">L196+INDEX(C$197:C$364,J197,1)</f>
        <v>3250.6599423367156</v>
      </c>
      <c r="M197" s="17">
        <f t="shared" ref="M197:M228" si="10">M196+(K197-K196)*L196</f>
        <v>-415211637.32684243</v>
      </c>
      <c r="N197" s="17" t="str">
        <f t="shared" ref="N197:N228" si="11">IF((M196&gt;0)=(M197&gt;0),"",K197-M197/L196)</f>
        <v/>
      </c>
      <c r="O197" s="6"/>
    </row>
    <row r="198" spans="1:15" x14ac:dyDescent="0.2">
      <c r="A198" s="5" t="s">
        <v>1091</v>
      </c>
      <c r="B198" s="17">
        <f t="shared" si="1"/>
        <v>-68.659148016894164</v>
      </c>
      <c r="C198" s="17">
        <f t="shared" si="2"/>
        <v>196877.51475055542</v>
      </c>
      <c r="D198" s="17">
        <f t="shared" si="3"/>
        <v>0</v>
      </c>
      <c r="E198" s="17">
        <f t="shared" si="4"/>
        <v>-13517442.426456649</v>
      </c>
      <c r="F198" s="25">
        <f t="shared" si="5"/>
        <v>26</v>
      </c>
      <c r="G198" s="16">
        <v>2</v>
      </c>
      <c r="H198" s="25">
        <f t="shared" si="0"/>
        <v>4370</v>
      </c>
      <c r="I198" s="25">
        <f t="shared" si="6"/>
        <v>26</v>
      </c>
      <c r="J198" s="25">
        <f t="shared" si="7"/>
        <v>46</v>
      </c>
      <c r="K198" s="17">
        <f t="shared" si="8"/>
        <v>-324.77958461612411</v>
      </c>
      <c r="L198" s="17">
        <f t="shared" si="9"/>
        <v>5564.333770345489</v>
      </c>
      <c r="M198" s="17">
        <f t="shared" si="10"/>
        <v>-412547121.66357738</v>
      </c>
      <c r="N198" s="17" t="str">
        <f t="shared" si="11"/>
        <v/>
      </c>
      <c r="O198" s="6"/>
    </row>
    <row r="199" spans="1:15" x14ac:dyDescent="0.2">
      <c r="A199" s="5" t="s">
        <v>1092</v>
      </c>
      <c r="B199" s="17">
        <f t="shared" si="1"/>
        <v>-90.734644982458207</v>
      </c>
      <c r="C199" s="17">
        <f t="shared" si="2"/>
        <v>711.0913047721823</v>
      </c>
      <c r="D199" s="17">
        <f t="shared" si="3"/>
        <v>0</v>
      </c>
      <c r="E199" s="17">
        <f t="shared" si="4"/>
        <v>-64520.617088616949</v>
      </c>
      <c r="F199" s="25">
        <f t="shared" si="5"/>
        <v>9</v>
      </c>
      <c r="G199" s="16">
        <v>3</v>
      </c>
      <c r="H199" s="25">
        <f t="shared" si="0"/>
        <v>1515</v>
      </c>
      <c r="I199" s="25">
        <f t="shared" si="6"/>
        <v>9</v>
      </c>
      <c r="J199" s="25">
        <f t="shared" si="7"/>
        <v>17</v>
      </c>
      <c r="K199" s="17">
        <f t="shared" si="8"/>
        <v>-268.0611444515589</v>
      </c>
      <c r="L199" s="17">
        <f t="shared" si="9"/>
        <v>5564.333770345489</v>
      </c>
      <c r="M199" s="17">
        <f t="shared" si="10"/>
        <v>-412231521.33156836</v>
      </c>
      <c r="N199" s="17" t="str">
        <f t="shared" si="11"/>
        <v/>
      </c>
      <c r="O199" s="6"/>
    </row>
    <row r="200" spans="1:15" x14ac:dyDescent="0.2">
      <c r="A200" s="5" t="s">
        <v>1093</v>
      </c>
      <c r="B200" s="17">
        <f t="shared" si="1"/>
        <v>-71.383000708542411</v>
      </c>
      <c r="C200" s="17">
        <f t="shared" si="2"/>
        <v>407657.2580291109</v>
      </c>
      <c r="D200" s="17">
        <f t="shared" si="3"/>
        <v>0</v>
      </c>
      <c r="E200" s="17">
        <f t="shared" si="4"/>
        <v>-29099798.338734481</v>
      </c>
      <c r="F200" s="25">
        <f t="shared" si="5"/>
        <v>23</v>
      </c>
      <c r="G200" s="16">
        <v>4</v>
      </c>
      <c r="H200" s="25">
        <f t="shared" si="0"/>
        <v>3868</v>
      </c>
      <c r="I200" s="25">
        <f t="shared" si="6"/>
        <v>23</v>
      </c>
      <c r="J200" s="25">
        <f t="shared" si="7"/>
        <v>14</v>
      </c>
      <c r="K200" s="17">
        <f t="shared" si="8"/>
        <v>-197.23889447577236</v>
      </c>
      <c r="L200" s="17">
        <f t="shared" si="9"/>
        <v>10644.590712904723</v>
      </c>
      <c r="M200" s="17">
        <f t="shared" si="10"/>
        <v>-411837442.69433624</v>
      </c>
      <c r="N200" s="17" t="str">
        <f t="shared" si="11"/>
        <v/>
      </c>
      <c r="O200" s="6"/>
    </row>
    <row r="201" spans="1:15" x14ac:dyDescent="0.2">
      <c r="A201" s="5" t="s">
        <v>1094</v>
      </c>
      <c r="B201" s="17">
        <f t="shared" si="1"/>
        <v>-71.993072228567485</v>
      </c>
      <c r="C201" s="17">
        <f t="shared" si="2"/>
        <v>140242.02068756433</v>
      </c>
      <c r="D201" s="17">
        <f t="shared" si="3"/>
        <v>0</v>
      </c>
      <c r="E201" s="17">
        <f t="shared" si="4"/>
        <v>-10096453.924840074</v>
      </c>
      <c r="F201" s="25">
        <f t="shared" si="5"/>
        <v>18</v>
      </c>
      <c r="G201" s="16">
        <v>5</v>
      </c>
      <c r="H201" s="25">
        <f t="shared" si="0"/>
        <v>3029</v>
      </c>
      <c r="I201" s="25">
        <f t="shared" si="6"/>
        <v>18</v>
      </c>
      <c r="J201" s="25">
        <f t="shared" si="7"/>
        <v>15</v>
      </c>
      <c r="K201" s="17">
        <f t="shared" si="8"/>
        <v>-147.51248084145172</v>
      </c>
      <c r="L201" s="17">
        <f t="shared" si="9"/>
        <v>13012.353317276604</v>
      </c>
      <c r="M201" s="17">
        <f t="shared" si="10"/>
        <v>-411308125.37357831</v>
      </c>
      <c r="N201" s="17" t="str">
        <f t="shared" si="11"/>
        <v/>
      </c>
      <c r="O201" s="6"/>
    </row>
    <row r="202" spans="1:15" x14ac:dyDescent="0.2">
      <c r="A202" s="5" t="s">
        <v>1095</v>
      </c>
      <c r="B202" s="17">
        <f t="shared" si="1"/>
        <v>-91.1150158757209</v>
      </c>
      <c r="C202" s="17">
        <f t="shared" si="2"/>
        <v>600.07549356108723</v>
      </c>
      <c r="D202" s="17">
        <f t="shared" si="3"/>
        <v>0</v>
      </c>
      <c r="E202" s="17">
        <f t="shared" si="4"/>
        <v>-54675.88812244952</v>
      </c>
      <c r="F202" s="25">
        <f t="shared" si="5"/>
        <v>8</v>
      </c>
      <c r="G202" s="16">
        <v>6</v>
      </c>
      <c r="H202" s="25">
        <f t="shared" si="0"/>
        <v>1350</v>
      </c>
      <c r="I202" s="25">
        <f t="shared" si="6"/>
        <v>8</v>
      </c>
      <c r="J202" s="25">
        <f t="shared" si="7"/>
        <v>50</v>
      </c>
      <c r="K202" s="17">
        <f t="shared" si="8"/>
        <v>-111.8403599560349</v>
      </c>
      <c r="L202" s="17">
        <f t="shared" si="9"/>
        <v>13012.353317276604</v>
      </c>
      <c r="M202" s="17">
        <f t="shared" si="10"/>
        <v>-410843947.13304067</v>
      </c>
      <c r="N202" s="17" t="str">
        <f t="shared" si="11"/>
        <v/>
      </c>
      <c r="O202" s="6"/>
    </row>
    <row r="203" spans="1:15" x14ac:dyDescent="0.2">
      <c r="A203" s="5" t="s">
        <v>1096</v>
      </c>
      <c r="B203" s="17">
        <f t="shared" si="1"/>
        <v>-71.609090939095182</v>
      </c>
      <c r="C203" s="17">
        <f t="shared" si="2"/>
        <v>239336.065167188</v>
      </c>
      <c r="D203" s="17">
        <f t="shared" si="3"/>
        <v>0</v>
      </c>
      <c r="E203" s="17">
        <f t="shared" si="4"/>
        <v>-17138638.055562377</v>
      </c>
      <c r="F203" s="25">
        <f t="shared" si="5"/>
        <v>19</v>
      </c>
      <c r="G203" s="16">
        <v>7</v>
      </c>
      <c r="H203" s="25">
        <f t="shared" si="0"/>
        <v>3199</v>
      </c>
      <c r="I203" s="25">
        <f t="shared" si="6"/>
        <v>19</v>
      </c>
      <c r="J203" s="25">
        <f t="shared" si="7"/>
        <v>16</v>
      </c>
      <c r="K203" s="17">
        <f t="shared" si="8"/>
        <v>-109.17962958507781</v>
      </c>
      <c r="L203" s="17">
        <f t="shared" si="9"/>
        <v>13012.801092009824</v>
      </c>
      <c r="M203" s="17">
        <f t="shared" si="10"/>
        <v>-410809324.76937175</v>
      </c>
      <c r="N203" s="17" t="str">
        <f t="shared" si="11"/>
        <v/>
      </c>
      <c r="O203" s="6"/>
    </row>
    <row r="204" spans="1:15" x14ac:dyDescent="0.2">
      <c r="A204" s="5" t="s">
        <v>1097</v>
      </c>
      <c r="B204" s="17">
        <f t="shared" si="1"/>
        <v>-58.560394150529589</v>
      </c>
      <c r="C204" s="17">
        <f t="shared" si="2"/>
        <v>7737.3820273476776</v>
      </c>
      <c r="D204" s="17">
        <f t="shared" si="3"/>
        <v>0</v>
      </c>
      <c r="E204" s="17">
        <f t="shared" si="4"/>
        <v>-453104.14121470373</v>
      </c>
      <c r="F204" s="25">
        <f t="shared" si="5"/>
        <v>32</v>
      </c>
      <c r="G204" s="16">
        <v>8</v>
      </c>
      <c r="H204" s="25">
        <f t="shared" si="0"/>
        <v>5384</v>
      </c>
      <c r="I204" s="25">
        <f t="shared" si="6"/>
        <v>32</v>
      </c>
      <c r="J204" s="25">
        <f t="shared" si="7"/>
        <v>6</v>
      </c>
      <c r="K204" s="17">
        <f t="shared" si="8"/>
        <v>-91.1150158757209</v>
      </c>
      <c r="L204" s="17">
        <f t="shared" si="9"/>
        <v>13612.876585570912</v>
      </c>
      <c r="M204" s="17">
        <f t="shared" si="10"/>
        <v>-410574253.54436791</v>
      </c>
      <c r="N204" s="17" t="str">
        <f t="shared" si="11"/>
        <v/>
      </c>
      <c r="O204" s="6"/>
    </row>
    <row r="205" spans="1:15" x14ac:dyDescent="0.2">
      <c r="A205" s="5" t="s">
        <v>1098</v>
      </c>
      <c r="B205" s="17">
        <f t="shared" si="1"/>
        <v>-27.729780263708182</v>
      </c>
      <c r="C205" s="17">
        <f t="shared" si="2"/>
        <v>2026.7794114161297</v>
      </c>
      <c r="D205" s="17">
        <f t="shared" si="3"/>
        <v>0</v>
      </c>
      <c r="E205" s="17">
        <f t="shared" si="4"/>
        <v>-56202.147721577079</v>
      </c>
      <c r="F205" s="25">
        <f t="shared" si="5"/>
        <v>53</v>
      </c>
      <c r="G205" s="16">
        <v>9</v>
      </c>
      <c r="H205" s="25">
        <f t="shared" si="0"/>
        <v>8913</v>
      </c>
      <c r="I205" s="25">
        <f t="shared" si="6"/>
        <v>53</v>
      </c>
      <c r="J205" s="25">
        <f t="shared" si="7"/>
        <v>3</v>
      </c>
      <c r="K205" s="17">
        <f t="shared" si="8"/>
        <v>-90.734644982458207</v>
      </c>
      <c r="L205" s="17">
        <f t="shared" si="9"/>
        <v>14323.967890343094</v>
      </c>
      <c r="M205" s="17">
        <f t="shared" si="10"/>
        <v>-410569075.60234118</v>
      </c>
      <c r="N205" s="17" t="str">
        <f t="shared" si="11"/>
        <v/>
      </c>
      <c r="O205" s="6"/>
    </row>
    <row r="206" spans="1:15" x14ac:dyDescent="0.2">
      <c r="A206" s="5" t="s">
        <v>1099</v>
      </c>
      <c r="B206" s="17">
        <f t="shared" si="1"/>
        <v>-45.667947927320938</v>
      </c>
      <c r="C206" s="17">
        <f t="shared" si="2"/>
        <v>168239.26310344206</v>
      </c>
      <c r="D206" s="17">
        <f t="shared" si="3"/>
        <v>0</v>
      </c>
      <c r="E206" s="17">
        <f t="shared" si="4"/>
        <v>-7683141.9067388391</v>
      </c>
      <c r="F206" s="25">
        <f t="shared" si="5"/>
        <v>40</v>
      </c>
      <c r="G206" s="16">
        <v>10</v>
      </c>
      <c r="H206" s="25">
        <f t="shared" si="0"/>
        <v>6730</v>
      </c>
      <c r="I206" s="25">
        <f t="shared" si="6"/>
        <v>40</v>
      </c>
      <c r="J206" s="25">
        <f t="shared" si="7"/>
        <v>52</v>
      </c>
      <c r="K206" s="17">
        <f t="shared" si="8"/>
        <v>-90.116288810616126</v>
      </c>
      <c r="L206" s="17">
        <f t="shared" si="9"/>
        <v>14323.967890343094</v>
      </c>
      <c r="M206" s="17">
        <f t="shared" si="10"/>
        <v>-410560218.28839093</v>
      </c>
      <c r="N206" s="17" t="str">
        <f t="shared" si="11"/>
        <v/>
      </c>
      <c r="O206" s="6"/>
    </row>
    <row r="207" spans="1:15" x14ac:dyDescent="0.2">
      <c r="A207" s="5" t="s">
        <v>1100</v>
      </c>
      <c r="B207" s="17">
        <f t="shared" si="1"/>
        <v>-36.132924316760317</v>
      </c>
      <c r="C207" s="17">
        <f t="shared" si="2"/>
        <v>154054.55799179411</v>
      </c>
      <c r="D207" s="17">
        <f t="shared" si="3"/>
        <v>0</v>
      </c>
      <c r="E207" s="17">
        <f t="shared" si="4"/>
        <v>-5566441.6845694594</v>
      </c>
      <c r="F207" s="25">
        <f t="shared" si="5"/>
        <v>47</v>
      </c>
      <c r="G207" s="16">
        <v>11</v>
      </c>
      <c r="H207" s="25">
        <f t="shared" si="0"/>
        <v>7907</v>
      </c>
      <c r="I207" s="25">
        <f t="shared" si="6"/>
        <v>47</v>
      </c>
      <c r="J207" s="25">
        <f t="shared" si="7"/>
        <v>30</v>
      </c>
      <c r="K207" s="17">
        <f t="shared" si="8"/>
        <v>-87.717850780948282</v>
      </c>
      <c r="L207" s="17">
        <f t="shared" si="9"/>
        <v>27529.109894400746</v>
      </c>
      <c r="M207" s="17">
        <f t="shared" si="10"/>
        <v>-410525863.13906699</v>
      </c>
      <c r="N207" s="17" t="str">
        <f t="shared" si="11"/>
        <v/>
      </c>
      <c r="O207" s="6"/>
    </row>
    <row r="208" spans="1:15" x14ac:dyDescent="0.2">
      <c r="A208" s="5" t="s">
        <v>1101</v>
      </c>
      <c r="B208" s="17">
        <f t="shared" si="1"/>
        <v>-23.828509152178142</v>
      </c>
      <c r="C208" s="17">
        <f t="shared" si="2"/>
        <v>533982.73387232574</v>
      </c>
      <c r="D208" s="17">
        <f t="shared" si="3"/>
        <v>0</v>
      </c>
      <c r="E208" s="17">
        <f t="shared" si="4"/>
        <v>-12724012.461181819</v>
      </c>
      <c r="F208" s="25">
        <f t="shared" si="5"/>
        <v>59</v>
      </c>
      <c r="G208" s="16">
        <v>12</v>
      </c>
      <c r="H208" s="25">
        <f t="shared" si="0"/>
        <v>9924</v>
      </c>
      <c r="I208" s="25">
        <f t="shared" si="6"/>
        <v>59</v>
      </c>
      <c r="J208" s="25">
        <f t="shared" si="7"/>
        <v>33</v>
      </c>
      <c r="K208" s="17">
        <f t="shared" si="8"/>
        <v>-87.717850780948282</v>
      </c>
      <c r="L208" s="17">
        <f t="shared" si="9"/>
        <v>32197.708877242763</v>
      </c>
      <c r="M208" s="17">
        <f t="shared" si="10"/>
        <v>-410525863.13906699</v>
      </c>
      <c r="N208" s="17" t="str">
        <f t="shared" si="11"/>
        <v/>
      </c>
      <c r="O208" s="6"/>
    </row>
    <row r="209" spans="1:15" x14ac:dyDescent="0.2">
      <c r="A209" s="5" t="s">
        <v>1102</v>
      </c>
      <c r="B209" s="17">
        <f t="shared" si="1"/>
        <v>-16.984656161621121</v>
      </c>
      <c r="C209" s="17">
        <f t="shared" si="2"/>
        <v>0</v>
      </c>
      <c r="D209" s="17">
        <f t="shared" si="3"/>
        <v>0</v>
      </c>
      <c r="E209" s="17">
        <f t="shared" si="4"/>
        <v>0</v>
      </c>
      <c r="F209" s="25">
        <f t="shared" si="5"/>
        <v>63</v>
      </c>
      <c r="G209" s="16">
        <v>13</v>
      </c>
      <c r="H209" s="25">
        <f t="shared" si="0"/>
        <v>10597</v>
      </c>
      <c r="I209" s="25">
        <f t="shared" si="6"/>
        <v>63</v>
      </c>
      <c r="J209" s="25">
        <f t="shared" si="7"/>
        <v>35</v>
      </c>
      <c r="K209" s="17">
        <f t="shared" si="8"/>
        <v>-87.717850780948282</v>
      </c>
      <c r="L209" s="17">
        <f t="shared" si="9"/>
        <v>36903.286951677248</v>
      </c>
      <c r="M209" s="17">
        <f t="shared" si="10"/>
        <v>-410525863.13906699</v>
      </c>
      <c r="N209" s="17" t="str">
        <f t="shared" si="11"/>
        <v/>
      </c>
      <c r="O209" s="6"/>
    </row>
    <row r="210" spans="1:15" x14ac:dyDescent="0.2">
      <c r="A210" s="5" t="s">
        <v>1103</v>
      </c>
      <c r="B210" s="17">
        <f t="shared" si="1"/>
        <v>-197.23889447577236</v>
      </c>
      <c r="C210" s="17">
        <f t="shared" si="2"/>
        <v>5080.2569425592346</v>
      </c>
      <c r="D210" s="17">
        <f t="shared" si="3"/>
        <v>0</v>
      </c>
      <c r="E210" s="17">
        <f t="shared" si="4"/>
        <v>-1002024.2630032508</v>
      </c>
      <c r="F210" s="25">
        <f t="shared" si="5"/>
        <v>4</v>
      </c>
      <c r="G210" s="16">
        <v>14</v>
      </c>
      <c r="H210" s="25">
        <f t="shared" si="0"/>
        <v>686</v>
      </c>
      <c r="I210" s="25">
        <f t="shared" si="6"/>
        <v>4</v>
      </c>
      <c r="J210" s="25">
        <f t="shared" si="7"/>
        <v>78</v>
      </c>
      <c r="K210" s="17">
        <f t="shared" si="8"/>
        <v>-87.717850780948282</v>
      </c>
      <c r="L210" s="17">
        <f t="shared" si="9"/>
        <v>36903.286951677248</v>
      </c>
      <c r="M210" s="17">
        <f t="shared" si="10"/>
        <v>-410525863.13906699</v>
      </c>
      <c r="N210" s="17" t="str">
        <f t="shared" si="11"/>
        <v/>
      </c>
      <c r="O210" s="6"/>
    </row>
    <row r="211" spans="1:15" x14ac:dyDescent="0.2">
      <c r="A211" s="5" t="s">
        <v>1104</v>
      </c>
      <c r="B211" s="17">
        <f t="shared" si="1"/>
        <v>-147.51248084145172</v>
      </c>
      <c r="C211" s="17">
        <f t="shared" si="2"/>
        <v>2367.762604371881</v>
      </c>
      <c r="D211" s="17">
        <f t="shared" si="3"/>
        <v>0</v>
      </c>
      <c r="E211" s="17">
        <f t="shared" si="4"/>
        <v>-349274.53581451293</v>
      </c>
      <c r="F211" s="25">
        <f t="shared" si="5"/>
        <v>5</v>
      </c>
      <c r="G211" s="16">
        <v>15</v>
      </c>
      <c r="H211" s="25">
        <f t="shared" si="0"/>
        <v>855</v>
      </c>
      <c r="I211" s="25">
        <f t="shared" si="6"/>
        <v>5</v>
      </c>
      <c r="J211" s="25">
        <f t="shared" si="7"/>
        <v>38</v>
      </c>
      <c r="K211" s="17">
        <f t="shared" si="8"/>
        <v>-85.089619910794752</v>
      </c>
      <c r="L211" s="17">
        <f t="shared" si="9"/>
        <v>89300.73578342449</v>
      </c>
      <c r="M211" s="17">
        <f t="shared" si="10"/>
        <v>-410428872.78109044</v>
      </c>
      <c r="N211" s="17" t="str">
        <f t="shared" si="11"/>
        <v/>
      </c>
      <c r="O211" s="6"/>
    </row>
    <row r="212" spans="1:15" x14ac:dyDescent="0.2">
      <c r="A212" s="5" t="s">
        <v>1105</v>
      </c>
      <c r="B212" s="17">
        <f t="shared" si="1"/>
        <v>-109.17962958507781</v>
      </c>
      <c r="C212" s="17">
        <f t="shared" si="2"/>
        <v>0.447774733219578</v>
      </c>
      <c r="D212" s="17">
        <f t="shared" si="3"/>
        <v>0</v>
      </c>
      <c r="E212" s="17">
        <f t="shared" si="4"/>
        <v>-48.887879510470562</v>
      </c>
      <c r="F212" s="25">
        <f t="shared" si="5"/>
        <v>7</v>
      </c>
      <c r="G212" s="16">
        <v>16</v>
      </c>
      <c r="H212" s="25">
        <f t="shared" si="0"/>
        <v>1192</v>
      </c>
      <c r="I212" s="25">
        <f t="shared" si="6"/>
        <v>7</v>
      </c>
      <c r="J212" s="25">
        <f t="shared" si="7"/>
        <v>161</v>
      </c>
      <c r="K212" s="17">
        <f t="shared" si="8"/>
        <v>-75.950396851896826</v>
      </c>
      <c r="L212" s="17">
        <f t="shared" si="9"/>
        <v>89300.73578342449</v>
      </c>
      <c r="M212" s="17">
        <f t="shared" si="10"/>
        <v>-409612733.437442</v>
      </c>
      <c r="N212" s="17" t="str">
        <f t="shared" si="11"/>
        <v/>
      </c>
      <c r="O212" s="6"/>
    </row>
    <row r="213" spans="1:15" x14ac:dyDescent="0.2">
      <c r="A213" s="5" t="s">
        <v>1106</v>
      </c>
      <c r="B213" s="17">
        <f t="shared" si="1"/>
        <v>-268.0611444515589</v>
      </c>
      <c r="C213" s="17">
        <f t="shared" si="2"/>
        <v>0</v>
      </c>
      <c r="D213" s="17">
        <f t="shared" si="3"/>
        <v>0</v>
      </c>
      <c r="E213" s="17">
        <f t="shared" si="4"/>
        <v>0</v>
      </c>
      <c r="F213" s="25">
        <f t="shared" si="5"/>
        <v>3</v>
      </c>
      <c r="G213" s="16">
        <v>17</v>
      </c>
      <c r="H213" s="25">
        <f t="shared" si="0"/>
        <v>521</v>
      </c>
      <c r="I213" s="25">
        <f t="shared" si="6"/>
        <v>3</v>
      </c>
      <c r="J213" s="25">
        <f t="shared" si="7"/>
        <v>162</v>
      </c>
      <c r="K213" s="17">
        <f t="shared" si="8"/>
        <v>-75.950396851896826</v>
      </c>
      <c r="L213" s="17">
        <f t="shared" si="9"/>
        <v>89300.73578342449</v>
      </c>
      <c r="M213" s="17">
        <f t="shared" si="10"/>
        <v>-409612733.437442</v>
      </c>
      <c r="N213" s="17" t="str">
        <f t="shared" si="11"/>
        <v/>
      </c>
      <c r="O213" s="6"/>
    </row>
    <row r="214" spans="1:15" x14ac:dyDescent="0.2">
      <c r="A214" s="5" t="s">
        <v>1107</v>
      </c>
      <c r="B214" s="17">
        <f t="shared" si="1"/>
        <v>-64.372376956573234</v>
      </c>
      <c r="C214" s="17">
        <f t="shared" si="2"/>
        <v>40855.647515114259</v>
      </c>
      <c r="D214" s="17">
        <f t="shared" si="3"/>
        <v>0</v>
      </c>
      <c r="E214" s="17">
        <f t="shared" si="4"/>
        <v>-2629975.1426478196</v>
      </c>
      <c r="F214" s="25">
        <f t="shared" si="5"/>
        <v>29</v>
      </c>
      <c r="G214" s="16">
        <v>18</v>
      </c>
      <c r="H214" s="25">
        <f t="shared" si="0"/>
        <v>4890</v>
      </c>
      <c r="I214" s="25">
        <f t="shared" si="6"/>
        <v>29</v>
      </c>
      <c r="J214" s="25">
        <f t="shared" si="7"/>
        <v>5</v>
      </c>
      <c r="K214" s="17">
        <f t="shared" si="8"/>
        <v>-71.993072228567485</v>
      </c>
      <c r="L214" s="17">
        <f t="shared" si="9"/>
        <v>229542.75647098882</v>
      </c>
      <c r="M214" s="17">
        <f t="shared" si="10"/>
        <v>-409259341.43684483</v>
      </c>
      <c r="N214" s="17" t="str">
        <f t="shared" si="11"/>
        <v/>
      </c>
      <c r="O214" s="6"/>
    </row>
    <row r="215" spans="1:15" x14ac:dyDescent="0.2">
      <c r="A215" s="5" t="s">
        <v>1108</v>
      </c>
      <c r="B215" s="17">
        <f t="shared" si="1"/>
        <v>-71.383000708542426</v>
      </c>
      <c r="C215" s="17">
        <f t="shared" si="2"/>
        <v>0</v>
      </c>
      <c r="D215" s="17">
        <f t="shared" si="3"/>
        <v>0</v>
      </c>
      <c r="E215" s="17">
        <f t="shared" si="4"/>
        <v>0</v>
      </c>
      <c r="F215" s="25">
        <f t="shared" si="5"/>
        <v>21</v>
      </c>
      <c r="G215" s="16">
        <v>19</v>
      </c>
      <c r="H215" s="25">
        <f t="shared" si="0"/>
        <v>3547</v>
      </c>
      <c r="I215" s="25">
        <f t="shared" si="6"/>
        <v>21</v>
      </c>
      <c r="J215" s="25">
        <f t="shared" si="7"/>
        <v>7</v>
      </c>
      <c r="K215" s="17">
        <f t="shared" si="8"/>
        <v>-71.609090939095182</v>
      </c>
      <c r="L215" s="17">
        <f t="shared" si="9"/>
        <v>468878.8216381768</v>
      </c>
      <c r="M215" s="17">
        <f t="shared" si="10"/>
        <v>-409171201.31322604</v>
      </c>
      <c r="N215" s="17" t="str">
        <f t="shared" si="11"/>
        <v/>
      </c>
      <c r="O215" s="6"/>
    </row>
    <row r="216" spans="1:15" x14ac:dyDescent="0.2">
      <c r="A216" s="5" t="s">
        <v>1109</v>
      </c>
      <c r="B216" s="17">
        <f t="shared" si="1"/>
        <v>-58.303284609721608</v>
      </c>
      <c r="C216" s="17">
        <f t="shared" si="2"/>
        <v>0</v>
      </c>
      <c r="D216" s="17">
        <f t="shared" si="3"/>
        <v>0</v>
      </c>
      <c r="E216" s="17">
        <f t="shared" si="4"/>
        <v>0</v>
      </c>
      <c r="F216" s="25">
        <f t="shared" si="5"/>
        <v>34</v>
      </c>
      <c r="G216" s="16">
        <v>20</v>
      </c>
      <c r="H216" s="25">
        <f t="shared" si="0"/>
        <v>5732</v>
      </c>
      <c r="I216" s="25">
        <f t="shared" si="6"/>
        <v>34</v>
      </c>
      <c r="J216" s="25">
        <f t="shared" si="7"/>
        <v>1</v>
      </c>
      <c r="K216" s="17">
        <f t="shared" si="8"/>
        <v>-71.38300070854244</v>
      </c>
      <c r="L216" s="17">
        <f t="shared" si="9"/>
        <v>2509185.2961672116</v>
      </c>
      <c r="M216" s="17">
        <f t="shared" si="10"/>
        <v>-409065192.39234054</v>
      </c>
      <c r="N216" s="17" t="str">
        <f t="shared" si="11"/>
        <v/>
      </c>
      <c r="O216" s="6"/>
    </row>
    <row r="217" spans="1:15" x14ac:dyDescent="0.2">
      <c r="A217" s="5" t="s">
        <v>1110</v>
      </c>
      <c r="B217" s="17">
        <f t="shared" si="1"/>
        <v>-71.383000708542426</v>
      </c>
      <c r="C217" s="17">
        <f t="shared" si="2"/>
        <v>0</v>
      </c>
      <c r="D217" s="17">
        <f t="shared" si="3"/>
        <v>0</v>
      </c>
      <c r="E217" s="17">
        <f t="shared" si="4"/>
        <v>0</v>
      </c>
      <c r="F217" s="25">
        <f t="shared" si="5"/>
        <v>21</v>
      </c>
      <c r="G217" s="16">
        <v>21</v>
      </c>
      <c r="H217" s="25">
        <f t="shared" si="0"/>
        <v>3549</v>
      </c>
      <c r="I217" s="25">
        <f t="shared" si="6"/>
        <v>22</v>
      </c>
      <c r="J217" s="25">
        <f t="shared" si="7"/>
        <v>19</v>
      </c>
      <c r="K217" s="17">
        <f t="shared" si="8"/>
        <v>-71.383000708542426</v>
      </c>
      <c r="L217" s="17">
        <f t="shared" si="9"/>
        <v>2509185.2961672116</v>
      </c>
      <c r="M217" s="17">
        <f t="shared" si="10"/>
        <v>-409065192.39234048</v>
      </c>
      <c r="N217" s="17" t="str">
        <f t="shared" si="11"/>
        <v/>
      </c>
      <c r="O217" s="6"/>
    </row>
    <row r="218" spans="1:15" x14ac:dyDescent="0.2">
      <c r="A218" s="5" t="s">
        <v>1111</v>
      </c>
      <c r="B218" s="17">
        <f t="shared" si="1"/>
        <v>-58.353731644863998</v>
      </c>
      <c r="C218" s="17">
        <f t="shared" si="2"/>
        <v>0</v>
      </c>
      <c r="D218" s="17">
        <f t="shared" si="3"/>
        <v>0</v>
      </c>
      <c r="E218" s="17">
        <f t="shared" si="4"/>
        <v>0</v>
      </c>
      <c r="F218" s="25">
        <f t="shared" si="5"/>
        <v>33</v>
      </c>
      <c r="G218" s="16">
        <v>22</v>
      </c>
      <c r="H218" s="25">
        <f t="shared" si="0"/>
        <v>5566</v>
      </c>
      <c r="I218" s="25">
        <f t="shared" si="6"/>
        <v>33</v>
      </c>
      <c r="J218" s="25">
        <f t="shared" si="7"/>
        <v>21</v>
      </c>
      <c r="K218" s="17">
        <f t="shared" si="8"/>
        <v>-71.383000708542426</v>
      </c>
      <c r="L218" s="17">
        <f t="shared" si="9"/>
        <v>2509185.2961672116</v>
      </c>
      <c r="M218" s="17">
        <f t="shared" si="10"/>
        <v>-409065192.39234048</v>
      </c>
      <c r="N218" s="17" t="str">
        <f t="shared" si="11"/>
        <v/>
      </c>
      <c r="O218" s="6"/>
    </row>
    <row r="219" spans="1:15" x14ac:dyDescent="0.2">
      <c r="A219" s="5" t="s">
        <v>1112</v>
      </c>
      <c r="B219" s="17">
        <f t="shared" si="1"/>
        <v>-58.303284609721608</v>
      </c>
      <c r="C219" s="17">
        <f t="shared" si="2"/>
        <v>0</v>
      </c>
      <c r="D219" s="17">
        <f t="shared" si="3"/>
        <v>0</v>
      </c>
      <c r="E219" s="17">
        <f t="shared" si="4"/>
        <v>0</v>
      </c>
      <c r="F219" s="25">
        <f t="shared" si="5"/>
        <v>34</v>
      </c>
      <c r="G219" s="16">
        <v>23</v>
      </c>
      <c r="H219" s="25">
        <f t="shared" si="0"/>
        <v>5735</v>
      </c>
      <c r="I219" s="25">
        <f t="shared" si="6"/>
        <v>35</v>
      </c>
      <c r="J219" s="25">
        <f t="shared" si="7"/>
        <v>4</v>
      </c>
      <c r="K219" s="17">
        <f t="shared" si="8"/>
        <v>-71.383000708542411</v>
      </c>
      <c r="L219" s="17">
        <f t="shared" si="9"/>
        <v>2916842.5541963223</v>
      </c>
      <c r="M219" s="17">
        <f t="shared" si="10"/>
        <v>-409065192.39234042</v>
      </c>
      <c r="N219" s="17" t="str">
        <f t="shared" si="11"/>
        <v/>
      </c>
      <c r="O219" s="6"/>
    </row>
    <row r="220" spans="1:15" x14ac:dyDescent="0.2">
      <c r="A220" s="5" t="s">
        <v>1113</v>
      </c>
      <c r="B220" s="17">
        <f t="shared" si="1"/>
        <v>-48.051703829961085</v>
      </c>
      <c r="C220" s="17">
        <f t="shared" si="2"/>
        <v>0</v>
      </c>
      <c r="D220" s="17">
        <f t="shared" si="3"/>
        <v>0</v>
      </c>
      <c r="E220" s="17">
        <f t="shared" si="4"/>
        <v>0</v>
      </c>
      <c r="F220" s="25">
        <f t="shared" si="5"/>
        <v>39</v>
      </c>
      <c r="G220" s="16">
        <v>24</v>
      </c>
      <c r="H220" s="25">
        <f t="shared" si="0"/>
        <v>6576</v>
      </c>
      <c r="I220" s="25">
        <f t="shared" si="6"/>
        <v>39</v>
      </c>
      <c r="J220" s="25">
        <f t="shared" si="7"/>
        <v>36</v>
      </c>
      <c r="K220" s="17">
        <f t="shared" si="8"/>
        <v>-71.208658438603308</v>
      </c>
      <c r="L220" s="17">
        <f t="shared" si="9"/>
        <v>2917009.3159449864</v>
      </c>
      <c r="M220" s="17">
        <f t="shared" si="10"/>
        <v>-408556663.44038689</v>
      </c>
      <c r="N220" s="17" t="str">
        <f t="shared" si="11"/>
        <v/>
      </c>
      <c r="O220" s="6"/>
    </row>
    <row r="221" spans="1:15" x14ac:dyDescent="0.2">
      <c r="A221" s="5" t="s">
        <v>1114</v>
      </c>
      <c r="B221" s="17">
        <f t="shared" si="1"/>
        <v>-37.407375940829318</v>
      </c>
      <c r="C221" s="17">
        <f t="shared" si="2"/>
        <v>0</v>
      </c>
      <c r="D221" s="17">
        <f t="shared" si="3"/>
        <v>0</v>
      </c>
      <c r="E221" s="17">
        <f t="shared" si="4"/>
        <v>0</v>
      </c>
      <c r="F221" s="25">
        <f t="shared" si="5"/>
        <v>46</v>
      </c>
      <c r="G221" s="16">
        <v>25</v>
      </c>
      <c r="H221" s="25">
        <f t="shared" si="0"/>
        <v>7753</v>
      </c>
      <c r="I221" s="25">
        <f t="shared" si="6"/>
        <v>46</v>
      </c>
      <c r="J221" s="25">
        <f t="shared" si="7"/>
        <v>80</v>
      </c>
      <c r="K221" s="17">
        <f t="shared" si="8"/>
        <v>-71.208658438603308</v>
      </c>
      <c r="L221" s="17">
        <f t="shared" si="9"/>
        <v>2917009.3159449864</v>
      </c>
      <c r="M221" s="17">
        <f t="shared" si="10"/>
        <v>-408556663.44038689</v>
      </c>
      <c r="N221" s="17" t="str">
        <f t="shared" si="11"/>
        <v/>
      </c>
      <c r="O221" s="6"/>
    </row>
    <row r="222" spans="1:15" x14ac:dyDescent="0.2">
      <c r="A222" s="5" t="s">
        <v>1115</v>
      </c>
      <c r="B222" s="17">
        <f t="shared" si="1"/>
        <v>-31.593377770115911</v>
      </c>
      <c r="C222" s="17">
        <f t="shared" si="2"/>
        <v>0</v>
      </c>
      <c r="D222" s="17">
        <f t="shared" si="3"/>
        <v>0</v>
      </c>
      <c r="E222" s="17">
        <f t="shared" si="4"/>
        <v>0</v>
      </c>
      <c r="F222" s="25">
        <f t="shared" si="5"/>
        <v>51</v>
      </c>
      <c r="G222" s="16">
        <v>26</v>
      </c>
      <c r="H222" s="25">
        <f t="shared" si="0"/>
        <v>8594</v>
      </c>
      <c r="I222" s="25">
        <f t="shared" si="6"/>
        <v>51</v>
      </c>
      <c r="J222" s="25">
        <f t="shared" si="7"/>
        <v>2</v>
      </c>
      <c r="K222" s="17">
        <f t="shared" si="8"/>
        <v>-68.659148016894164</v>
      </c>
      <c r="L222" s="17">
        <f t="shared" si="9"/>
        <v>3113886.830695542</v>
      </c>
      <c r="M222" s="17">
        <f t="shared" si="10"/>
        <v>-401119717.78916252</v>
      </c>
      <c r="N222" s="17" t="str">
        <f t="shared" si="11"/>
        <v/>
      </c>
      <c r="O222" s="6"/>
    </row>
    <row r="223" spans="1:15" x14ac:dyDescent="0.2">
      <c r="A223" s="5" t="s">
        <v>1116</v>
      </c>
      <c r="B223" s="17">
        <f t="shared" si="1"/>
        <v>-25.06681017342698</v>
      </c>
      <c r="C223" s="17">
        <f t="shared" si="2"/>
        <v>0</v>
      </c>
      <c r="D223" s="17">
        <f t="shared" si="3"/>
        <v>0</v>
      </c>
      <c r="E223" s="17">
        <f t="shared" si="4"/>
        <v>0</v>
      </c>
      <c r="F223" s="25">
        <f t="shared" si="5"/>
        <v>55</v>
      </c>
      <c r="G223" s="16">
        <v>27</v>
      </c>
      <c r="H223" s="25">
        <f t="shared" si="0"/>
        <v>9267</v>
      </c>
      <c r="I223" s="25">
        <f t="shared" si="6"/>
        <v>55</v>
      </c>
      <c r="J223" s="25">
        <f t="shared" si="7"/>
        <v>66</v>
      </c>
      <c r="K223" s="17">
        <f t="shared" si="8"/>
        <v>-67.388645000379299</v>
      </c>
      <c r="L223" s="17">
        <f t="shared" si="9"/>
        <v>3125206.5494808597</v>
      </c>
      <c r="M223" s="17">
        <f t="shared" si="10"/>
        <v>-397163515.17767793</v>
      </c>
      <c r="N223" s="17" t="str">
        <f t="shared" si="11"/>
        <v/>
      </c>
      <c r="O223" s="6"/>
    </row>
    <row r="224" spans="1:15" x14ac:dyDescent="0.2">
      <c r="A224" s="5" t="s">
        <v>1117</v>
      </c>
      <c r="B224" s="17">
        <f t="shared" si="1"/>
        <v>-21.8735298141745</v>
      </c>
      <c r="C224" s="17">
        <f t="shared" si="2"/>
        <v>0</v>
      </c>
      <c r="D224" s="17">
        <f t="shared" si="3"/>
        <v>0</v>
      </c>
      <c r="E224" s="17">
        <f t="shared" si="4"/>
        <v>0</v>
      </c>
      <c r="F224" s="25">
        <f t="shared" si="5"/>
        <v>60</v>
      </c>
      <c r="G224" s="16">
        <v>28</v>
      </c>
      <c r="H224" s="25">
        <f t="shared" si="0"/>
        <v>10108</v>
      </c>
      <c r="I224" s="25">
        <f t="shared" si="6"/>
        <v>60</v>
      </c>
      <c r="J224" s="25">
        <f t="shared" si="7"/>
        <v>39</v>
      </c>
      <c r="K224" s="17">
        <f t="shared" si="8"/>
        <v>-64.982944311509442</v>
      </c>
      <c r="L224" s="17">
        <f t="shared" si="9"/>
        <v>3174433.8387934961</v>
      </c>
      <c r="M224" s="17">
        <f t="shared" si="10"/>
        <v>-389645203.62873125</v>
      </c>
      <c r="N224" s="17" t="str">
        <f t="shared" si="11"/>
        <v/>
      </c>
      <c r="O224" s="6"/>
    </row>
    <row r="225" spans="1:15" x14ac:dyDescent="0.2">
      <c r="A225" s="5" t="s">
        <v>1118</v>
      </c>
      <c r="B225" s="17">
        <f t="shared" ref="B225:B252" si="12">C130</f>
        <v>0</v>
      </c>
      <c r="C225" s="17">
        <f t="shared" ref="C225:C252" si="13">C83</f>
        <v>0</v>
      </c>
      <c r="D225" s="17">
        <f t="shared" si="3"/>
        <v>0</v>
      </c>
      <c r="E225" s="17">
        <f t="shared" si="4"/>
        <v>0</v>
      </c>
      <c r="F225" s="25">
        <f t="shared" si="5"/>
        <v>64</v>
      </c>
      <c r="G225" s="16">
        <v>29</v>
      </c>
      <c r="H225" s="25">
        <f t="shared" si="0"/>
        <v>10781</v>
      </c>
      <c r="I225" s="25">
        <f t="shared" si="6"/>
        <v>64</v>
      </c>
      <c r="J225" s="25">
        <f t="shared" si="7"/>
        <v>18</v>
      </c>
      <c r="K225" s="17">
        <f t="shared" si="8"/>
        <v>-64.372376956573234</v>
      </c>
      <c r="L225" s="17">
        <f t="shared" si="9"/>
        <v>3215289.4863086105</v>
      </c>
      <c r="M225" s="17">
        <f t="shared" si="10"/>
        <v>-387706997.95635909</v>
      </c>
      <c r="N225" s="17" t="str">
        <f t="shared" si="11"/>
        <v/>
      </c>
      <c r="O225" s="6"/>
    </row>
    <row r="226" spans="1:15" x14ac:dyDescent="0.2">
      <c r="A226" s="5" t="s">
        <v>1119</v>
      </c>
      <c r="B226" s="17">
        <f t="shared" si="12"/>
        <v>-87.717850780948282</v>
      </c>
      <c r="C226" s="17">
        <f t="shared" si="13"/>
        <v>13205.14200405765</v>
      </c>
      <c r="D226" s="17">
        <f t="shared" si="3"/>
        <v>0</v>
      </c>
      <c r="E226" s="17">
        <f t="shared" si="4"/>
        <v>-1158326.6758531614</v>
      </c>
      <c r="F226" s="25">
        <f t="shared" si="5"/>
        <v>11</v>
      </c>
      <c r="G226" s="16">
        <v>30</v>
      </c>
      <c r="H226" s="25">
        <f t="shared" si="0"/>
        <v>1878</v>
      </c>
      <c r="I226" s="25">
        <f t="shared" si="6"/>
        <v>11</v>
      </c>
      <c r="J226" s="25">
        <f t="shared" si="7"/>
        <v>163</v>
      </c>
      <c r="K226" s="17">
        <f t="shared" si="8"/>
        <v>-64.227922295551281</v>
      </c>
      <c r="L226" s="17">
        <f t="shared" si="9"/>
        <v>3215289.4863086105</v>
      </c>
      <c r="M226" s="17">
        <f t="shared" si="10"/>
        <v>-387242534.4035269</v>
      </c>
      <c r="N226" s="17" t="str">
        <f t="shared" si="11"/>
        <v/>
      </c>
      <c r="O226" s="6"/>
    </row>
    <row r="227" spans="1:15" x14ac:dyDescent="0.2">
      <c r="A227" s="5" t="s">
        <v>1120</v>
      </c>
      <c r="B227" s="17">
        <f t="shared" si="12"/>
        <v>0</v>
      </c>
      <c r="C227" s="17">
        <f t="shared" si="13"/>
        <v>0</v>
      </c>
      <c r="D227" s="17">
        <f t="shared" si="3"/>
        <v>0</v>
      </c>
      <c r="E227" s="17">
        <f t="shared" si="4"/>
        <v>0</v>
      </c>
      <c r="F227" s="25">
        <f t="shared" si="5"/>
        <v>64</v>
      </c>
      <c r="G227" s="16">
        <v>31</v>
      </c>
      <c r="H227" s="25">
        <f t="shared" si="0"/>
        <v>10783</v>
      </c>
      <c r="I227" s="25">
        <f t="shared" si="6"/>
        <v>65</v>
      </c>
      <c r="J227" s="25">
        <f t="shared" si="7"/>
        <v>164</v>
      </c>
      <c r="K227" s="17">
        <f t="shared" si="8"/>
        <v>-64.227922295551281</v>
      </c>
      <c r="L227" s="17">
        <f t="shared" si="9"/>
        <v>3215289.4863086105</v>
      </c>
      <c r="M227" s="17">
        <f t="shared" si="10"/>
        <v>-387242534.4035269</v>
      </c>
      <c r="N227" s="17" t="str">
        <f t="shared" si="11"/>
        <v/>
      </c>
      <c r="O227" s="6"/>
    </row>
    <row r="228" spans="1:15" x14ac:dyDescent="0.2">
      <c r="A228" s="5" t="s">
        <v>1121</v>
      </c>
      <c r="B228" s="17">
        <f t="shared" si="12"/>
        <v>0</v>
      </c>
      <c r="C228" s="17">
        <f t="shared" si="13"/>
        <v>0</v>
      </c>
      <c r="D228" s="17">
        <f t="shared" si="3"/>
        <v>0</v>
      </c>
      <c r="E228" s="17">
        <f t="shared" si="4"/>
        <v>0</v>
      </c>
      <c r="F228" s="25">
        <f t="shared" si="5"/>
        <v>64</v>
      </c>
      <c r="G228" s="16">
        <v>32</v>
      </c>
      <c r="H228" s="25">
        <f t="shared" ref="H228:H259" si="14">F228*168+G228</f>
        <v>10784</v>
      </c>
      <c r="I228" s="25">
        <f t="shared" si="6"/>
        <v>66</v>
      </c>
      <c r="J228" s="25">
        <f t="shared" si="7"/>
        <v>8</v>
      </c>
      <c r="K228" s="17">
        <f t="shared" si="8"/>
        <v>-58.560394150529589</v>
      </c>
      <c r="L228" s="17">
        <f t="shared" si="9"/>
        <v>3223026.8683359581</v>
      </c>
      <c r="M228" s="17">
        <f t="shared" si="10"/>
        <v>-369019790.74548054</v>
      </c>
      <c r="N228" s="17" t="str">
        <f t="shared" si="11"/>
        <v/>
      </c>
      <c r="O228" s="6"/>
    </row>
    <row r="229" spans="1:15" x14ac:dyDescent="0.2">
      <c r="A229" s="5" t="s">
        <v>1122</v>
      </c>
      <c r="B229" s="17">
        <f t="shared" si="12"/>
        <v>-87.717850780948282</v>
      </c>
      <c r="C229" s="17">
        <f t="shared" si="13"/>
        <v>4668.598982842017</v>
      </c>
      <c r="D229" s="17">
        <f t="shared" ref="D229:D260" si="15">IF(ISNUMBER(B229),0,C229)</f>
        <v>0</v>
      </c>
      <c r="E229" s="17">
        <f t="shared" ref="E229:E260" si="16">MAX($B$171,B229)*C229</f>
        <v>-409519.46893302299</v>
      </c>
      <c r="F229" s="25">
        <f t="shared" ref="F229:F260" si="17">RANK(B229,B$197:B$364,1)</f>
        <v>11</v>
      </c>
      <c r="G229" s="16">
        <v>33</v>
      </c>
      <c r="H229" s="25">
        <f t="shared" si="14"/>
        <v>1881</v>
      </c>
      <c r="I229" s="25">
        <f t="shared" ref="I229:I260" si="18">RANK(H229,H$197:H$364,1)</f>
        <v>12</v>
      </c>
      <c r="J229" s="25">
        <f t="shared" ref="J229:J260" si="19">MATCH(G229,I$197:I$364,0)</f>
        <v>22</v>
      </c>
      <c r="K229" s="17">
        <f t="shared" ref="K229:K260" si="20">INDEX(B$197:B$364,J229,1)</f>
        <v>-58.353731644863998</v>
      </c>
      <c r="L229" s="17">
        <f t="shared" ref="L229:L260" si="21">L228+INDEX(C$197:C$364,J229,1)</f>
        <v>3223026.8683359581</v>
      </c>
      <c r="M229" s="17">
        <f t="shared" ref="M229:M260" si="22">M228+(K229-K228)*L228</f>
        <v>-368353711.93704271</v>
      </c>
      <c r="N229" s="17" t="str">
        <f t="shared" ref="N229:N260" si="23">IF((M228&gt;0)=(M229&gt;0),"",K229-M229/L228)</f>
        <v/>
      </c>
      <c r="O229" s="6"/>
    </row>
    <row r="230" spans="1:15" x14ac:dyDescent="0.2">
      <c r="A230" s="5" t="s">
        <v>1123</v>
      </c>
      <c r="B230" s="17">
        <f t="shared" si="12"/>
        <v>0</v>
      </c>
      <c r="C230" s="17">
        <f t="shared" si="13"/>
        <v>0</v>
      </c>
      <c r="D230" s="17">
        <f t="shared" si="15"/>
        <v>0</v>
      </c>
      <c r="E230" s="17">
        <f t="shared" si="16"/>
        <v>0</v>
      </c>
      <c r="F230" s="25">
        <f t="shared" si="17"/>
        <v>64</v>
      </c>
      <c r="G230" s="16">
        <v>34</v>
      </c>
      <c r="H230" s="25">
        <f t="shared" si="14"/>
        <v>10786</v>
      </c>
      <c r="I230" s="25">
        <f t="shared" si="18"/>
        <v>67</v>
      </c>
      <c r="J230" s="25">
        <f t="shared" si="19"/>
        <v>20</v>
      </c>
      <c r="K230" s="17">
        <f t="shared" si="20"/>
        <v>-58.303284609721608</v>
      </c>
      <c r="L230" s="17">
        <f t="shared" si="21"/>
        <v>3223026.8683359581</v>
      </c>
      <c r="M230" s="17">
        <f t="shared" si="22"/>
        <v>-368191119.78735089</v>
      </c>
      <c r="N230" s="17" t="str">
        <f t="shared" si="23"/>
        <v/>
      </c>
      <c r="O230" s="6"/>
    </row>
    <row r="231" spans="1:15" x14ac:dyDescent="0.2">
      <c r="A231" s="5" t="s">
        <v>1124</v>
      </c>
      <c r="B231" s="17">
        <f t="shared" si="12"/>
        <v>-87.717850780948282</v>
      </c>
      <c r="C231" s="17">
        <f t="shared" si="13"/>
        <v>4705.5780744344829</v>
      </c>
      <c r="D231" s="17">
        <f t="shared" si="15"/>
        <v>0</v>
      </c>
      <c r="E231" s="17">
        <f t="shared" si="16"/>
        <v>-412763.19537134591</v>
      </c>
      <c r="F231" s="25">
        <f t="shared" si="17"/>
        <v>11</v>
      </c>
      <c r="G231" s="16">
        <v>35</v>
      </c>
      <c r="H231" s="25">
        <f t="shared" si="14"/>
        <v>1883</v>
      </c>
      <c r="I231" s="25">
        <f t="shared" si="18"/>
        <v>13</v>
      </c>
      <c r="J231" s="25">
        <f t="shared" si="19"/>
        <v>23</v>
      </c>
      <c r="K231" s="17">
        <f t="shared" si="20"/>
        <v>-58.303284609721608</v>
      </c>
      <c r="L231" s="17">
        <f t="shared" si="21"/>
        <v>3223026.8683359581</v>
      </c>
      <c r="M231" s="17">
        <f t="shared" si="22"/>
        <v>-368191119.78735089</v>
      </c>
      <c r="N231" s="17" t="str">
        <f t="shared" si="23"/>
        <v/>
      </c>
      <c r="O231" s="6"/>
    </row>
    <row r="232" spans="1:15" x14ac:dyDescent="0.2">
      <c r="A232" s="5" t="s">
        <v>1125</v>
      </c>
      <c r="B232" s="17">
        <f t="shared" si="12"/>
        <v>-71.208658438603308</v>
      </c>
      <c r="C232" s="17">
        <f t="shared" si="13"/>
        <v>166.76174866408243</v>
      </c>
      <c r="D232" s="17">
        <f t="shared" si="15"/>
        <v>0</v>
      </c>
      <c r="E232" s="17">
        <f t="shared" si="16"/>
        <v>-11874.880401244858</v>
      </c>
      <c r="F232" s="25">
        <f t="shared" si="17"/>
        <v>24</v>
      </c>
      <c r="G232" s="16">
        <v>36</v>
      </c>
      <c r="H232" s="25">
        <f t="shared" si="14"/>
        <v>4068</v>
      </c>
      <c r="I232" s="25">
        <f t="shared" si="18"/>
        <v>24</v>
      </c>
      <c r="J232" s="25">
        <f t="shared" si="19"/>
        <v>150</v>
      </c>
      <c r="K232" s="17">
        <f t="shared" si="20"/>
        <v>-56.292367163900309</v>
      </c>
      <c r="L232" s="17">
        <f t="shared" si="21"/>
        <v>3227114.3619894865</v>
      </c>
      <c r="M232" s="17">
        <f t="shared" si="22"/>
        <v>-361709878.8294633</v>
      </c>
      <c r="N232" s="17" t="str">
        <f t="shared" si="23"/>
        <v/>
      </c>
      <c r="O232" s="6"/>
    </row>
    <row r="233" spans="1:15" x14ac:dyDescent="0.2">
      <c r="A233" s="5" t="s">
        <v>1126</v>
      </c>
      <c r="B233" s="17">
        <f t="shared" si="12"/>
        <v>-32.390535709106949</v>
      </c>
      <c r="C233" s="17">
        <f t="shared" si="13"/>
        <v>47.914020063580487</v>
      </c>
      <c r="D233" s="17">
        <f t="shared" si="15"/>
        <v>0</v>
      </c>
      <c r="E233" s="17">
        <f t="shared" si="16"/>
        <v>-1551.9607778362706</v>
      </c>
      <c r="F233" s="25">
        <f t="shared" si="17"/>
        <v>50</v>
      </c>
      <c r="G233" s="16">
        <v>37</v>
      </c>
      <c r="H233" s="25">
        <f t="shared" si="14"/>
        <v>8437</v>
      </c>
      <c r="I233" s="25">
        <f t="shared" si="18"/>
        <v>50</v>
      </c>
      <c r="J233" s="25">
        <f t="shared" si="19"/>
        <v>54</v>
      </c>
      <c r="K233" s="17">
        <f t="shared" si="20"/>
        <v>-55.41032094850673</v>
      </c>
      <c r="L233" s="17">
        <f t="shared" si="21"/>
        <v>3227114.3619894865</v>
      </c>
      <c r="M233" s="17">
        <f t="shared" si="22"/>
        <v>-358863414.81982821</v>
      </c>
      <c r="N233" s="17" t="str">
        <f t="shared" si="23"/>
        <v/>
      </c>
      <c r="O233" s="6"/>
    </row>
    <row r="234" spans="1:15" x14ac:dyDescent="0.2">
      <c r="A234" s="5" t="s">
        <v>1127</v>
      </c>
      <c r="B234" s="17">
        <f t="shared" si="12"/>
        <v>-85.089619910794752</v>
      </c>
      <c r="C234" s="17">
        <f t="shared" si="13"/>
        <v>52397.44883174725</v>
      </c>
      <c r="D234" s="17">
        <f t="shared" si="15"/>
        <v>0</v>
      </c>
      <c r="E234" s="17">
        <f t="shared" si="16"/>
        <v>-4458479.0053886902</v>
      </c>
      <c r="F234" s="25">
        <f t="shared" si="17"/>
        <v>15</v>
      </c>
      <c r="G234" s="16">
        <v>38</v>
      </c>
      <c r="H234" s="25">
        <f t="shared" si="14"/>
        <v>2558</v>
      </c>
      <c r="I234" s="25">
        <f t="shared" si="18"/>
        <v>15</v>
      </c>
      <c r="J234" s="25">
        <f t="shared" si="19"/>
        <v>67</v>
      </c>
      <c r="K234" s="17">
        <f t="shared" si="20"/>
        <v>-52.108591247483346</v>
      </c>
      <c r="L234" s="17">
        <f t="shared" si="21"/>
        <v>3238093.4865043154</v>
      </c>
      <c r="M234" s="17">
        <f t="shared" si="22"/>
        <v>-348208355.48224843</v>
      </c>
      <c r="N234" s="17" t="str">
        <f t="shared" si="23"/>
        <v/>
      </c>
      <c r="O234" s="6"/>
    </row>
    <row r="235" spans="1:15" x14ac:dyDescent="0.2">
      <c r="A235" s="5" t="s">
        <v>1128</v>
      </c>
      <c r="B235" s="17">
        <f t="shared" si="12"/>
        <v>-64.982944311509442</v>
      </c>
      <c r="C235" s="17">
        <f t="shared" si="13"/>
        <v>49227.289312636465</v>
      </c>
      <c r="D235" s="17">
        <f t="shared" si="15"/>
        <v>0</v>
      </c>
      <c r="E235" s="17">
        <f t="shared" si="16"/>
        <v>-3198934.2000096194</v>
      </c>
      <c r="F235" s="25">
        <f t="shared" si="17"/>
        <v>28</v>
      </c>
      <c r="G235" s="16">
        <v>39</v>
      </c>
      <c r="H235" s="25">
        <f t="shared" si="14"/>
        <v>4743</v>
      </c>
      <c r="I235" s="25">
        <f t="shared" si="18"/>
        <v>28</v>
      </c>
      <c r="J235" s="25">
        <f t="shared" si="19"/>
        <v>24</v>
      </c>
      <c r="K235" s="17">
        <f t="shared" si="20"/>
        <v>-48.051703829961085</v>
      </c>
      <c r="L235" s="17">
        <f t="shared" si="21"/>
        <v>3238093.4865043154</v>
      </c>
      <c r="M235" s="17">
        <f t="shared" si="22"/>
        <v>-335071774.76008826</v>
      </c>
      <c r="N235" s="17" t="str">
        <f t="shared" si="23"/>
        <v/>
      </c>
      <c r="O235" s="6"/>
    </row>
    <row r="236" spans="1:15" x14ac:dyDescent="0.2">
      <c r="A236" s="5" t="s">
        <v>1129</v>
      </c>
      <c r="B236" s="17">
        <f t="shared" si="12"/>
        <v>-39.036402985783795</v>
      </c>
      <c r="C236" s="17">
        <f t="shared" si="13"/>
        <v>159913.9511285492</v>
      </c>
      <c r="D236" s="17">
        <f t="shared" si="15"/>
        <v>0</v>
      </c>
      <c r="E236" s="17">
        <f t="shared" si="16"/>
        <v>-6242465.4393029818</v>
      </c>
      <c r="F236" s="25">
        <f t="shared" si="17"/>
        <v>45</v>
      </c>
      <c r="G236" s="16">
        <v>40</v>
      </c>
      <c r="H236" s="25">
        <f t="shared" si="14"/>
        <v>7600</v>
      </c>
      <c r="I236" s="25">
        <f t="shared" si="18"/>
        <v>45</v>
      </c>
      <c r="J236" s="25">
        <f t="shared" si="19"/>
        <v>10</v>
      </c>
      <c r="K236" s="17">
        <f t="shared" si="20"/>
        <v>-45.667947927320938</v>
      </c>
      <c r="L236" s="17">
        <f t="shared" si="21"/>
        <v>3406332.7496077577</v>
      </c>
      <c r="M236" s="17">
        <f t="shared" si="22"/>
        <v>-327352950.29833299</v>
      </c>
      <c r="N236" s="17" t="str">
        <f t="shared" si="23"/>
        <v/>
      </c>
      <c r="O236" s="6"/>
    </row>
    <row r="237" spans="1:15" x14ac:dyDescent="0.2">
      <c r="A237" s="5" t="s">
        <v>1130</v>
      </c>
      <c r="B237" s="17">
        <f t="shared" si="12"/>
        <v>-24.604647224013021</v>
      </c>
      <c r="C237" s="17">
        <f t="shared" si="13"/>
        <v>0</v>
      </c>
      <c r="D237" s="17">
        <f t="shared" si="15"/>
        <v>0</v>
      </c>
      <c r="E237" s="17">
        <f t="shared" si="16"/>
        <v>0</v>
      </c>
      <c r="F237" s="25">
        <f t="shared" si="17"/>
        <v>58</v>
      </c>
      <c r="G237" s="16">
        <v>41</v>
      </c>
      <c r="H237" s="25">
        <f t="shared" si="14"/>
        <v>9785</v>
      </c>
      <c r="I237" s="25">
        <f t="shared" si="18"/>
        <v>58</v>
      </c>
      <c r="J237" s="25">
        <f t="shared" si="19"/>
        <v>82</v>
      </c>
      <c r="K237" s="17">
        <f t="shared" si="20"/>
        <v>-44.833882963628149</v>
      </c>
      <c r="L237" s="17">
        <f t="shared" si="21"/>
        <v>3406332.7496077577</v>
      </c>
      <c r="M237" s="17">
        <f t="shared" si="22"/>
        <v>-324511847.49720585</v>
      </c>
      <c r="N237" s="17" t="str">
        <f t="shared" si="23"/>
        <v/>
      </c>
      <c r="O237" s="6"/>
    </row>
    <row r="238" spans="1:15" x14ac:dyDescent="0.2">
      <c r="A238" s="5" t="s">
        <v>1131</v>
      </c>
      <c r="B238" s="17">
        <f t="shared" si="12"/>
        <v>0</v>
      </c>
      <c r="C238" s="17">
        <f t="shared" si="13"/>
        <v>0</v>
      </c>
      <c r="D238" s="17">
        <f t="shared" si="15"/>
        <v>0</v>
      </c>
      <c r="E238" s="17">
        <f t="shared" si="16"/>
        <v>0</v>
      </c>
      <c r="F238" s="25">
        <f t="shared" si="17"/>
        <v>64</v>
      </c>
      <c r="G238" s="16">
        <v>42</v>
      </c>
      <c r="H238" s="25">
        <f t="shared" si="14"/>
        <v>10794</v>
      </c>
      <c r="I238" s="25">
        <f t="shared" si="18"/>
        <v>68</v>
      </c>
      <c r="J238" s="25">
        <f t="shared" si="19"/>
        <v>165</v>
      </c>
      <c r="K238" s="17">
        <f t="shared" si="20"/>
        <v>-44.077025158486684</v>
      </c>
      <c r="L238" s="17">
        <f t="shared" si="21"/>
        <v>3406332.7496077577</v>
      </c>
      <c r="M238" s="17">
        <f t="shared" si="22"/>
        <v>-321933737.96875626</v>
      </c>
      <c r="N238" s="17" t="str">
        <f t="shared" si="23"/>
        <v/>
      </c>
      <c r="O238" s="6"/>
    </row>
    <row r="239" spans="1:15" x14ac:dyDescent="0.2">
      <c r="A239" s="5" t="s">
        <v>1132</v>
      </c>
      <c r="B239" s="17">
        <f t="shared" si="12"/>
        <v>0</v>
      </c>
      <c r="C239" s="17">
        <f t="shared" si="13"/>
        <v>0</v>
      </c>
      <c r="D239" s="17">
        <f t="shared" si="15"/>
        <v>0</v>
      </c>
      <c r="E239" s="17">
        <f t="shared" si="16"/>
        <v>0</v>
      </c>
      <c r="F239" s="25">
        <f t="shared" si="17"/>
        <v>64</v>
      </c>
      <c r="G239" s="16">
        <v>43</v>
      </c>
      <c r="H239" s="25">
        <f t="shared" si="14"/>
        <v>10795</v>
      </c>
      <c r="I239" s="25">
        <f t="shared" si="18"/>
        <v>69</v>
      </c>
      <c r="J239" s="25">
        <f t="shared" si="19"/>
        <v>166</v>
      </c>
      <c r="K239" s="17">
        <f t="shared" si="20"/>
        <v>-44.077025158486684</v>
      </c>
      <c r="L239" s="17">
        <f t="shared" si="21"/>
        <v>3406332.7496077577</v>
      </c>
      <c r="M239" s="17">
        <f t="shared" si="22"/>
        <v>-321933737.96875626</v>
      </c>
      <c r="N239" s="17" t="str">
        <f t="shared" si="23"/>
        <v/>
      </c>
      <c r="O239" s="6"/>
    </row>
    <row r="240" spans="1:15" x14ac:dyDescent="0.2">
      <c r="A240" s="5" t="s">
        <v>1133</v>
      </c>
      <c r="B240" s="17">
        <f t="shared" si="12"/>
        <v>0</v>
      </c>
      <c r="C240" s="17">
        <f t="shared" si="13"/>
        <v>0</v>
      </c>
      <c r="D240" s="17">
        <f t="shared" si="15"/>
        <v>0</v>
      </c>
      <c r="E240" s="17">
        <f t="shared" si="16"/>
        <v>0</v>
      </c>
      <c r="F240" s="25">
        <f t="shared" si="17"/>
        <v>64</v>
      </c>
      <c r="G240" s="16">
        <v>44</v>
      </c>
      <c r="H240" s="25">
        <f t="shared" si="14"/>
        <v>10796</v>
      </c>
      <c r="I240" s="25">
        <f t="shared" si="18"/>
        <v>70</v>
      </c>
      <c r="J240" s="25">
        <f t="shared" si="19"/>
        <v>151</v>
      </c>
      <c r="K240" s="17">
        <f t="shared" si="20"/>
        <v>-43.65070912731526</v>
      </c>
      <c r="L240" s="17">
        <f t="shared" si="21"/>
        <v>3410154.250233389</v>
      </c>
      <c r="M240" s="17">
        <f t="shared" si="22"/>
        <v>-320481563.71009421</v>
      </c>
      <c r="N240" s="17" t="str">
        <f t="shared" si="23"/>
        <v/>
      </c>
      <c r="O240" s="6"/>
    </row>
    <row r="241" spans="1:15" x14ac:dyDescent="0.2">
      <c r="A241" s="5" t="s">
        <v>1134</v>
      </c>
      <c r="B241" s="17">
        <f t="shared" si="12"/>
        <v>0</v>
      </c>
      <c r="C241" s="17">
        <f t="shared" si="13"/>
        <v>0</v>
      </c>
      <c r="D241" s="17">
        <f t="shared" si="15"/>
        <v>0</v>
      </c>
      <c r="E241" s="17">
        <f t="shared" si="16"/>
        <v>0</v>
      </c>
      <c r="F241" s="25">
        <f t="shared" si="17"/>
        <v>64</v>
      </c>
      <c r="G241" s="16">
        <v>45</v>
      </c>
      <c r="H241" s="25">
        <f t="shared" si="14"/>
        <v>10797</v>
      </c>
      <c r="I241" s="25">
        <f t="shared" si="18"/>
        <v>71</v>
      </c>
      <c r="J241" s="25">
        <f t="shared" si="19"/>
        <v>40</v>
      </c>
      <c r="K241" s="17">
        <f t="shared" si="20"/>
        <v>-39.036402985783795</v>
      </c>
      <c r="L241" s="17">
        <f t="shared" si="21"/>
        <v>3570068.2013619384</v>
      </c>
      <c r="M241" s="17">
        <f t="shared" si="22"/>
        <v>-304746068.00967264</v>
      </c>
      <c r="N241" s="17" t="str">
        <f t="shared" si="23"/>
        <v/>
      </c>
      <c r="O241" s="6"/>
    </row>
    <row r="242" spans="1:15" x14ac:dyDescent="0.2">
      <c r="A242" s="5" t="s">
        <v>1135</v>
      </c>
      <c r="B242" s="17">
        <f t="shared" si="12"/>
        <v>-324.77958461612411</v>
      </c>
      <c r="C242" s="17">
        <f t="shared" si="13"/>
        <v>2313.6738280087729</v>
      </c>
      <c r="D242" s="17">
        <f t="shared" si="15"/>
        <v>0</v>
      </c>
      <c r="E242" s="17">
        <f t="shared" si="16"/>
        <v>-751434.02479788708</v>
      </c>
      <c r="F242" s="25">
        <f t="shared" si="17"/>
        <v>2</v>
      </c>
      <c r="G242" s="16">
        <v>46</v>
      </c>
      <c r="H242" s="25">
        <f t="shared" si="14"/>
        <v>382</v>
      </c>
      <c r="I242" s="25">
        <f t="shared" si="18"/>
        <v>2</v>
      </c>
      <c r="J242" s="25">
        <f t="shared" si="19"/>
        <v>25</v>
      </c>
      <c r="K242" s="17">
        <f t="shared" si="20"/>
        <v>-37.407375940829318</v>
      </c>
      <c r="L242" s="17">
        <f t="shared" si="21"/>
        <v>3570068.2013619384</v>
      </c>
      <c r="M242" s="17">
        <f t="shared" si="22"/>
        <v>-298930330.35732204</v>
      </c>
      <c r="N242" s="17" t="str">
        <f t="shared" si="23"/>
        <v/>
      </c>
      <c r="O242" s="6"/>
    </row>
    <row r="243" spans="1:15" x14ac:dyDescent="0.2">
      <c r="A243" s="5" t="s">
        <v>1136</v>
      </c>
      <c r="B243" s="17">
        <f t="shared" si="12"/>
        <v>0</v>
      </c>
      <c r="C243" s="17">
        <f t="shared" si="13"/>
        <v>0</v>
      </c>
      <c r="D243" s="17">
        <f t="shared" si="15"/>
        <v>0</v>
      </c>
      <c r="E243" s="17">
        <f t="shared" si="16"/>
        <v>0</v>
      </c>
      <c r="F243" s="25">
        <f t="shared" si="17"/>
        <v>64</v>
      </c>
      <c r="G243" s="16">
        <v>47</v>
      </c>
      <c r="H243" s="25">
        <f t="shared" si="14"/>
        <v>10799</v>
      </c>
      <c r="I243" s="25">
        <f t="shared" si="18"/>
        <v>72</v>
      </c>
      <c r="J243" s="25">
        <f t="shared" si="19"/>
        <v>11</v>
      </c>
      <c r="K243" s="17">
        <f t="shared" si="20"/>
        <v>-36.132924316760317</v>
      </c>
      <c r="L243" s="17">
        <f t="shared" si="21"/>
        <v>3724122.7593537327</v>
      </c>
      <c r="M243" s="17">
        <f t="shared" si="22"/>
        <v>-294380451.14005923</v>
      </c>
      <c r="N243" s="17" t="str">
        <f t="shared" si="23"/>
        <v/>
      </c>
      <c r="O243" s="6"/>
    </row>
    <row r="244" spans="1:15" x14ac:dyDescent="0.2">
      <c r="A244" s="5" t="s">
        <v>1137</v>
      </c>
      <c r="B244" s="17">
        <f t="shared" si="12"/>
        <v>0</v>
      </c>
      <c r="C244" s="17">
        <f t="shared" si="13"/>
        <v>0</v>
      </c>
      <c r="D244" s="17">
        <f t="shared" si="15"/>
        <v>0</v>
      </c>
      <c r="E244" s="17">
        <f t="shared" si="16"/>
        <v>0</v>
      </c>
      <c r="F244" s="25">
        <f t="shared" si="17"/>
        <v>64</v>
      </c>
      <c r="G244" s="16">
        <v>48</v>
      </c>
      <c r="H244" s="25">
        <f t="shared" si="14"/>
        <v>10800</v>
      </c>
      <c r="I244" s="25">
        <f t="shared" si="18"/>
        <v>73</v>
      </c>
      <c r="J244" s="25">
        <f t="shared" si="19"/>
        <v>56</v>
      </c>
      <c r="K244" s="17">
        <f t="shared" si="20"/>
        <v>-34.913902931456867</v>
      </c>
      <c r="L244" s="17">
        <f t="shared" si="21"/>
        <v>3724122.7593537327</v>
      </c>
      <c r="M244" s="17">
        <f t="shared" si="22"/>
        <v>-289840665.85491174</v>
      </c>
      <c r="N244" s="17" t="str">
        <f t="shared" si="23"/>
        <v/>
      </c>
      <c r="O244" s="6"/>
    </row>
    <row r="245" spans="1:15" x14ac:dyDescent="0.2">
      <c r="A245" s="5" t="s">
        <v>1138</v>
      </c>
      <c r="B245" s="17">
        <f t="shared" si="12"/>
        <v>0</v>
      </c>
      <c r="C245" s="17">
        <f t="shared" si="13"/>
        <v>0</v>
      </c>
      <c r="D245" s="17">
        <f t="shared" si="15"/>
        <v>0</v>
      </c>
      <c r="E245" s="17">
        <f t="shared" si="16"/>
        <v>0</v>
      </c>
      <c r="F245" s="25">
        <f t="shared" si="17"/>
        <v>64</v>
      </c>
      <c r="G245" s="16">
        <v>49</v>
      </c>
      <c r="H245" s="25">
        <f t="shared" si="14"/>
        <v>10801</v>
      </c>
      <c r="I245" s="25">
        <f t="shared" si="18"/>
        <v>74</v>
      </c>
      <c r="J245" s="25">
        <f t="shared" si="19"/>
        <v>68</v>
      </c>
      <c r="K245" s="17">
        <f t="shared" si="20"/>
        <v>-32.390535709106956</v>
      </c>
      <c r="L245" s="17">
        <f t="shared" si="21"/>
        <v>3768140.6992757991</v>
      </c>
      <c r="M245" s="17">
        <f t="shared" si="22"/>
        <v>-280443336.55195123</v>
      </c>
      <c r="N245" s="17" t="str">
        <f t="shared" si="23"/>
        <v/>
      </c>
      <c r="O245" s="6"/>
    </row>
    <row r="246" spans="1:15" x14ac:dyDescent="0.2">
      <c r="A246" s="5" t="s">
        <v>1139</v>
      </c>
      <c r="B246" s="17">
        <f t="shared" si="12"/>
        <v>-111.8403599560349</v>
      </c>
      <c r="C246" s="17">
        <f t="shared" si="13"/>
        <v>0</v>
      </c>
      <c r="D246" s="17">
        <f t="shared" si="15"/>
        <v>0</v>
      </c>
      <c r="E246" s="17">
        <f t="shared" si="16"/>
        <v>0</v>
      </c>
      <c r="F246" s="25">
        <f t="shared" si="17"/>
        <v>6</v>
      </c>
      <c r="G246" s="16">
        <v>50</v>
      </c>
      <c r="H246" s="25">
        <f t="shared" si="14"/>
        <v>1058</v>
      </c>
      <c r="I246" s="25">
        <f t="shared" si="18"/>
        <v>6</v>
      </c>
      <c r="J246" s="25">
        <f t="shared" si="19"/>
        <v>37</v>
      </c>
      <c r="K246" s="17">
        <f t="shared" si="20"/>
        <v>-32.390535709106949</v>
      </c>
      <c r="L246" s="17">
        <f t="shared" si="21"/>
        <v>3768188.6132958625</v>
      </c>
      <c r="M246" s="17">
        <f t="shared" si="22"/>
        <v>-280443336.55195123</v>
      </c>
      <c r="N246" s="17" t="str">
        <f t="shared" si="23"/>
        <v/>
      </c>
      <c r="O246" s="6"/>
    </row>
    <row r="247" spans="1:15" x14ac:dyDescent="0.2">
      <c r="A247" s="5" t="s">
        <v>1140</v>
      </c>
      <c r="B247" s="17">
        <f t="shared" si="12"/>
        <v>0</v>
      </c>
      <c r="C247" s="17">
        <f t="shared" si="13"/>
        <v>0</v>
      </c>
      <c r="D247" s="17">
        <f t="shared" si="15"/>
        <v>0</v>
      </c>
      <c r="E247" s="17">
        <f t="shared" si="16"/>
        <v>0</v>
      </c>
      <c r="F247" s="25">
        <f t="shared" si="17"/>
        <v>64</v>
      </c>
      <c r="G247" s="16">
        <v>51</v>
      </c>
      <c r="H247" s="25">
        <f t="shared" si="14"/>
        <v>10803</v>
      </c>
      <c r="I247" s="25">
        <f t="shared" si="18"/>
        <v>75</v>
      </c>
      <c r="J247" s="25">
        <f t="shared" si="19"/>
        <v>26</v>
      </c>
      <c r="K247" s="17">
        <f t="shared" si="20"/>
        <v>-31.593377770115911</v>
      </c>
      <c r="L247" s="17">
        <f t="shared" si="21"/>
        <v>3768188.6132958625</v>
      </c>
      <c r="M247" s="17">
        <f t="shared" si="22"/>
        <v>-277439495.08324683</v>
      </c>
      <c r="N247" s="17" t="str">
        <f t="shared" si="23"/>
        <v/>
      </c>
      <c r="O247" s="6"/>
    </row>
    <row r="248" spans="1:15" x14ac:dyDescent="0.2">
      <c r="A248" s="5" t="s">
        <v>1141</v>
      </c>
      <c r="B248" s="17">
        <f t="shared" si="12"/>
        <v>-90.116288810616126</v>
      </c>
      <c r="C248" s="17">
        <f t="shared" si="13"/>
        <v>0</v>
      </c>
      <c r="D248" s="17">
        <f t="shared" si="15"/>
        <v>0</v>
      </c>
      <c r="E248" s="17">
        <f t="shared" si="16"/>
        <v>0</v>
      </c>
      <c r="F248" s="25">
        <f t="shared" si="17"/>
        <v>10</v>
      </c>
      <c r="G248" s="16">
        <v>52</v>
      </c>
      <c r="H248" s="25">
        <f t="shared" si="14"/>
        <v>1732</v>
      </c>
      <c r="I248" s="25">
        <f t="shared" si="18"/>
        <v>10</v>
      </c>
      <c r="J248" s="25">
        <f t="shared" si="19"/>
        <v>84</v>
      </c>
      <c r="K248" s="17">
        <f t="shared" si="20"/>
        <v>-29.25764473887261</v>
      </c>
      <c r="L248" s="17">
        <f t="shared" si="21"/>
        <v>3768188.6132958625</v>
      </c>
      <c r="M248" s="17">
        <f t="shared" si="22"/>
        <v>-268638012.4712168</v>
      </c>
      <c r="N248" s="17" t="str">
        <f t="shared" si="23"/>
        <v/>
      </c>
      <c r="O248" s="6"/>
    </row>
    <row r="249" spans="1:15" x14ac:dyDescent="0.2">
      <c r="A249" s="5" t="s">
        <v>1142</v>
      </c>
      <c r="B249" s="17">
        <f t="shared" si="12"/>
        <v>0</v>
      </c>
      <c r="C249" s="17">
        <f t="shared" si="13"/>
        <v>0</v>
      </c>
      <c r="D249" s="17">
        <f t="shared" si="15"/>
        <v>0</v>
      </c>
      <c r="E249" s="17">
        <f t="shared" si="16"/>
        <v>0</v>
      </c>
      <c r="F249" s="25">
        <f t="shared" si="17"/>
        <v>64</v>
      </c>
      <c r="G249" s="16">
        <v>53</v>
      </c>
      <c r="H249" s="25">
        <f t="shared" si="14"/>
        <v>10805</v>
      </c>
      <c r="I249" s="25">
        <f t="shared" si="18"/>
        <v>76</v>
      </c>
      <c r="J249" s="25">
        <f t="shared" si="19"/>
        <v>9</v>
      </c>
      <c r="K249" s="17">
        <f t="shared" si="20"/>
        <v>-27.729780263708182</v>
      </c>
      <c r="L249" s="17">
        <f t="shared" si="21"/>
        <v>3770215.3927072785</v>
      </c>
      <c r="M249" s="17">
        <f t="shared" si="22"/>
        <v>-262880730.95324293</v>
      </c>
      <c r="N249" s="17" t="str">
        <f t="shared" si="23"/>
        <v/>
      </c>
      <c r="O249" s="6"/>
    </row>
    <row r="250" spans="1:15" x14ac:dyDescent="0.2">
      <c r="A250" s="5" t="s">
        <v>1143</v>
      </c>
      <c r="B250" s="17">
        <f t="shared" si="12"/>
        <v>-55.41032094850673</v>
      </c>
      <c r="C250" s="17">
        <f t="shared" si="13"/>
        <v>0</v>
      </c>
      <c r="D250" s="17">
        <f t="shared" si="15"/>
        <v>0</v>
      </c>
      <c r="E250" s="17">
        <f t="shared" si="16"/>
        <v>0</v>
      </c>
      <c r="F250" s="25">
        <f t="shared" si="17"/>
        <v>37</v>
      </c>
      <c r="G250" s="16">
        <v>54</v>
      </c>
      <c r="H250" s="25">
        <f t="shared" si="14"/>
        <v>6270</v>
      </c>
      <c r="I250" s="25">
        <f t="shared" si="18"/>
        <v>37</v>
      </c>
      <c r="J250" s="25">
        <f t="shared" si="19"/>
        <v>152</v>
      </c>
      <c r="K250" s="17">
        <f t="shared" si="20"/>
        <v>-27.447428709681866</v>
      </c>
      <c r="L250" s="17">
        <f t="shared" si="21"/>
        <v>3780663.2524297624</v>
      </c>
      <c r="M250" s="17">
        <f t="shared" si="22"/>
        <v>-261816204.77809808</v>
      </c>
      <c r="N250" s="17" t="str">
        <f t="shared" si="23"/>
        <v/>
      </c>
      <c r="O250" s="6"/>
    </row>
    <row r="251" spans="1:15" x14ac:dyDescent="0.2">
      <c r="A251" s="5" t="s">
        <v>1144</v>
      </c>
      <c r="B251" s="17">
        <f t="shared" si="12"/>
        <v>0</v>
      </c>
      <c r="C251" s="17">
        <f t="shared" si="13"/>
        <v>0</v>
      </c>
      <c r="D251" s="17">
        <f t="shared" si="15"/>
        <v>0</v>
      </c>
      <c r="E251" s="17">
        <f t="shared" si="16"/>
        <v>0</v>
      </c>
      <c r="F251" s="25">
        <f t="shared" si="17"/>
        <v>64</v>
      </c>
      <c r="G251" s="16">
        <v>55</v>
      </c>
      <c r="H251" s="25">
        <f t="shared" si="14"/>
        <v>10807</v>
      </c>
      <c r="I251" s="25">
        <f t="shared" si="18"/>
        <v>77</v>
      </c>
      <c r="J251" s="25">
        <f t="shared" si="19"/>
        <v>27</v>
      </c>
      <c r="K251" s="17">
        <f t="shared" si="20"/>
        <v>-25.06681017342698</v>
      </c>
      <c r="L251" s="17">
        <f t="shared" si="21"/>
        <v>3780663.2524297624</v>
      </c>
      <c r="M251" s="17">
        <f t="shared" si="22"/>
        <v>-252815887.7600261</v>
      </c>
      <c r="N251" s="17" t="str">
        <f t="shared" si="23"/>
        <v/>
      </c>
      <c r="O251" s="6"/>
    </row>
    <row r="252" spans="1:15" x14ac:dyDescent="0.2">
      <c r="A252" s="5" t="s">
        <v>1145</v>
      </c>
      <c r="B252" s="17">
        <f t="shared" si="12"/>
        <v>-34.913902931456867</v>
      </c>
      <c r="C252" s="17">
        <f t="shared" si="13"/>
        <v>0</v>
      </c>
      <c r="D252" s="17">
        <f t="shared" si="15"/>
        <v>0</v>
      </c>
      <c r="E252" s="17">
        <f t="shared" si="16"/>
        <v>0</v>
      </c>
      <c r="F252" s="25">
        <f t="shared" si="17"/>
        <v>48</v>
      </c>
      <c r="G252" s="16">
        <v>56</v>
      </c>
      <c r="H252" s="25">
        <f t="shared" si="14"/>
        <v>8120</v>
      </c>
      <c r="I252" s="25">
        <f t="shared" si="18"/>
        <v>48</v>
      </c>
      <c r="J252" s="25">
        <f t="shared" si="19"/>
        <v>167</v>
      </c>
      <c r="K252" s="17">
        <f t="shared" si="20"/>
        <v>-24.981263111334542</v>
      </c>
      <c r="L252" s="17">
        <f t="shared" si="21"/>
        <v>3780663.2524297624</v>
      </c>
      <c r="M252" s="17">
        <f t="shared" si="22"/>
        <v>-252492463.1260199</v>
      </c>
      <c r="N252" s="17" t="str">
        <f t="shared" si="23"/>
        <v/>
      </c>
      <c r="O252" s="6"/>
    </row>
    <row r="253" spans="1:15" x14ac:dyDescent="0.2">
      <c r="A253" s="5" t="s">
        <v>1146</v>
      </c>
      <c r="B253" s="17">
        <f t="shared" ref="B253:B280" si="24">D130</f>
        <v>0</v>
      </c>
      <c r="C253" s="17">
        <f t="shared" ref="C253:C280" si="25">D83</f>
        <v>0</v>
      </c>
      <c r="D253" s="17">
        <f t="shared" si="15"/>
        <v>0</v>
      </c>
      <c r="E253" s="17">
        <f t="shared" si="16"/>
        <v>0</v>
      </c>
      <c r="F253" s="25">
        <f t="shared" si="17"/>
        <v>64</v>
      </c>
      <c r="G253" s="16">
        <v>57</v>
      </c>
      <c r="H253" s="25">
        <f t="shared" si="14"/>
        <v>10809</v>
      </c>
      <c r="I253" s="25">
        <f t="shared" si="18"/>
        <v>78</v>
      </c>
      <c r="J253" s="25">
        <f t="shared" si="19"/>
        <v>168</v>
      </c>
      <c r="K253" s="17">
        <f t="shared" si="20"/>
        <v>-24.981263111334542</v>
      </c>
      <c r="L253" s="17">
        <f t="shared" si="21"/>
        <v>3780663.2524297624</v>
      </c>
      <c r="M253" s="17">
        <f t="shared" si="22"/>
        <v>-252492463.1260199</v>
      </c>
      <c r="N253" s="17" t="str">
        <f t="shared" si="23"/>
        <v/>
      </c>
      <c r="O253" s="6"/>
    </row>
    <row r="254" spans="1:15" x14ac:dyDescent="0.2">
      <c r="A254" s="5" t="s">
        <v>1147</v>
      </c>
      <c r="B254" s="17">
        <f t="shared" si="24"/>
        <v>0</v>
      </c>
      <c r="C254" s="17">
        <f t="shared" si="25"/>
        <v>0</v>
      </c>
      <c r="D254" s="17">
        <f t="shared" si="15"/>
        <v>0</v>
      </c>
      <c r="E254" s="17">
        <f t="shared" si="16"/>
        <v>0</v>
      </c>
      <c r="F254" s="25">
        <f t="shared" si="17"/>
        <v>64</v>
      </c>
      <c r="G254" s="16">
        <v>58</v>
      </c>
      <c r="H254" s="25">
        <f t="shared" si="14"/>
        <v>10810</v>
      </c>
      <c r="I254" s="25">
        <f t="shared" si="18"/>
        <v>79</v>
      </c>
      <c r="J254" s="25">
        <f t="shared" si="19"/>
        <v>41</v>
      </c>
      <c r="K254" s="17">
        <f t="shared" si="20"/>
        <v>-24.604647224013021</v>
      </c>
      <c r="L254" s="17">
        <f t="shared" si="21"/>
        <v>3780663.2524297624</v>
      </c>
      <c r="M254" s="17">
        <f t="shared" si="22"/>
        <v>-251068605.28054219</v>
      </c>
      <c r="N254" s="17" t="str">
        <f t="shared" si="23"/>
        <v/>
      </c>
      <c r="O254" s="6"/>
    </row>
    <row r="255" spans="1:15" x14ac:dyDescent="0.2">
      <c r="A255" s="5" t="s">
        <v>1148</v>
      </c>
      <c r="B255" s="17">
        <f t="shared" si="24"/>
        <v>0</v>
      </c>
      <c r="C255" s="17">
        <f t="shared" si="25"/>
        <v>0</v>
      </c>
      <c r="D255" s="17">
        <f t="shared" si="15"/>
        <v>0</v>
      </c>
      <c r="E255" s="17">
        <f t="shared" si="16"/>
        <v>0</v>
      </c>
      <c r="F255" s="25">
        <f t="shared" si="17"/>
        <v>64</v>
      </c>
      <c r="G255" s="16">
        <v>59</v>
      </c>
      <c r="H255" s="25">
        <f t="shared" si="14"/>
        <v>10811</v>
      </c>
      <c r="I255" s="25">
        <f t="shared" si="18"/>
        <v>80</v>
      </c>
      <c r="J255" s="25">
        <f t="shared" si="19"/>
        <v>12</v>
      </c>
      <c r="K255" s="17">
        <f t="shared" si="20"/>
        <v>-23.828509152178142</v>
      </c>
      <c r="L255" s="17">
        <f t="shared" si="21"/>
        <v>4314645.986302088</v>
      </c>
      <c r="M255" s="17">
        <f t="shared" si="22"/>
        <v>-248134288.59354436</v>
      </c>
      <c r="N255" s="17" t="str">
        <f t="shared" si="23"/>
        <v/>
      </c>
      <c r="O255" s="6"/>
    </row>
    <row r="256" spans="1:15" x14ac:dyDescent="0.2">
      <c r="A256" s="5" t="s">
        <v>1149</v>
      </c>
      <c r="B256" s="17">
        <f t="shared" si="24"/>
        <v>0</v>
      </c>
      <c r="C256" s="17">
        <f t="shared" si="25"/>
        <v>0</v>
      </c>
      <c r="D256" s="17">
        <f t="shared" si="15"/>
        <v>0</v>
      </c>
      <c r="E256" s="17">
        <f t="shared" si="16"/>
        <v>0</v>
      </c>
      <c r="F256" s="25">
        <f t="shared" si="17"/>
        <v>64</v>
      </c>
      <c r="G256" s="16">
        <v>60</v>
      </c>
      <c r="H256" s="25">
        <f t="shared" si="14"/>
        <v>10812</v>
      </c>
      <c r="I256" s="25">
        <f t="shared" si="18"/>
        <v>81</v>
      </c>
      <c r="J256" s="25">
        <f t="shared" si="19"/>
        <v>28</v>
      </c>
      <c r="K256" s="17">
        <f t="shared" si="20"/>
        <v>-21.8735298141745</v>
      </c>
      <c r="L256" s="17">
        <f t="shared" si="21"/>
        <v>4314645.986302088</v>
      </c>
      <c r="M256" s="17">
        <f t="shared" si="22"/>
        <v>-239699244.83952343</v>
      </c>
      <c r="N256" s="17" t="str">
        <f t="shared" si="23"/>
        <v/>
      </c>
      <c r="O256" s="6"/>
    </row>
    <row r="257" spans="1:15" x14ac:dyDescent="0.2">
      <c r="A257" s="5" t="s">
        <v>1150</v>
      </c>
      <c r="B257" s="17">
        <f t="shared" si="24"/>
        <v>0</v>
      </c>
      <c r="C257" s="17">
        <f t="shared" si="25"/>
        <v>0</v>
      </c>
      <c r="D257" s="17">
        <f t="shared" si="15"/>
        <v>0</v>
      </c>
      <c r="E257" s="17">
        <f t="shared" si="16"/>
        <v>0</v>
      </c>
      <c r="F257" s="25">
        <f t="shared" si="17"/>
        <v>64</v>
      </c>
      <c r="G257" s="16">
        <v>61</v>
      </c>
      <c r="H257" s="25">
        <f t="shared" si="14"/>
        <v>10813</v>
      </c>
      <c r="I257" s="25">
        <f t="shared" si="18"/>
        <v>82</v>
      </c>
      <c r="J257" s="25">
        <f t="shared" si="19"/>
        <v>69</v>
      </c>
      <c r="K257" s="17">
        <f t="shared" si="20"/>
        <v>-21.423133231277049</v>
      </c>
      <c r="L257" s="17">
        <f t="shared" si="21"/>
        <v>4314645.986302088</v>
      </c>
      <c r="M257" s="17">
        <f t="shared" si="22"/>
        <v>-237755943.03088078</v>
      </c>
      <c r="N257" s="17" t="str">
        <f t="shared" si="23"/>
        <v/>
      </c>
      <c r="O257" s="6"/>
    </row>
    <row r="258" spans="1:15" x14ac:dyDescent="0.2">
      <c r="A258" s="5" t="s">
        <v>1151</v>
      </c>
      <c r="B258" s="17">
        <f t="shared" si="24"/>
        <v>0</v>
      </c>
      <c r="C258" s="17">
        <f t="shared" si="25"/>
        <v>0</v>
      </c>
      <c r="D258" s="17">
        <f t="shared" si="15"/>
        <v>0</v>
      </c>
      <c r="E258" s="17">
        <f t="shared" si="16"/>
        <v>0</v>
      </c>
      <c r="F258" s="25">
        <f t="shared" si="17"/>
        <v>64</v>
      </c>
      <c r="G258" s="16">
        <v>62</v>
      </c>
      <c r="H258" s="25">
        <f t="shared" si="14"/>
        <v>10814</v>
      </c>
      <c r="I258" s="25">
        <f t="shared" si="18"/>
        <v>83</v>
      </c>
      <c r="J258" s="25">
        <f t="shared" si="19"/>
        <v>153</v>
      </c>
      <c r="K258" s="17">
        <f t="shared" si="20"/>
        <v>-18.814051119771626</v>
      </c>
      <c r="L258" s="17">
        <f t="shared" si="21"/>
        <v>4314645.986302088</v>
      </c>
      <c r="M258" s="17">
        <f t="shared" si="22"/>
        <v>-226498677.37054133</v>
      </c>
      <c r="N258" s="17" t="str">
        <f t="shared" si="23"/>
        <v/>
      </c>
      <c r="O258" s="6"/>
    </row>
    <row r="259" spans="1:15" x14ac:dyDescent="0.2">
      <c r="A259" s="5" t="s">
        <v>1152</v>
      </c>
      <c r="B259" s="17">
        <f t="shared" si="24"/>
        <v>0</v>
      </c>
      <c r="C259" s="17">
        <f t="shared" si="25"/>
        <v>0</v>
      </c>
      <c r="D259" s="17">
        <f t="shared" si="15"/>
        <v>0</v>
      </c>
      <c r="E259" s="17">
        <f t="shared" si="16"/>
        <v>0</v>
      </c>
      <c r="F259" s="25">
        <f t="shared" si="17"/>
        <v>64</v>
      </c>
      <c r="G259" s="16">
        <v>63</v>
      </c>
      <c r="H259" s="25">
        <f t="shared" si="14"/>
        <v>10815</v>
      </c>
      <c r="I259" s="25">
        <f t="shared" si="18"/>
        <v>84</v>
      </c>
      <c r="J259" s="25">
        <f t="shared" si="19"/>
        <v>13</v>
      </c>
      <c r="K259" s="17">
        <f t="shared" si="20"/>
        <v>-16.984656161621121</v>
      </c>
      <c r="L259" s="17">
        <f t="shared" si="21"/>
        <v>4314645.986302088</v>
      </c>
      <c r="M259" s="17">
        <f t="shared" si="22"/>
        <v>-218605485.75699598</v>
      </c>
      <c r="N259" s="17" t="str">
        <f t="shared" si="23"/>
        <v/>
      </c>
      <c r="O259" s="6"/>
    </row>
    <row r="260" spans="1:15" x14ac:dyDescent="0.2">
      <c r="A260" s="5" t="s">
        <v>1153</v>
      </c>
      <c r="B260" s="17">
        <f t="shared" si="24"/>
        <v>0</v>
      </c>
      <c r="C260" s="17">
        <f t="shared" si="25"/>
        <v>0</v>
      </c>
      <c r="D260" s="17">
        <f t="shared" si="15"/>
        <v>0</v>
      </c>
      <c r="E260" s="17">
        <f t="shared" si="16"/>
        <v>0</v>
      </c>
      <c r="F260" s="25">
        <f t="shared" si="17"/>
        <v>64</v>
      </c>
      <c r="G260" s="16">
        <v>64</v>
      </c>
      <c r="H260" s="25">
        <f t="shared" ref="H260:H291" si="26">F260*168+G260</f>
        <v>10816</v>
      </c>
      <c r="I260" s="25">
        <f t="shared" si="18"/>
        <v>85</v>
      </c>
      <c r="J260" s="25">
        <f t="shared" si="19"/>
        <v>29</v>
      </c>
      <c r="K260" s="17">
        <f t="shared" si="20"/>
        <v>0</v>
      </c>
      <c r="L260" s="17">
        <f t="shared" si="21"/>
        <v>4314645.986302088</v>
      </c>
      <c r="M260" s="17">
        <f t="shared" si="22"/>
        <v>-145322707.22053638</v>
      </c>
      <c r="N260" s="17" t="str">
        <f t="shared" si="23"/>
        <v/>
      </c>
      <c r="O260" s="6"/>
    </row>
    <row r="261" spans="1:15" x14ac:dyDescent="0.2">
      <c r="A261" s="5" t="s">
        <v>1154</v>
      </c>
      <c r="B261" s="17">
        <f t="shared" si="24"/>
        <v>0</v>
      </c>
      <c r="C261" s="17">
        <f t="shared" si="25"/>
        <v>0</v>
      </c>
      <c r="D261" s="17">
        <f t="shared" ref="D261:D292" si="27">IF(ISNUMBER(B261),0,C261)</f>
        <v>0</v>
      </c>
      <c r="E261" s="17">
        <f t="shared" ref="E261:E292" si="28">MAX($B$171,B261)*C261</f>
        <v>0</v>
      </c>
      <c r="F261" s="25">
        <f t="shared" ref="F261:F292" si="29">RANK(B261,B$197:B$364,1)</f>
        <v>64</v>
      </c>
      <c r="G261" s="16">
        <v>65</v>
      </c>
      <c r="H261" s="25">
        <f t="shared" si="26"/>
        <v>10817</v>
      </c>
      <c r="I261" s="25">
        <f t="shared" ref="I261:I292" si="30">RANK(H261,H$197:H$364,1)</f>
        <v>86</v>
      </c>
      <c r="J261" s="25">
        <f t="shared" ref="J261:J292" si="31">MATCH(G261,I$197:I$364,0)</f>
        <v>31</v>
      </c>
      <c r="K261" s="17">
        <f t="shared" ref="K261:K292" si="32">INDEX(B$197:B$364,J261,1)</f>
        <v>0</v>
      </c>
      <c r="L261" s="17">
        <f t="shared" ref="L261:L292" si="33">L260+INDEX(C$197:C$364,J261,1)</f>
        <v>4314645.986302088</v>
      </c>
      <c r="M261" s="17">
        <f t="shared" ref="M261:M292" si="34">M260+(K261-K260)*L260</f>
        <v>-145322707.22053638</v>
      </c>
      <c r="N261" s="17" t="str">
        <f t="shared" ref="N261:N292" si="35">IF((M260&gt;0)=(M261&gt;0),"",K261-M261/L260)</f>
        <v/>
      </c>
      <c r="O261" s="6"/>
    </row>
    <row r="262" spans="1:15" x14ac:dyDescent="0.2">
      <c r="A262" s="5" t="s">
        <v>1155</v>
      </c>
      <c r="B262" s="17">
        <f t="shared" si="24"/>
        <v>-67.388645000379299</v>
      </c>
      <c r="C262" s="17">
        <f t="shared" si="25"/>
        <v>11319.718785317764</v>
      </c>
      <c r="D262" s="17">
        <f t="shared" si="27"/>
        <v>0</v>
      </c>
      <c r="E262" s="17">
        <f t="shared" si="28"/>
        <v>-762820.51072790357</v>
      </c>
      <c r="F262" s="25">
        <f t="shared" si="29"/>
        <v>27</v>
      </c>
      <c r="G262" s="16">
        <v>66</v>
      </c>
      <c r="H262" s="25">
        <f t="shared" si="26"/>
        <v>4602</v>
      </c>
      <c r="I262" s="25">
        <f t="shared" si="30"/>
        <v>27</v>
      </c>
      <c r="J262" s="25">
        <f t="shared" si="31"/>
        <v>32</v>
      </c>
      <c r="K262" s="17">
        <f t="shared" si="32"/>
        <v>0</v>
      </c>
      <c r="L262" s="17">
        <f t="shared" si="33"/>
        <v>4314645.986302088</v>
      </c>
      <c r="M262" s="17">
        <f t="shared" si="34"/>
        <v>-145322707.22053638</v>
      </c>
      <c r="N262" s="17" t="str">
        <f t="shared" si="35"/>
        <v/>
      </c>
      <c r="O262" s="6"/>
    </row>
    <row r="263" spans="1:15" x14ac:dyDescent="0.2">
      <c r="A263" s="5" t="s">
        <v>1156</v>
      </c>
      <c r="B263" s="17">
        <f t="shared" si="24"/>
        <v>-52.108591247483346</v>
      </c>
      <c r="C263" s="17">
        <f t="shared" si="25"/>
        <v>10979.124514828683</v>
      </c>
      <c r="D263" s="17">
        <f t="shared" si="27"/>
        <v>0</v>
      </c>
      <c r="E263" s="17">
        <f t="shared" si="28"/>
        <v>-572106.71159843181</v>
      </c>
      <c r="F263" s="25">
        <f t="shared" si="29"/>
        <v>38</v>
      </c>
      <c r="G263" s="16">
        <v>67</v>
      </c>
      <c r="H263" s="25">
        <f t="shared" si="26"/>
        <v>6451</v>
      </c>
      <c r="I263" s="25">
        <f t="shared" si="30"/>
        <v>38</v>
      </c>
      <c r="J263" s="25">
        <f t="shared" si="31"/>
        <v>34</v>
      </c>
      <c r="K263" s="17">
        <f t="shared" si="32"/>
        <v>0</v>
      </c>
      <c r="L263" s="17">
        <f t="shared" si="33"/>
        <v>4314645.986302088</v>
      </c>
      <c r="M263" s="17">
        <f t="shared" si="34"/>
        <v>-145322707.22053638</v>
      </c>
      <c r="N263" s="17" t="str">
        <f t="shared" si="35"/>
        <v/>
      </c>
      <c r="O263" s="6"/>
    </row>
    <row r="264" spans="1:15" x14ac:dyDescent="0.2">
      <c r="A264" s="5" t="s">
        <v>1157</v>
      </c>
      <c r="B264" s="17">
        <f t="shared" si="24"/>
        <v>-32.390535709106956</v>
      </c>
      <c r="C264" s="17">
        <f t="shared" si="25"/>
        <v>44017.939922066449</v>
      </c>
      <c r="D264" s="17">
        <f t="shared" si="27"/>
        <v>0</v>
      </c>
      <c r="E264" s="17">
        <f t="shared" si="28"/>
        <v>-1425764.654887018</v>
      </c>
      <c r="F264" s="25">
        <f t="shared" si="29"/>
        <v>49</v>
      </c>
      <c r="G264" s="16">
        <v>68</v>
      </c>
      <c r="H264" s="25">
        <f t="shared" si="26"/>
        <v>8300</v>
      </c>
      <c r="I264" s="25">
        <f t="shared" si="30"/>
        <v>49</v>
      </c>
      <c r="J264" s="25">
        <f t="shared" si="31"/>
        <v>42</v>
      </c>
      <c r="K264" s="17">
        <f t="shared" si="32"/>
        <v>0</v>
      </c>
      <c r="L264" s="17">
        <f t="shared" si="33"/>
        <v>4314645.986302088</v>
      </c>
      <c r="M264" s="17">
        <f t="shared" si="34"/>
        <v>-145322707.22053638</v>
      </c>
      <c r="N264" s="17" t="str">
        <f t="shared" si="35"/>
        <v/>
      </c>
      <c r="O264" s="6"/>
    </row>
    <row r="265" spans="1:15" x14ac:dyDescent="0.2">
      <c r="A265" s="5" t="s">
        <v>1158</v>
      </c>
      <c r="B265" s="17">
        <f t="shared" si="24"/>
        <v>-21.423133231277049</v>
      </c>
      <c r="C265" s="17">
        <f t="shared" si="25"/>
        <v>0</v>
      </c>
      <c r="D265" s="17">
        <f t="shared" si="27"/>
        <v>0</v>
      </c>
      <c r="E265" s="17">
        <f t="shared" si="28"/>
        <v>0</v>
      </c>
      <c r="F265" s="25">
        <f t="shared" si="29"/>
        <v>61</v>
      </c>
      <c r="G265" s="16">
        <v>69</v>
      </c>
      <c r="H265" s="25">
        <f t="shared" si="26"/>
        <v>10317</v>
      </c>
      <c r="I265" s="25">
        <f t="shared" si="30"/>
        <v>61</v>
      </c>
      <c r="J265" s="25">
        <f t="shared" si="31"/>
        <v>43</v>
      </c>
      <c r="K265" s="17">
        <f t="shared" si="32"/>
        <v>0</v>
      </c>
      <c r="L265" s="17">
        <f t="shared" si="33"/>
        <v>4314645.986302088</v>
      </c>
      <c r="M265" s="17">
        <f t="shared" si="34"/>
        <v>-145322707.22053638</v>
      </c>
      <c r="N265" s="17" t="str">
        <f t="shared" si="35"/>
        <v/>
      </c>
      <c r="O265" s="6"/>
    </row>
    <row r="266" spans="1:15" x14ac:dyDescent="0.2">
      <c r="A266" s="5" t="s">
        <v>1159</v>
      </c>
      <c r="B266" s="17">
        <f t="shared" si="24"/>
        <v>0</v>
      </c>
      <c r="C266" s="17">
        <f t="shared" si="25"/>
        <v>0</v>
      </c>
      <c r="D266" s="17">
        <f t="shared" si="27"/>
        <v>0</v>
      </c>
      <c r="E266" s="17">
        <f t="shared" si="28"/>
        <v>0</v>
      </c>
      <c r="F266" s="25">
        <f t="shared" si="29"/>
        <v>64</v>
      </c>
      <c r="G266" s="16">
        <v>70</v>
      </c>
      <c r="H266" s="25">
        <f t="shared" si="26"/>
        <v>10822</v>
      </c>
      <c r="I266" s="25">
        <f t="shared" si="30"/>
        <v>87</v>
      </c>
      <c r="J266" s="25">
        <f t="shared" si="31"/>
        <v>44</v>
      </c>
      <c r="K266" s="17">
        <f t="shared" si="32"/>
        <v>0</v>
      </c>
      <c r="L266" s="17">
        <f t="shared" si="33"/>
        <v>4314645.986302088</v>
      </c>
      <c r="M266" s="17">
        <f t="shared" si="34"/>
        <v>-145322707.22053638</v>
      </c>
      <c r="N266" s="17" t="str">
        <f t="shared" si="35"/>
        <v/>
      </c>
      <c r="O266" s="6"/>
    </row>
    <row r="267" spans="1:15" x14ac:dyDescent="0.2">
      <c r="A267" s="5" t="s">
        <v>1160</v>
      </c>
      <c r="B267" s="17">
        <f t="shared" si="24"/>
        <v>0</v>
      </c>
      <c r="C267" s="17">
        <f t="shared" si="25"/>
        <v>0</v>
      </c>
      <c r="D267" s="17">
        <f t="shared" si="27"/>
        <v>0</v>
      </c>
      <c r="E267" s="17">
        <f t="shared" si="28"/>
        <v>0</v>
      </c>
      <c r="F267" s="25">
        <f t="shared" si="29"/>
        <v>64</v>
      </c>
      <c r="G267" s="16">
        <v>71</v>
      </c>
      <c r="H267" s="25">
        <f t="shared" si="26"/>
        <v>10823</v>
      </c>
      <c r="I267" s="25">
        <f t="shared" si="30"/>
        <v>88</v>
      </c>
      <c r="J267" s="25">
        <f t="shared" si="31"/>
        <v>45</v>
      </c>
      <c r="K267" s="17">
        <f t="shared" si="32"/>
        <v>0</v>
      </c>
      <c r="L267" s="17">
        <f t="shared" si="33"/>
        <v>4314645.986302088</v>
      </c>
      <c r="M267" s="17">
        <f t="shared" si="34"/>
        <v>-145322707.22053638</v>
      </c>
      <c r="N267" s="17" t="str">
        <f t="shared" si="35"/>
        <v/>
      </c>
      <c r="O267" s="6"/>
    </row>
    <row r="268" spans="1:15" x14ac:dyDescent="0.2">
      <c r="A268" s="5" t="s">
        <v>1161</v>
      </c>
      <c r="B268" s="17">
        <f t="shared" si="24"/>
        <v>0</v>
      </c>
      <c r="C268" s="17">
        <f t="shared" si="25"/>
        <v>0</v>
      </c>
      <c r="D268" s="17">
        <f t="shared" si="27"/>
        <v>0</v>
      </c>
      <c r="E268" s="17">
        <f t="shared" si="28"/>
        <v>0</v>
      </c>
      <c r="F268" s="25">
        <f t="shared" si="29"/>
        <v>64</v>
      </c>
      <c r="G268" s="16">
        <v>72</v>
      </c>
      <c r="H268" s="25">
        <f t="shared" si="26"/>
        <v>10824</v>
      </c>
      <c r="I268" s="25">
        <f t="shared" si="30"/>
        <v>89</v>
      </c>
      <c r="J268" s="25">
        <f t="shared" si="31"/>
        <v>47</v>
      </c>
      <c r="K268" s="17">
        <f t="shared" si="32"/>
        <v>0</v>
      </c>
      <c r="L268" s="17">
        <f t="shared" si="33"/>
        <v>4314645.986302088</v>
      </c>
      <c r="M268" s="17">
        <f t="shared" si="34"/>
        <v>-145322707.22053638</v>
      </c>
      <c r="N268" s="17" t="str">
        <f t="shared" si="35"/>
        <v/>
      </c>
      <c r="O268" s="6"/>
    </row>
    <row r="269" spans="1:15" x14ac:dyDescent="0.2">
      <c r="A269" s="5" t="s">
        <v>1162</v>
      </c>
      <c r="B269" s="17">
        <f t="shared" si="24"/>
        <v>0</v>
      </c>
      <c r="C269" s="17">
        <f t="shared" si="25"/>
        <v>0</v>
      </c>
      <c r="D269" s="17">
        <f t="shared" si="27"/>
        <v>0</v>
      </c>
      <c r="E269" s="17">
        <f t="shared" si="28"/>
        <v>0</v>
      </c>
      <c r="F269" s="25">
        <f t="shared" si="29"/>
        <v>64</v>
      </c>
      <c r="G269" s="16">
        <v>73</v>
      </c>
      <c r="H269" s="25">
        <f t="shared" si="26"/>
        <v>10825</v>
      </c>
      <c r="I269" s="25">
        <f t="shared" si="30"/>
        <v>90</v>
      </c>
      <c r="J269" s="25">
        <f t="shared" si="31"/>
        <v>48</v>
      </c>
      <c r="K269" s="17">
        <f t="shared" si="32"/>
        <v>0</v>
      </c>
      <c r="L269" s="17">
        <f t="shared" si="33"/>
        <v>4314645.986302088</v>
      </c>
      <c r="M269" s="17">
        <f t="shared" si="34"/>
        <v>-145322707.22053638</v>
      </c>
      <c r="N269" s="17" t="str">
        <f t="shared" si="35"/>
        <v/>
      </c>
      <c r="O269" s="6"/>
    </row>
    <row r="270" spans="1:15" x14ac:dyDescent="0.2">
      <c r="A270" s="5" t="s">
        <v>1163</v>
      </c>
      <c r="B270" s="17">
        <f t="shared" si="24"/>
        <v>-1144.4641134597359</v>
      </c>
      <c r="C270" s="17">
        <f t="shared" si="25"/>
        <v>3250.6599423367156</v>
      </c>
      <c r="D270" s="17">
        <f t="shared" si="27"/>
        <v>0</v>
      </c>
      <c r="E270" s="17">
        <f t="shared" si="28"/>
        <v>-3720263.6490654657</v>
      </c>
      <c r="F270" s="25">
        <f t="shared" si="29"/>
        <v>1</v>
      </c>
      <c r="G270" s="16">
        <v>74</v>
      </c>
      <c r="H270" s="25">
        <f t="shared" si="26"/>
        <v>242</v>
      </c>
      <c r="I270" s="25">
        <f t="shared" si="30"/>
        <v>1</v>
      </c>
      <c r="J270" s="25">
        <f t="shared" si="31"/>
        <v>49</v>
      </c>
      <c r="K270" s="17">
        <f t="shared" si="32"/>
        <v>0</v>
      </c>
      <c r="L270" s="17">
        <f t="shared" si="33"/>
        <v>4314645.986302088</v>
      </c>
      <c r="M270" s="17">
        <f t="shared" si="34"/>
        <v>-145322707.22053638</v>
      </c>
      <c r="N270" s="17" t="str">
        <f t="shared" si="35"/>
        <v/>
      </c>
      <c r="O270" s="6"/>
    </row>
    <row r="271" spans="1:15" x14ac:dyDescent="0.2">
      <c r="A271" s="5" t="s">
        <v>1164</v>
      </c>
      <c r="B271" s="17">
        <f t="shared" si="24"/>
        <v>0</v>
      </c>
      <c r="C271" s="17">
        <f t="shared" si="25"/>
        <v>0</v>
      </c>
      <c r="D271" s="17">
        <f t="shared" si="27"/>
        <v>0</v>
      </c>
      <c r="E271" s="17">
        <f t="shared" si="28"/>
        <v>0</v>
      </c>
      <c r="F271" s="25">
        <f t="shared" si="29"/>
        <v>64</v>
      </c>
      <c r="G271" s="16">
        <v>75</v>
      </c>
      <c r="H271" s="25">
        <f t="shared" si="26"/>
        <v>10827</v>
      </c>
      <c r="I271" s="25">
        <f t="shared" si="30"/>
        <v>91</v>
      </c>
      <c r="J271" s="25">
        <f t="shared" si="31"/>
        <v>51</v>
      </c>
      <c r="K271" s="17">
        <f t="shared" si="32"/>
        <v>0</v>
      </c>
      <c r="L271" s="17">
        <f t="shared" si="33"/>
        <v>4314645.986302088</v>
      </c>
      <c r="M271" s="17">
        <f t="shared" si="34"/>
        <v>-145322707.22053638</v>
      </c>
      <c r="N271" s="17" t="str">
        <f t="shared" si="35"/>
        <v/>
      </c>
      <c r="O271" s="6"/>
    </row>
    <row r="272" spans="1:15" x14ac:dyDescent="0.2">
      <c r="A272" s="5" t="s">
        <v>1165</v>
      </c>
      <c r="B272" s="17">
        <f t="shared" si="24"/>
        <v>0</v>
      </c>
      <c r="C272" s="17">
        <f t="shared" si="25"/>
        <v>0</v>
      </c>
      <c r="D272" s="17">
        <f t="shared" si="27"/>
        <v>0</v>
      </c>
      <c r="E272" s="17">
        <f t="shared" si="28"/>
        <v>0</v>
      </c>
      <c r="F272" s="25">
        <f t="shared" si="29"/>
        <v>64</v>
      </c>
      <c r="G272" s="16">
        <v>76</v>
      </c>
      <c r="H272" s="25">
        <f t="shared" si="26"/>
        <v>10828</v>
      </c>
      <c r="I272" s="25">
        <f t="shared" si="30"/>
        <v>92</v>
      </c>
      <c r="J272" s="25">
        <f t="shared" si="31"/>
        <v>53</v>
      </c>
      <c r="K272" s="17">
        <f t="shared" si="32"/>
        <v>0</v>
      </c>
      <c r="L272" s="17">
        <f t="shared" si="33"/>
        <v>4314645.986302088</v>
      </c>
      <c r="M272" s="17">
        <f t="shared" si="34"/>
        <v>-145322707.22053638</v>
      </c>
      <c r="N272" s="17" t="str">
        <f t="shared" si="35"/>
        <v/>
      </c>
      <c r="O272" s="6"/>
    </row>
    <row r="273" spans="1:15" x14ac:dyDescent="0.2">
      <c r="A273" s="5" t="s">
        <v>1166</v>
      </c>
      <c r="B273" s="17">
        <f t="shared" si="24"/>
        <v>0</v>
      </c>
      <c r="C273" s="17">
        <f t="shared" si="25"/>
        <v>0</v>
      </c>
      <c r="D273" s="17">
        <f t="shared" si="27"/>
        <v>0</v>
      </c>
      <c r="E273" s="17">
        <f t="shared" si="28"/>
        <v>0</v>
      </c>
      <c r="F273" s="25">
        <f t="shared" si="29"/>
        <v>64</v>
      </c>
      <c r="G273" s="16">
        <v>77</v>
      </c>
      <c r="H273" s="25">
        <f t="shared" si="26"/>
        <v>10829</v>
      </c>
      <c r="I273" s="25">
        <f t="shared" si="30"/>
        <v>93</v>
      </c>
      <c r="J273" s="25">
        <f t="shared" si="31"/>
        <v>55</v>
      </c>
      <c r="K273" s="17">
        <f t="shared" si="32"/>
        <v>0</v>
      </c>
      <c r="L273" s="17">
        <f t="shared" si="33"/>
        <v>4314645.986302088</v>
      </c>
      <c r="M273" s="17">
        <f t="shared" si="34"/>
        <v>-145322707.22053638</v>
      </c>
      <c r="N273" s="17" t="str">
        <f t="shared" si="35"/>
        <v/>
      </c>
      <c r="O273" s="6"/>
    </row>
    <row r="274" spans="1:15" x14ac:dyDescent="0.2">
      <c r="A274" s="5" t="s">
        <v>1167</v>
      </c>
      <c r="B274" s="17">
        <f t="shared" si="24"/>
        <v>-87.717850780948282</v>
      </c>
      <c r="C274" s="17">
        <f t="shared" si="25"/>
        <v>0</v>
      </c>
      <c r="D274" s="17">
        <f t="shared" si="27"/>
        <v>0</v>
      </c>
      <c r="E274" s="17">
        <f t="shared" si="28"/>
        <v>0</v>
      </c>
      <c r="F274" s="25">
        <f t="shared" si="29"/>
        <v>11</v>
      </c>
      <c r="G274" s="16">
        <v>78</v>
      </c>
      <c r="H274" s="25">
        <f t="shared" si="26"/>
        <v>1926</v>
      </c>
      <c r="I274" s="25">
        <f t="shared" si="30"/>
        <v>14</v>
      </c>
      <c r="J274" s="25">
        <f t="shared" si="31"/>
        <v>57</v>
      </c>
      <c r="K274" s="17">
        <f t="shared" si="32"/>
        <v>0</v>
      </c>
      <c r="L274" s="17">
        <f t="shared" si="33"/>
        <v>4314645.986302088</v>
      </c>
      <c r="M274" s="17">
        <f t="shared" si="34"/>
        <v>-145322707.22053638</v>
      </c>
      <c r="N274" s="17" t="str">
        <f t="shared" si="35"/>
        <v/>
      </c>
      <c r="O274" s="6"/>
    </row>
    <row r="275" spans="1:15" x14ac:dyDescent="0.2">
      <c r="A275" s="5" t="s">
        <v>1168</v>
      </c>
      <c r="B275" s="17">
        <f t="shared" si="24"/>
        <v>0</v>
      </c>
      <c r="C275" s="17">
        <f t="shared" si="25"/>
        <v>0</v>
      </c>
      <c r="D275" s="17">
        <f t="shared" si="27"/>
        <v>0</v>
      </c>
      <c r="E275" s="17">
        <f t="shared" si="28"/>
        <v>0</v>
      </c>
      <c r="F275" s="25">
        <f t="shared" si="29"/>
        <v>64</v>
      </c>
      <c r="G275" s="16">
        <v>79</v>
      </c>
      <c r="H275" s="25">
        <f t="shared" si="26"/>
        <v>10831</v>
      </c>
      <c r="I275" s="25">
        <f t="shared" si="30"/>
        <v>94</v>
      </c>
      <c r="J275" s="25">
        <f t="shared" si="31"/>
        <v>58</v>
      </c>
      <c r="K275" s="17">
        <f t="shared" si="32"/>
        <v>0</v>
      </c>
      <c r="L275" s="17">
        <f t="shared" si="33"/>
        <v>4314645.986302088</v>
      </c>
      <c r="M275" s="17">
        <f t="shared" si="34"/>
        <v>-145322707.22053638</v>
      </c>
      <c r="N275" s="17" t="str">
        <f t="shared" si="35"/>
        <v/>
      </c>
      <c r="O275" s="6"/>
    </row>
    <row r="276" spans="1:15" x14ac:dyDescent="0.2">
      <c r="A276" s="5" t="s">
        <v>1169</v>
      </c>
      <c r="B276" s="17">
        <f t="shared" si="24"/>
        <v>-71.208658438603308</v>
      </c>
      <c r="C276" s="17">
        <f t="shared" si="25"/>
        <v>0</v>
      </c>
      <c r="D276" s="17">
        <f t="shared" si="27"/>
        <v>0</v>
      </c>
      <c r="E276" s="17">
        <f t="shared" si="28"/>
        <v>0</v>
      </c>
      <c r="F276" s="25">
        <f t="shared" si="29"/>
        <v>24</v>
      </c>
      <c r="G276" s="16">
        <v>80</v>
      </c>
      <c r="H276" s="25">
        <f t="shared" si="26"/>
        <v>4112</v>
      </c>
      <c r="I276" s="25">
        <f t="shared" si="30"/>
        <v>25</v>
      </c>
      <c r="J276" s="25">
        <f t="shared" si="31"/>
        <v>59</v>
      </c>
      <c r="K276" s="17">
        <f t="shared" si="32"/>
        <v>0</v>
      </c>
      <c r="L276" s="17">
        <f t="shared" si="33"/>
        <v>4314645.986302088</v>
      </c>
      <c r="M276" s="17">
        <f t="shared" si="34"/>
        <v>-145322707.22053638</v>
      </c>
      <c r="N276" s="17" t="str">
        <f t="shared" si="35"/>
        <v/>
      </c>
      <c r="O276" s="6"/>
    </row>
    <row r="277" spans="1:15" x14ac:dyDescent="0.2">
      <c r="A277" s="5" t="s">
        <v>1170</v>
      </c>
      <c r="B277" s="17">
        <f t="shared" si="24"/>
        <v>0</v>
      </c>
      <c r="C277" s="17">
        <f t="shared" si="25"/>
        <v>0</v>
      </c>
      <c r="D277" s="17">
        <f t="shared" si="27"/>
        <v>0</v>
      </c>
      <c r="E277" s="17">
        <f t="shared" si="28"/>
        <v>0</v>
      </c>
      <c r="F277" s="25">
        <f t="shared" si="29"/>
        <v>64</v>
      </c>
      <c r="G277" s="16">
        <v>81</v>
      </c>
      <c r="H277" s="25">
        <f t="shared" si="26"/>
        <v>10833</v>
      </c>
      <c r="I277" s="25">
        <f t="shared" si="30"/>
        <v>95</v>
      </c>
      <c r="J277" s="25">
        <f t="shared" si="31"/>
        <v>60</v>
      </c>
      <c r="K277" s="17">
        <f t="shared" si="32"/>
        <v>0</v>
      </c>
      <c r="L277" s="17">
        <f t="shared" si="33"/>
        <v>4314645.986302088</v>
      </c>
      <c r="M277" s="17">
        <f t="shared" si="34"/>
        <v>-145322707.22053638</v>
      </c>
      <c r="N277" s="17" t="str">
        <f t="shared" si="35"/>
        <v/>
      </c>
      <c r="O277" s="6"/>
    </row>
    <row r="278" spans="1:15" x14ac:dyDescent="0.2">
      <c r="A278" s="5" t="s">
        <v>1171</v>
      </c>
      <c r="B278" s="17">
        <f t="shared" si="24"/>
        <v>-44.833882963628149</v>
      </c>
      <c r="C278" s="17">
        <f t="shared" si="25"/>
        <v>0</v>
      </c>
      <c r="D278" s="17">
        <f t="shared" si="27"/>
        <v>0</v>
      </c>
      <c r="E278" s="17">
        <f t="shared" si="28"/>
        <v>0</v>
      </c>
      <c r="F278" s="25">
        <f t="shared" si="29"/>
        <v>41</v>
      </c>
      <c r="G278" s="16">
        <v>82</v>
      </c>
      <c r="H278" s="25">
        <f t="shared" si="26"/>
        <v>6970</v>
      </c>
      <c r="I278" s="25">
        <f t="shared" si="30"/>
        <v>41</v>
      </c>
      <c r="J278" s="25">
        <f t="shared" si="31"/>
        <v>61</v>
      </c>
      <c r="K278" s="17">
        <f t="shared" si="32"/>
        <v>0</v>
      </c>
      <c r="L278" s="17">
        <f t="shared" si="33"/>
        <v>4314645.986302088</v>
      </c>
      <c r="M278" s="17">
        <f t="shared" si="34"/>
        <v>-145322707.22053638</v>
      </c>
      <c r="N278" s="17" t="str">
        <f t="shared" si="35"/>
        <v/>
      </c>
      <c r="O278" s="6"/>
    </row>
    <row r="279" spans="1:15" x14ac:dyDescent="0.2">
      <c r="A279" s="5" t="s">
        <v>1172</v>
      </c>
      <c r="B279" s="17">
        <f t="shared" si="24"/>
        <v>0</v>
      </c>
      <c r="C279" s="17">
        <f t="shared" si="25"/>
        <v>0</v>
      </c>
      <c r="D279" s="17">
        <f t="shared" si="27"/>
        <v>0</v>
      </c>
      <c r="E279" s="17">
        <f t="shared" si="28"/>
        <v>0</v>
      </c>
      <c r="F279" s="25">
        <f t="shared" si="29"/>
        <v>64</v>
      </c>
      <c r="G279" s="16">
        <v>83</v>
      </c>
      <c r="H279" s="25">
        <f t="shared" si="26"/>
        <v>10835</v>
      </c>
      <c r="I279" s="25">
        <f t="shared" si="30"/>
        <v>96</v>
      </c>
      <c r="J279" s="25">
        <f t="shared" si="31"/>
        <v>62</v>
      </c>
      <c r="K279" s="17">
        <f t="shared" si="32"/>
        <v>0</v>
      </c>
      <c r="L279" s="17">
        <f t="shared" si="33"/>
        <v>4314645.986302088</v>
      </c>
      <c r="M279" s="17">
        <f t="shared" si="34"/>
        <v>-145322707.22053638</v>
      </c>
      <c r="N279" s="17" t="str">
        <f t="shared" si="35"/>
        <v/>
      </c>
      <c r="O279" s="6"/>
    </row>
    <row r="280" spans="1:15" x14ac:dyDescent="0.2">
      <c r="A280" s="5" t="s">
        <v>1173</v>
      </c>
      <c r="B280" s="17">
        <f t="shared" si="24"/>
        <v>-29.25764473887261</v>
      </c>
      <c r="C280" s="17">
        <f t="shared" si="25"/>
        <v>0</v>
      </c>
      <c r="D280" s="17">
        <f t="shared" si="27"/>
        <v>0</v>
      </c>
      <c r="E280" s="17">
        <f t="shared" si="28"/>
        <v>0</v>
      </c>
      <c r="F280" s="25">
        <f t="shared" si="29"/>
        <v>52</v>
      </c>
      <c r="G280" s="16">
        <v>84</v>
      </c>
      <c r="H280" s="25">
        <f t="shared" si="26"/>
        <v>8820</v>
      </c>
      <c r="I280" s="25">
        <f t="shared" si="30"/>
        <v>52</v>
      </c>
      <c r="J280" s="25">
        <f t="shared" si="31"/>
        <v>63</v>
      </c>
      <c r="K280" s="17">
        <f t="shared" si="32"/>
        <v>0</v>
      </c>
      <c r="L280" s="17">
        <f t="shared" si="33"/>
        <v>4314645.986302088</v>
      </c>
      <c r="M280" s="17">
        <f t="shared" si="34"/>
        <v>-145322707.22053638</v>
      </c>
      <c r="N280" s="17" t="str">
        <f t="shared" si="35"/>
        <v/>
      </c>
      <c r="O280" s="6"/>
    </row>
    <row r="281" spans="1:15" x14ac:dyDescent="0.2">
      <c r="A281" s="5" t="s">
        <v>1174</v>
      </c>
      <c r="B281" s="17">
        <f t="shared" ref="B281:B308" si="36">E130</f>
        <v>0</v>
      </c>
      <c r="C281" s="17">
        <f t="shared" ref="C281:C308" si="37">E83</f>
        <v>0</v>
      </c>
      <c r="D281" s="17">
        <f t="shared" si="27"/>
        <v>0</v>
      </c>
      <c r="E281" s="17">
        <f t="shared" si="28"/>
        <v>0</v>
      </c>
      <c r="F281" s="25">
        <f t="shared" si="29"/>
        <v>64</v>
      </c>
      <c r="G281" s="16">
        <v>85</v>
      </c>
      <c r="H281" s="25">
        <f t="shared" si="26"/>
        <v>10837</v>
      </c>
      <c r="I281" s="25">
        <f t="shared" si="30"/>
        <v>97</v>
      </c>
      <c r="J281" s="25">
        <f t="shared" si="31"/>
        <v>64</v>
      </c>
      <c r="K281" s="17">
        <f t="shared" si="32"/>
        <v>0</v>
      </c>
      <c r="L281" s="17">
        <f t="shared" si="33"/>
        <v>4314645.986302088</v>
      </c>
      <c r="M281" s="17">
        <f t="shared" si="34"/>
        <v>-145322707.22053638</v>
      </c>
      <c r="N281" s="17" t="str">
        <f t="shared" si="35"/>
        <v/>
      </c>
      <c r="O281" s="6"/>
    </row>
    <row r="282" spans="1:15" x14ac:dyDescent="0.2">
      <c r="A282" s="5" t="s">
        <v>1175</v>
      </c>
      <c r="B282" s="17">
        <f t="shared" si="36"/>
        <v>0</v>
      </c>
      <c r="C282" s="17">
        <f t="shared" si="37"/>
        <v>0</v>
      </c>
      <c r="D282" s="17">
        <f t="shared" si="27"/>
        <v>0</v>
      </c>
      <c r="E282" s="17">
        <f t="shared" si="28"/>
        <v>0</v>
      </c>
      <c r="F282" s="25">
        <f t="shared" si="29"/>
        <v>64</v>
      </c>
      <c r="G282" s="16">
        <v>86</v>
      </c>
      <c r="H282" s="25">
        <f t="shared" si="26"/>
        <v>10838</v>
      </c>
      <c r="I282" s="25">
        <f t="shared" si="30"/>
        <v>98</v>
      </c>
      <c r="J282" s="25">
        <f t="shared" si="31"/>
        <v>65</v>
      </c>
      <c r="K282" s="17">
        <f t="shared" si="32"/>
        <v>0</v>
      </c>
      <c r="L282" s="17">
        <f t="shared" si="33"/>
        <v>4314645.986302088</v>
      </c>
      <c r="M282" s="17">
        <f t="shared" si="34"/>
        <v>-145322707.22053638</v>
      </c>
      <c r="N282" s="17" t="str">
        <f t="shared" si="35"/>
        <v/>
      </c>
      <c r="O282" s="6"/>
    </row>
    <row r="283" spans="1:15" x14ac:dyDescent="0.2">
      <c r="A283" s="5" t="s">
        <v>1176</v>
      </c>
      <c r="B283" s="17">
        <f t="shared" si="36"/>
        <v>0</v>
      </c>
      <c r="C283" s="17">
        <f t="shared" si="37"/>
        <v>0</v>
      </c>
      <c r="D283" s="17">
        <f t="shared" si="27"/>
        <v>0</v>
      </c>
      <c r="E283" s="17">
        <f t="shared" si="28"/>
        <v>0</v>
      </c>
      <c r="F283" s="25">
        <f t="shared" si="29"/>
        <v>64</v>
      </c>
      <c r="G283" s="16">
        <v>87</v>
      </c>
      <c r="H283" s="25">
        <f t="shared" si="26"/>
        <v>10839</v>
      </c>
      <c r="I283" s="25">
        <f t="shared" si="30"/>
        <v>99</v>
      </c>
      <c r="J283" s="25">
        <f t="shared" si="31"/>
        <v>70</v>
      </c>
      <c r="K283" s="17">
        <f t="shared" si="32"/>
        <v>0</v>
      </c>
      <c r="L283" s="17">
        <f t="shared" si="33"/>
        <v>4314645.986302088</v>
      </c>
      <c r="M283" s="17">
        <f t="shared" si="34"/>
        <v>-145322707.22053638</v>
      </c>
      <c r="N283" s="17" t="str">
        <f t="shared" si="35"/>
        <v/>
      </c>
      <c r="O283" s="6"/>
    </row>
    <row r="284" spans="1:15" x14ac:dyDescent="0.2">
      <c r="A284" s="5" t="s">
        <v>1177</v>
      </c>
      <c r="B284" s="17">
        <f t="shared" si="36"/>
        <v>0</v>
      </c>
      <c r="C284" s="17">
        <f t="shared" si="37"/>
        <v>0</v>
      </c>
      <c r="D284" s="17">
        <f t="shared" si="27"/>
        <v>0</v>
      </c>
      <c r="E284" s="17">
        <f t="shared" si="28"/>
        <v>0</v>
      </c>
      <c r="F284" s="25">
        <f t="shared" si="29"/>
        <v>64</v>
      </c>
      <c r="G284" s="16">
        <v>88</v>
      </c>
      <c r="H284" s="25">
        <f t="shared" si="26"/>
        <v>10840</v>
      </c>
      <c r="I284" s="25">
        <f t="shared" si="30"/>
        <v>100</v>
      </c>
      <c r="J284" s="25">
        <f t="shared" si="31"/>
        <v>71</v>
      </c>
      <c r="K284" s="17">
        <f t="shared" si="32"/>
        <v>0</v>
      </c>
      <c r="L284" s="17">
        <f t="shared" si="33"/>
        <v>4314645.986302088</v>
      </c>
      <c r="M284" s="17">
        <f t="shared" si="34"/>
        <v>-145322707.22053638</v>
      </c>
      <c r="N284" s="17" t="str">
        <f t="shared" si="35"/>
        <v/>
      </c>
      <c r="O284" s="6"/>
    </row>
    <row r="285" spans="1:15" x14ac:dyDescent="0.2">
      <c r="A285" s="5" t="s">
        <v>1178</v>
      </c>
      <c r="B285" s="17">
        <f t="shared" si="36"/>
        <v>0</v>
      </c>
      <c r="C285" s="17">
        <f t="shared" si="37"/>
        <v>0</v>
      </c>
      <c r="D285" s="17">
        <f t="shared" si="27"/>
        <v>0</v>
      </c>
      <c r="E285" s="17">
        <f t="shared" si="28"/>
        <v>0</v>
      </c>
      <c r="F285" s="25">
        <f t="shared" si="29"/>
        <v>64</v>
      </c>
      <c r="G285" s="16">
        <v>89</v>
      </c>
      <c r="H285" s="25">
        <f t="shared" si="26"/>
        <v>10841</v>
      </c>
      <c r="I285" s="25">
        <f t="shared" si="30"/>
        <v>101</v>
      </c>
      <c r="J285" s="25">
        <f t="shared" si="31"/>
        <v>72</v>
      </c>
      <c r="K285" s="17">
        <f t="shared" si="32"/>
        <v>0</v>
      </c>
      <c r="L285" s="17">
        <f t="shared" si="33"/>
        <v>4314645.986302088</v>
      </c>
      <c r="M285" s="17">
        <f t="shared" si="34"/>
        <v>-145322707.22053638</v>
      </c>
      <c r="N285" s="17" t="str">
        <f t="shared" si="35"/>
        <v/>
      </c>
      <c r="O285" s="6"/>
    </row>
    <row r="286" spans="1:15" x14ac:dyDescent="0.2">
      <c r="A286" s="5" t="s">
        <v>1179</v>
      </c>
      <c r="B286" s="17">
        <f t="shared" si="36"/>
        <v>0</v>
      </c>
      <c r="C286" s="17">
        <f t="shared" si="37"/>
        <v>0</v>
      </c>
      <c r="D286" s="17">
        <f t="shared" si="27"/>
        <v>0</v>
      </c>
      <c r="E286" s="17">
        <f t="shared" si="28"/>
        <v>0</v>
      </c>
      <c r="F286" s="25">
        <f t="shared" si="29"/>
        <v>64</v>
      </c>
      <c r="G286" s="16">
        <v>90</v>
      </c>
      <c r="H286" s="25">
        <f t="shared" si="26"/>
        <v>10842</v>
      </c>
      <c r="I286" s="25">
        <f t="shared" si="30"/>
        <v>102</v>
      </c>
      <c r="J286" s="25">
        <f t="shared" si="31"/>
        <v>73</v>
      </c>
      <c r="K286" s="17">
        <f t="shared" si="32"/>
        <v>0</v>
      </c>
      <c r="L286" s="17">
        <f t="shared" si="33"/>
        <v>4314645.986302088</v>
      </c>
      <c r="M286" s="17">
        <f t="shared" si="34"/>
        <v>-145322707.22053638</v>
      </c>
      <c r="N286" s="17" t="str">
        <f t="shared" si="35"/>
        <v/>
      </c>
      <c r="O286" s="6"/>
    </row>
    <row r="287" spans="1:15" x14ac:dyDescent="0.2">
      <c r="A287" s="5" t="s">
        <v>1180</v>
      </c>
      <c r="B287" s="17">
        <f t="shared" si="36"/>
        <v>0</v>
      </c>
      <c r="C287" s="17">
        <f t="shared" si="37"/>
        <v>0</v>
      </c>
      <c r="D287" s="17">
        <f t="shared" si="27"/>
        <v>0</v>
      </c>
      <c r="E287" s="17">
        <f t="shared" si="28"/>
        <v>0</v>
      </c>
      <c r="F287" s="25">
        <f t="shared" si="29"/>
        <v>64</v>
      </c>
      <c r="G287" s="16">
        <v>91</v>
      </c>
      <c r="H287" s="25">
        <f t="shared" si="26"/>
        <v>10843</v>
      </c>
      <c r="I287" s="25">
        <f t="shared" si="30"/>
        <v>103</v>
      </c>
      <c r="J287" s="25">
        <f t="shared" si="31"/>
        <v>75</v>
      </c>
      <c r="K287" s="17">
        <f t="shared" si="32"/>
        <v>0</v>
      </c>
      <c r="L287" s="17">
        <f t="shared" si="33"/>
        <v>4314645.986302088</v>
      </c>
      <c r="M287" s="17">
        <f t="shared" si="34"/>
        <v>-145322707.22053638</v>
      </c>
      <c r="N287" s="17" t="str">
        <f t="shared" si="35"/>
        <v/>
      </c>
      <c r="O287" s="6"/>
    </row>
    <row r="288" spans="1:15" x14ac:dyDescent="0.2">
      <c r="A288" s="5" t="s">
        <v>1181</v>
      </c>
      <c r="B288" s="17">
        <f t="shared" si="36"/>
        <v>0</v>
      </c>
      <c r="C288" s="17">
        <f t="shared" si="37"/>
        <v>0</v>
      </c>
      <c r="D288" s="17">
        <f t="shared" si="27"/>
        <v>0</v>
      </c>
      <c r="E288" s="17">
        <f t="shared" si="28"/>
        <v>0</v>
      </c>
      <c r="F288" s="25">
        <f t="shared" si="29"/>
        <v>64</v>
      </c>
      <c r="G288" s="16">
        <v>92</v>
      </c>
      <c r="H288" s="25">
        <f t="shared" si="26"/>
        <v>10844</v>
      </c>
      <c r="I288" s="25">
        <f t="shared" si="30"/>
        <v>104</v>
      </c>
      <c r="J288" s="25">
        <f t="shared" si="31"/>
        <v>76</v>
      </c>
      <c r="K288" s="17">
        <f t="shared" si="32"/>
        <v>0</v>
      </c>
      <c r="L288" s="17">
        <f t="shared" si="33"/>
        <v>4314645.986302088</v>
      </c>
      <c r="M288" s="17">
        <f t="shared" si="34"/>
        <v>-145322707.22053638</v>
      </c>
      <c r="N288" s="17" t="str">
        <f t="shared" si="35"/>
        <v/>
      </c>
      <c r="O288" s="6"/>
    </row>
    <row r="289" spans="1:15" x14ac:dyDescent="0.2">
      <c r="A289" s="5" t="s">
        <v>1182</v>
      </c>
      <c r="B289" s="17">
        <f t="shared" si="36"/>
        <v>0</v>
      </c>
      <c r="C289" s="17">
        <f t="shared" si="37"/>
        <v>0</v>
      </c>
      <c r="D289" s="17">
        <f t="shared" si="27"/>
        <v>0</v>
      </c>
      <c r="E289" s="17">
        <f t="shared" si="28"/>
        <v>0</v>
      </c>
      <c r="F289" s="25">
        <f t="shared" si="29"/>
        <v>64</v>
      </c>
      <c r="G289" s="16">
        <v>93</v>
      </c>
      <c r="H289" s="25">
        <f t="shared" si="26"/>
        <v>10845</v>
      </c>
      <c r="I289" s="25">
        <f t="shared" si="30"/>
        <v>105</v>
      </c>
      <c r="J289" s="25">
        <f t="shared" si="31"/>
        <v>77</v>
      </c>
      <c r="K289" s="17">
        <f t="shared" si="32"/>
        <v>0</v>
      </c>
      <c r="L289" s="17">
        <f t="shared" si="33"/>
        <v>4314645.986302088</v>
      </c>
      <c r="M289" s="17">
        <f t="shared" si="34"/>
        <v>-145322707.22053638</v>
      </c>
      <c r="N289" s="17" t="str">
        <f t="shared" si="35"/>
        <v/>
      </c>
      <c r="O289" s="6"/>
    </row>
    <row r="290" spans="1:15" x14ac:dyDescent="0.2">
      <c r="A290" s="5" t="s">
        <v>1183</v>
      </c>
      <c r="B290" s="17">
        <f t="shared" si="36"/>
        <v>0</v>
      </c>
      <c r="C290" s="17">
        <f t="shared" si="37"/>
        <v>0</v>
      </c>
      <c r="D290" s="17">
        <f t="shared" si="27"/>
        <v>0</v>
      </c>
      <c r="E290" s="17">
        <f t="shared" si="28"/>
        <v>0</v>
      </c>
      <c r="F290" s="25">
        <f t="shared" si="29"/>
        <v>64</v>
      </c>
      <c r="G290" s="16">
        <v>94</v>
      </c>
      <c r="H290" s="25">
        <f t="shared" si="26"/>
        <v>10846</v>
      </c>
      <c r="I290" s="25">
        <f t="shared" si="30"/>
        <v>106</v>
      </c>
      <c r="J290" s="25">
        <f t="shared" si="31"/>
        <v>79</v>
      </c>
      <c r="K290" s="17">
        <f t="shared" si="32"/>
        <v>0</v>
      </c>
      <c r="L290" s="17">
        <f t="shared" si="33"/>
        <v>4314645.986302088</v>
      </c>
      <c r="M290" s="17">
        <f t="shared" si="34"/>
        <v>-145322707.22053638</v>
      </c>
      <c r="N290" s="17" t="str">
        <f t="shared" si="35"/>
        <v/>
      </c>
      <c r="O290" s="6"/>
    </row>
    <row r="291" spans="1:15" x14ac:dyDescent="0.2">
      <c r="A291" s="5" t="s">
        <v>1184</v>
      </c>
      <c r="B291" s="17">
        <f t="shared" si="36"/>
        <v>0</v>
      </c>
      <c r="C291" s="17">
        <f t="shared" si="37"/>
        <v>0</v>
      </c>
      <c r="D291" s="17">
        <f t="shared" si="27"/>
        <v>0</v>
      </c>
      <c r="E291" s="17">
        <f t="shared" si="28"/>
        <v>0</v>
      </c>
      <c r="F291" s="25">
        <f t="shared" si="29"/>
        <v>64</v>
      </c>
      <c r="G291" s="16">
        <v>95</v>
      </c>
      <c r="H291" s="25">
        <f t="shared" si="26"/>
        <v>10847</v>
      </c>
      <c r="I291" s="25">
        <f t="shared" si="30"/>
        <v>107</v>
      </c>
      <c r="J291" s="25">
        <f t="shared" si="31"/>
        <v>81</v>
      </c>
      <c r="K291" s="17">
        <f t="shared" si="32"/>
        <v>0</v>
      </c>
      <c r="L291" s="17">
        <f t="shared" si="33"/>
        <v>4314645.986302088</v>
      </c>
      <c r="M291" s="17">
        <f t="shared" si="34"/>
        <v>-145322707.22053638</v>
      </c>
      <c r="N291" s="17" t="str">
        <f t="shared" si="35"/>
        <v/>
      </c>
      <c r="O291" s="6"/>
    </row>
    <row r="292" spans="1:15" x14ac:dyDescent="0.2">
      <c r="A292" s="5" t="s">
        <v>1185</v>
      </c>
      <c r="B292" s="17">
        <f t="shared" si="36"/>
        <v>0</v>
      </c>
      <c r="C292" s="17">
        <f t="shared" si="37"/>
        <v>0</v>
      </c>
      <c r="D292" s="17">
        <f t="shared" si="27"/>
        <v>0</v>
      </c>
      <c r="E292" s="17">
        <f t="shared" si="28"/>
        <v>0</v>
      </c>
      <c r="F292" s="25">
        <f t="shared" si="29"/>
        <v>64</v>
      </c>
      <c r="G292" s="16">
        <v>96</v>
      </c>
      <c r="H292" s="25">
        <f t="shared" ref="H292:H323" si="38">F292*168+G292</f>
        <v>10848</v>
      </c>
      <c r="I292" s="25">
        <f t="shared" si="30"/>
        <v>108</v>
      </c>
      <c r="J292" s="25">
        <f t="shared" si="31"/>
        <v>83</v>
      </c>
      <c r="K292" s="17">
        <f t="shared" si="32"/>
        <v>0</v>
      </c>
      <c r="L292" s="17">
        <f t="shared" si="33"/>
        <v>4314645.986302088</v>
      </c>
      <c r="M292" s="17">
        <f t="shared" si="34"/>
        <v>-145322707.22053638</v>
      </c>
      <c r="N292" s="17" t="str">
        <f t="shared" si="35"/>
        <v/>
      </c>
      <c r="O292" s="6"/>
    </row>
    <row r="293" spans="1:15" x14ac:dyDescent="0.2">
      <c r="A293" s="5" t="s">
        <v>1186</v>
      </c>
      <c r="B293" s="17">
        <f t="shared" si="36"/>
        <v>0</v>
      </c>
      <c r="C293" s="17">
        <f t="shared" si="37"/>
        <v>0</v>
      </c>
      <c r="D293" s="17">
        <f t="shared" ref="D293:D324" si="39">IF(ISNUMBER(B293),0,C293)</f>
        <v>0</v>
      </c>
      <c r="E293" s="17">
        <f t="shared" ref="E293:E324" si="40">MAX($B$171,B293)*C293</f>
        <v>0</v>
      </c>
      <c r="F293" s="25">
        <f t="shared" ref="F293:F324" si="41">RANK(B293,B$197:B$364,1)</f>
        <v>64</v>
      </c>
      <c r="G293" s="16">
        <v>97</v>
      </c>
      <c r="H293" s="25">
        <f t="shared" si="38"/>
        <v>10849</v>
      </c>
      <c r="I293" s="25">
        <f t="shared" ref="I293:I324" si="42">RANK(H293,H$197:H$364,1)</f>
        <v>109</v>
      </c>
      <c r="J293" s="25">
        <f t="shared" ref="J293:J324" si="43">MATCH(G293,I$197:I$364,0)</f>
        <v>85</v>
      </c>
      <c r="K293" s="17">
        <f t="shared" ref="K293:K324" si="44">INDEX(B$197:B$364,J293,1)</f>
        <v>0</v>
      </c>
      <c r="L293" s="17">
        <f t="shared" ref="L293:L324" si="45">L292+INDEX(C$197:C$364,J293,1)</f>
        <v>4314645.986302088</v>
      </c>
      <c r="M293" s="17">
        <f t="shared" ref="M293:M324" si="46">M292+(K293-K292)*L292</f>
        <v>-145322707.22053638</v>
      </c>
      <c r="N293" s="17" t="str">
        <f t="shared" ref="N293:N324" si="47">IF((M292&gt;0)=(M293&gt;0),"",K293-M293/L292)</f>
        <v/>
      </c>
      <c r="O293" s="6"/>
    </row>
    <row r="294" spans="1:15" x14ac:dyDescent="0.2">
      <c r="A294" s="5" t="s">
        <v>1187</v>
      </c>
      <c r="B294" s="17">
        <f t="shared" si="36"/>
        <v>0</v>
      </c>
      <c r="C294" s="17">
        <f t="shared" si="37"/>
        <v>0</v>
      </c>
      <c r="D294" s="17">
        <f t="shared" si="39"/>
        <v>0</v>
      </c>
      <c r="E294" s="17">
        <f t="shared" si="40"/>
        <v>0</v>
      </c>
      <c r="F294" s="25">
        <f t="shared" si="41"/>
        <v>64</v>
      </c>
      <c r="G294" s="16">
        <v>98</v>
      </c>
      <c r="H294" s="25">
        <f t="shared" si="38"/>
        <v>10850</v>
      </c>
      <c r="I294" s="25">
        <f t="shared" si="42"/>
        <v>110</v>
      </c>
      <c r="J294" s="25">
        <f t="shared" si="43"/>
        <v>86</v>
      </c>
      <c r="K294" s="17">
        <f t="shared" si="44"/>
        <v>0</v>
      </c>
      <c r="L294" s="17">
        <f t="shared" si="45"/>
        <v>4314645.986302088</v>
      </c>
      <c r="M294" s="17">
        <f t="shared" si="46"/>
        <v>-145322707.22053638</v>
      </c>
      <c r="N294" s="17" t="str">
        <f t="shared" si="47"/>
        <v/>
      </c>
      <c r="O294" s="6"/>
    </row>
    <row r="295" spans="1:15" x14ac:dyDescent="0.2">
      <c r="A295" s="5" t="s">
        <v>1188</v>
      </c>
      <c r="B295" s="17">
        <f t="shared" si="36"/>
        <v>0</v>
      </c>
      <c r="C295" s="17">
        <f t="shared" si="37"/>
        <v>0</v>
      </c>
      <c r="D295" s="17">
        <f t="shared" si="39"/>
        <v>0</v>
      </c>
      <c r="E295" s="17">
        <f t="shared" si="40"/>
        <v>0</v>
      </c>
      <c r="F295" s="25">
        <f t="shared" si="41"/>
        <v>64</v>
      </c>
      <c r="G295" s="16">
        <v>99</v>
      </c>
      <c r="H295" s="25">
        <f t="shared" si="38"/>
        <v>10851</v>
      </c>
      <c r="I295" s="25">
        <f t="shared" si="42"/>
        <v>111</v>
      </c>
      <c r="J295" s="25">
        <f t="shared" si="43"/>
        <v>87</v>
      </c>
      <c r="K295" s="17">
        <f t="shared" si="44"/>
        <v>0</v>
      </c>
      <c r="L295" s="17">
        <f t="shared" si="45"/>
        <v>4314645.986302088</v>
      </c>
      <c r="M295" s="17">
        <f t="shared" si="46"/>
        <v>-145322707.22053638</v>
      </c>
      <c r="N295" s="17" t="str">
        <f t="shared" si="47"/>
        <v/>
      </c>
      <c r="O295" s="6"/>
    </row>
    <row r="296" spans="1:15" x14ac:dyDescent="0.2">
      <c r="A296" s="5" t="s">
        <v>1189</v>
      </c>
      <c r="B296" s="17">
        <f t="shared" si="36"/>
        <v>0</v>
      </c>
      <c r="C296" s="17">
        <f t="shared" si="37"/>
        <v>0</v>
      </c>
      <c r="D296" s="17">
        <f t="shared" si="39"/>
        <v>0</v>
      </c>
      <c r="E296" s="17">
        <f t="shared" si="40"/>
        <v>0</v>
      </c>
      <c r="F296" s="25">
        <f t="shared" si="41"/>
        <v>64</v>
      </c>
      <c r="G296" s="16">
        <v>100</v>
      </c>
      <c r="H296" s="25">
        <f t="shared" si="38"/>
        <v>10852</v>
      </c>
      <c r="I296" s="25">
        <f t="shared" si="42"/>
        <v>112</v>
      </c>
      <c r="J296" s="25">
        <f t="shared" si="43"/>
        <v>88</v>
      </c>
      <c r="K296" s="17">
        <f t="shared" si="44"/>
        <v>0</v>
      </c>
      <c r="L296" s="17">
        <f t="shared" si="45"/>
        <v>4314645.986302088</v>
      </c>
      <c r="M296" s="17">
        <f t="shared" si="46"/>
        <v>-145322707.22053638</v>
      </c>
      <c r="N296" s="17" t="str">
        <f t="shared" si="47"/>
        <v/>
      </c>
      <c r="O296" s="6"/>
    </row>
    <row r="297" spans="1:15" x14ac:dyDescent="0.2">
      <c r="A297" s="5" t="s">
        <v>1190</v>
      </c>
      <c r="B297" s="17">
        <f t="shared" si="36"/>
        <v>0</v>
      </c>
      <c r="C297" s="17">
        <f t="shared" si="37"/>
        <v>0</v>
      </c>
      <c r="D297" s="17">
        <f t="shared" si="39"/>
        <v>0</v>
      </c>
      <c r="E297" s="17">
        <f t="shared" si="40"/>
        <v>0</v>
      </c>
      <c r="F297" s="25">
        <f t="shared" si="41"/>
        <v>64</v>
      </c>
      <c r="G297" s="16">
        <v>101</v>
      </c>
      <c r="H297" s="25">
        <f t="shared" si="38"/>
        <v>10853</v>
      </c>
      <c r="I297" s="25">
        <f t="shared" si="42"/>
        <v>113</v>
      </c>
      <c r="J297" s="25">
        <f t="shared" si="43"/>
        <v>89</v>
      </c>
      <c r="K297" s="17">
        <f t="shared" si="44"/>
        <v>0</v>
      </c>
      <c r="L297" s="17">
        <f t="shared" si="45"/>
        <v>4314645.986302088</v>
      </c>
      <c r="M297" s="17">
        <f t="shared" si="46"/>
        <v>-145322707.22053638</v>
      </c>
      <c r="N297" s="17" t="str">
        <f t="shared" si="47"/>
        <v/>
      </c>
      <c r="O297" s="6"/>
    </row>
    <row r="298" spans="1:15" x14ac:dyDescent="0.2">
      <c r="A298" s="5" t="s">
        <v>1191</v>
      </c>
      <c r="B298" s="17">
        <f t="shared" si="36"/>
        <v>0</v>
      </c>
      <c r="C298" s="17">
        <f t="shared" si="37"/>
        <v>0</v>
      </c>
      <c r="D298" s="17">
        <f t="shared" si="39"/>
        <v>0</v>
      </c>
      <c r="E298" s="17">
        <f t="shared" si="40"/>
        <v>0</v>
      </c>
      <c r="F298" s="25">
        <f t="shared" si="41"/>
        <v>64</v>
      </c>
      <c r="G298" s="16">
        <v>102</v>
      </c>
      <c r="H298" s="25">
        <f t="shared" si="38"/>
        <v>10854</v>
      </c>
      <c r="I298" s="25">
        <f t="shared" si="42"/>
        <v>114</v>
      </c>
      <c r="J298" s="25">
        <f t="shared" si="43"/>
        <v>90</v>
      </c>
      <c r="K298" s="17">
        <f t="shared" si="44"/>
        <v>0</v>
      </c>
      <c r="L298" s="17">
        <f t="shared" si="45"/>
        <v>4314645.986302088</v>
      </c>
      <c r="M298" s="17">
        <f t="shared" si="46"/>
        <v>-145322707.22053638</v>
      </c>
      <c r="N298" s="17" t="str">
        <f t="shared" si="47"/>
        <v/>
      </c>
      <c r="O298" s="6"/>
    </row>
    <row r="299" spans="1:15" x14ac:dyDescent="0.2">
      <c r="A299" s="5" t="s">
        <v>1192</v>
      </c>
      <c r="B299" s="17">
        <f t="shared" si="36"/>
        <v>0</v>
      </c>
      <c r="C299" s="17">
        <f t="shared" si="37"/>
        <v>0</v>
      </c>
      <c r="D299" s="17">
        <f t="shared" si="39"/>
        <v>0</v>
      </c>
      <c r="E299" s="17">
        <f t="shared" si="40"/>
        <v>0</v>
      </c>
      <c r="F299" s="25">
        <f t="shared" si="41"/>
        <v>64</v>
      </c>
      <c r="G299" s="16">
        <v>103</v>
      </c>
      <c r="H299" s="25">
        <f t="shared" si="38"/>
        <v>10855</v>
      </c>
      <c r="I299" s="25">
        <f t="shared" si="42"/>
        <v>115</v>
      </c>
      <c r="J299" s="25">
        <f t="shared" si="43"/>
        <v>91</v>
      </c>
      <c r="K299" s="17">
        <f t="shared" si="44"/>
        <v>0</v>
      </c>
      <c r="L299" s="17">
        <f t="shared" si="45"/>
        <v>4314645.986302088</v>
      </c>
      <c r="M299" s="17">
        <f t="shared" si="46"/>
        <v>-145322707.22053638</v>
      </c>
      <c r="N299" s="17" t="str">
        <f t="shared" si="47"/>
        <v/>
      </c>
      <c r="O299" s="6"/>
    </row>
    <row r="300" spans="1:15" x14ac:dyDescent="0.2">
      <c r="A300" s="5" t="s">
        <v>1193</v>
      </c>
      <c r="B300" s="17">
        <f t="shared" si="36"/>
        <v>0</v>
      </c>
      <c r="C300" s="17">
        <f t="shared" si="37"/>
        <v>0</v>
      </c>
      <c r="D300" s="17">
        <f t="shared" si="39"/>
        <v>0</v>
      </c>
      <c r="E300" s="17">
        <f t="shared" si="40"/>
        <v>0</v>
      </c>
      <c r="F300" s="25">
        <f t="shared" si="41"/>
        <v>64</v>
      </c>
      <c r="G300" s="16">
        <v>104</v>
      </c>
      <c r="H300" s="25">
        <f t="shared" si="38"/>
        <v>10856</v>
      </c>
      <c r="I300" s="25">
        <f t="shared" si="42"/>
        <v>116</v>
      </c>
      <c r="J300" s="25">
        <f t="shared" si="43"/>
        <v>92</v>
      </c>
      <c r="K300" s="17">
        <f t="shared" si="44"/>
        <v>0</v>
      </c>
      <c r="L300" s="17">
        <f t="shared" si="45"/>
        <v>4314645.986302088</v>
      </c>
      <c r="M300" s="17">
        <f t="shared" si="46"/>
        <v>-145322707.22053638</v>
      </c>
      <c r="N300" s="17" t="str">
        <f t="shared" si="47"/>
        <v/>
      </c>
      <c r="O300" s="6"/>
    </row>
    <row r="301" spans="1:15" x14ac:dyDescent="0.2">
      <c r="A301" s="5" t="s">
        <v>1194</v>
      </c>
      <c r="B301" s="17">
        <f t="shared" si="36"/>
        <v>0</v>
      </c>
      <c r="C301" s="17">
        <f t="shared" si="37"/>
        <v>0</v>
      </c>
      <c r="D301" s="17">
        <f t="shared" si="39"/>
        <v>0</v>
      </c>
      <c r="E301" s="17">
        <f t="shared" si="40"/>
        <v>0</v>
      </c>
      <c r="F301" s="25">
        <f t="shared" si="41"/>
        <v>64</v>
      </c>
      <c r="G301" s="16">
        <v>105</v>
      </c>
      <c r="H301" s="25">
        <f t="shared" si="38"/>
        <v>10857</v>
      </c>
      <c r="I301" s="25">
        <f t="shared" si="42"/>
        <v>117</v>
      </c>
      <c r="J301" s="25">
        <f t="shared" si="43"/>
        <v>93</v>
      </c>
      <c r="K301" s="17">
        <f t="shared" si="44"/>
        <v>0</v>
      </c>
      <c r="L301" s="17">
        <f t="shared" si="45"/>
        <v>4314645.986302088</v>
      </c>
      <c r="M301" s="17">
        <f t="shared" si="46"/>
        <v>-145322707.22053638</v>
      </c>
      <c r="N301" s="17" t="str">
        <f t="shared" si="47"/>
        <v/>
      </c>
      <c r="O301" s="6"/>
    </row>
    <row r="302" spans="1:15" x14ac:dyDescent="0.2">
      <c r="A302" s="5" t="s">
        <v>1195</v>
      </c>
      <c r="B302" s="17">
        <f t="shared" si="36"/>
        <v>0</v>
      </c>
      <c r="C302" s="17">
        <f t="shared" si="37"/>
        <v>0</v>
      </c>
      <c r="D302" s="17">
        <f t="shared" si="39"/>
        <v>0</v>
      </c>
      <c r="E302" s="17">
        <f t="shared" si="40"/>
        <v>0</v>
      </c>
      <c r="F302" s="25">
        <f t="shared" si="41"/>
        <v>64</v>
      </c>
      <c r="G302" s="16">
        <v>106</v>
      </c>
      <c r="H302" s="25">
        <f t="shared" si="38"/>
        <v>10858</v>
      </c>
      <c r="I302" s="25">
        <f t="shared" si="42"/>
        <v>118</v>
      </c>
      <c r="J302" s="25">
        <f t="shared" si="43"/>
        <v>94</v>
      </c>
      <c r="K302" s="17">
        <f t="shared" si="44"/>
        <v>0</v>
      </c>
      <c r="L302" s="17">
        <f t="shared" si="45"/>
        <v>4314645.986302088</v>
      </c>
      <c r="M302" s="17">
        <f t="shared" si="46"/>
        <v>-145322707.22053638</v>
      </c>
      <c r="N302" s="17" t="str">
        <f t="shared" si="47"/>
        <v/>
      </c>
      <c r="O302" s="6"/>
    </row>
    <row r="303" spans="1:15" x14ac:dyDescent="0.2">
      <c r="A303" s="5" t="s">
        <v>1196</v>
      </c>
      <c r="B303" s="17">
        <f t="shared" si="36"/>
        <v>0</v>
      </c>
      <c r="C303" s="17">
        <f t="shared" si="37"/>
        <v>0</v>
      </c>
      <c r="D303" s="17">
        <f t="shared" si="39"/>
        <v>0</v>
      </c>
      <c r="E303" s="17">
        <f t="shared" si="40"/>
        <v>0</v>
      </c>
      <c r="F303" s="25">
        <f t="shared" si="41"/>
        <v>64</v>
      </c>
      <c r="G303" s="16">
        <v>107</v>
      </c>
      <c r="H303" s="25">
        <f t="shared" si="38"/>
        <v>10859</v>
      </c>
      <c r="I303" s="25">
        <f t="shared" si="42"/>
        <v>119</v>
      </c>
      <c r="J303" s="25">
        <f t="shared" si="43"/>
        <v>95</v>
      </c>
      <c r="K303" s="17">
        <f t="shared" si="44"/>
        <v>0</v>
      </c>
      <c r="L303" s="17">
        <f t="shared" si="45"/>
        <v>4314645.986302088</v>
      </c>
      <c r="M303" s="17">
        <f t="shared" si="46"/>
        <v>-145322707.22053638</v>
      </c>
      <c r="N303" s="17" t="str">
        <f t="shared" si="47"/>
        <v/>
      </c>
      <c r="O303" s="6"/>
    </row>
    <row r="304" spans="1:15" x14ac:dyDescent="0.2">
      <c r="A304" s="5" t="s">
        <v>1197</v>
      </c>
      <c r="B304" s="17">
        <f t="shared" si="36"/>
        <v>0</v>
      </c>
      <c r="C304" s="17">
        <f t="shared" si="37"/>
        <v>0</v>
      </c>
      <c r="D304" s="17">
        <f t="shared" si="39"/>
        <v>0</v>
      </c>
      <c r="E304" s="17">
        <f t="shared" si="40"/>
        <v>0</v>
      </c>
      <c r="F304" s="25">
        <f t="shared" si="41"/>
        <v>64</v>
      </c>
      <c r="G304" s="16">
        <v>108</v>
      </c>
      <c r="H304" s="25">
        <f t="shared" si="38"/>
        <v>10860</v>
      </c>
      <c r="I304" s="25">
        <f t="shared" si="42"/>
        <v>120</v>
      </c>
      <c r="J304" s="25">
        <f t="shared" si="43"/>
        <v>96</v>
      </c>
      <c r="K304" s="17">
        <f t="shared" si="44"/>
        <v>0</v>
      </c>
      <c r="L304" s="17">
        <f t="shared" si="45"/>
        <v>4314645.986302088</v>
      </c>
      <c r="M304" s="17">
        <f t="shared" si="46"/>
        <v>-145322707.22053638</v>
      </c>
      <c r="N304" s="17" t="str">
        <f t="shared" si="47"/>
        <v/>
      </c>
      <c r="O304" s="6"/>
    </row>
    <row r="305" spans="1:15" x14ac:dyDescent="0.2">
      <c r="A305" s="5" t="s">
        <v>1198</v>
      </c>
      <c r="B305" s="17">
        <f t="shared" si="36"/>
        <v>0</v>
      </c>
      <c r="C305" s="17">
        <f t="shared" si="37"/>
        <v>0</v>
      </c>
      <c r="D305" s="17">
        <f t="shared" si="39"/>
        <v>0</v>
      </c>
      <c r="E305" s="17">
        <f t="shared" si="40"/>
        <v>0</v>
      </c>
      <c r="F305" s="25">
        <f t="shared" si="41"/>
        <v>64</v>
      </c>
      <c r="G305" s="16">
        <v>109</v>
      </c>
      <c r="H305" s="25">
        <f t="shared" si="38"/>
        <v>10861</v>
      </c>
      <c r="I305" s="25">
        <f t="shared" si="42"/>
        <v>121</v>
      </c>
      <c r="J305" s="25">
        <f t="shared" si="43"/>
        <v>97</v>
      </c>
      <c r="K305" s="17">
        <f t="shared" si="44"/>
        <v>0</v>
      </c>
      <c r="L305" s="17">
        <f t="shared" si="45"/>
        <v>4314645.986302088</v>
      </c>
      <c r="M305" s="17">
        <f t="shared" si="46"/>
        <v>-145322707.22053638</v>
      </c>
      <c r="N305" s="17" t="str">
        <f t="shared" si="47"/>
        <v/>
      </c>
      <c r="O305" s="6"/>
    </row>
    <row r="306" spans="1:15" x14ac:dyDescent="0.2">
      <c r="A306" s="5" t="s">
        <v>1199</v>
      </c>
      <c r="B306" s="17">
        <f t="shared" si="36"/>
        <v>0</v>
      </c>
      <c r="C306" s="17">
        <f t="shared" si="37"/>
        <v>0</v>
      </c>
      <c r="D306" s="17">
        <f t="shared" si="39"/>
        <v>0</v>
      </c>
      <c r="E306" s="17">
        <f t="shared" si="40"/>
        <v>0</v>
      </c>
      <c r="F306" s="25">
        <f t="shared" si="41"/>
        <v>64</v>
      </c>
      <c r="G306" s="16">
        <v>110</v>
      </c>
      <c r="H306" s="25">
        <f t="shared" si="38"/>
        <v>10862</v>
      </c>
      <c r="I306" s="25">
        <f t="shared" si="42"/>
        <v>122</v>
      </c>
      <c r="J306" s="25">
        <f t="shared" si="43"/>
        <v>98</v>
      </c>
      <c r="K306" s="17">
        <f t="shared" si="44"/>
        <v>0</v>
      </c>
      <c r="L306" s="17">
        <f t="shared" si="45"/>
        <v>4314645.986302088</v>
      </c>
      <c r="M306" s="17">
        <f t="shared" si="46"/>
        <v>-145322707.22053638</v>
      </c>
      <c r="N306" s="17" t="str">
        <f t="shared" si="47"/>
        <v/>
      </c>
      <c r="O306" s="6"/>
    </row>
    <row r="307" spans="1:15" x14ac:dyDescent="0.2">
      <c r="A307" s="5" t="s">
        <v>1200</v>
      </c>
      <c r="B307" s="17">
        <f t="shared" si="36"/>
        <v>0</v>
      </c>
      <c r="C307" s="17">
        <f t="shared" si="37"/>
        <v>0</v>
      </c>
      <c r="D307" s="17">
        <f t="shared" si="39"/>
        <v>0</v>
      </c>
      <c r="E307" s="17">
        <f t="shared" si="40"/>
        <v>0</v>
      </c>
      <c r="F307" s="25">
        <f t="shared" si="41"/>
        <v>64</v>
      </c>
      <c r="G307" s="16">
        <v>111</v>
      </c>
      <c r="H307" s="25">
        <f t="shared" si="38"/>
        <v>10863</v>
      </c>
      <c r="I307" s="25">
        <f t="shared" si="42"/>
        <v>123</v>
      </c>
      <c r="J307" s="25">
        <f t="shared" si="43"/>
        <v>99</v>
      </c>
      <c r="K307" s="17">
        <f t="shared" si="44"/>
        <v>0</v>
      </c>
      <c r="L307" s="17">
        <f t="shared" si="45"/>
        <v>4314645.986302088</v>
      </c>
      <c r="M307" s="17">
        <f t="shared" si="46"/>
        <v>-145322707.22053638</v>
      </c>
      <c r="N307" s="17" t="str">
        <f t="shared" si="47"/>
        <v/>
      </c>
      <c r="O307" s="6"/>
    </row>
    <row r="308" spans="1:15" x14ac:dyDescent="0.2">
      <c r="A308" s="5" t="s">
        <v>1201</v>
      </c>
      <c r="B308" s="17">
        <f t="shared" si="36"/>
        <v>0</v>
      </c>
      <c r="C308" s="17">
        <f t="shared" si="37"/>
        <v>0</v>
      </c>
      <c r="D308" s="17">
        <f t="shared" si="39"/>
        <v>0</v>
      </c>
      <c r="E308" s="17">
        <f t="shared" si="40"/>
        <v>0</v>
      </c>
      <c r="F308" s="25">
        <f t="shared" si="41"/>
        <v>64</v>
      </c>
      <c r="G308" s="16">
        <v>112</v>
      </c>
      <c r="H308" s="25">
        <f t="shared" si="38"/>
        <v>10864</v>
      </c>
      <c r="I308" s="25">
        <f t="shared" si="42"/>
        <v>124</v>
      </c>
      <c r="J308" s="25">
        <f t="shared" si="43"/>
        <v>100</v>
      </c>
      <c r="K308" s="17">
        <f t="shared" si="44"/>
        <v>0</v>
      </c>
      <c r="L308" s="17">
        <f t="shared" si="45"/>
        <v>4314645.986302088</v>
      </c>
      <c r="M308" s="17">
        <f t="shared" si="46"/>
        <v>-145322707.22053638</v>
      </c>
      <c r="N308" s="17" t="str">
        <f t="shared" si="47"/>
        <v/>
      </c>
      <c r="O308" s="6"/>
    </row>
    <row r="309" spans="1:15" x14ac:dyDescent="0.2">
      <c r="A309" s="5" t="s">
        <v>1202</v>
      </c>
      <c r="B309" s="17">
        <f t="shared" ref="B309:B336" si="48">F130</f>
        <v>0</v>
      </c>
      <c r="C309" s="17">
        <f t="shared" ref="C309:C336" si="49">F83</f>
        <v>0</v>
      </c>
      <c r="D309" s="17">
        <f t="shared" si="39"/>
        <v>0</v>
      </c>
      <c r="E309" s="17">
        <f t="shared" si="40"/>
        <v>0</v>
      </c>
      <c r="F309" s="25">
        <f t="shared" si="41"/>
        <v>64</v>
      </c>
      <c r="G309" s="16">
        <v>113</v>
      </c>
      <c r="H309" s="25">
        <f t="shared" si="38"/>
        <v>10865</v>
      </c>
      <c r="I309" s="25">
        <f t="shared" si="42"/>
        <v>125</v>
      </c>
      <c r="J309" s="25">
        <f t="shared" si="43"/>
        <v>101</v>
      </c>
      <c r="K309" s="17">
        <f t="shared" si="44"/>
        <v>0</v>
      </c>
      <c r="L309" s="17">
        <f t="shared" si="45"/>
        <v>4314645.986302088</v>
      </c>
      <c r="M309" s="17">
        <f t="shared" si="46"/>
        <v>-145322707.22053638</v>
      </c>
      <c r="N309" s="17" t="str">
        <f t="shared" si="47"/>
        <v/>
      </c>
      <c r="O309" s="6"/>
    </row>
    <row r="310" spans="1:15" x14ac:dyDescent="0.2">
      <c r="A310" s="5" t="s">
        <v>1203</v>
      </c>
      <c r="B310" s="17">
        <f t="shared" si="48"/>
        <v>0</v>
      </c>
      <c r="C310" s="17">
        <f t="shared" si="49"/>
        <v>0</v>
      </c>
      <c r="D310" s="17">
        <f t="shared" si="39"/>
        <v>0</v>
      </c>
      <c r="E310" s="17">
        <f t="shared" si="40"/>
        <v>0</v>
      </c>
      <c r="F310" s="25">
        <f t="shared" si="41"/>
        <v>64</v>
      </c>
      <c r="G310" s="16">
        <v>114</v>
      </c>
      <c r="H310" s="25">
        <f t="shared" si="38"/>
        <v>10866</v>
      </c>
      <c r="I310" s="25">
        <f t="shared" si="42"/>
        <v>126</v>
      </c>
      <c r="J310" s="25">
        <f t="shared" si="43"/>
        <v>102</v>
      </c>
      <c r="K310" s="17">
        <f t="shared" si="44"/>
        <v>0</v>
      </c>
      <c r="L310" s="17">
        <f t="shared" si="45"/>
        <v>4314645.986302088</v>
      </c>
      <c r="M310" s="17">
        <f t="shared" si="46"/>
        <v>-145322707.22053638</v>
      </c>
      <c r="N310" s="17" t="str">
        <f t="shared" si="47"/>
        <v/>
      </c>
      <c r="O310" s="6"/>
    </row>
    <row r="311" spans="1:15" x14ac:dyDescent="0.2">
      <c r="A311" s="5" t="s">
        <v>1204</v>
      </c>
      <c r="B311" s="17">
        <f t="shared" si="48"/>
        <v>0</v>
      </c>
      <c r="C311" s="17">
        <f t="shared" si="49"/>
        <v>0</v>
      </c>
      <c r="D311" s="17">
        <f t="shared" si="39"/>
        <v>0</v>
      </c>
      <c r="E311" s="17">
        <f t="shared" si="40"/>
        <v>0</v>
      </c>
      <c r="F311" s="25">
        <f t="shared" si="41"/>
        <v>64</v>
      </c>
      <c r="G311" s="16">
        <v>115</v>
      </c>
      <c r="H311" s="25">
        <f t="shared" si="38"/>
        <v>10867</v>
      </c>
      <c r="I311" s="25">
        <f t="shared" si="42"/>
        <v>127</v>
      </c>
      <c r="J311" s="25">
        <f t="shared" si="43"/>
        <v>103</v>
      </c>
      <c r="K311" s="17">
        <f t="shared" si="44"/>
        <v>0</v>
      </c>
      <c r="L311" s="17">
        <f t="shared" si="45"/>
        <v>4314645.986302088</v>
      </c>
      <c r="M311" s="17">
        <f t="shared" si="46"/>
        <v>-145322707.22053638</v>
      </c>
      <c r="N311" s="17" t="str">
        <f t="shared" si="47"/>
        <v/>
      </c>
      <c r="O311" s="6"/>
    </row>
    <row r="312" spans="1:15" x14ac:dyDescent="0.2">
      <c r="A312" s="5" t="s">
        <v>1205</v>
      </c>
      <c r="B312" s="17">
        <f t="shared" si="48"/>
        <v>0</v>
      </c>
      <c r="C312" s="17">
        <f t="shared" si="49"/>
        <v>0</v>
      </c>
      <c r="D312" s="17">
        <f t="shared" si="39"/>
        <v>0</v>
      </c>
      <c r="E312" s="17">
        <f t="shared" si="40"/>
        <v>0</v>
      </c>
      <c r="F312" s="25">
        <f t="shared" si="41"/>
        <v>64</v>
      </c>
      <c r="G312" s="16">
        <v>116</v>
      </c>
      <c r="H312" s="25">
        <f t="shared" si="38"/>
        <v>10868</v>
      </c>
      <c r="I312" s="25">
        <f t="shared" si="42"/>
        <v>128</v>
      </c>
      <c r="J312" s="25">
        <f t="shared" si="43"/>
        <v>104</v>
      </c>
      <c r="K312" s="17">
        <f t="shared" si="44"/>
        <v>0</v>
      </c>
      <c r="L312" s="17">
        <f t="shared" si="45"/>
        <v>4314645.986302088</v>
      </c>
      <c r="M312" s="17">
        <f t="shared" si="46"/>
        <v>-145322707.22053638</v>
      </c>
      <c r="N312" s="17" t="str">
        <f t="shared" si="47"/>
        <v/>
      </c>
      <c r="O312" s="6"/>
    </row>
    <row r="313" spans="1:15" x14ac:dyDescent="0.2">
      <c r="A313" s="5" t="s">
        <v>1206</v>
      </c>
      <c r="B313" s="17">
        <f t="shared" si="48"/>
        <v>0</v>
      </c>
      <c r="C313" s="17">
        <f t="shared" si="49"/>
        <v>0</v>
      </c>
      <c r="D313" s="17">
        <f t="shared" si="39"/>
        <v>0</v>
      </c>
      <c r="E313" s="17">
        <f t="shared" si="40"/>
        <v>0</v>
      </c>
      <c r="F313" s="25">
        <f t="shared" si="41"/>
        <v>64</v>
      </c>
      <c r="G313" s="16">
        <v>117</v>
      </c>
      <c r="H313" s="25">
        <f t="shared" si="38"/>
        <v>10869</v>
      </c>
      <c r="I313" s="25">
        <f t="shared" si="42"/>
        <v>129</v>
      </c>
      <c r="J313" s="25">
        <f t="shared" si="43"/>
        <v>105</v>
      </c>
      <c r="K313" s="17">
        <f t="shared" si="44"/>
        <v>0</v>
      </c>
      <c r="L313" s="17">
        <f t="shared" si="45"/>
        <v>4314645.986302088</v>
      </c>
      <c r="M313" s="17">
        <f t="shared" si="46"/>
        <v>-145322707.22053638</v>
      </c>
      <c r="N313" s="17" t="str">
        <f t="shared" si="47"/>
        <v/>
      </c>
      <c r="O313" s="6"/>
    </row>
    <row r="314" spans="1:15" x14ac:dyDescent="0.2">
      <c r="A314" s="5" t="s">
        <v>1207</v>
      </c>
      <c r="B314" s="17">
        <f t="shared" si="48"/>
        <v>0</v>
      </c>
      <c r="C314" s="17">
        <f t="shared" si="49"/>
        <v>0</v>
      </c>
      <c r="D314" s="17">
        <f t="shared" si="39"/>
        <v>0</v>
      </c>
      <c r="E314" s="17">
        <f t="shared" si="40"/>
        <v>0</v>
      </c>
      <c r="F314" s="25">
        <f t="shared" si="41"/>
        <v>64</v>
      </c>
      <c r="G314" s="16">
        <v>118</v>
      </c>
      <c r="H314" s="25">
        <f t="shared" si="38"/>
        <v>10870</v>
      </c>
      <c r="I314" s="25">
        <f t="shared" si="42"/>
        <v>130</v>
      </c>
      <c r="J314" s="25">
        <f t="shared" si="43"/>
        <v>106</v>
      </c>
      <c r="K314" s="17">
        <f t="shared" si="44"/>
        <v>0</v>
      </c>
      <c r="L314" s="17">
        <f t="shared" si="45"/>
        <v>4314645.986302088</v>
      </c>
      <c r="M314" s="17">
        <f t="shared" si="46"/>
        <v>-145322707.22053638</v>
      </c>
      <c r="N314" s="17" t="str">
        <f t="shared" si="47"/>
        <v/>
      </c>
      <c r="O314" s="6"/>
    </row>
    <row r="315" spans="1:15" x14ac:dyDescent="0.2">
      <c r="A315" s="5" t="s">
        <v>1208</v>
      </c>
      <c r="B315" s="17">
        <f t="shared" si="48"/>
        <v>0</v>
      </c>
      <c r="C315" s="17">
        <f t="shared" si="49"/>
        <v>0</v>
      </c>
      <c r="D315" s="17">
        <f t="shared" si="39"/>
        <v>0</v>
      </c>
      <c r="E315" s="17">
        <f t="shared" si="40"/>
        <v>0</v>
      </c>
      <c r="F315" s="25">
        <f t="shared" si="41"/>
        <v>64</v>
      </c>
      <c r="G315" s="16">
        <v>119</v>
      </c>
      <c r="H315" s="25">
        <f t="shared" si="38"/>
        <v>10871</v>
      </c>
      <c r="I315" s="25">
        <f t="shared" si="42"/>
        <v>131</v>
      </c>
      <c r="J315" s="25">
        <f t="shared" si="43"/>
        <v>107</v>
      </c>
      <c r="K315" s="17">
        <f t="shared" si="44"/>
        <v>0</v>
      </c>
      <c r="L315" s="17">
        <f t="shared" si="45"/>
        <v>4314645.986302088</v>
      </c>
      <c r="M315" s="17">
        <f t="shared" si="46"/>
        <v>-145322707.22053638</v>
      </c>
      <c r="N315" s="17" t="str">
        <f t="shared" si="47"/>
        <v/>
      </c>
      <c r="O315" s="6"/>
    </row>
    <row r="316" spans="1:15" x14ac:dyDescent="0.2">
      <c r="A316" s="5" t="s">
        <v>1209</v>
      </c>
      <c r="B316" s="17">
        <f t="shared" si="48"/>
        <v>0</v>
      </c>
      <c r="C316" s="17">
        <f t="shared" si="49"/>
        <v>0</v>
      </c>
      <c r="D316" s="17">
        <f t="shared" si="39"/>
        <v>0</v>
      </c>
      <c r="E316" s="17">
        <f t="shared" si="40"/>
        <v>0</v>
      </c>
      <c r="F316" s="25">
        <f t="shared" si="41"/>
        <v>64</v>
      </c>
      <c r="G316" s="16">
        <v>120</v>
      </c>
      <c r="H316" s="25">
        <f t="shared" si="38"/>
        <v>10872</v>
      </c>
      <c r="I316" s="25">
        <f t="shared" si="42"/>
        <v>132</v>
      </c>
      <c r="J316" s="25">
        <f t="shared" si="43"/>
        <v>108</v>
      </c>
      <c r="K316" s="17">
        <f t="shared" si="44"/>
        <v>0</v>
      </c>
      <c r="L316" s="17">
        <f t="shared" si="45"/>
        <v>4314645.986302088</v>
      </c>
      <c r="M316" s="17">
        <f t="shared" si="46"/>
        <v>-145322707.22053638</v>
      </c>
      <c r="N316" s="17" t="str">
        <f t="shared" si="47"/>
        <v/>
      </c>
      <c r="O316" s="6"/>
    </row>
    <row r="317" spans="1:15" x14ac:dyDescent="0.2">
      <c r="A317" s="5" t="s">
        <v>1210</v>
      </c>
      <c r="B317" s="17">
        <f t="shared" si="48"/>
        <v>0</v>
      </c>
      <c r="C317" s="17">
        <f t="shared" si="49"/>
        <v>0</v>
      </c>
      <c r="D317" s="17">
        <f t="shared" si="39"/>
        <v>0</v>
      </c>
      <c r="E317" s="17">
        <f t="shared" si="40"/>
        <v>0</v>
      </c>
      <c r="F317" s="25">
        <f t="shared" si="41"/>
        <v>64</v>
      </c>
      <c r="G317" s="16">
        <v>121</v>
      </c>
      <c r="H317" s="25">
        <f t="shared" si="38"/>
        <v>10873</v>
      </c>
      <c r="I317" s="25">
        <f t="shared" si="42"/>
        <v>133</v>
      </c>
      <c r="J317" s="25">
        <f t="shared" si="43"/>
        <v>109</v>
      </c>
      <c r="K317" s="17">
        <f t="shared" si="44"/>
        <v>0</v>
      </c>
      <c r="L317" s="17">
        <f t="shared" si="45"/>
        <v>4314645.986302088</v>
      </c>
      <c r="M317" s="17">
        <f t="shared" si="46"/>
        <v>-145322707.22053638</v>
      </c>
      <c r="N317" s="17" t="str">
        <f t="shared" si="47"/>
        <v/>
      </c>
      <c r="O317" s="6"/>
    </row>
    <row r="318" spans="1:15" x14ac:dyDescent="0.2">
      <c r="A318" s="5" t="s">
        <v>1211</v>
      </c>
      <c r="B318" s="17">
        <f t="shared" si="48"/>
        <v>0</v>
      </c>
      <c r="C318" s="17">
        <f t="shared" si="49"/>
        <v>0</v>
      </c>
      <c r="D318" s="17">
        <f t="shared" si="39"/>
        <v>0</v>
      </c>
      <c r="E318" s="17">
        <f t="shared" si="40"/>
        <v>0</v>
      </c>
      <c r="F318" s="25">
        <f t="shared" si="41"/>
        <v>64</v>
      </c>
      <c r="G318" s="16">
        <v>122</v>
      </c>
      <c r="H318" s="25">
        <f t="shared" si="38"/>
        <v>10874</v>
      </c>
      <c r="I318" s="25">
        <f t="shared" si="42"/>
        <v>134</v>
      </c>
      <c r="J318" s="25">
        <f t="shared" si="43"/>
        <v>110</v>
      </c>
      <c r="K318" s="17">
        <f t="shared" si="44"/>
        <v>0</v>
      </c>
      <c r="L318" s="17">
        <f t="shared" si="45"/>
        <v>4314645.986302088</v>
      </c>
      <c r="M318" s="17">
        <f t="shared" si="46"/>
        <v>-145322707.22053638</v>
      </c>
      <c r="N318" s="17" t="str">
        <f t="shared" si="47"/>
        <v/>
      </c>
      <c r="O318" s="6"/>
    </row>
    <row r="319" spans="1:15" x14ac:dyDescent="0.2">
      <c r="A319" s="5" t="s">
        <v>1212</v>
      </c>
      <c r="B319" s="17">
        <f t="shared" si="48"/>
        <v>0</v>
      </c>
      <c r="C319" s="17">
        <f t="shared" si="49"/>
        <v>0</v>
      </c>
      <c r="D319" s="17">
        <f t="shared" si="39"/>
        <v>0</v>
      </c>
      <c r="E319" s="17">
        <f t="shared" si="40"/>
        <v>0</v>
      </c>
      <c r="F319" s="25">
        <f t="shared" si="41"/>
        <v>64</v>
      </c>
      <c r="G319" s="16">
        <v>123</v>
      </c>
      <c r="H319" s="25">
        <f t="shared" si="38"/>
        <v>10875</v>
      </c>
      <c r="I319" s="25">
        <f t="shared" si="42"/>
        <v>135</v>
      </c>
      <c r="J319" s="25">
        <f t="shared" si="43"/>
        <v>111</v>
      </c>
      <c r="K319" s="17">
        <f t="shared" si="44"/>
        <v>0</v>
      </c>
      <c r="L319" s="17">
        <f t="shared" si="45"/>
        <v>4314645.986302088</v>
      </c>
      <c r="M319" s="17">
        <f t="shared" si="46"/>
        <v>-145322707.22053638</v>
      </c>
      <c r="N319" s="17" t="str">
        <f t="shared" si="47"/>
        <v/>
      </c>
      <c r="O319" s="6"/>
    </row>
    <row r="320" spans="1:15" x14ac:dyDescent="0.2">
      <c r="A320" s="5" t="s">
        <v>1213</v>
      </c>
      <c r="B320" s="17">
        <f t="shared" si="48"/>
        <v>0</v>
      </c>
      <c r="C320" s="17">
        <f t="shared" si="49"/>
        <v>0</v>
      </c>
      <c r="D320" s="17">
        <f t="shared" si="39"/>
        <v>0</v>
      </c>
      <c r="E320" s="17">
        <f t="shared" si="40"/>
        <v>0</v>
      </c>
      <c r="F320" s="25">
        <f t="shared" si="41"/>
        <v>64</v>
      </c>
      <c r="G320" s="16">
        <v>124</v>
      </c>
      <c r="H320" s="25">
        <f t="shared" si="38"/>
        <v>10876</v>
      </c>
      <c r="I320" s="25">
        <f t="shared" si="42"/>
        <v>136</v>
      </c>
      <c r="J320" s="25">
        <f t="shared" si="43"/>
        <v>112</v>
      </c>
      <c r="K320" s="17">
        <f t="shared" si="44"/>
        <v>0</v>
      </c>
      <c r="L320" s="17">
        <f t="shared" si="45"/>
        <v>4314645.986302088</v>
      </c>
      <c r="M320" s="17">
        <f t="shared" si="46"/>
        <v>-145322707.22053638</v>
      </c>
      <c r="N320" s="17" t="str">
        <f t="shared" si="47"/>
        <v/>
      </c>
      <c r="O320" s="6"/>
    </row>
    <row r="321" spans="1:15" x14ac:dyDescent="0.2">
      <c r="A321" s="5" t="s">
        <v>1214</v>
      </c>
      <c r="B321" s="17">
        <f t="shared" si="48"/>
        <v>0</v>
      </c>
      <c r="C321" s="17">
        <f t="shared" si="49"/>
        <v>0</v>
      </c>
      <c r="D321" s="17">
        <f t="shared" si="39"/>
        <v>0</v>
      </c>
      <c r="E321" s="17">
        <f t="shared" si="40"/>
        <v>0</v>
      </c>
      <c r="F321" s="25">
        <f t="shared" si="41"/>
        <v>64</v>
      </c>
      <c r="G321" s="16">
        <v>125</v>
      </c>
      <c r="H321" s="25">
        <f t="shared" si="38"/>
        <v>10877</v>
      </c>
      <c r="I321" s="25">
        <f t="shared" si="42"/>
        <v>137</v>
      </c>
      <c r="J321" s="25">
        <f t="shared" si="43"/>
        <v>113</v>
      </c>
      <c r="K321" s="17">
        <f t="shared" si="44"/>
        <v>0</v>
      </c>
      <c r="L321" s="17">
        <f t="shared" si="45"/>
        <v>4314645.986302088</v>
      </c>
      <c r="M321" s="17">
        <f t="shared" si="46"/>
        <v>-145322707.22053638</v>
      </c>
      <c r="N321" s="17" t="str">
        <f t="shared" si="47"/>
        <v/>
      </c>
      <c r="O321" s="6"/>
    </row>
    <row r="322" spans="1:15" x14ac:dyDescent="0.2">
      <c r="A322" s="5" t="s">
        <v>1215</v>
      </c>
      <c r="B322" s="17">
        <f t="shared" si="48"/>
        <v>0</v>
      </c>
      <c r="C322" s="17">
        <f t="shared" si="49"/>
        <v>0</v>
      </c>
      <c r="D322" s="17">
        <f t="shared" si="39"/>
        <v>0</v>
      </c>
      <c r="E322" s="17">
        <f t="shared" si="40"/>
        <v>0</v>
      </c>
      <c r="F322" s="25">
        <f t="shared" si="41"/>
        <v>64</v>
      </c>
      <c r="G322" s="16">
        <v>126</v>
      </c>
      <c r="H322" s="25">
        <f t="shared" si="38"/>
        <v>10878</v>
      </c>
      <c r="I322" s="25">
        <f t="shared" si="42"/>
        <v>138</v>
      </c>
      <c r="J322" s="25">
        <f t="shared" si="43"/>
        <v>114</v>
      </c>
      <c r="K322" s="17">
        <f t="shared" si="44"/>
        <v>0</v>
      </c>
      <c r="L322" s="17">
        <f t="shared" si="45"/>
        <v>4314645.986302088</v>
      </c>
      <c r="M322" s="17">
        <f t="shared" si="46"/>
        <v>-145322707.22053638</v>
      </c>
      <c r="N322" s="17" t="str">
        <f t="shared" si="47"/>
        <v/>
      </c>
      <c r="O322" s="6"/>
    </row>
    <row r="323" spans="1:15" x14ac:dyDescent="0.2">
      <c r="A323" s="5" t="s">
        <v>1216</v>
      </c>
      <c r="B323" s="17">
        <f t="shared" si="48"/>
        <v>0</v>
      </c>
      <c r="C323" s="17">
        <f t="shared" si="49"/>
        <v>0</v>
      </c>
      <c r="D323" s="17">
        <f t="shared" si="39"/>
        <v>0</v>
      </c>
      <c r="E323" s="17">
        <f t="shared" si="40"/>
        <v>0</v>
      </c>
      <c r="F323" s="25">
        <f t="shared" si="41"/>
        <v>64</v>
      </c>
      <c r="G323" s="16">
        <v>127</v>
      </c>
      <c r="H323" s="25">
        <f t="shared" si="38"/>
        <v>10879</v>
      </c>
      <c r="I323" s="25">
        <f t="shared" si="42"/>
        <v>139</v>
      </c>
      <c r="J323" s="25">
        <f t="shared" si="43"/>
        <v>115</v>
      </c>
      <c r="K323" s="17">
        <f t="shared" si="44"/>
        <v>0</v>
      </c>
      <c r="L323" s="17">
        <f t="shared" si="45"/>
        <v>4314645.986302088</v>
      </c>
      <c r="M323" s="17">
        <f t="shared" si="46"/>
        <v>-145322707.22053638</v>
      </c>
      <c r="N323" s="17" t="str">
        <f t="shared" si="47"/>
        <v/>
      </c>
      <c r="O323" s="6"/>
    </row>
    <row r="324" spans="1:15" x14ac:dyDescent="0.2">
      <c r="A324" s="5" t="s">
        <v>1217</v>
      </c>
      <c r="B324" s="17">
        <f t="shared" si="48"/>
        <v>0</v>
      </c>
      <c r="C324" s="17">
        <f t="shared" si="49"/>
        <v>0</v>
      </c>
      <c r="D324" s="17">
        <f t="shared" si="39"/>
        <v>0</v>
      </c>
      <c r="E324" s="17">
        <f t="shared" si="40"/>
        <v>0</v>
      </c>
      <c r="F324" s="25">
        <f t="shared" si="41"/>
        <v>64</v>
      </c>
      <c r="G324" s="16">
        <v>128</v>
      </c>
      <c r="H324" s="25">
        <f t="shared" ref="H324:H355" si="50">F324*168+G324</f>
        <v>10880</v>
      </c>
      <c r="I324" s="25">
        <f t="shared" si="42"/>
        <v>140</v>
      </c>
      <c r="J324" s="25">
        <f t="shared" si="43"/>
        <v>116</v>
      </c>
      <c r="K324" s="17">
        <f t="shared" si="44"/>
        <v>0</v>
      </c>
      <c r="L324" s="17">
        <f t="shared" si="45"/>
        <v>4314645.986302088</v>
      </c>
      <c r="M324" s="17">
        <f t="shared" si="46"/>
        <v>-145322707.22053638</v>
      </c>
      <c r="N324" s="17" t="str">
        <f t="shared" si="47"/>
        <v/>
      </c>
      <c r="O324" s="6"/>
    </row>
    <row r="325" spans="1:15" x14ac:dyDescent="0.2">
      <c r="A325" s="5" t="s">
        <v>1218</v>
      </c>
      <c r="B325" s="17">
        <f t="shared" si="48"/>
        <v>0</v>
      </c>
      <c r="C325" s="17">
        <f t="shared" si="49"/>
        <v>0</v>
      </c>
      <c r="D325" s="17">
        <f t="shared" ref="D325:D356" si="51">IF(ISNUMBER(B325),0,C325)</f>
        <v>0</v>
      </c>
      <c r="E325" s="17">
        <f t="shared" ref="E325:E356" si="52">MAX($B$171,B325)*C325</f>
        <v>0</v>
      </c>
      <c r="F325" s="25">
        <f t="shared" ref="F325:F356" si="53">RANK(B325,B$197:B$364,1)</f>
        <v>64</v>
      </c>
      <c r="G325" s="16">
        <v>129</v>
      </c>
      <c r="H325" s="25">
        <f t="shared" si="50"/>
        <v>10881</v>
      </c>
      <c r="I325" s="25">
        <f t="shared" ref="I325:I356" si="54">RANK(H325,H$197:H$364,1)</f>
        <v>141</v>
      </c>
      <c r="J325" s="25">
        <f t="shared" ref="J325:J356" si="55">MATCH(G325,I$197:I$364,0)</f>
        <v>117</v>
      </c>
      <c r="K325" s="17">
        <f t="shared" ref="K325:K356" si="56">INDEX(B$197:B$364,J325,1)</f>
        <v>0</v>
      </c>
      <c r="L325" s="17">
        <f t="shared" ref="L325:L356" si="57">L324+INDEX(C$197:C$364,J325,1)</f>
        <v>4314645.986302088</v>
      </c>
      <c r="M325" s="17">
        <f t="shared" ref="M325:M356" si="58">M324+(K325-K324)*L324</f>
        <v>-145322707.22053638</v>
      </c>
      <c r="N325" s="17" t="str">
        <f t="shared" ref="N325:N356" si="59">IF((M324&gt;0)=(M325&gt;0),"",K325-M325/L324)</f>
        <v/>
      </c>
      <c r="O325" s="6"/>
    </row>
    <row r="326" spans="1:15" x14ac:dyDescent="0.2">
      <c r="A326" s="5" t="s">
        <v>1219</v>
      </c>
      <c r="B326" s="17">
        <f t="shared" si="48"/>
        <v>0</v>
      </c>
      <c r="C326" s="17">
        <f t="shared" si="49"/>
        <v>0</v>
      </c>
      <c r="D326" s="17">
        <f t="shared" si="51"/>
        <v>0</v>
      </c>
      <c r="E326" s="17">
        <f t="shared" si="52"/>
        <v>0</v>
      </c>
      <c r="F326" s="25">
        <f t="shared" si="53"/>
        <v>64</v>
      </c>
      <c r="G326" s="16">
        <v>130</v>
      </c>
      <c r="H326" s="25">
        <f t="shared" si="50"/>
        <v>10882</v>
      </c>
      <c r="I326" s="25">
        <f t="shared" si="54"/>
        <v>142</v>
      </c>
      <c r="J326" s="25">
        <f t="shared" si="55"/>
        <v>118</v>
      </c>
      <c r="K326" s="17">
        <f t="shared" si="56"/>
        <v>0</v>
      </c>
      <c r="L326" s="17">
        <f t="shared" si="57"/>
        <v>4314645.986302088</v>
      </c>
      <c r="M326" s="17">
        <f t="shared" si="58"/>
        <v>-145322707.22053638</v>
      </c>
      <c r="N326" s="17" t="str">
        <f t="shared" si="59"/>
        <v/>
      </c>
      <c r="O326" s="6"/>
    </row>
    <row r="327" spans="1:15" x14ac:dyDescent="0.2">
      <c r="A327" s="5" t="s">
        <v>1220</v>
      </c>
      <c r="B327" s="17">
        <f t="shared" si="48"/>
        <v>0</v>
      </c>
      <c r="C327" s="17">
        <f t="shared" si="49"/>
        <v>0</v>
      </c>
      <c r="D327" s="17">
        <f t="shared" si="51"/>
        <v>0</v>
      </c>
      <c r="E327" s="17">
        <f t="shared" si="52"/>
        <v>0</v>
      </c>
      <c r="F327" s="25">
        <f t="shared" si="53"/>
        <v>64</v>
      </c>
      <c r="G327" s="16">
        <v>131</v>
      </c>
      <c r="H327" s="25">
        <f t="shared" si="50"/>
        <v>10883</v>
      </c>
      <c r="I327" s="25">
        <f t="shared" si="54"/>
        <v>143</v>
      </c>
      <c r="J327" s="25">
        <f t="shared" si="55"/>
        <v>119</v>
      </c>
      <c r="K327" s="17">
        <f t="shared" si="56"/>
        <v>0</v>
      </c>
      <c r="L327" s="17">
        <f t="shared" si="57"/>
        <v>4314645.986302088</v>
      </c>
      <c r="M327" s="17">
        <f t="shared" si="58"/>
        <v>-145322707.22053638</v>
      </c>
      <c r="N327" s="17" t="str">
        <f t="shared" si="59"/>
        <v/>
      </c>
      <c r="O327" s="6"/>
    </row>
    <row r="328" spans="1:15" x14ac:dyDescent="0.2">
      <c r="A328" s="5" t="s">
        <v>1221</v>
      </c>
      <c r="B328" s="17">
        <f t="shared" si="48"/>
        <v>0</v>
      </c>
      <c r="C328" s="17">
        <f t="shared" si="49"/>
        <v>0</v>
      </c>
      <c r="D328" s="17">
        <f t="shared" si="51"/>
        <v>0</v>
      </c>
      <c r="E328" s="17">
        <f t="shared" si="52"/>
        <v>0</v>
      </c>
      <c r="F328" s="25">
        <f t="shared" si="53"/>
        <v>64</v>
      </c>
      <c r="G328" s="16">
        <v>132</v>
      </c>
      <c r="H328" s="25">
        <f t="shared" si="50"/>
        <v>10884</v>
      </c>
      <c r="I328" s="25">
        <f t="shared" si="54"/>
        <v>144</v>
      </c>
      <c r="J328" s="25">
        <f t="shared" si="55"/>
        <v>120</v>
      </c>
      <c r="K328" s="17">
        <f t="shared" si="56"/>
        <v>0</v>
      </c>
      <c r="L328" s="17">
        <f t="shared" si="57"/>
        <v>4314645.986302088</v>
      </c>
      <c r="M328" s="17">
        <f t="shared" si="58"/>
        <v>-145322707.22053638</v>
      </c>
      <c r="N328" s="17" t="str">
        <f t="shared" si="59"/>
        <v/>
      </c>
      <c r="O328" s="6"/>
    </row>
    <row r="329" spans="1:15" x14ac:dyDescent="0.2">
      <c r="A329" s="5" t="s">
        <v>1222</v>
      </c>
      <c r="B329" s="17">
        <f t="shared" si="48"/>
        <v>0</v>
      </c>
      <c r="C329" s="17">
        <f t="shared" si="49"/>
        <v>0</v>
      </c>
      <c r="D329" s="17">
        <f t="shared" si="51"/>
        <v>0</v>
      </c>
      <c r="E329" s="17">
        <f t="shared" si="52"/>
        <v>0</v>
      </c>
      <c r="F329" s="25">
        <f t="shared" si="53"/>
        <v>64</v>
      </c>
      <c r="G329" s="16">
        <v>133</v>
      </c>
      <c r="H329" s="25">
        <f t="shared" si="50"/>
        <v>10885</v>
      </c>
      <c r="I329" s="25">
        <f t="shared" si="54"/>
        <v>145</v>
      </c>
      <c r="J329" s="25">
        <f t="shared" si="55"/>
        <v>121</v>
      </c>
      <c r="K329" s="17">
        <f t="shared" si="56"/>
        <v>0</v>
      </c>
      <c r="L329" s="17">
        <f t="shared" si="57"/>
        <v>4314645.986302088</v>
      </c>
      <c r="M329" s="17">
        <f t="shared" si="58"/>
        <v>-145322707.22053638</v>
      </c>
      <c r="N329" s="17" t="str">
        <f t="shared" si="59"/>
        <v/>
      </c>
      <c r="O329" s="6"/>
    </row>
    <row r="330" spans="1:15" x14ac:dyDescent="0.2">
      <c r="A330" s="5" t="s">
        <v>1223</v>
      </c>
      <c r="B330" s="17">
        <f t="shared" si="48"/>
        <v>0</v>
      </c>
      <c r="C330" s="17">
        <f t="shared" si="49"/>
        <v>0</v>
      </c>
      <c r="D330" s="17">
        <f t="shared" si="51"/>
        <v>0</v>
      </c>
      <c r="E330" s="17">
        <f t="shared" si="52"/>
        <v>0</v>
      </c>
      <c r="F330" s="25">
        <f t="shared" si="53"/>
        <v>64</v>
      </c>
      <c r="G330" s="16">
        <v>134</v>
      </c>
      <c r="H330" s="25">
        <f t="shared" si="50"/>
        <v>10886</v>
      </c>
      <c r="I330" s="25">
        <f t="shared" si="54"/>
        <v>146</v>
      </c>
      <c r="J330" s="25">
        <f t="shared" si="55"/>
        <v>122</v>
      </c>
      <c r="K330" s="17">
        <f t="shared" si="56"/>
        <v>0</v>
      </c>
      <c r="L330" s="17">
        <f t="shared" si="57"/>
        <v>4314645.986302088</v>
      </c>
      <c r="M330" s="17">
        <f t="shared" si="58"/>
        <v>-145322707.22053638</v>
      </c>
      <c r="N330" s="17" t="str">
        <f t="shared" si="59"/>
        <v/>
      </c>
      <c r="O330" s="6"/>
    </row>
    <row r="331" spans="1:15" x14ac:dyDescent="0.2">
      <c r="A331" s="5" t="s">
        <v>1224</v>
      </c>
      <c r="B331" s="17">
        <f t="shared" si="48"/>
        <v>0</v>
      </c>
      <c r="C331" s="17">
        <f t="shared" si="49"/>
        <v>0</v>
      </c>
      <c r="D331" s="17">
        <f t="shared" si="51"/>
        <v>0</v>
      </c>
      <c r="E331" s="17">
        <f t="shared" si="52"/>
        <v>0</v>
      </c>
      <c r="F331" s="25">
        <f t="shared" si="53"/>
        <v>64</v>
      </c>
      <c r="G331" s="16">
        <v>135</v>
      </c>
      <c r="H331" s="25">
        <f t="shared" si="50"/>
        <v>10887</v>
      </c>
      <c r="I331" s="25">
        <f t="shared" si="54"/>
        <v>147</v>
      </c>
      <c r="J331" s="25">
        <f t="shared" si="55"/>
        <v>123</v>
      </c>
      <c r="K331" s="17">
        <f t="shared" si="56"/>
        <v>0</v>
      </c>
      <c r="L331" s="17">
        <f t="shared" si="57"/>
        <v>4314645.986302088</v>
      </c>
      <c r="M331" s="17">
        <f t="shared" si="58"/>
        <v>-145322707.22053638</v>
      </c>
      <c r="N331" s="17" t="str">
        <f t="shared" si="59"/>
        <v/>
      </c>
      <c r="O331" s="6"/>
    </row>
    <row r="332" spans="1:15" x14ac:dyDescent="0.2">
      <c r="A332" s="5" t="s">
        <v>1225</v>
      </c>
      <c r="B332" s="17">
        <f t="shared" si="48"/>
        <v>0</v>
      </c>
      <c r="C332" s="17">
        <f t="shared" si="49"/>
        <v>0</v>
      </c>
      <c r="D332" s="17">
        <f t="shared" si="51"/>
        <v>0</v>
      </c>
      <c r="E332" s="17">
        <f t="shared" si="52"/>
        <v>0</v>
      </c>
      <c r="F332" s="25">
        <f t="shared" si="53"/>
        <v>64</v>
      </c>
      <c r="G332" s="16">
        <v>136</v>
      </c>
      <c r="H332" s="25">
        <f t="shared" si="50"/>
        <v>10888</v>
      </c>
      <c r="I332" s="25">
        <f t="shared" si="54"/>
        <v>148</v>
      </c>
      <c r="J332" s="25">
        <f t="shared" si="55"/>
        <v>124</v>
      </c>
      <c r="K332" s="17">
        <f t="shared" si="56"/>
        <v>0</v>
      </c>
      <c r="L332" s="17">
        <f t="shared" si="57"/>
        <v>4314645.986302088</v>
      </c>
      <c r="M332" s="17">
        <f t="shared" si="58"/>
        <v>-145322707.22053638</v>
      </c>
      <c r="N332" s="17" t="str">
        <f t="shared" si="59"/>
        <v/>
      </c>
      <c r="O332" s="6"/>
    </row>
    <row r="333" spans="1:15" x14ac:dyDescent="0.2">
      <c r="A333" s="5" t="s">
        <v>1226</v>
      </c>
      <c r="B333" s="17">
        <f t="shared" si="48"/>
        <v>0</v>
      </c>
      <c r="C333" s="17">
        <f t="shared" si="49"/>
        <v>0</v>
      </c>
      <c r="D333" s="17">
        <f t="shared" si="51"/>
        <v>0</v>
      </c>
      <c r="E333" s="17">
        <f t="shared" si="52"/>
        <v>0</v>
      </c>
      <c r="F333" s="25">
        <f t="shared" si="53"/>
        <v>64</v>
      </c>
      <c r="G333" s="16">
        <v>137</v>
      </c>
      <c r="H333" s="25">
        <f t="shared" si="50"/>
        <v>10889</v>
      </c>
      <c r="I333" s="25">
        <f t="shared" si="54"/>
        <v>149</v>
      </c>
      <c r="J333" s="25">
        <f t="shared" si="55"/>
        <v>125</v>
      </c>
      <c r="K333" s="17">
        <f t="shared" si="56"/>
        <v>0</v>
      </c>
      <c r="L333" s="17">
        <f t="shared" si="57"/>
        <v>4314645.986302088</v>
      </c>
      <c r="M333" s="17">
        <f t="shared" si="58"/>
        <v>-145322707.22053638</v>
      </c>
      <c r="N333" s="17" t="str">
        <f t="shared" si="59"/>
        <v/>
      </c>
      <c r="O333" s="6"/>
    </row>
    <row r="334" spans="1:15" x14ac:dyDescent="0.2">
      <c r="A334" s="5" t="s">
        <v>1227</v>
      </c>
      <c r="B334" s="17">
        <f t="shared" si="48"/>
        <v>0</v>
      </c>
      <c r="C334" s="17">
        <f t="shared" si="49"/>
        <v>0</v>
      </c>
      <c r="D334" s="17">
        <f t="shared" si="51"/>
        <v>0</v>
      </c>
      <c r="E334" s="17">
        <f t="shared" si="52"/>
        <v>0</v>
      </c>
      <c r="F334" s="25">
        <f t="shared" si="53"/>
        <v>64</v>
      </c>
      <c r="G334" s="16">
        <v>138</v>
      </c>
      <c r="H334" s="25">
        <f t="shared" si="50"/>
        <v>10890</v>
      </c>
      <c r="I334" s="25">
        <f t="shared" si="54"/>
        <v>150</v>
      </c>
      <c r="J334" s="25">
        <f t="shared" si="55"/>
        <v>126</v>
      </c>
      <c r="K334" s="17">
        <f t="shared" si="56"/>
        <v>0</v>
      </c>
      <c r="L334" s="17">
        <f t="shared" si="57"/>
        <v>4314645.986302088</v>
      </c>
      <c r="M334" s="17">
        <f t="shared" si="58"/>
        <v>-145322707.22053638</v>
      </c>
      <c r="N334" s="17" t="str">
        <f t="shared" si="59"/>
        <v/>
      </c>
      <c r="O334" s="6"/>
    </row>
    <row r="335" spans="1:15" x14ac:dyDescent="0.2">
      <c r="A335" s="5" t="s">
        <v>1228</v>
      </c>
      <c r="B335" s="17">
        <f t="shared" si="48"/>
        <v>0</v>
      </c>
      <c r="C335" s="17">
        <f t="shared" si="49"/>
        <v>0</v>
      </c>
      <c r="D335" s="17">
        <f t="shared" si="51"/>
        <v>0</v>
      </c>
      <c r="E335" s="17">
        <f t="shared" si="52"/>
        <v>0</v>
      </c>
      <c r="F335" s="25">
        <f t="shared" si="53"/>
        <v>64</v>
      </c>
      <c r="G335" s="16">
        <v>139</v>
      </c>
      <c r="H335" s="25">
        <f t="shared" si="50"/>
        <v>10891</v>
      </c>
      <c r="I335" s="25">
        <f t="shared" si="54"/>
        <v>151</v>
      </c>
      <c r="J335" s="25">
        <f t="shared" si="55"/>
        <v>127</v>
      </c>
      <c r="K335" s="17">
        <f t="shared" si="56"/>
        <v>0</v>
      </c>
      <c r="L335" s="17">
        <f t="shared" si="57"/>
        <v>4314645.986302088</v>
      </c>
      <c r="M335" s="17">
        <f t="shared" si="58"/>
        <v>-145322707.22053638</v>
      </c>
      <c r="N335" s="17" t="str">
        <f t="shared" si="59"/>
        <v/>
      </c>
      <c r="O335" s="6"/>
    </row>
    <row r="336" spans="1:15" x14ac:dyDescent="0.2">
      <c r="A336" s="5" t="s">
        <v>1229</v>
      </c>
      <c r="B336" s="17">
        <f t="shared" si="48"/>
        <v>0</v>
      </c>
      <c r="C336" s="17">
        <f t="shared" si="49"/>
        <v>0</v>
      </c>
      <c r="D336" s="17">
        <f t="shared" si="51"/>
        <v>0</v>
      </c>
      <c r="E336" s="17">
        <f t="shared" si="52"/>
        <v>0</v>
      </c>
      <c r="F336" s="25">
        <f t="shared" si="53"/>
        <v>64</v>
      </c>
      <c r="G336" s="16">
        <v>140</v>
      </c>
      <c r="H336" s="25">
        <f t="shared" si="50"/>
        <v>10892</v>
      </c>
      <c r="I336" s="25">
        <f t="shared" si="54"/>
        <v>152</v>
      </c>
      <c r="J336" s="25">
        <f t="shared" si="55"/>
        <v>128</v>
      </c>
      <c r="K336" s="17">
        <f t="shared" si="56"/>
        <v>0</v>
      </c>
      <c r="L336" s="17">
        <f t="shared" si="57"/>
        <v>4314645.986302088</v>
      </c>
      <c r="M336" s="17">
        <f t="shared" si="58"/>
        <v>-145322707.22053638</v>
      </c>
      <c r="N336" s="17" t="str">
        <f t="shared" si="59"/>
        <v/>
      </c>
      <c r="O336" s="6"/>
    </row>
    <row r="337" spans="1:15" x14ac:dyDescent="0.2">
      <c r="A337" s="5" t="s">
        <v>1230</v>
      </c>
      <c r="B337" s="17">
        <f t="shared" ref="B337:B364" si="60">G130</f>
        <v>0</v>
      </c>
      <c r="C337" s="17">
        <f t="shared" ref="C337:C364" si="61">G83</f>
        <v>0</v>
      </c>
      <c r="D337" s="17">
        <f t="shared" si="51"/>
        <v>0</v>
      </c>
      <c r="E337" s="17">
        <f t="shared" si="52"/>
        <v>0</v>
      </c>
      <c r="F337" s="25">
        <f t="shared" si="53"/>
        <v>64</v>
      </c>
      <c r="G337" s="16">
        <v>141</v>
      </c>
      <c r="H337" s="25">
        <f t="shared" si="50"/>
        <v>10893</v>
      </c>
      <c r="I337" s="25">
        <f t="shared" si="54"/>
        <v>153</v>
      </c>
      <c r="J337" s="25">
        <f t="shared" si="55"/>
        <v>129</v>
      </c>
      <c r="K337" s="17">
        <f t="shared" si="56"/>
        <v>0</v>
      </c>
      <c r="L337" s="17">
        <f t="shared" si="57"/>
        <v>4314645.986302088</v>
      </c>
      <c r="M337" s="17">
        <f t="shared" si="58"/>
        <v>-145322707.22053638</v>
      </c>
      <c r="N337" s="17" t="str">
        <f t="shared" si="59"/>
        <v/>
      </c>
      <c r="O337" s="6"/>
    </row>
    <row r="338" spans="1:15" x14ac:dyDescent="0.2">
      <c r="A338" s="5" t="s">
        <v>1231</v>
      </c>
      <c r="B338" s="17">
        <f t="shared" si="60"/>
        <v>0</v>
      </c>
      <c r="C338" s="17">
        <f t="shared" si="61"/>
        <v>0</v>
      </c>
      <c r="D338" s="17">
        <f t="shared" si="51"/>
        <v>0</v>
      </c>
      <c r="E338" s="17">
        <f t="shared" si="52"/>
        <v>0</v>
      </c>
      <c r="F338" s="25">
        <f t="shared" si="53"/>
        <v>64</v>
      </c>
      <c r="G338" s="16">
        <v>142</v>
      </c>
      <c r="H338" s="25">
        <f t="shared" si="50"/>
        <v>10894</v>
      </c>
      <c r="I338" s="25">
        <f t="shared" si="54"/>
        <v>154</v>
      </c>
      <c r="J338" s="25">
        <f t="shared" si="55"/>
        <v>130</v>
      </c>
      <c r="K338" s="17">
        <f t="shared" si="56"/>
        <v>0</v>
      </c>
      <c r="L338" s="17">
        <f t="shared" si="57"/>
        <v>4314645.986302088</v>
      </c>
      <c r="M338" s="17">
        <f t="shared" si="58"/>
        <v>-145322707.22053638</v>
      </c>
      <c r="N338" s="17" t="str">
        <f t="shared" si="59"/>
        <v/>
      </c>
      <c r="O338" s="6"/>
    </row>
    <row r="339" spans="1:15" x14ac:dyDescent="0.2">
      <c r="A339" s="5" t="s">
        <v>1232</v>
      </c>
      <c r="B339" s="17">
        <f t="shared" si="60"/>
        <v>0</v>
      </c>
      <c r="C339" s="17">
        <f t="shared" si="61"/>
        <v>0</v>
      </c>
      <c r="D339" s="17">
        <f t="shared" si="51"/>
        <v>0</v>
      </c>
      <c r="E339" s="17">
        <f t="shared" si="52"/>
        <v>0</v>
      </c>
      <c r="F339" s="25">
        <f t="shared" si="53"/>
        <v>64</v>
      </c>
      <c r="G339" s="16">
        <v>143</v>
      </c>
      <c r="H339" s="25">
        <f t="shared" si="50"/>
        <v>10895</v>
      </c>
      <c r="I339" s="25">
        <f t="shared" si="54"/>
        <v>155</v>
      </c>
      <c r="J339" s="25">
        <f t="shared" si="55"/>
        <v>131</v>
      </c>
      <c r="K339" s="17">
        <f t="shared" si="56"/>
        <v>0</v>
      </c>
      <c r="L339" s="17">
        <f t="shared" si="57"/>
        <v>4314645.986302088</v>
      </c>
      <c r="M339" s="17">
        <f t="shared" si="58"/>
        <v>-145322707.22053638</v>
      </c>
      <c r="N339" s="17" t="str">
        <f t="shared" si="59"/>
        <v/>
      </c>
      <c r="O339" s="6"/>
    </row>
    <row r="340" spans="1:15" x14ac:dyDescent="0.2">
      <c r="A340" s="5" t="s">
        <v>1233</v>
      </c>
      <c r="B340" s="17">
        <f t="shared" si="60"/>
        <v>0</v>
      </c>
      <c r="C340" s="17">
        <f t="shared" si="61"/>
        <v>0</v>
      </c>
      <c r="D340" s="17">
        <f t="shared" si="51"/>
        <v>0</v>
      </c>
      <c r="E340" s="17">
        <f t="shared" si="52"/>
        <v>0</v>
      </c>
      <c r="F340" s="25">
        <f t="shared" si="53"/>
        <v>64</v>
      </c>
      <c r="G340" s="16">
        <v>144</v>
      </c>
      <c r="H340" s="25">
        <f t="shared" si="50"/>
        <v>10896</v>
      </c>
      <c r="I340" s="25">
        <f t="shared" si="54"/>
        <v>156</v>
      </c>
      <c r="J340" s="25">
        <f t="shared" si="55"/>
        <v>132</v>
      </c>
      <c r="K340" s="17">
        <f t="shared" si="56"/>
        <v>0</v>
      </c>
      <c r="L340" s="17">
        <f t="shared" si="57"/>
        <v>4314645.986302088</v>
      </c>
      <c r="M340" s="17">
        <f t="shared" si="58"/>
        <v>-145322707.22053638</v>
      </c>
      <c r="N340" s="17" t="str">
        <f t="shared" si="59"/>
        <v/>
      </c>
      <c r="O340" s="6"/>
    </row>
    <row r="341" spans="1:15" x14ac:dyDescent="0.2">
      <c r="A341" s="5" t="s">
        <v>1234</v>
      </c>
      <c r="B341" s="17">
        <f t="shared" si="60"/>
        <v>0</v>
      </c>
      <c r="C341" s="17">
        <f t="shared" si="61"/>
        <v>0</v>
      </c>
      <c r="D341" s="17">
        <f t="shared" si="51"/>
        <v>0</v>
      </c>
      <c r="E341" s="17">
        <f t="shared" si="52"/>
        <v>0</v>
      </c>
      <c r="F341" s="25">
        <f t="shared" si="53"/>
        <v>64</v>
      </c>
      <c r="G341" s="16">
        <v>145</v>
      </c>
      <c r="H341" s="25">
        <f t="shared" si="50"/>
        <v>10897</v>
      </c>
      <c r="I341" s="25">
        <f t="shared" si="54"/>
        <v>157</v>
      </c>
      <c r="J341" s="25">
        <f t="shared" si="55"/>
        <v>133</v>
      </c>
      <c r="K341" s="17">
        <f t="shared" si="56"/>
        <v>0</v>
      </c>
      <c r="L341" s="17">
        <f t="shared" si="57"/>
        <v>4314645.986302088</v>
      </c>
      <c r="M341" s="17">
        <f t="shared" si="58"/>
        <v>-145322707.22053638</v>
      </c>
      <c r="N341" s="17" t="str">
        <f t="shared" si="59"/>
        <v/>
      </c>
      <c r="O341" s="6"/>
    </row>
    <row r="342" spans="1:15" x14ac:dyDescent="0.2">
      <c r="A342" s="5" t="s">
        <v>1235</v>
      </c>
      <c r="B342" s="17">
        <f t="shared" si="60"/>
        <v>0</v>
      </c>
      <c r="C342" s="17">
        <f t="shared" si="61"/>
        <v>0</v>
      </c>
      <c r="D342" s="17">
        <f t="shared" si="51"/>
        <v>0</v>
      </c>
      <c r="E342" s="17">
        <f t="shared" si="52"/>
        <v>0</v>
      </c>
      <c r="F342" s="25">
        <f t="shared" si="53"/>
        <v>64</v>
      </c>
      <c r="G342" s="16">
        <v>146</v>
      </c>
      <c r="H342" s="25">
        <f t="shared" si="50"/>
        <v>10898</v>
      </c>
      <c r="I342" s="25">
        <f t="shared" si="54"/>
        <v>158</v>
      </c>
      <c r="J342" s="25">
        <f t="shared" si="55"/>
        <v>134</v>
      </c>
      <c r="K342" s="17">
        <f t="shared" si="56"/>
        <v>0</v>
      </c>
      <c r="L342" s="17">
        <f t="shared" si="57"/>
        <v>4314645.986302088</v>
      </c>
      <c r="M342" s="17">
        <f t="shared" si="58"/>
        <v>-145322707.22053638</v>
      </c>
      <c r="N342" s="17" t="str">
        <f t="shared" si="59"/>
        <v/>
      </c>
      <c r="O342" s="6"/>
    </row>
    <row r="343" spans="1:15" x14ac:dyDescent="0.2">
      <c r="A343" s="5" t="s">
        <v>1236</v>
      </c>
      <c r="B343" s="17">
        <f t="shared" si="60"/>
        <v>0</v>
      </c>
      <c r="C343" s="17">
        <f t="shared" si="61"/>
        <v>0</v>
      </c>
      <c r="D343" s="17">
        <f t="shared" si="51"/>
        <v>0</v>
      </c>
      <c r="E343" s="17">
        <f t="shared" si="52"/>
        <v>0</v>
      </c>
      <c r="F343" s="25">
        <f t="shared" si="53"/>
        <v>64</v>
      </c>
      <c r="G343" s="16">
        <v>147</v>
      </c>
      <c r="H343" s="25">
        <f t="shared" si="50"/>
        <v>10899</v>
      </c>
      <c r="I343" s="25">
        <f t="shared" si="54"/>
        <v>159</v>
      </c>
      <c r="J343" s="25">
        <f t="shared" si="55"/>
        <v>135</v>
      </c>
      <c r="K343" s="17">
        <f t="shared" si="56"/>
        <v>0</v>
      </c>
      <c r="L343" s="17">
        <f t="shared" si="57"/>
        <v>4314645.986302088</v>
      </c>
      <c r="M343" s="17">
        <f t="shared" si="58"/>
        <v>-145322707.22053638</v>
      </c>
      <c r="N343" s="17" t="str">
        <f t="shared" si="59"/>
        <v/>
      </c>
      <c r="O343" s="6"/>
    </row>
    <row r="344" spans="1:15" x14ac:dyDescent="0.2">
      <c r="A344" s="5" t="s">
        <v>1237</v>
      </c>
      <c r="B344" s="17">
        <f t="shared" si="60"/>
        <v>0</v>
      </c>
      <c r="C344" s="17">
        <f t="shared" si="61"/>
        <v>0</v>
      </c>
      <c r="D344" s="17">
        <f t="shared" si="51"/>
        <v>0</v>
      </c>
      <c r="E344" s="17">
        <f t="shared" si="52"/>
        <v>0</v>
      </c>
      <c r="F344" s="25">
        <f t="shared" si="53"/>
        <v>64</v>
      </c>
      <c r="G344" s="16">
        <v>148</v>
      </c>
      <c r="H344" s="25">
        <f t="shared" si="50"/>
        <v>10900</v>
      </c>
      <c r="I344" s="25">
        <f t="shared" si="54"/>
        <v>160</v>
      </c>
      <c r="J344" s="25">
        <f t="shared" si="55"/>
        <v>136</v>
      </c>
      <c r="K344" s="17">
        <f t="shared" si="56"/>
        <v>0</v>
      </c>
      <c r="L344" s="17">
        <f t="shared" si="57"/>
        <v>4314645.986302088</v>
      </c>
      <c r="M344" s="17">
        <f t="shared" si="58"/>
        <v>-145322707.22053638</v>
      </c>
      <c r="N344" s="17" t="str">
        <f t="shared" si="59"/>
        <v/>
      </c>
      <c r="O344" s="6"/>
    </row>
    <row r="345" spans="1:15" x14ac:dyDescent="0.2">
      <c r="A345" s="5" t="s">
        <v>1238</v>
      </c>
      <c r="B345" s="17">
        <f t="shared" si="60"/>
        <v>0</v>
      </c>
      <c r="C345" s="17">
        <f t="shared" si="61"/>
        <v>0</v>
      </c>
      <c r="D345" s="17">
        <f t="shared" si="51"/>
        <v>0</v>
      </c>
      <c r="E345" s="17">
        <f t="shared" si="52"/>
        <v>0</v>
      </c>
      <c r="F345" s="25">
        <f t="shared" si="53"/>
        <v>64</v>
      </c>
      <c r="G345" s="16">
        <v>149</v>
      </c>
      <c r="H345" s="25">
        <f t="shared" si="50"/>
        <v>10901</v>
      </c>
      <c r="I345" s="25">
        <f t="shared" si="54"/>
        <v>161</v>
      </c>
      <c r="J345" s="25">
        <f t="shared" si="55"/>
        <v>137</v>
      </c>
      <c r="K345" s="17">
        <f t="shared" si="56"/>
        <v>0</v>
      </c>
      <c r="L345" s="17">
        <f t="shared" si="57"/>
        <v>4314645.986302088</v>
      </c>
      <c r="M345" s="17">
        <f t="shared" si="58"/>
        <v>-145322707.22053638</v>
      </c>
      <c r="N345" s="17" t="str">
        <f t="shared" si="59"/>
        <v/>
      </c>
      <c r="O345" s="6"/>
    </row>
    <row r="346" spans="1:15" x14ac:dyDescent="0.2">
      <c r="A346" s="5" t="s">
        <v>1239</v>
      </c>
      <c r="B346" s="17">
        <f t="shared" si="60"/>
        <v>-56.292367163900309</v>
      </c>
      <c r="C346" s="17">
        <f t="shared" si="61"/>
        <v>4087.4936535284946</v>
      </c>
      <c r="D346" s="17">
        <f t="shared" si="51"/>
        <v>0</v>
      </c>
      <c r="E346" s="17">
        <f t="shared" si="52"/>
        <v>-230094.69352453834</v>
      </c>
      <c r="F346" s="25">
        <f t="shared" si="53"/>
        <v>36</v>
      </c>
      <c r="G346" s="16">
        <v>150</v>
      </c>
      <c r="H346" s="25">
        <f t="shared" si="50"/>
        <v>6198</v>
      </c>
      <c r="I346" s="25">
        <f t="shared" si="54"/>
        <v>36</v>
      </c>
      <c r="J346" s="25">
        <f t="shared" si="55"/>
        <v>138</v>
      </c>
      <c r="K346" s="17">
        <f t="shared" si="56"/>
        <v>0</v>
      </c>
      <c r="L346" s="17">
        <f t="shared" si="57"/>
        <v>4314645.986302088</v>
      </c>
      <c r="M346" s="17">
        <f t="shared" si="58"/>
        <v>-145322707.22053638</v>
      </c>
      <c r="N346" s="17" t="str">
        <f t="shared" si="59"/>
        <v/>
      </c>
      <c r="O346" s="6"/>
    </row>
    <row r="347" spans="1:15" x14ac:dyDescent="0.2">
      <c r="A347" s="5" t="s">
        <v>1240</v>
      </c>
      <c r="B347" s="17">
        <f t="shared" si="60"/>
        <v>-43.65070912731526</v>
      </c>
      <c r="C347" s="17">
        <f t="shared" si="61"/>
        <v>3821.5006256311535</v>
      </c>
      <c r="D347" s="17">
        <f t="shared" si="51"/>
        <v>0</v>
      </c>
      <c r="E347" s="17">
        <f t="shared" si="52"/>
        <v>-166811.21223927877</v>
      </c>
      <c r="F347" s="25">
        <f t="shared" si="53"/>
        <v>44</v>
      </c>
      <c r="G347" s="16">
        <v>151</v>
      </c>
      <c r="H347" s="25">
        <f t="shared" si="50"/>
        <v>7543</v>
      </c>
      <c r="I347" s="25">
        <f t="shared" si="54"/>
        <v>44</v>
      </c>
      <c r="J347" s="25">
        <f t="shared" si="55"/>
        <v>139</v>
      </c>
      <c r="K347" s="17">
        <f t="shared" si="56"/>
        <v>0</v>
      </c>
      <c r="L347" s="17">
        <f t="shared" si="57"/>
        <v>4314645.986302088</v>
      </c>
      <c r="M347" s="17">
        <f t="shared" si="58"/>
        <v>-145322707.22053638</v>
      </c>
      <c r="N347" s="17" t="str">
        <f t="shared" si="59"/>
        <v/>
      </c>
      <c r="O347" s="6"/>
    </row>
    <row r="348" spans="1:15" x14ac:dyDescent="0.2">
      <c r="A348" s="5" t="s">
        <v>1241</v>
      </c>
      <c r="B348" s="17">
        <f t="shared" si="60"/>
        <v>-27.447428709681866</v>
      </c>
      <c r="C348" s="17">
        <f t="shared" si="61"/>
        <v>10447.859722483774</v>
      </c>
      <c r="D348" s="17">
        <f t="shared" si="51"/>
        <v>0</v>
      </c>
      <c r="E348" s="17">
        <f t="shared" si="52"/>
        <v>-286766.88490162994</v>
      </c>
      <c r="F348" s="25">
        <f t="shared" si="53"/>
        <v>54</v>
      </c>
      <c r="G348" s="16">
        <v>152</v>
      </c>
      <c r="H348" s="25">
        <f t="shared" si="50"/>
        <v>9224</v>
      </c>
      <c r="I348" s="25">
        <f t="shared" si="54"/>
        <v>54</v>
      </c>
      <c r="J348" s="25">
        <f t="shared" si="55"/>
        <v>140</v>
      </c>
      <c r="K348" s="17">
        <f t="shared" si="56"/>
        <v>0</v>
      </c>
      <c r="L348" s="17">
        <f t="shared" si="57"/>
        <v>4314645.986302088</v>
      </c>
      <c r="M348" s="17">
        <f t="shared" si="58"/>
        <v>-145322707.22053638</v>
      </c>
      <c r="N348" s="17" t="str">
        <f t="shared" si="59"/>
        <v/>
      </c>
      <c r="O348" s="6"/>
    </row>
    <row r="349" spans="1:15" x14ac:dyDescent="0.2">
      <c r="A349" s="5" t="s">
        <v>1242</v>
      </c>
      <c r="B349" s="17">
        <f t="shared" si="60"/>
        <v>-18.814051119771626</v>
      </c>
      <c r="C349" s="17">
        <f t="shared" si="61"/>
        <v>0</v>
      </c>
      <c r="D349" s="17">
        <f t="shared" si="51"/>
        <v>0</v>
      </c>
      <c r="E349" s="17">
        <f t="shared" si="52"/>
        <v>0</v>
      </c>
      <c r="F349" s="25">
        <f t="shared" si="53"/>
        <v>62</v>
      </c>
      <c r="G349" s="16">
        <v>153</v>
      </c>
      <c r="H349" s="25">
        <f t="shared" si="50"/>
        <v>10569</v>
      </c>
      <c r="I349" s="25">
        <f t="shared" si="54"/>
        <v>62</v>
      </c>
      <c r="J349" s="25">
        <f t="shared" si="55"/>
        <v>141</v>
      </c>
      <c r="K349" s="17">
        <f t="shared" si="56"/>
        <v>0</v>
      </c>
      <c r="L349" s="17">
        <f t="shared" si="57"/>
        <v>4314645.986302088</v>
      </c>
      <c r="M349" s="17">
        <f t="shared" si="58"/>
        <v>-145322707.22053638</v>
      </c>
      <c r="N349" s="17" t="str">
        <f t="shared" si="59"/>
        <v/>
      </c>
      <c r="O349" s="6"/>
    </row>
    <row r="350" spans="1:15" x14ac:dyDescent="0.2">
      <c r="A350" s="5" t="s">
        <v>1243</v>
      </c>
      <c r="B350" s="17">
        <f t="shared" si="60"/>
        <v>0</v>
      </c>
      <c r="C350" s="17">
        <f t="shared" si="61"/>
        <v>0</v>
      </c>
      <c r="D350" s="17">
        <f t="shared" si="51"/>
        <v>0</v>
      </c>
      <c r="E350" s="17">
        <f t="shared" si="52"/>
        <v>0</v>
      </c>
      <c r="F350" s="25">
        <f t="shared" si="53"/>
        <v>64</v>
      </c>
      <c r="G350" s="16">
        <v>154</v>
      </c>
      <c r="H350" s="25">
        <f t="shared" si="50"/>
        <v>10906</v>
      </c>
      <c r="I350" s="25">
        <f t="shared" si="54"/>
        <v>162</v>
      </c>
      <c r="J350" s="25">
        <f t="shared" si="55"/>
        <v>142</v>
      </c>
      <c r="K350" s="17">
        <f t="shared" si="56"/>
        <v>0</v>
      </c>
      <c r="L350" s="17">
        <f t="shared" si="57"/>
        <v>4314645.986302088</v>
      </c>
      <c r="M350" s="17">
        <f t="shared" si="58"/>
        <v>-145322707.22053638</v>
      </c>
      <c r="N350" s="17" t="str">
        <f t="shared" si="59"/>
        <v/>
      </c>
      <c r="O350" s="6"/>
    </row>
    <row r="351" spans="1:15" x14ac:dyDescent="0.2">
      <c r="A351" s="5" t="s">
        <v>1244</v>
      </c>
      <c r="B351" s="17">
        <f t="shared" si="60"/>
        <v>0</v>
      </c>
      <c r="C351" s="17">
        <f t="shared" si="61"/>
        <v>0</v>
      </c>
      <c r="D351" s="17">
        <f t="shared" si="51"/>
        <v>0</v>
      </c>
      <c r="E351" s="17">
        <f t="shared" si="52"/>
        <v>0</v>
      </c>
      <c r="F351" s="25">
        <f t="shared" si="53"/>
        <v>64</v>
      </c>
      <c r="G351" s="16">
        <v>155</v>
      </c>
      <c r="H351" s="25">
        <f t="shared" si="50"/>
        <v>10907</v>
      </c>
      <c r="I351" s="25">
        <f t="shared" si="54"/>
        <v>163</v>
      </c>
      <c r="J351" s="25">
        <f t="shared" si="55"/>
        <v>143</v>
      </c>
      <c r="K351" s="17">
        <f t="shared" si="56"/>
        <v>0</v>
      </c>
      <c r="L351" s="17">
        <f t="shared" si="57"/>
        <v>4314645.986302088</v>
      </c>
      <c r="M351" s="17">
        <f t="shared" si="58"/>
        <v>-145322707.22053638</v>
      </c>
      <c r="N351" s="17" t="str">
        <f t="shared" si="59"/>
        <v/>
      </c>
      <c r="O351" s="6"/>
    </row>
    <row r="352" spans="1:15" x14ac:dyDescent="0.2">
      <c r="A352" s="5" t="s">
        <v>1245</v>
      </c>
      <c r="B352" s="17">
        <f t="shared" si="60"/>
        <v>0</v>
      </c>
      <c r="C352" s="17">
        <f t="shared" si="61"/>
        <v>0</v>
      </c>
      <c r="D352" s="17">
        <f t="shared" si="51"/>
        <v>0</v>
      </c>
      <c r="E352" s="17">
        <f t="shared" si="52"/>
        <v>0</v>
      </c>
      <c r="F352" s="25">
        <f t="shared" si="53"/>
        <v>64</v>
      </c>
      <c r="G352" s="16">
        <v>156</v>
      </c>
      <c r="H352" s="25">
        <f t="shared" si="50"/>
        <v>10908</v>
      </c>
      <c r="I352" s="25">
        <f t="shared" si="54"/>
        <v>164</v>
      </c>
      <c r="J352" s="25">
        <f t="shared" si="55"/>
        <v>144</v>
      </c>
      <c r="K352" s="17">
        <f t="shared" si="56"/>
        <v>0</v>
      </c>
      <c r="L352" s="17">
        <f t="shared" si="57"/>
        <v>4314645.986302088</v>
      </c>
      <c r="M352" s="17">
        <f t="shared" si="58"/>
        <v>-145322707.22053638</v>
      </c>
      <c r="N352" s="17" t="str">
        <f t="shared" si="59"/>
        <v/>
      </c>
      <c r="O352" s="6"/>
    </row>
    <row r="353" spans="1:15" x14ac:dyDescent="0.2">
      <c r="A353" s="5" t="s">
        <v>1246</v>
      </c>
      <c r="B353" s="17">
        <f t="shared" si="60"/>
        <v>0</v>
      </c>
      <c r="C353" s="17">
        <f t="shared" si="61"/>
        <v>0</v>
      </c>
      <c r="D353" s="17">
        <f t="shared" si="51"/>
        <v>0</v>
      </c>
      <c r="E353" s="17">
        <f t="shared" si="52"/>
        <v>0</v>
      </c>
      <c r="F353" s="25">
        <f t="shared" si="53"/>
        <v>64</v>
      </c>
      <c r="G353" s="16">
        <v>157</v>
      </c>
      <c r="H353" s="25">
        <f t="shared" si="50"/>
        <v>10909</v>
      </c>
      <c r="I353" s="25">
        <f t="shared" si="54"/>
        <v>165</v>
      </c>
      <c r="J353" s="25">
        <f t="shared" si="55"/>
        <v>145</v>
      </c>
      <c r="K353" s="17">
        <f t="shared" si="56"/>
        <v>0</v>
      </c>
      <c r="L353" s="17">
        <f t="shared" si="57"/>
        <v>4314645.986302088</v>
      </c>
      <c r="M353" s="17">
        <f t="shared" si="58"/>
        <v>-145322707.22053638</v>
      </c>
      <c r="N353" s="17" t="str">
        <f t="shared" si="59"/>
        <v/>
      </c>
      <c r="O353" s="6"/>
    </row>
    <row r="354" spans="1:15" x14ac:dyDescent="0.2">
      <c r="A354" s="5" t="s">
        <v>1247</v>
      </c>
      <c r="B354" s="17">
        <f t="shared" si="60"/>
        <v>0</v>
      </c>
      <c r="C354" s="17">
        <f t="shared" si="61"/>
        <v>0</v>
      </c>
      <c r="D354" s="17">
        <f t="shared" si="51"/>
        <v>0</v>
      </c>
      <c r="E354" s="17">
        <f t="shared" si="52"/>
        <v>0</v>
      </c>
      <c r="F354" s="25">
        <f t="shared" si="53"/>
        <v>64</v>
      </c>
      <c r="G354" s="16">
        <v>158</v>
      </c>
      <c r="H354" s="25">
        <f t="shared" si="50"/>
        <v>10910</v>
      </c>
      <c r="I354" s="25">
        <f t="shared" si="54"/>
        <v>166</v>
      </c>
      <c r="J354" s="25">
        <f t="shared" si="55"/>
        <v>146</v>
      </c>
      <c r="K354" s="17">
        <f t="shared" si="56"/>
        <v>0</v>
      </c>
      <c r="L354" s="17">
        <f t="shared" si="57"/>
        <v>4314645.986302088</v>
      </c>
      <c r="M354" s="17">
        <f t="shared" si="58"/>
        <v>-145322707.22053638</v>
      </c>
      <c r="N354" s="17" t="str">
        <f t="shared" si="59"/>
        <v/>
      </c>
      <c r="O354" s="6"/>
    </row>
    <row r="355" spans="1:15" x14ac:dyDescent="0.2">
      <c r="A355" s="5" t="s">
        <v>1248</v>
      </c>
      <c r="B355" s="17">
        <f t="shared" si="60"/>
        <v>0</v>
      </c>
      <c r="C355" s="17">
        <f t="shared" si="61"/>
        <v>0</v>
      </c>
      <c r="D355" s="17">
        <f t="shared" si="51"/>
        <v>0</v>
      </c>
      <c r="E355" s="17">
        <f t="shared" si="52"/>
        <v>0</v>
      </c>
      <c r="F355" s="25">
        <f t="shared" si="53"/>
        <v>64</v>
      </c>
      <c r="G355" s="16">
        <v>159</v>
      </c>
      <c r="H355" s="25">
        <f t="shared" si="50"/>
        <v>10911</v>
      </c>
      <c r="I355" s="25">
        <f t="shared" si="54"/>
        <v>167</v>
      </c>
      <c r="J355" s="25">
        <f t="shared" si="55"/>
        <v>147</v>
      </c>
      <c r="K355" s="17">
        <f t="shared" si="56"/>
        <v>0</v>
      </c>
      <c r="L355" s="17">
        <f t="shared" si="57"/>
        <v>4314645.986302088</v>
      </c>
      <c r="M355" s="17">
        <f t="shared" si="58"/>
        <v>-145322707.22053638</v>
      </c>
      <c r="N355" s="17" t="str">
        <f t="shared" si="59"/>
        <v/>
      </c>
      <c r="O355" s="6"/>
    </row>
    <row r="356" spans="1:15" x14ac:dyDescent="0.2">
      <c r="A356" s="5" t="s">
        <v>1249</v>
      </c>
      <c r="B356" s="17">
        <f t="shared" si="60"/>
        <v>0</v>
      </c>
      <c r="C356" s="17">
        <f t="shared" si="61"/>
        <v>0</v>
      </c>
      <c r="D356" s="17">
        <f t="shared" si="51"/>
        <v>0</v>
      </c>
      <c r="E356" s="17">
        <f t="shared" si="52"/>
        <v>0</v>
      </c>
      <c r="F356" s="25">
        <f t="shared" si="53"/>
        <v>64</v>
      </c>
      <c r="G356" s="16">
        <v>160</v>
      </c>
      <c r="H356" s="25">
        <f t="shared" ref="H356:H364" si="62">F356*168+G356</f>
        <v>10912</v>
      </c>
      <c r="I356" s="25">
        <f t="shared" si="54"/>
        <v>168</v>
      </c>
      <c r="J356" s="25">
        <f t="shared" si="55"/>
        <v>148</v>
      </c>
      <c r="K356" s="17">
        <f t="shared" si="56"/>
        <v>0</v>
      </c>
      <c r="L356" s="17">
        <f t="shared" si="57"/>
        <v>4314645.986302088</v>
      </c>
      <c r="M356" s="17">
        <f t="shared" si="58"/>
        <v>-145322707.22053638</v>
      </c>
      <c r="N356" s="17" t="str">
        <f t="shared" si="59"/>
        <v/>
      </c>
      <c r="O356" s="6"/>
    </row>
    <row r="357" spans="1:15" x14ac:dyDescent="0.2">
      <c r="A357" s="5" t="s">
        <v>1250</v>
      </c>
      <c r="B357" s="17">
        <f t="shared" si="60"/>
        <v>-75.950396851896826</v>
      </c>
      <c r="C357" s="17">
        <f t="shared" si="61"/>
        <v>0</v>
      </c>
      <c r="D357" s="17">
        <f t="shared" ref="D357:D364" si="63">IF(ISNUMBER(B357),0,C357)</f>
        <v>0</v>
      </c>
      <c r="E357" s="17">
        <f t="shared" ref="E357:E364" si="64">MAX($B$171,B357)*C357</f>
        <v>0</v>
      </c>
      <c r="F357" s="25">
        <f t="shared" ref="F357:F364" si="65">RANK(B357,B$197:B$364,1)</f>
        <v>16</v>
      </c>
      <c r="G357" s="16">
        <v>161</v>
      </c>
      <c r="H357" s="25">
        <f t="shared" si="62"/>
        <v>2849</v>
      </c>
      <c r="I357" s="25">
        <f t="shared" ref="I357:I364" si="66">RANK(H357,H$197:H$364,1)</f>
        <v>16</v>
      </c>
      <c r="J357" s="25">
        <f t="shared" ref="J357:J364" si="67">MATCH(G357,I$197:I$364,0)</f>
        <v>149</v>
      </c>
      <c r="K357" s="17">
        <f t="shared" ref="K357:K364" si="68">INDEX(B$197:B$364,J357,1)</f>
        <v>0</v>
      </c>
      <c r="L357" s="17">
        <f t="shared" ref="L357:L364" si="69">L356+INDEX(C$197:C$364,J357,1)</f>
        <v>4314645.986302088</v>
      </c>
      <c r="M357" s="17">
        <f t="shared" ref="M357:M364" si="70">M356+(K357-K356)*L356</f>
        <v>-145322707.22053638</v>
      </c>
      <c r="N357" s="17" t="str">
        <f t="shared" ref="N357:N364" si="71">IF((M356&gt;0)=(M357&gt;0),"",K357-M357/L356)</f>
        <v/>
      </c>
      <c r="O357" s="6"/>
    </row>
    <row r="358" spans="1:15" x14ac:dyDescent="0.2">
      <c r="A358" s="5" t="s">
        <v>1251</v>
      </c>
      <c r="B358" s="17">
        <f t="shared" si="60"/>
        <v>-75.950396851896826</v>
      </c>
      <c r="C358" s="17">
        <f t="shared" si="61"/>
        <v>0</v>
      </c>
      <c r="D358" s="17">
        <f t="shared" si="63"/>
        <v>0</v>
      </c>
      <c r="E358" s="17">
        <f t="shared" si="64"/>
        <v>0</v>
      </c>
      <c r="F358" s="25">
        <f t="shared" si="65"/>
        <v>16</v>
      </c>
      <c r="G358" s="16">
        <v>162</v>
      </c>
      <c r="H358" s="25">
        <f t="shared" si="62"/>
        <v>2850</v>
      </c>
      <c r="I358" s="25">
        <f t="shared" si="66"/>
        <v>17</v>
      </c>
      <c r="J358" s="25">
        <f t="shared" si="67"/>
        <v>154</v>
      </c>
      <c r="K358" s="17">
        <f t="shared" si="68"/>
        <v>0</v>
      </c>
      <c r="L358" s="17">
        <f t="shared" si="69"/>
        <v>4314645.986302088</v>
      </c>
      <c r="M358" s="17">
        <f t="shared" si="70"/>
        <v>-145322707.22053638</v>
      </c>
      <c r="N358" s="17" t="str">
        <f t="shared" si="71"/>
        <v/>
      </c>
      <c r="O358" s="6"/>
    </row>
    <row r="359" spans="1:15" x14ac:dyDescent="0.2">
      <c r="A359" s="5" t="s">
        <v>1252</v>
      </c>
      <c r="B359" s="17">
        <f t="shared" si="60"/>
        <v>-64.227922295551281</v>
      </c>
      <c r="C359" s="17">
        <f t="shared" si="61"/>
        <v>0</v>
      </c>
      <c r="D359" s="17">
        <f t="shared" si="63"/>
        <v>0</v>
      </c>
      <c r="E359" s="17">
        <f t="shared" si="64"/>
        <v>0</v>
      </c>
      <c r="F359" s="25">
        <f t="shared" si="65"/>
        <v>30</v>
      </c>
      <c r="G359" s="16">
        <v>163</v>
      </c>
      <c r="H359" s="25">
        <f t="shared" si="62"/>
        <v>5203</v>
      </c>
      <c r="I359" s="25">
        <f t="shared" si="66"/>
        <v>30</v>
      </c>
      <c r="J359" s="25">
        <f t="shared" si="67"/>
        <v>155</v>
      </c>
      <c r="K359" s="17">
        <f t="shared" si="68"/>
        <v>0</v>
      </c>
      <c r="L359" s="17">
        <f t="shared" si="69"/>
        <v>4314645.986302088</v>
      </c>
      <c r="M359" s="17">
        <f t="shared" si="70"/>
        <v>-145322707.22053638</v>
      </c>
      <c r="N359" s="17" t="str">
        <f t="shared" si="71"/>
        <v/>
      </c>
      <c r="O359" s="6"/>
    </row>
    <row r="360" spans="1:15" x14ac:dyDescent="0.2">
      <c r="A360" s="5" t="s">
        <v>1253</v>
      </c>
      <c r="B360" s="17">
        <f t="shared" si="60"/>
        <v>-64.227922295551281</v>
      </c>
      <c r="C360" s="17">
        <f t="shared" si="61"/>
        <v>0</v>
      </c>
      <c r="D360" s="17">
        <f t="shared" si="63"/>
        <v>0</v>
      </c>
      <c r="E360" s="17">
        <f t="shared" si="64"/>
        <v>0</v>
      </c>
      <c r="F360" s="25">
        <f t="shared" si="65"/>
        <v>30</v>
      </c>
      <c r="G360" s="16">
        <v>164</v>
      </c>
      <c r="H360" s="25">
        <f t="shared" si="62"/>
        <v>5204</v>
      </c>
      <c r="I360" s="25">
        <f t="shared" si="66"/>
        <v>31</v>
      </c>
      <c r="J360" s="25">
        <f t="shared" si="67"/>
        <v>156</v>
      </c>
      <c r="K360" s="17">
        <f t="shared" si="68"/>
        <v>0</v>
      </c>
      <c r="L360" s="17">
        <f t="shared" si="69"/>
        <v>4314645.986302088</v>
      </c>
      <c r="M360" s="17">
        <f t="shared" si="70"/>
        <v>-145322707.22053638</v>
      </c>
      <c r="N360" s="17" t="str">
        <f t="shared" si="71"/>
        <v/>
      </c>
      <c r="O360" s="6"/>
    </row>
    <row r="361" spans="1:15" x14ac:dyDescent="0.2">
      <c r="A361" s="5" t="s">
        <v>1254</v>
      </c>
      <c r="B361" s="17">
        <f t="shared" si="60"/>
        <v>-44.077025158486684</v>
      </c>
      <c r="C361" s="17">
        <f t="shared" si="61"/>
        <v>0</v>
      </c>
      <c r="D361" s="17">
        <f t="shared" si="63"/>
        <v>0</v>
      </c>
      <c r="E361" s="17">
        <f t="shared" si="64"/>
        <v>0</v>
      </c>
      <c r="F361" s="25">
        <f t="shared" si="65"/>
        <v>42</v>
      </c>
      <c r="G361" s="16">
        <v>165</v>
      </c>
      <c r="H361" s="25">
        <f t="shared" si="62"/>
        <v>7221</v>
      </c>
      <c r="I361" s="25">
        <f t="shared" si="66"/>
        <v>42</v>
      </c>
      <c r="J361" s="25">
        <f t="shared" si="67"/>
        <v>157</v>
      </c>
      <c r="K361" s="17">
        <f t="shared" si="68"/>
        <v>0</v>
      </c>
      <c r="L361" s="17">
        <f t="shared" si="69"/>
        <v>4314645.986302088</v>
      </c>
      <c r="M361" s="17">
        <f t="shared" si="70"/>
        <v>-145322707.22053638</v>
      </c>
      <c r="N361" s="17" t="str">
        <f t="shared" si="71"/>
        <v/>
      </c>
      <c r="O361" s="6"/>
    </row>
    <row r="362" spans="1:15" x14ac:dyDescent="0.2">
      <c r="A362" s="5" t="s">
        <v>1255</v>
      </c>
      <c r="B362" s="17">
        <f t="shared" si="60"/>
        <v>-44.077025158486684</v>
      </c>
      <c r="C362" s="17">
        <f t="shared" si="61"/>
        <v>0</v>
      </c>
      <c r="D362" s="17">
        <f t="shared" si="63"/>
        <v>0</v>
      </c>
      <c r="E362" s="17">
        <f t="shared" si="64"/>
        <v>0</v>
      </c>
      <c r="F362" s="25">
        <f t="shared" si="65"/>
        <v>42</v>
      </c>
      <c r="G362" s="16">
        <v>166</v>
      </c>
      <c r="H362" s="25">
        <f t="shared" si="62"/>
        <v>7222</v>
      </c>
      <c r="I362" s="25">
        <f t="shared" si="66"/>
        <v>43</v>
      </c>
      <c r="J362" s="25">
        <f t="shared" si="67"/>
        <v>158</v>
      </c>
      <c r="K362" s="17">
        <f t="shared" si="68"/>
        <v>0</v>
      </c>
      <c r="L362" s="17">
        <f t="shared" si="69"/>
        <v>4314645.986302088</v>
      </c>
      <c r="M362" s="17">
        <f t="shared" si="70"/>
        <v>-145322707.22053638</v>
      </c>
      <c r="N362" s="17" t="str">
        <f t="shared" si="71"/>
        <v/>
      </c>
      <c r="O362" s="6"/>
    </row>
    <row r="363" spans="1:15" x14ac:dyDescent="0.2">
      <c r="A363" s="5" t="s">
        <v>1256</v>
      </c>
      <c r="B363" s="17">
        <f t="shared" si="60"/>
        <v>-24.981263111334542</v>
      </c>
      <c r="C363" s="17">
        <f t="shared" si="61"/>
        <v>0</v>
      </c>
      <c r="D363" s="17">
        <f t="shared" si="63"/>
        <v>0</v>
      </c>
      <c r="E363" s="17">
        <f t="shared" si="64"/>
        <v>0</v>
      </c>
      <c r="F363" s="25">
        <f t="shared" si="65"/>
        <v>56</v>
      </c>
      <c r="G363" s="16">
        <v>167</v>
      </c>
      <c r="H363" s="25">
        <f t="shared" si="62"/>
        <v>9575</v>
      </c>
      <c r="I363" s="25">
        <f t="shared" si="66"/>
        <v>56</v>
      </c>
      <c r="J363" s="25">
        <f t="shared" si="67"/>
        <v>159</v>
      </c>
      <c r="K363" s="17">
        <f t="shared" si="68"/>
        <v>0</v>
      </c>
      <c r="L363" s="17">
        <f t="shared" si="69"/>
        <v>4314645.986302088</v>
      </c>
      <c r="M363" s="17">
        <f t="shared" si="70"/>
        <v>-145322707.22053638</v>
      </c>
      <c r="N363" s="17" t="str">
        <f t="shared" si="71"/>
        <v/>
      </c>
      <c r="O363" s="6"/>
    </row>
    <row r="364" spans="1:15" x14ac:dyDescent="0.2">
      <c r="A364" s="5" t="s">
        <v>1257</v>
      </c>
      <c r="B364" s="17">
        <f t="shared" si="60"/>
        <v>-24.981263111334542</v>
      </c>
      <c r="C364" s="17">
        <f t="shared" si="61"/>
        <v>0</v>
      </c>
      <c r="D364" s="17">
        <f t="shared" si="63"/>
        <v>0</v>
      </c>
      <c r="E364" s="17">
        <f t="shared" si="64"/>
        <v>0</v>
      </c>
      <c r="F364" s="25">
        <f t="shared" si="65"/>
        <v>56</v>
      </c>
      <c r="G364" s="16">
        <v>168</v>
      </c>
      <c r="H364" s="25">
        <f t="shared" si="62"/>
        <v>9576</v>
      </c>
      <c r="I364" s="25">
        <f t="shared" si="66"/>
        <v>57</v>
      </c>
      <c r="J364" s="25">
        <f t="shared" si="67"/>
        <v>160</v>
      </c>
      <c r="K364" s="17">
        <f t="shared" si="68"/>
        <v>0</v>
      </c>
      <c r="L364" s="17">
        <f t="shared" si="69"/>
        <v>4314645.986302088</v>
      </c>
      <c r="M364" s="17">
        <f t="shared" si="70"/>
        <v>-145322707.22053638</v>
      </c>
      <c r="N364" s="17" t="str">
        <f t="shared" si="71"/>
        <v/>
      </c>
      <c r="O364" s="6"/>
    </row>
    <row r="366" spans="1:15" ht="16.5" x14ac:dyDescent="0.25">
      <c r="A366" s="3" t="s">
        <v>1258</v>
      </c>
    </row>
    <row r="367" spans="1:15" x14ac:dyDescent="0.2">
      <c r="A367" s="10" t="s">
        <v>238</v>
      </c>
    </row>
    <row r="368" spans="1:15" x14ac:dyDescent="0.2">
      <c r="A368" s="11" t="s">
        <v>1259</v>
      </c>
    </row>
    <row r="369" spans="1:3" x14ac:dyDescent="0.2">
      <c r="A369" s="10" t="s">
        <v>1260</v>
      </c>
    </row>
    <row r="371" spans="1:3" x14ac:dyDescent="0.2">
      <c r="B371" s="4" t="s">
        <v>1261</v>
      </c>
    </row>
    <row r="372" spans="1:3" x14ac:dyDescent="0.2">
      <c r="A372" s="5" t="s">
        <v>1261</v>
      </c>
      <c r="B372" s="17">
        <f>MIN(N196:N364)</f>
        <v>33.681258597321609</v>
      </c>
      <c r="C372" s="6"/>
    </row>
    <row r="374" spans="1:3" ht="16.5" x14ac:dyDescent="0.25">
      <c r="A374" s="3" t="s">
        <v>1262</v>
      </c>
    </row>
    <row r="375" spans="1:3" x14ac:dyDescent="0.2">
      <c r="A375" s="10" t="s">
        <v>238</v>
      </c>
    </row>
    <row r="376" spans="1:3" x14ac:dyDescent="0.2">
      <c r="A376" s="11" t="s">
        <v>901</v>
      </c>
    </row>
    <row r="377" spans="1:3" x14ac:dyDescent="0.2">
      <c r="A377" s="11" t="s">
        <v>1004</v>
      </c>
    </row>
    <row r="378" spans="1:3" x14ac:dyDescent="0.2">
      <c r="A378" s="11" t="s">
        <v>1263</v>
      </c>
    </row>
    <row r="379" spans="1:3" x14ac:dyDescent="0.2">
      <c r="A379" s="11" t="s">
        <v>1264</v>
      </c>
    </row>
    <row r="380" spans="1:3" x14ac:dyDescent="0.2">
      <c r="A380" s="11" t="s">
        <v>1265</v>
      </c>
    </row>
    <row r="381" spans="1:3" x14ac:dyDescent="0.2">
      <c r="A381" s="11" t="s">
        <v>1266</v>
      </c>
    </row>
    <row r="382" spans="1:3" x14ac:dyDescent="0.2">
      <c r="A382" s="11" t="s">
        <v>1267</v>
      </c>
    </row>
    <row r="383" spans="1:3" x14ac:dyDescent="0.2">
      <c r="A383" s="11" t="s">
        <v>1268</v>
      </c>
    </row>
    <row r="384" spans="1:3" x14ac:dyDescent="0.2">
      <c r="A384" s="11" t="s">
        <v>1269</v>
      </c>
    </row>
    <row r="385" spans="1:1" x14ac:dyDescent="0.2">
      <c r="A385" s="11" t="s">
        <v>1270</v>
      </c>
    </row>
    <row r="386" spans="1:1" x14ac:dyDescent="0.2">
      <c r="A386" s="11" t="s">
        <v>1013</v>
      </c>
    </row>
    <row r="387" spans="1:1" x14ac:dyDescent="0.2">
      <c r="A387" s="11" t="s">
        <v>1271</v>
      </c>
    </row>
    <row r="388" spans="1:1" x14ac:dyDescent="0.2">
      <c r="A388" s="11" t="s">
        <v>1015</v>
      </c>
    </row>
    <row r="389" spans="1:1" x14ac:dyDescent="0.2">
      <c r="A389" s="11" t="s">
        <v>1272</v>
      </c>
    </row>
    <row r="390" spans="1:1" x14ac:dyDescent="0.2">
      <c r="A390" s="11" t="s">
        <v>1273</v>
      </c>
    </row>
    <row r="391" spans="1:1" x14ac:dyDescent="0.2">
      <c r="A391" s="11" t="s">
        <v>1274</v>
      </c>
    </row>
    <row r="392" spans="1:1" x14ac:dyDescent="0.2">
      <c r="A392" s="11" t="s">
        <v>1275</v>
      </c>
    </row>
    <row r="393" spans="1:1" x14ac:dyDescent="0.2">
      <c r="A393" s="11" t="s">
        <v>1276</v>
      </c>
    </row>
    <row r="394" spans="1:1" x14ac:dyDescent="0.2">
      <c r="A394" s="11" t="s">
        <v>1277</v>
      </c>
    </row>
    <row r="395" spans="1:1" x14ac:dyDescent="0.2">
      <c r="A395" s="11" t="s">
        <v>1278</v>
      </c>
    </row>
    <row r="396" spans="1:1" x14ac:dyDescent="0.2">
      <c r="A396" s="11" t="s">
        <v>1279</v>
      </c>
    </row>
    <row r="397" spans="1:1" x14ac:dyDescent="0.2">
      <c r="A397" s="11" t="s">
        <v>1280</v>
      </c>
    </row>
    <row r="398" spans="1:1" x14ac:dyDescent="0.2">
      <c r="A398" s="11" t="s">
        <v>1281</v>
      </c>
    </row>
    <row r="399" spans="1:1" x14ac:dyDescent="0.2">
      <c r="A399" s="11" t="s">
        <v>1282</v>
      </c>
    </row>
    <row r="400" spans="1:1" x14ac:dyDescent="0.2">
      <c r="A400" s="11" t="s">
        <v>1283</v>
      </c>
    </row>
    <row r="401" spans="1:9" x14ac:dyDescent="0.2">
      <c r="A401" s="11" t="s">
        <v>1284</v>
      </c>
    </row>
    <row r="402" spans="1:9" x14ac:dyDescent="0.2">
      <c r="A402" s="11" t="s">
        <v>1285</v>
      </c>
    </row>
    <row r="403" spans="1:9" x14ac:dyDescent="0.2">
      <c r="A403" s="18" t="s">
        <v>241</v>
      </c>
      <c r="B403" s="18" t="s">
        <v>371</v>
      </c>
      <c r="C403" s="18" t="s">
        <v>371</v>
      </c>
      <c r="D403" s="18" t="s">
        <v>371</v>
      </c>
      <c r="E403" s="18" t="s">
        <v>371</v>
      </c>
      <c r="F403" s="18" t="s">
        <v>371</v>
      </c>
      <c r="G403" s="18" t="s">
        <v>371</v>
      </c>
      <c r="H403" s="18" t="s">
        <v>371</v>
      </c>
    </row>
    <row r="404" spans="1:9" ht="51" x14ac:dyDescent="0.2">
      <c r="A404" s="18" t="s">
        <v>244</v>
      </c>
      <c r="B404" s="18" t="s">
        <v>1286</v>
      </c>
      <c r="C404" s="18" t="s">
        <v>1287</v>
      </c>
      <c r="D404" s="18" t="s">
        <v>1288</v>
      </c>
      <c r="E404" s="18" t="s">
        <v>1289</v>
      </c>
      <c r="F404" s="18" t="s">
        <v>1290</v>
      </c>
      <c r="G404" s="18" t="s">
        <v>1291</v>
      </c>
      <c r="H404" s="18" t="s">
        <v>1292</v>
      </c>
    </row>
    <row r="406" spans="1:9" ht="25.5" x14ac:dyDescent="0.2">
      <c r="B406" s="4" t="s">
        <v>1293</v>
      </c>
      <c r="C406" s="4" t="s">
        <v>1294</v>
      </c>
      <c r="D406" s="4" t="s">
        <v>1295</v>
      </c>
      <c r="E406" s="4" t="s">
        <v>1296</v>
      </c>
      <c r="F406" s="4" t="s">
        <v>1297</v>
      </c>
      <c r="G406" s="4" t="s">
        <v>1298</v>
      </c>
      <c r="H406" s="4" t="s">
        <v>1299</v>
      </c>
    </row>
    <row r="407" spans="1:9" x14ac:dyDescent="0.2">
      <c r="A407" s="5" t="s">
        <v>53</v>
      </c>
      <c r="B407" s="17">
        <f>IF(Loads!$B45&lt;0,0,IF($B34*$B$372+Aggreg!$B245&gt;0,$B34*$B$372,0-Aggreg!$B245))</f>
        <v>0.92556771068101151</v>
      </c>
      <c r="C407" s="17">
        <f>IF(Loads!$B45&lt;0,0,IF($C34*$B$372+Aggreg!$C245&gt;0,$C34*$B$372,0-Aggreg!$C245))</f>
        <v>0</v>
      </c>
      <c r="D407" s="17">
        <f>IF(Loads!$B45&lt;0,0,IF($D34*$B$372+Aggreg!$D245&gt;0,$D34*$B$372,0-Aggreg!$D245))</f>
        <v>0</v>
      </c>
      <c r="E407" s="17">
        <f>IF(Loads!$B45&lt;0,0,IF($E34*$B$372+Aggreg!$E245&gt;0,$E34*$B$372,0-Aggreg!$E245))</f>
        <v>0</v>
      </c>
      <c r="F407" s="17">
        <f>IF(Loads!$B45&lt;0,0,IF($F34*$B$372+Aggreg!$F245&gt;0,$F34*$B$372,0-Aggreg!$F245))</f>
        <v>0</v>
      </c>
      <c r="G407" s="17">
        <f>IF(Loads!$B45&lt;0,0,IF($G34*$B$372+Aggreg!$G245&gt;0,$G34*$B$372,0-Aggreg!$G245))</f>
        <v>0</v>
      </c>
      <c r="H407" s="25">
        <f>0.01*Input!$F$14*(E407*Loads!$E298+F407*Loads!$F298)+10*(B407*Loads!$B298+C407*Loads!$C298+D407*Loads!$D298+G407*Loads!$G298)</f>
        <v>68720089.986402005</v>
      </c>
      <c r="I407" s="6"/>
    </row>
    <row r="408" spans="1:9" x14ac:dyDescent="0.2">
      <c r="A408" s="5" t="s">
        <v>54</v>
      </c>
      <c r="B408" s="17">
        <f>IF(Loads!$B46&lt;0,0,IF($B35*$B$372+Aggreg!$B246&gt;0,$B35*$B$372,0-Aggreg!$B246))</f>
        <v>0.98480850377762574</v>
      </c>
      <c r="C408" s="17">
        <f>IF(Loads!$B46&lt;0,0,IF($C35*$B$372+Aggreg!$C246&gt;0,$C35*$B$372,0-Aggreg!$C246))</f>
        <v>8.0687039684948267E-2</v>
      </c>
      <c r="D408" s="17">
        <f>IF(Loads!$B46&lt;0,0,IF($D35*$B$372+Aggreg!$D246&gt;0,$D35*$B$372,0-Aggreg!$D246))</f>
        <v>0</v>
      </c>
      <c r="E408" s="17">
        <f>IF(Loads!$B46&lt;0,0,IF($E35*$B$372+Aggreg!$E246&gt;0,$E35*$B$372,0-Aggreg!$E246))</f>
        <v>0</v>
      </c>
      <c r="F408" s="17">
        <f>IF(Loads!$B46&lt;0,0,IF($F35*$B$372+Aggreg!$F246&gt;0,$F35*$B$372,0-Aggreg!$F246))</f>
        <v>0</v>
      </c>
      <c r="G408" s="17">
        <f>IF(Loads!$B46&lt;0,0,IF($G35*$B$372+Aggreg!$G246&gt;0,$G35*$B$372,0-Aggreg!$G246))</f>
        <v>0</v>
      </c>
      <c r="H408" s="25">
        <f>0.01*Input!$F$14*(E408*Loads!$E299+F408*Loads!$F299)+10*(B408*Loads!$B299+C408*Loads!$C299+D408*Loads!$D299+G408*Loads!$G299)</f>
        <v>7075848.2889644764</v>
      </c>
      <c r="I408" s="6"/>
    </row>
    <row r="409" spans="1:9" x14ac:dyDescent="0.2">
      <c r="A409" s="5" t="s">
        <v>94</v>
      </c>
      <c r="B409" s="17">
        <f>IF(Loads!$B47&lt;0,0,IF($B36*$B$372+Aggreg!$B247&gt;0,$B36*$B$372,0-Aggreg!$B247))</f>
        <v>8.2332986096285699E-2</v>
      </c>
      <c r="C409" s="17">
        <f>IF(Loads!$B47&lt;0,0,IF($C36*$B$372+Aggreg!$C247&gt;0,$C36*$B$372,0-Aggreg!$C247))</f>
        <v>0</v>
      </c>
      <c r="D409" s="17">
        <f>IF(Loads!$B47&lt;0,0,IF($D36*$B$372+Aggreg!$D247&gt;0,$D36*$B$372,0-Aggreg!$D247))</f>
        <v>0</v>
      </c>
      <c r="E409" s="17">
        <f>IF(Loads!$B47&lt;0,0,IF($E36*$B$372+Aggreg!$E247&gt;0,$E36*$B$372,0-Aggreg!$E247))</f>
        <v>0</v>
      </c>
      <c r="F409" s="17">
        <f>IF(Loads!$B47&lt;0,0,IF($F36*$B$372+Aggreg!$F247&gt;0,$F36*$B$372,0-Aggreg!$F247))</f>
        <v>0</v>
      </c>
      <c r="G409" s="17">
        <f>IF(Loads!$B47&lt;0,0,IF($G36*$B$372+Aggreg!$G247&gt;0,$G36*$B$372,0-Aggreg!$G247))</f>
        <v>0</v>
      </c>
      <c r="H409" s="25">
        <f>0.01*Input!$F$14*(E409*Loads!$E300+F409*Loads!$F300)+10*(B409*Loads!$B300+C409*Loads!$C300+D409*Loads!$D300+G409*Loads!$G300)</f>
        <v>23950.450122338705</v>
      </c>
      <c r="I409" s="6"/>
    </row>
    <row r="410" spans="1:9" x14ac:dyDescent="0.2">
      <c r="A410" s="5" t="s">
        <v>55</v>
      </c>
      <c r="B410" s="17">
        <f>IF(Loads!$B48&lt;0,0,IF($B37*$B$372+Aggreg!$B248&gt;0,$B37*$B$372,0-Aggreg!$B248))</f>
        <v>0.77322652672285119</v>
      </c>
      <c r="C410" s="17">
        <f>IF(Loads!$B48&lt;0,0,IF($C37*$B$372+Aggreg!$C248&gt;0,$C37*$B$372,0-Aggreg!$C248))</f>
        <v>0</v>
      </c>
      <c r="D410" s="17">
        <f>IF(Loads!$B48&lt;0,0,IF($D37*$B$372+Aggreg!$D248&gt;0,$D37*$B$372,0-Aggreg!$D248))</f>
        <v>0</v>
      </c>
      <c r="E410" s="17">
        <f>IF(Loads!$B48&lt;0,0,IF($E37*$B$372+Aggreg!$E248&gt;0,$E37*$B$372,0-Aggreg!$E248))</f>
        <v>0</v>
      </c>
      <c r="F410" s="17">
        <f>IF(Loads!$B48&lt;0,0,IF($F37*$B$372+Aggreg!$F248&gt;0,$F37*$B$372,0-Aggreg!$F248))</f>
        <v>0</v>
      </c>
      <c r="G410" s="17">
        <f>IF(Loads!$B48&lt;0,0,IF($G37*$B$372+Aggreg!$G248&gt;0,$G37*$B$372,0-Aggreg!$G248))</f>
        <v>0</v>
      </c>
      <c r="H410" s="25">
        <f>0.01*Input!$F$14*(E410*Loads!$E301+F410*Loads!$F301)+10*(B410*Loads!$B301+C410*Loads!$C301+D410*Loads!$D301+G410*Loads!$G301)</f>
        <v>13730409.526753547</v>
      </c>
      <c r="I410" s="6"/>
    </row>
    <row r="411" spans="1:9" x14ac:dyDescent="0.2">
      <c r="A411" s="5" t="s">
        <v>56</v>
      </c>
      <c r="B411" s="17">
        <f>IF(Loads!$B49&lt;0,0,IF($B38*$B$372+Aggreg!$B249&gt;0,$B38*$B$372,0-Aggreg!$B249))</f>
        <v>0.81384038160527195</v>
      </c>
      <c r="C411" s="17">
        <f>IF(Loads!$B49&lt;0,0,IF($C38*$B$372+Aggreg!$C249&gt;0,$C38*$B$372,0-Aggreg!$C249))</f>
        <v>6.9597903145102682E-2</v>
      </c>
      <c r="D411" s="17">
        <f>IF(Loads!$B49&lt;0,0,IF($D38*$B$372+Aggreg!$D249&gt;0,$D38*$B$372,0-Aggreg!$D249))</f>
        <v>0</v>
      </c>
      <c r="E411" s="17">
        <f>IF(Loads!$B49&lt;0,0,IF($E38*$B$372+Aggreg!$E249&gt;0,$E38*$B$372,0-Aggreg!$E249))</f>
        <v>0</v>
      </c>
      <c r="F411" s="17">
        <f>IF(Loads!$B49&lt;0,0,IF($F38*$B$372+Aggreg!$F249&gt;0,$F38*$B$372,0-Aggreg!$F249))</f>
        <v>0</v>
      </c>
      <c r="G411" s="17">
        <f>IF(Loads!$B49&lt;0,0,IF($G38*$B$372+Aggreg!$G249&gt;0,$G38*$B$372,0-Aggreg!$G249))</f>
        <v>0</v>
      </c>
      <c r="H411" s="25">
        <f>0.01*Input!$F$14*(E411*Loads!$E302+F411*Loads!$F302)+10*(B411*Loads!$B302+C411*Loads!$C302+D411*Loads!$D302+G411*Loads!$G302)</f>
        <v>4880772.0546170762</v>
      </c>
      <c r="I411" s="6"/>
    </row>
    <row r="412" spans="1:9" x14ac:dyDescent="0.2">
      <c r="A412" s="5" t="s">
        <v>95</v>
      </c>
      <c r="B412" s="17">
        <f>IF(Loads!$B50&lt;0,0,IF($B39*$B$372+Aggreg!$B250&gt;0,$B39*$B$372,0-Aggreg!$B250))</f>
        <v>6.7909376358091855E-2</v>
      </c>
      <c r="C412" s="17">
        <f>IF(Loads!$B50&lt;0,0,IF($C39*$B$372+Aggreg!$C250&gt;0,$C39*$B$372,0-Aggreg!$C250))</f>
        <v>0</v>
      </c>
      <c r="D412" s="17">
        <f>IF(Loads!$B50&lt;0,0,IF($D39*$B$372+Aggreg!$D250&gt;0,$D39*$B$372,0-Aggreg!$D250))</f>
        <v>0</v>
      </c>
      <c r="E412" s="17">
        <f>IF(Loads!$B50&lt;0,0,IF($E39*$B$372+Aggreg!$E250&gt;0,$E39*$B$372,0-Aggreg!$E250))</f>
        <v>0</v>
      </c>
      <c r="F412" s="17">
        <f>IF(Loads!$B50&lt;0,0,IF($F39*$B$372+Aggreg!$F250&gt;0,$F39*$B$372,0-Aggreg!$F250))</f>
        <v>0</v>
      </c>
      <c r="G412" s="17">
        <f>IF(Loads!$B50&lt;0,0,IF($G39*$B$372+Aggreg!$G250&gt;0,$G39*$B$372,0-Aggreg!$G250))</f>
        <v>0</v>
      </c>
      <c r="H412" s="25">
        <f>0.01*Input!$F$14*(E412*Loads!$E303+F412*Loads!$F303)+10*(B412*Loads!$B303+C412*Loads!$C303+D412*Loads!$D303+G412*Loads!$G303)</f>
        <v>20211.297876546374</v>
      </c>
      <c r="I412" s="6"/>
    </row>
    <row r="413" spans="1:9" x14ac:dyDescent="0.2">
      <c r="A413" s="5" t="s">
        <v>57</v>
      </c>
      <c r="B413" s="17">
        <f>IF(Loads!$B51&lt;0,0,IF($B40*$B$372+Aggreg!$B251&gt;0,$B40*$B$372,0-Aggreg!$B251))</f>
        <v>0.78305469317686638</v>
      </c>
      <c r="C413" s="17">
        <f>IF(Loads!$B51&lt;0,0,IF($C40*$B$372+Aggreg!$C251&gt;0,$C40*$B$372,0-Aggreg!$C251))</f>
        <v>6.2420075082939189E-2</v>
      </c>
      <c r="D413" s="17">
        <f>IF(Loads!$B51&lt;0,0,IF($D40*$B$372+Aggreg!$D251&gt;0,$D40*$B$372,0-Aggreg!$D251))</f>
        <v>0</v>
      </c>
      <c r="E413" s="17">
        <f>IF(Loads!$B51&lt;0,0,IF($E40*$B$372+Aggreg!$E251&gt;0,$E40*$B$372,0-Aggreg!$E251))</f>
        <v>0</v>
      </c>
      <c r="F413" s="17">
        <f>IF(Loads!$B51&lt;0,0,IF($F40*$B$372+Aggreg!$F251&gt;0,$F40*$B$372,0-Aggreg!$F251))</f>
        <v>0</v>
      </c>
      <c r="G413" s="17">
        <f>IF(Loads!$B51&lt;0,0,IF($G40*$B$372+Aggreg!$G251&gt;0,$G40*$B$372,0-Aggreg!$G251))</f>
        <v>0</v>
      </c>
      <c r="H413" s="25">
        <f>0.01*Input!$F$14*(E413*Loads!$E304+F413*Loads!$F304)+10*(B413*Loads!$B304+C413*Loads!$C304+D413*Loads!$D304+G413*Loads!$G304)</f>
        <v>8219629.6945363898</v>
      </c>
      <c r="I413" s="6"/>
    </row>
    <row r="414" spans="1:9" x14ac:dyDescent="0.2">
      <c r="A414" s="5" t="s">
        <v>58</v>
      </c>
      <c r="B414" s="17">
        <f>IF(Loads!$B52&lt;0,0,IF($B41*$B$372+Aggreg!$B252&gt;0,$B41*$B$372,0-Aggreg!$B252))</f>
        <v>0.7556836206254588</v>
      </c>
      <c r="C414" s="17">
        <f>IF(Loads!$B52&lt;0,0,IF($C41*$B$372+Aggreg!$C252&gt;0,$C41*$B$372,0-Aggreg!$C252))</f>
        <v>5.970771323449077E-2</v>
      </c>
      <c r="D414" s="17">
        <f>IF(Loads!$B52&lt;0,0,IF($D41*$B$372+Aggreg!$D252&gt;0,$D41*$B$372,0-Aggreg!$D252))</f>
        <v>0</v>
      </c>
      <c r="E414" s="17">
        <f>IF(Loads!$B52&lt;0,0,IF($E41*$B$372+Aggreg!$E252&gt;0,$E41*$B$372,0-Aggreg!$E252))</f>
        <v>0</v>
      </c>
      <c r="F414" s="17">
        <f>IF(Loads!$B52&lt;0,0,IF($F41*$B$372+Aggreg!$F252&gt;0,$F41*$B$372,0-Aggreg!$F252))</f>
        <v>0</v>
      </c>
      <c r="G414" s="17">
        <f>IF(Loads!$B52&lt;0,0,IF($G41*$B$372+Aggreg!$G252&gt;0,$G41*$B$372,0-Aggreg!$G252))</f>
        <v>0</v>
      </c>
      <c r="H414" s="25">
        <f>0.01*Input!$F$14*(E414*Loads!$E305+F414*Loads!$F305)+10*(B414*Loads!$B305+C414*Loads!$C305+D414*Loads!$D305+G414*Loads!$G305)</f>
        <v>266221.51051026216</v>
      </c>
      <c r="I414" s="6"/>
    </row>
    <row r="415" spans="1:9" x14ac:dyDescent="0.2">
      <c r="A415" s="5" t="s">
        <v>72</v>
      </c>
      <c r="B415" s="17">
        <f>IF(Loads!$B53&lt;0,0,IF($B42*$B$372+Aggreg!$B253&gt;0,$B42*$B$372,0-Aggreg!$B253))</f>
        <v>0.7899229771888483</v>
      </c>
      <c r="C415" s="17">
        <f>IF(Loads!$B53&lt;0,0,IF($C42*$B$372+Aggreg!$C253&gt;0,$C42*$B$372,0-Aggreg!$C253))</f>
        <v>6.2908129774192356E-2</v>
      </c>
      <c r="D415" s="17">
        <f>IF(Loads!$B53&lt;0,0,IF($D42*$B$372+Aggreg!$D253&gt;0,$D42*$B$372,0-Aggreg!$D253))</f>
        <v>0</v>
      </c>
      <c r="E415" s="17">
        <f>IF(Loads!$B53&lt;0,0,IF($E42*$B$372+Aggreg!$E253&gt;0,$E42*$B$372,0-Aggreg!$E253))</f>
        <v>0</v>
      </c>
      <c r="F415" s="17">
        <f>IF(Loads!$B53&lt;0,0,IF($F42*$B$372+Aggreg!$F253&gt;0,$F42*$B$372,0-Aggreg!$F253))</f>
        <v>0</v>
      </c>
      <c r="G415" s="17">
        <f>IF(Loads!$B53&lt;0,0,IF($G42*$B$372+Aggreg!$G253&gt;0,$G42*$B$372,0-Aggreg!$G253))</f>
        <v>0</v>
      </c>
      <c r="H415" s="25">
        <f>0.01*Input!$F$14*(E415*Loads!$E306+F415*Loads!$F306)+10*(B415*Loads!$B306+C415*Loads!$C306+D415*Loads!$D306+G415*Loads!$G306)</f>
        <v>69878.285975832667</v>
      </c>
      <c r="I415" s="6"/>
    </row>
    <row r="416" spans="1:9" x14ac:dyDescent="0.2">
      <c r="A416" s="5" t="s">
        <v>59</v>
      </c>
      <c r="B416" s="17">
        <f>IF(Loads!$B54&lt;0,0,IF($B43*$B$372+Aggreg!$B254&gt;0,$B43*$B$372,0-Aggreg!$B254))</f>
        <v>4.8971636852276736</v>
      </c>
      <c r="C416" s="17">
        <f>IF(Loads!$B54&lt;0,0,IF($C43*$B$372+Aggreg!$C254&gt;0,$C43*$B$372,0-Aggreg!$C254))</f>
        <v>0.26698304858144439</v>
      </c>
      <c r="D416" s="17">
        <f>IF(Loads!$B54&lt;0,0,IF($D43*$B$372+Aggreg!$D254&gt;0,$D43*$B$372,0-Aggreg!$D254))</f>
        <v>4.7185334017630504E-2</v>
      </c>
      <c r="E416" s="17">
        <f>IF(Loads!$B54&lt;0,0,IF($E43*$B$372+Aggreg!$E254&gt;0,$E43*$B$372,0-Aggreg!$E254))</f>
        <v>0</v>
      </c>
      <c r="F416" s="17">
        <f>IF(Loads!$B54&lt;0,0,IF($F43*$B$372+Aggreg!$F254&gt;0,$F43*$B$372,0-Aggreg!$F254))</f>
        <v>0</v>
      </c>
      <c r="G416" s="17">
        <f>IF(Loads!$B54&lt;0,0,IF($G43*$B$372+Aggreg!$G254&gt;0,$G43*$B$372,0-Aggreg!$G254))</f>
        <v>0.11831239703659262</v>
      </c>
      <c r="H416" s="25">
        <f>0.01*Input!$F$14*(E416*Loads!$E307+F416*Loads!$F307)+10*(B416*Loads!$B307+C416*Loads!$C307+D416*Loads!$D307+G416*Loads!$G307)</f>
        <v>7950256.4571685167</v>
      </c>
      <c r="I416" s="6"/>
    </row>
    <row r="417" spans="1:9" x14ac:dyDescent="0.2">
      <c r="A417" s="5" t="s">
        <v>60</v>
      </c>
      <c r="B417" s="17">
        <f>IF(Loads!$B55&lt;0,0,IF($B44*$B$372+Aggreg!$B255&gt;0,$B44*$B$372,0-Aggreg!$B255))</f>
        <v>5.5706744610157521</v>
      </c>
      <c r="C417" s="17">
        <f>IF(Loads!$B55&lt;0,0,IF($C44*$B$372+Aggreg!$C255&gt;0,$C44*$B$372,0-Aggreg!$C255))</f>
        <v>0.30370143737346522</v>
      </c>
      <c r="D417" s="17">
        <f>IF(Loads!$B55&lt;0,0,IF($D44*$B$372+Aggreg!$D255&gt;0,$D44*$B$372,0-Aggreg!$D255))</f>
        <v>5.3674770140808882E-2</v>
      </c>
      <c r="E417" s="17">
        <f>IF(Loads!$B55&lt;0,0,IF($E44*$B$372+Aggreg!$E255&gt;0,$E44*$B$372,0-Aggreg!$E255))</f>
        <v>0</v>
      </c>
      <c r="F417" s="17">
        <f>IF(Loads!$B55&lt;0,0,IF($F44*$B$372+Aggreg!$F255&gt;0,$F44*$B$372,0-Aggreg!$F255))</f>
        <v>0</v>
      </c>
      <c r="G417" s="17">
        <f>IF(Loads!$B55&lt;0,0,IF($G44*$B$372+Aggreg!$G255&gt;0,$G44*$B$372,0-Aggreg!$G255))</f>
        <v>0.12927852548497643</v>
      </c>
      <c r="H417" s="25">
        <f>0.01*Input!$F$14*(E417*Loads!$E308+F417*Loads!$F308)+10*(B417*Loads!$B308+C417*Loads!$C308+D417*Loads!$D308+G417*Loads!$G308)</f>
        <v>7345292.1499596182</v>
      </c>
      <c r="I417" s="6"/>
    </row>
    <row r="418" spans="1:9" x14ac:dyDescent="0.2">
      <c r="A418" s="5" t="s">
        <v>73</v>
      </c>
      <c r="B418" s="17">
        <f>IF(Loads!$B56&lt;0,0,IF($B45*$B$372+Aggreg!$B256&gt;0,$B45*$B$372,0-Aggreg!$B256))</f>
        <v>5.1671176741758984</v>
      </c>
      <c r="C418" s="17">
        <f>IF(Loads!$B56&lt;0,0,IF($C45*$B$372+Aggreg!$C256&gt;0,$C45*$B$372,0-Aggreg!$C256))</f>
        <v>0.28170037141946347</v>
      </c>
      <c r="D418" s="17">
        <f>IF(Loads!$B56&lt;0,0,IF($D45*$B$372+Aggreg!$D256&gt;0,$D45*$B$372,0-Aggreg!$D256))</f>
        <v>4.978640475094856E-2</v>
      </c>
      <c r="E418" s="17">
        <f>IF(Loads!$B56&lt;0,0,IF($E45*$B$372+Aggreg!$E256&gt;0,$E45*$B$372,0-Aggreg!$E256))</f>
        <v>0</v>
      </c>
      <c r="F418" s="17">
        <f>IF(Loads!$B56&lt;0,0,IF($F45*$B$372+Aggreg!$F256&gt;0,$F45*$B$372,0-Aggreg!$F256))</f>
        <v>0</v>
      </c>
      <c r="G418" s="17">
        <f>IF(Loads!$B56&lt;0,0,IF($G45*$B$372+Aggreg!$G256&gt;0,$G45*$B$372,0-Aggreg!$G256))</f>
        <v>0.11361276054371015</v>
      </c>
      <c r="H418" s="25">
        <f>0.01*Input!$F$14*(E418*Loads!$E309+F418*Loads!$F309)+10*(B418*Loads!$B309+C418*Loads!$C309+D418*Loads!$D309+G418*Loads!$G309)</f>
        <v>25205790.369876683</v>
      </c>
      <c r="I418" s="6"/>
    </row>
    <row r="419" spans="1:9" x14ac:dyDescent="0.2">
      <c r="A419" s="5" t="s">
        <v>74</v>
      </c>
      <c r="B419" s="17">
        <f>IF(Loads!$B57&lt;0,0,IF($B46*$B$372+Aggreg!$B257&gt;0,$B46*$B$372,0-Aggreg!$B257))</f>
        <v>4.7909675354537224</v>
      </c>
      <c r="C419" s="17">
        <f>IF(Loads!$B57&lt;0,0,IF($C46*$B$372+Aggreg!$C257&gt;0,$C46*$B$372,0-Aggreg!$C257))</f>
        <v>0.26119345819062556</v>
      </c>
      <c r="D419" s="17">
        <f>IF(Loads!$B57&lt;0,0,IF($D46*$B$372+Aggreg!$D257&gt;0,$D46*$B$372,0-Aggreg!$D257))</f>
        <v>4.6162108918256006E-2</v>
      </c>
      <c r="E419" s="17">
        <f>IF(Loads!$B57&lt;0,0,IF($E46*$B$372+Aggreg!$E257&gt;0,$E46*$B$372,0-Aggreg!$E257))</f>
        <v>0</v>
      </c>
      <c r="F419" s="17">
        <f>IF(Loads!$B57&lt;0,0,IF($F46*$B$372+Aggreg!$F257&gt;0,$F46*$B$372,0-Aggreg!$F257))</f>
        <v>0</v>
      </c>
      <c r="G419" s="17">
        <f>IF(Loads!$B57&lt;0,0,IF($G46*$B$372+Aggreg!$G257&gt;0,$G46*$B$372,0-Aggreg!$G257))</f>
        <v>0.11230058236611197</v>
      </c>
      <c r="H419" s="25">
        <f>0.01*Input!$F$14*(E419*Loads!$E310+F419*Loads!$F310)+10*(B419*Loads!$B310+C419*Loads!$C310+D419*Loads!$D310+G419*Loads!$G310)</f>
        <v>0</v>
      </c>
      <c r="I419" s="6"/>
    </row>
    <row r="420" spans="1:9" x14ac:dyDescent="0.2">
      <c r="A420" s="5" t="s">
        <v>96</v>
      </c>
      <c r="B420" s="17">
        <f>IF(Loads!$B58&lt;0,0,IF($B47*$B$372+Aggreg!$B258&gt;0,$B47*$B$372,0-Aggreg!$B258))</f>
        <v>0.39657063373524054</v>
      </c>
      <c r="C420" s="17">
        <f>IF(Loads!$B58&lt;0,0,IF($C47*$B$372+Aggreg!$C258&gt;0,$C47*$B$372,0-Aggreg!$C258))</f>
        <v>0</v>
      </c>
      <c r="D420" s="17">
        <f>IF(Loads!$B58&lt;0,0,IF($D47*$B$372+Aggreg!$D258&gt;0,$D47*$B$372,0-Aggreg!$D258))</f>
        <v>0</v>
      </c>
      <c r="E420" s="17">
        <f>IF(Loads!$B58&lt;0,0,IF($E47*$B$372+Aggreg!$E258&gt;0,$E47*$B$372,0-Aggreg!$E258))</f>
        <v>0</v>
      </c>
      <c r="F420" s="17">
        <f>IF(Loads!$B58&lt;0,0,IF($F47*$B$372+Aggreg!$F258&gt;0,$F47*$B$372,0-Aggreg!$F258))</f>
        <v>0</v>
      </c>
      <c r="G420" s="17">
        <f>IF(Loads!$B58&lt;0,0,IF($G47*$B$372+Aggreg!$G258&gt;0,$G47*$B$372,0-Aggreg!$G258))</f>
        <v>0</v>
      </c>
      <c r="H420" s="25">
        <f>0.01*Input!$F$14*(E420*Loads!$E311+F420*Loads!$F311)+10*(B420*Loads!$B311+C420*Loads!$C311+D420*Loads!$D311+G420*Loads!$G311)</f>
        <v>171109.44782317601</v>
      </c>
      <c r="I420" s="6"/>
    </row>
    <row r="421" spans="1:9" x14ac:dyDescent="0.2">
      <c r="A421" s="5" t="s">
        <v>97</v>
      </c>
      <c r="B421" s="17">
        <f>IF(Loads!$B59&lt;0,0,IF($B48*$B$372+Aggreg!$B259&gt;0,$B48*$B$372,0-Aggreg!$B259))</f>
        <v>0.59161113260609954</v>
      </c>
      <c r="C421" s="17">
        <f>IF(Loads!$B59&lt;0,0,IF($C48*$B$372+Aggreg!$C259&gt;0,$C48*$B$372,0-Aggreg!$C259))</f>
        <v>0</v>
      </c>
      <c r="D421" s="17">
        <f>IF(Loads!$B59&lt;0,0,IF($D48*$B$372+Aggreg!$D259&gt;0,$D48*$B$372,0-Aggreg!$D259))</f>
        <v>0</v>
      </c>
      <c r="E421" s="17">
        <f>IF(Loads!$B59&lt;0,0,IF($E48*$B$372+Aggreg!$E259&gt;0,$E48*$B$372,0-Aggreg!$E259))</f>
        <v>0</v>
      </c>
      <c r="F421" s="17">
        <f>IF(Loads!$B59&lt;0,0,IF($F48*$B$372+Aggreg!$F259&gt;0,$F48*$B$372,0-Aggreg!$F259))</f>
        <v>0</v>
      </c>
      <c r="G421" s="17">
        <f>IF(Loads!$B59&lt;0,0,IF($G48*$B$372+Aggreg!$G259&gt;0,$G48*$B$372,0-Aggreg!$G259))</f>
        <v>0</v>
      </c>
      <c r="H421" s="25">
        <f>0.01*Input!$F$14*(E421*Loads!$E312+F421*Loads!$F312)+10*(B421*Loads!$B312+C421*Loads!$C312+D421*Loads!$D312+G421*Loads!$G312)</f>
        <v>79749.224574917011</v>
      </c>
      <c r="I421" s="6"/>
    </row>
    <row r="422" spans="1:9" x14ac:dyDescent="0.2">
      <c r="A422" s="5" t="s">
        <v>98</v>
      </c>
      <c r="B422" s="17">
        <f>IF(Loads!$B60&lt;0,0,IF($B49*$B$372+Aggreg!$B260&gt;0,$B49*$B$372,0-Aggreg!$B260))</f>
        <v>1.0813495486584173</v>
      </c>
      <c r="C422" s="17">
        <f>IF(Loads!$B60&lt;0,0,IF($C49*$B$372+Aggreg!$C260&gt;0,$C49*$B$372,0-Aggreg!$C260))</f>
        <v>0</v>
      </c>
      <c r="D422" s="17">
        <f>IF(Loads!$B60&lt;0,0,IF($D49*$B$372+Aggreg!$D260&gt;0,$D49*$B$372,0-Aggreg!$D260))</f>
        <v>0</v>
      </c>
      <c r="E422" s="17">
        <f>IF(Loads!$B60&lt;0,0,IF($E49*$B$372+Aggreg!$E260&gt;0,$E49*$B$372,0-Aggreg!$E260))</f>
        <v>0</v>
      </c>
      <c r="F422" s="17">
        <f>IF(Loads!$B60&lt;0,0,IF($F49*$B$372+Aggreg!$F260&gt;0,$F49*$B$372,0-Aggreg!$F260))</f>
        <v>0</v>
      </c>
      <c r="G422" s="17">
        <f>IF(Loads!$B60&lt;0,0,IF($G49*$B$372+Aggreg!$G260&gt;0,$G49*$B$372,0-Aggreg!$G260))</f>
        <v>0</v>
      </c>
      <c r="H422" s="25">
        <f>0.01*Input!$F$14*(E422*Loads!$E313+F422*Loads!$F313)+10*(B422*Loads!$B313+C422*Loads!$C313+D422*Loads!$D313+G422*Loads!$G313)</f>
        <v>15.081616582915302</v>
      </c>
      <c r="I422" s="6"/>
    </row>
    <row r="423" spans="1:9" x14ac:dyDescent="0.2">
      <c r="A423" s="5" t="s">
        <v>99</v>
      </c>
      <c r="B423" s="17">
        <f>IF(Loads!$B61&lt;0,0,IF($B50*$B$372+Aggreg!$B261&gt;0,$B50*$B$372,0-Aggreg!$B261))</f>
        <v>0.27228382050131844</v>
      </c>
      <c r="C423" s="17">
        <f>IF(Loads!$B61&lt;0,0,IF($C50*$B$372+Aggreg!$C261&gt;0,$C50*$B$372,0-Aggreg!$C261))</f>
        <v>0</v>
      </c>
      <c r="D423" s="17">
        <f>IF(Loads!$B61&lt;0,0,IF($D50*$B$372+Aggreg!$D261&gt;0,$D50*$B$372,0-Aggreg!$D261))</f>
        <v>0</v>
      </c>
      <c r="E423" s="17">
        <f>IF(Loads!$B61&lt;0,0,IF($E50*$B$372+Aggreg!$E261&gt;0,$E50*$B$372,0-Aggreg!$E261))</f>
        <v>0</v>
      </c>
      <c r="F423" s="17">
        <f>IF(Loads!$B61&lt;0,0,IF($F50*$B$372+Aggreg!$F261&gt;0,$F50*$B$372,0-Aggreg!$F261))</f>
        <v>0</v>
      </c>
      <c r="G423" s="17">
        <f>IF(Loads!$B61&lt;0,0,IF($G50*$B$372+Aggreg!$G261&gt;0,$G50*$B$372,0-Aggreg!$G261))</f>
        <v>0</v>
      </c>
      <c r="H423" s="25">
        <f>0.01*Input!$F$14*(E423*Loads!$E314+F423*Loads!$F314)+10*(B423*Loads!$B314+C423*Loads!$C314+D423*Loads!$D314+G423*Loads!$G314)</f>
        <v>0</v>
      </c>
      <c r="I423" s="6"/>
    </row>
    <row r="424" spans="1:9" x14ac:dyDescent="0.2">
      <c r="A424" s="5" t="s">
        <v>100</v>
      </c>
      <c r="B424" s="17">
        <f>IF(Loads!$B62&lt;0,0,IF($B51*$B$372+Aggreg!$B262&gt;0,$B51*$B$372,0-Aggreg!$B262))</f>
        <v>14.601398721507978</v>
      </c>
      <c r="C424" s="17">
        <f>IF(Loads!$B62&lt;0,0,IF($C51*$B$372+Aggreg!$C262&gt;0,$C51*$B$372,0-Aggreg!$C262))</f>
        <v>0.23216203539484645</v>
      </c>
      <c r="D424" s="17">
        <f>IF(Loads!$B62&lt;0,0,IF($D51*$B$372+Aggreg!$D262&gt;0,$D51*$B$372,0-Aggreg!$D262))</f>
        <v>4.6360866392125409E-2</v>
      </c>
      <c r="E424" s="17">
        <f>IF(Loads!$B62&lt;0,0,IF($E51*$B$372+Aggreg!$E262&gt;0,$E51*$B$372,0-Aggreg!$E262))</f>
        <v>0</v>
      </c>
      <c r="F424" s="17">
        <f>IF(Loads!$B62&lt;0,0,IF($F51*$B$372+Aggreg!$F262&gt;0,$F51*$B$372,0-Aggreg!$F262))</f>
        <v>0</v>
      </c>
      <c r="G424" s="17">
        <f>IF(Loads!$B62&lt;0,0,IF($G51*$B$372+Aggreg!$G262&gt;0,$G51*$B$372,0-Aggreg!$G262))</f>
        <v>0</v>
      </c>
      <c r="H424" s="25">
        <f>0.01*Input!$F$14*(E424*Loads!$E315+F424*Loads!$F315)+10*(B424*Loads!$B315+C424*Loads!$C315+D424*Loads!$D315+G424*Loads!$G315)</f>
        <v>1563483.3937583994</v>
      </c>
      <c r="I424" s="6"/>
    </row>
    <row r="425" spans="1:9" x14ac:dyDescent="0.2">
      <c r="A425" s="5" t="s">
        <v>61</v>
      </c>
      <c r="B425" s="17">
        <f>IF(Loads!$B63&lt;0,0,IF($B52*$B$372+Aggreg!$B263&gt;0,$B52*$B$372,0-Aggreg!$B263))</f>
        <v>0</v>
      </c>
      <c r="C425" s="17">
        <f>IF(Loads!$B63&lt;0,0,IF($C52*$B$372+Aggreg!$C263&gt;0,$C52*$B$372,0-Aggreg!$C263))</f>
        <v>0</v>
      </c>
      <c r="D425" s="17">
        <f>IF(Loads!$B63&lt;0,0,IF($D52*$B$372+Aggreg!$D263&gt;0,$D52*$B$372,0-Aggreg!$D263))</f>
        <v>0</v>
      </c>
      <c r="E425" s="17">
        <f>IF(Loads!$B63&lt;0,0,IF($E52*$B$372+Aggreg!$E263&gt;0,$E52*$B$372,0-Aggreg!$E263))</f>
        <v>0</v>
      </c>
      <c r="F425" s="17">
        <f>IF(Loads!$B63&lt;0,0,IF($F52*$B$372+Aggreg!$F263&gt;0,$F52*$B$372,0-Aggreg!$F263))</f>
        <v>0</v>
      </c>
      <c r="G425" s="17">
        <f>IF(Loads!$B63&lt;0,0,IF($G52*$B$372+Aggreg!$G263&gt;0,$G52*$B$372,0-Aggreg!$G263))</f>
        <v>0</v>
      </c>
      <c r="H425" s="25">
        <f>0.01*Input!$F$14*(E425*Loads!$E316+F425*Loads!$F316)+10*(B425*Loads!$B316+C425*Loads!$C316+D425*Loads!$D316+G425*Loads!$G316)</f>
        <v>0</v>
      </c>
      <c r="I425" s="6"/>
    </row>
    <row r="426" spans="1:9" x14ac:dyDescent="0.2">
      <c r="A426" s="5" t="s">
        <v>62</v>
      </c>
      <c r="B426" s="17">
        <f>IF(Loads!$B64&lt;0,0,IF($B53*$B$372+Aggreg!$B264&gt;0,$B53*$B$372,0-Aggreg!$B264))</f>
        <v>0</v>
      </c>
      <c r="C426" s="17">
        <f>IF(Loads!$B64&lt;0,0,IF($C53*$B$372+Aggreg!$C264&gt;0,$C53*$B$372,0-Aggreg!$C264))</f>
        <v>0</v>
      </c>
      <c r="D426" s="17">
        <f>IF(Loads!$B64&lt;0,0,IF($D53*$B$372+Aggreg!$D264&gt;0,$D53*$B$372,0-Aggreg!$D264))</f>
        <v>0</v>
      </c>
      <c r="E426" s="17">
        <f>IF(Loads!$B64&lt;0,0,IF($E53*$B$372+Aggreg!$E264&gt;0,$E53*$B$372,0-Aggreg!$E264))</f>
        <v>0</v>
      </c>
      <c r="F426" s="17">
        <f>IF(Loads!$B64&lt;0,0,IF($F53*$B$372+Aggreg!$F264&gt;0,$F53*$B$372,0-Aggreg!$F264))</f>
        <v>0</v>
      </c>
      <c r="G426" s="17">
        <f>IF(Loads!$B64&lt;0,0,IF($G53*$B$372+Aggreg!$G264&gt;0,$G53*$B$372,0-Aggreg!$G264))</f>
        <v>0</v>
      </c>
      <c r="H426" s="25">
        <f>0.01*Input!$F$14*(E426*Loads!$E317+F426*Loads!$F317)+10*(B426*Loads!$B317+C426*Loads!$C317+D426*Loads!$D317+G426*Loads!$G317)</f>
        <v>0</v>
      </c>
      <c r="I426" s="6"/>
    </row>
    <row r="427" spans="1:9" x14ac:dyDescent="0.2">
      <c r="A427" s="5" t="s">
        <v>63</v>
      </c>
      <c r="B427" s="17">
        <f>IF(Loads!$B65&lt;0,0,IF($B54*$B$372+Aggreg!$B265&gt;0,$B54*$B$372,0-Aggreg!$B265))</f>
        <v>0</v>
      </c>
      <c r="C427" s="17">
        <f>IF(Loads!$B65&lt;0,0,IF($C54*$B$372+Aggreg!$C265&gt;0,$C54*$B$372,0-Aggreg!$C265))</f>
        <v>0</v>
      </c>
      <c r="D427" s="17">
        <f>IF(Loads!$B65&lt;0,0,IF($D54*$B$372+Aggreg!$D265&gt;0,$D54*$B$372,0-Aggreg!$D265))</f>
        <v>0</v>
      </c>
      <c r="E427" s="17">
        <f>IF(Loads!$B65&lt;0,0,IF($E54*$B$372+Aggreg!$E265&gt;0,$E54*$B$372,0-Aggreg!$E265))</f>
        <v>0</v>
      </c>
      <c r="F427" s="17">
        <f>IF(Loads!$B65&lt;0,0,IF($F54*$B$372+Aggreg!$F265&gt;0,$F54*$B$372,0-Aggreg!$F265))</f>
        <v>0</v>
      </c>
      <c r="G427" s="17">
        <f>IF(Loads!$B65&lt;0,0,IF($G54*$B$372+Aggreg!$G265&gt;0,$G54*$B$372,0-Aggreg!$G265))</f>
        <v>0</v>
      </c>
      <c r="H427" s="25">
        <f>0.01*Input!$F$14*(E427*Loads!$E318+F427*Loads!$F318)+10*(B427*Loads!$B318+C427*Loads!$C318+D427*Loads!$D318+G427*Loads!$G318)</f>
        <v>0</v>
      </c>
      <c r="I427" s="6"/>
    </row>
    <row r="428" spans="1:9" x14ac:dyDescent="0.2">
      <c r="A428" s="5" t="s">
        <v>64</v>
      </c>
      <c r="B428" s="17">
        <f>IF(Loads!$B66&lt;0,0,IF($B55*$B$372+Aggreg!$B266&gt;0,$B55*$B$372,0-Aggreg!$B266))</f>
        <v>0</v>
      </c>
      <c r="C428" s="17">
        <f>IF(Loads!$B66&lt;0,0,IF($C55*$B$372+Aggreg!$C266&gt;0,$C55*$B$372,0-Aggreg!$C266))</f>
        <v>0</v>
      </c>
      <c r="D428" s="17">
        <f>IF(Loads!$B66&lt;0,0,IF($D55*$B$372+Aggreg!$D266&gt;0,$D55*$B$372,0-Aggreg!$D266))</f>
        <v>0</v>
      </c>
      <c r="E428" s="17">
        <f>IF(Loads!$B66&lt;0,0,IF($E55*$B$372+Aggreg!$E266&gt;0,$E55*$B$372,0-Aggreg!$E266))</f>
        <v>0</v>
      </c>
      <c r="F428" s="17">
        <f>IF(Loads!$B66&lt;0,0,IF($F55*$B$372+Aggreg!$F266&gt;0,$F55*$B$372,0-Aggreg!$F266))</f>
        <v>0</v>
      </c>
      <c r="G428" s="17">
        <f>IF(Loads!$B66&lt;0,0,IF($G55*$B$372+Aggreg!$G266&gt;0,$G55*$B$372,0-Aggreg!$G266))</f>
        <v>0</v>
      </c>
      <c r="H428" s="25">
        <f>0.01*Input!$F$14*(E428*Loads!$E319+F428*Loads!$F319)+10*(B428*Loads!$B319+C428*Loads!$C319+D428*Loads!$D319+G428*Loads!$G319)</f>
        <v>0</v>
      </c>
      <c r="I428" s="6"/>
    </row>
    <row r="429" spans="1:9" x14ac:dyDescent="0.2">
      <c r="A429" s="5" t="s">
        <v>65</v>
      </c>
      <c r="B429" s="17">
        <f>IF(Loads!$B67&lt;0,0,IF($B56*$B$372+Aggreg!$B267&gt;0,$B56*$B$372,0-Aggreg!$B267))</f>
        <v>0</v>
      </c>
      <c r="C429" s="17">
        <f>IF(Loads!$B67&lt;0,0,IF($C56*$B$372+Aggreg!$C267&gt;0,$C56*$B$372,0-Aggreg!$C267))</f>
        <v>0</v>
      </c>
      <c r="D429" s="17">
        <f>IF(Loads!$B67&lt;0,0,IF($D56*$B$372+Aggreg!$D267&gt;0,$D56*$B$372,0-Aggreg!$D267))</f>
        <v>0</v>
      </c>
      <c r="E429" s="17">
        <f>IF(Loads!$B67&lt;0,0,IF($E56*$B$372+Aggreg!$E267&gt;0,$E56*$B$372,0-Aggreg!$E267))</f>
        <v>0</v>
      </c>
      <c r="F429" s="17">
        <f>IF(Loads!$B67&lt;0,0,IF($F56*$B$372+Aggreg!$F267&gt;0,$F56*$B$372,0-Aggreg!$F267))</f>
        <v>0</v>
      </c>
      <c r="G429" s="17">
        <f>IF(Loads!$B67&lt;0,0,IF($G56*$B$372+Aggreg!$G267&gt;0,$G56*$B$372,0-Aggreg!$G267))</f>
        <v>0</v>
      </c>
      <c r="H429" s="25">
        <f>0.01*Input!$F$14*(E429*Loads!$E320+F429*Loads!$F320)+10*(B429*Loads!$B320+C429*Loads!$C320+D429*Loads!$D320+G429*Loads!$G320)</f>
        <v>0</v>
      </c>
      <c r="I429" s="6"/>
    </row>
    <row r="430" spans="1:9" x14ac:dyDescent="0.2">
      <c r="A430" s="5" t="s">
        <v>66</v>
      </c>
      <c r="B430" s="17">
        <f>IF(Loads!$B68&lt;0,0,IF($B57*$B$372+Aggreg!$B268&gt;0,$B57*$B$372,0-Aggreg!$B268))</f>
        <v>0</v>
      </c>
      <c r="C430" s="17">
        <f>IF(Loads!$B68&lt;0,0,IF($C57*$B$372+Aggreg!$C268&gt;0,$C57*$B$372,0-Aggreg!$C268))</f>
        <v>0</v>
      </c>
      <c r="D430" s="17">
        <f>IF(Loads!$B68&lt;0,0,IF($D57*$B$372+Aggreg!$D268&gt;0,$D57*$B$372,0-Aggreg!$D268))</f>
        <v>0</v>
      </c>
      <c r="E430" s="17">
        <f>IF(Loads!$B68&lt;0,0,IF($E57*$B$372+Aggreg!$E268&gt;0,$E57*$B$372,0-Aggreg!$E268))</f>
        <v>0</v>
      </c>
      <c r="F430" s="17">
        <f>IF(Loads!$B68&lt;0,0,IF($F57*$B$372+Aggreg!$F268&gt;0,$F57*$B$372,0-Aggreg!$F268))</f>
        <v>0</v>
      </c>
      <c r="G430" s="17">
        <f>IF(Loads!$B68&lt;0,0,IF($G57*$B$372+Aggreg!$G268&gt;0,$G57*$B$372,0-Aggreg!$G268))</f>
        <v>0</v>
      </c>
      <c r="H430" s="25">
        <f>0.01*Input!$F$14*(E430*Loads!$E321+F430*Loads!$F321)+10*(B430*Loads!$B321+C430*Loads!$C321+D430*Loads!$D321+G430*Loads!$G321)</f>
        <v>0</v>
      </c>
      <c r="I430" s="6"/>
    </row>
    <row r="431" spans="1:9" x14ac:dyDescent="0.2">
      <c r="A431" s="5" t="s">
        <v>75</v>
      </c>
      <c r="B431" s="17">
        <f>IF(Loads!$B69&lt;0,0,IF($B58*$B$372+Aggreg!$B269&gt;0,$B58*$B$372,0-Aggreg!$B269))</f>
        <v>0</v>
      </c>
      <c r="C431" s="17">
        <f>IF(Loads!$B69&lt;0,0,IF($C58*$B$372+Aggreg!$C269&gt;0,$C58*$B$372,0-Aggreg!$C269))</f>
        <v>0</v>
      </c>
      <c r="D431" s="17">
        <f>IF(Loads!$B69&lt;0,0,IF($D58*$B$372+Aggreg!$D269&gt;0,$D58*$B$372,0-Aggreg!$D269))</f>
        <v>0</v>
      </c>
      <c r="E431" s="17">
        <f>IF(Loads!$B69&lt;0,0,IF($E58*$B$372+Aggreg!$E269&gt;0,$E58*$B$372,0-Aggreg!$E269))</f>
        <v>0</v>
      </c>
      <c r="F431" s="17">
        <f>IF(Loads!$B69&lt;0,0,IF($F58*$B$372+Aggreg!$F269&gt;0,$F58*$B$372,0-Aggreg!$F269))</f>
        <v>0</v>
      </c>
      <c r="G431" s="17">
        <f>IF(Loads!$B69&lt;0,0,IF($G58*$B$372+Aggreg!$G269&gt;0,$G58*$B$372,0-Aggreg!$G269))</f>
        <v>0</v>
      </c>
      <c r="H431" s="25">
        <f>0.01*Input!$F$14*(E431*Loads!$E322+F431*Loads!$F322)+10*(B431*Loads!$B322+C431*Loads!$C322+D431*Loads!$D322+G431*Loads!$G322)</f>
        <v>0</v>
      </c>
      <c r="I431" s="6"/>
    </row>
    <row r="432" spans="1:9" x14ac:dyDescent="0.2">
      <c r="A432" s="5" t="s">
        <v>76</v>
      </c>
      <c r="B432" s="17">
        <f>IF(Loads!$B70&lt;0,0,IF($B59*$B$372+Aggreg!$B270&gt;0,$B59*$B$372,0-Aggreg!$B270))</f>
        <v>0</v>
      </c>
      <c r="C432" s="17">
        <f>IF(Loads!$B70&lt;0,0,IF($C59*$B$372+Aggreg!$C270&gt;0,$C59*$B$372,0-Aggreg!$C270))</f>
        <v>0</v>
      </c>
      <c r="D432" s="17">
        <f>IF(Loads!$B70&lt;0,0,IF($D59*$B$372+Aggreg!$D270&gt;0,$D59*$B$372,0-Aggreg!$D270))</f>
        <v>0</v>
      </c>
      <c r="E432" s="17">
        <f>IF(Loads!$B70&lt;0,0,IF($E59*$B$372+Aggreg!$E270&gt;0,$E59*$B$372,0-Aggreg!$E270))</f>
        <v>0</v>
      </c>
      <c r="F432" s="17">
        <f>IF(Loads!$B70&lt;0,0,IF($F59*$B$372+Aggreg!$F270&gt;0,$F59*$B$372,0-Aggreg!$F270))</f>
        <v>0</v>
      </c>
      <c r="G432" s="17">
        <f>IF(Loads!$B70&lt;0,0,IF($G59*$B$372+Aggreg!$G270&gt;0,$G59*$B$372,0-Aggreg!$G270))</f>
        <v>0</v>
      </c>
      <c r="H432" s="25">
        <f>0.01*Input!$F$14*(E432*Loads!$E323+F432*Loads!$F323)+10*(B432*Loads!$B323+C432*Loads!$C323+D432*Loads!$D323+G432*Loads!$G323)</f>
        <v>0</v>
      </c>
      <c r="I432" s="6"/>
    </row>
    <row r="433" spans="1:9" x14ac:dyDescent="0.2">
      <c r="A433" s="5" t="s">
        <v>77</v>
      </c>
      <c r="B433" s="17">
        <f>IF(Loads!$B71&lt;0,0,IF($B60*$B$372+Aggreg!$B271&gt;0,$B60*$B$372,0-Aggreg!$B271))</f>
        <v>0</v>
      </c>
      <c r="C433" s="17">
        <f>IF(Loads!$B71&lt;0,0,IF($C60*$B$372+Aggreg!$C271&gt;0,$C60*$B$372,0-Aggreg!$C271))</f>
        <v>0</v>
      </c>
      <c r="D433" s="17">
        <f>IF(Loads!$B71&lt;0,0,IF($D60*$B$372+Aggreg!$D271&gt;0,$D60*$B$372,0-Aggreg!$D271))</f>
        <v>0</v>
      </c>
      <c r="E433" s="17">
        <f>IF(Loads!$B71&lt;0,0,IF($E60*$B$372+Aggreg!$E271&gt;0,$E60*$B$372,0-Aggreg!$E271))</f>
        <v>0</v>
      </c>
      <c r="F433" s="17">
        <f>IF(Loads!$B71&lt;0,0,IF($F60*$B$372+Aggreg!$F271&gt;0,$F60*$B$372,0-Aggreg!$F271))</f>
        <v>0</v>
      </c>
      <c r="G433" s="17">
        <f>IF(Loads!$B71&lt;0,0,IF($G60*$B$372+Aggreg!$G271&gt;0,$G60*$B$372,0-Aggreg!$G271))</f>
        <v>0</v>
      </c>
      <c r="H433" s="25">
        <f>0.01*Input!$F$14*(E433*Loads!$E324+F433*Loads!$F324)+10*(B433*Loads!$B324+C433*Loads!$C324+D433*Loads!$D324+G433*Loads!$G324)</f>
        <v>0</v>
      </c>
      <c r="I433" s="6"/>
    </row>
    <row r="434" spans="1:9" x14ac:dyDescent="0.2">
      <c r="A434" s="5" t="s">
        <v>78</v>
      </c>
      <c r="B434" s="17">
        <f>IF(Loads!$B72&lt;0,0,IF($B61*$B$372+Aggreg!$B272&gt;0,$B61*$B$372,0-Aggreg!$B272))</f>
        <v>0</v>
      </c>
      <c r="C434" s="17">
        <f>IF(Loads!$B72&lt;0,0,IF($C61*$B$372+Aggreg!$C272&gt;0,$C61*$B$372,0-Aggreg!$C272))</f>
        <v>0</v>
      </c>
      <c r="D434" s="17">
        <f>IF(Loads!$B72&lt;0,0,IF($D61*$B$372+Aggreg!$D272&gt;0,$D61*$B$372,0-Aggreg!$D272))</f>
        <v>0</v>
      </c>
      <c r="E434" s="17">
        <f>IF(Loads!$B72&lt;0,0,IF($E61*$B$372+Aggreg!$E272&gt;0,$E61*$B$372,0-Aggreg!$E272))</f>
        <v>0</v>
      </c>
      <c r="F434" s="17">
        <f>IF(Loads!$B72&lt;0,0,IF($F61*$B$372+Aggreg!$F272&gt;0,$F61*$B$372,0-Aggreg!$F272))</f>
        <v>0</v>
      </c>
      <c r="G434" s="17">
        <f>IF(Loads!$B72&lt;0,0,IF($G61*$B$372+Aggreg!$G272&gt;0,$G61*$B$372,0-Aggreg!$G272))</f>
        <v>0</v>
      </c>
      <c r="H434" s="25">
        <f>0.01*Input!$F$14*(E434*Loads!$E325+F434*Loads!$F325)+10*(B434*Loads!$B325+C434*Loads!$C325+D434*Loads!$D325+G434*Loads!$G325)</f>
        <v>0</v>
      </c>
      <c r="I434" s="6"/>
    </row>
  </sheetData>
  <sheetProtection sheet="1" objects="1"/>
  <hyperlinks>
    <hyperlink ref="A6" location="'Yard'!B11" display="'Yard'!B11"/>
    <hyperlink ref="A14" location="'Scaler'!B10" display="'Scaler'!B10"/>
    <hyperlink ref="A23" location="'Aggreg'!B16" display="'Aggreg'!B16"/>
    <hyperlink ref="A24" location="'Scaler'!B19" display="'Scaler'!B19"/>
    <hyperlink ref="A25" location="'Aggreg'!B55" display="'Aggreg'!B55"/>
    <hyperlink ref="A26" location="'Aggreg'!B94" display="'Aggreg'!B94"/>
    <hyperlink ref="A27" location="'Aggreg'!B133" display="'Aggreg'!B133"/>
    <hyperlink ref="A28" location="'Aggreg'!B168" display="'Aggreg'!B168"/>
    <hyperlink ref="A29" location="'Aggreg'!B204" display="'Aggreg'!B204"/>
    <hyperlink ref="A65" location="'Loads'!B45" display="'Loads'!B45"/>
    <hyperlink ref="A66" location="'Scaler'!B34" display="'Scaler'!B34"/>
    <hyperlink ref="A67" location="'Loads'!B298" display="'Loads'!B298"/>
    <hyperlink ref="A68" location="'Scaler'!C34" display="'Scaler'!C34"/>
    <hyperlink ref="A69" location="'Loads'!C298" display="'Loads'!C298"/>
    <hyperlink ref="A70" location="'Scaler'!D34" display="'Scaler'!D34"/>
    <hyperlink ref="A71" location="'Loads'!D298" display="'Loads'!D298"/>
    <hyperlink ref="A72" location="'Scaler'!E34" display="'Scaler'!E34"/>
    <hyperlink ref="A73" location="'Input'!F14" display="'Input'!F14"/>
    <hyperlink ref="A74" location="'Loads'!E298" display="'Loads'!E298"/>
    <hyperlink ref="A75" location="'Scaler'!F34" display="'Scaler'!F34"/>
    <hyperlink ref="A76" location="'Loads'!F298" display="'Loads'!F298"/>
    <hyperlink ref="A77" location="'Scaler'!G34" display="'Scaler'!G34"/>
    <hyperlink ref="A78" location="'Loads'!G298" display="'Loads'!G298"/>
    <hyperlink ref="A114" location="'Scaler'!B34" display="'Scaler'!B34"/>
    <hyperlink ref="A115" location="'Aggreg'!B245" display="'Aggreg'!B245"/>
    <hyperlink ref="A116" location="'Scaler'!C34" display="'Scaler'!C34"/>
    <hyperlink ref="A117" location="'Aggreg'!C245" display="'Aggreg'!C245"/>
    <hyperlink ref="A118" location="'Scaler'!D34" display="'Scaler'!D34"/>
    <hyperlink ref="A119" location="'Aggreg'!D245" display="'Aggreg'!D245"/>
    <hyperlink ref="A120" location="'Scaler'!E34" display="'Scaler'!E34"/>
    <hyperlink ref="A121" location="'Aggreg'!E245" display="'Aggreg'!E245"/>
    <hyperlink ref="A122" location="'Scaler'!F34" display="'Scaler'!F34"/>
    <hyperlink ref="A123" location="'Aggreg'!F245" display="'Aggreg'!F245"/>
    <hyperlink ref="A124" location="'Scaler'!G34" display="'Scaler'!G34"/>
    <hyperlink ref="A125" location="'Aggreg'!G245" display="'Aggreg'!G245"/>
    <hyperlink ref="A175" location="'Scaler'!B171" display="'Scaler'!B171"/>
    <hyperlink ref="A176" location="'Scaler'!B130" display="'Scaler'!B130"/>
    <hyperlink ref="A177" location="'Scaler'!B83" display="'Scaler'!B83"/>
    <hyperlink ref="A178" location="'Scaler'!B196" display="'Scaler'!B196"/>
    <hyperlink ref="A179" location="'Scaler'!C196" display="'Scaler'!C196"/>
    <hyperlink ref="A180" location="'Scaler'!F196" display="'Scaler'!F196"/>
    <hyperlink ref="A181" location="'Scaler'!G196" display="'Scaler'!G196"/>
    <hyperlink ref="A182" location="'Scaler'!H196" display="'Scaler'!H196"/>
    <hyperlink ref="A183" location="'Scaler'!I196" display="'Scaler'!I196"/>
    <hyperlink ref="A184" location="'Scaler'!J196" display="'Scaler'!J196"/>
    <hyperlink ref="A185" location="'Scaler'!D196" display="'Scaler'!D196"/>
    <hyperlink ref="A186" location="'Scaler'!L196" display="'Scaler'!L196"/>
    <hyperlink ref="A187" location="'Scaler'!K196" display="'Scaler'!K196"/>
    <hyperlink ref="A188" location="'Scaler'!E196" display="'Scaler'!E196"/>
    <hyperlink ref="A189" location="'Revenue'!C70" display="'Revenue'!C70"/>
    <hyperlink ref="A190" location="'Scaler'!B164" display="'Scaler'!B164"/>
    <hyperlink ref="A191" location="'Scaler'!M196" display="'Scaler'!M196"/>
    <hyperlink ref="A368" location="'Scaler'!N196" display="'Scaler'!N196"/>
    <hyperlink ref="A376" location="'Loads'!B45" display="'Loads'!B45"/>
    <hyperlink ref="A377" location="'Scaler'!B34" display="'Scaler'!B34"/>
    <hyperlink ref="A378" location="'Scaler'!B372" display="'Scaler'!B372"/>
    <hyperlink ref="A379" location="'Aggreg'!B245" display="'Aggreg'!B245"/>
    <hyperlink ref="A380" location="'Scaler'!C34" display="'Scaler'!C34"/>
    <hyperlink ref="A381" location="'Aggreg'!C245" display="'Aggreg'!C245"/>
    <hyperlink ref="A382" location="'Scaler'!D34" display="'Scaler'!D34"/>
    <hyperlink ref="A383" location="'Aggreg'!D245" display="'Aggreg'!D245"/>
    <hyperlink ref="A384" location="'Scaler'!E34" display="'Scaler'!E34"/>
    <hyperlink ref="A385" location="'Aggreg'!E245" display="'Aggreg'!E245"/>
    <hyperlink ref="A386" location="'Scaler'!F34" display="'Scaler'!F34"/>
    <hyperlink ref="A387" location="'Aggreg'!F245" display="'Aggreg'!F245"/>
    <hyperlink ref="A388" location="'Scaler'!G34" display="'Scaler'!G34"/>
    <hyperlink ref="A389" location="'Aggreg'!G245" display="'Aggreg'!G245"/>
    <hyperlink ref="A390" location="'Input'!F14" display="'Input'!F14"/>
    <hyperlink ref="A391" location="'Scaler'!E407" display="'Scaler'!E407"/>
    <hyperlink ref="A392" location="'Loads'!E298" display="'Loads'!E298"/>
    <hyperlink ref="A393" location="'Scaler'!F407" display="'Scaler'!F407"/>
    <hyperlink ref="A394" location="'Loads'!F298" display="'Loads'!F298"/>
    <hyperlink ref="A395" location="'Scaler'!B407" display="'Scaler'!B407"/>
    <hyperlink ref="A396" location="'Loads'!B298" display="'Loads'!B298"/>
    <hyperlink ref="A397" location="'Scaler'!C407" display="'Scaler'!C407"/>
    <hyperlink ref="A398" location="'Loads'!C298" display="'Loads'!C298"/>
    <hyperlink ref="A399" location="'Scaler'!D407" display="'Scaler'!D407"/>
    <hyperlink ref="A400" location="'Loads'!D298" display="'Loads'!D298"/>
    <hyperlink ref="A401" location="'Scaler'!G407" display="'Scaler'!G407"/>
    <hyperlink ref="A402" location="'Loads'!G298" display="'Loads'!G298"/>
  </hyperlinks>
  <pageMargins left="0.75" right="0.75" top="1" bottom="1" header="0.5" footer="0.5"/>
  <pageSetup paperSize="9" scale="24" fitToHeight="0" orientation="landscape" blackAndWhite="1" r:id="rId1"/>
  <headerFooter alignWithMargins="0">
    <oddHeader>&amp;L&amp;A&amp;Cr6140&amp;R&amp;P of &amp;N</oddHeader>
    <oddFooter>&amp;F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20"/>
  <sheetViews>
    <sheetView showGridLines="0" zoomScale="80" zoomScaleNormal="80" workbookViewId="0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2.75" x14ac:dyDescent="0.2"/>
  <cols>
    <col min="1" max="1" width="50.7109375" customWidth="1"/>
    <col min="2" max="251" width="28.7109375" customWidth="1"/>
  </cols>
  <sheetData>
    <row r="1" spans="1:1" ht="19.5" x14ac:dyDescent="0.3">
      <c r="A1" s="15" t="str">
        <f>"r6140: Tariff component adjustment and rounding"&amp;" for "&amp;Input!B7&amp;" in "&amp;Input!C7&amp;" ("&amp;Input!D7&amp;")"</f>
        <v>r6140: Tariff component adjustment and rounding for Electricity North West  in 2013/14 (April 2013 Indicative)</v>
      </c>
    </row>
    <row r="3" spans="1:1" ht="16.5" x14ac:dyDescent="0.25">
      <c r="A3" s="3" t="s">
        <v>1300</v>
      </c>
    </row>
    <row r="4" spans="1:1" x14ac:dyDescent="0.2">
      <c r="A4" s="10" t="s">
        <v>238</v>
      </c>
    </row>
    <row r="5" spans="1:1" x14ac:dyDescent="0.2">
      <c r="A5" s="11" t="s">
        <v>1301</v>
      </c>
    </row>
    <row r="6" spans="1:1" x14ac:dyDescent="0.2">
      <c r="A6" s="11" t="s">
        <v>1302</v>
      </c>
    </row>
    <row r="7" spans="1:1" x14ac:dyDescent="0.2">
      <c r="A7" s="11" t="s">
        <v>1303</v>
      </c>
    </row>
    <row r="8" spans="1:1" x14ac:dyDescent="0.2">
      <c r="A8" s="11" t="s">
        <v>1304</v>
      </c>
    </row>
    <row r="9" spans="1:1" x14ac:dyDescent="0.2">
      <c r="A9" s="11" t="s">
        <v>1305</v>
      </c>
    </row>
    <row r="10" spans="1:1" x14ac:dyDescent="0.2">
      <c r="A10" s="11" t="s">
        <v>1306</v>
      </c>
    </row>
    <row r="11" spans="1:1" x14ac:dyDescent="0.2">
      <c r="A11" s="11" t="s">
        <v>1307</v>
      </c>
    </row>
    <row r="12" spans="1:1" x14ac:dyDescent="0.2">
      <c r="A12" s="11" t="s">
        <v>1308</v>
      </c>
    </row>
    <row r="13" spans="1:1" x14ac:dyDescent="0.2">
      <c r="A13" s="11" t="s">
        <v>1309</v>
      </c>
    </row>
    <row r="14" spans="1:1" x14ac:dyDescent="0.2">
      <c r="A14" s="11" t="s">
        <v>1310</v>
      </c>
    </row>
    <row r="15" spans="1:1" x14ac:dyDescent="0.2">
      <c r="A15" s="11" t="s">
        <v>1311</v>
      </c>
    </row>
    <row r="16" spans="1:1" x14ac:dyDescent="0.2">
      <c r="A16" s="11" t="s">
        <v>1312</v>
      </c>
    </row>
    <row r="17" spans="1:8" x14ac:dyDescent="0.2">
      <c r="A17" s="18" t="s">
        <v>241</v>
      </c>
      <c r="B17" s="18" t="s">
        <v>371</v>
      </c>
      <c r="C17" s="18" t="s">
        <v>371</v>
      </c>
      <c r="D17" s="18" t="s">
        <v>371</v>
      </c>
      <c r="E17" s="18" t="s">
        <v>371</v>
      </c>
      <c r="F17" s="18" t="s">
        <v>371</v>
      </c>
      <c r="G17" s="18" t="s">
        <v>371</v>
      </c>
    </row>
    <row r="18" spans="1:8" x14ac:dyDescent="0.2">
      <c r="A18" s="18" t="s">
        <v>244</v>
      </c>
      <c r="B18" s="18" t="s">
        <v>1313</v>
      </c>
      <c r="C18" s="18" t="s">
        <v>1314</v>
      </c>
      <c r="D18" s="18" t="s">
        <v>1315</v>
      </c>
      <c r="E18" s="18" t="s">
        <v>1316</v>
      </c>
      <c r="F18" s="18" t="s">
        <v>1317</v>
      </c>
      <c r="G18" s="18" t="s">
        <v>1318</v>
      </c>
    </row>
    <row r="20" spans="1:8" ht="25.5" x14ac:dyDescent="0.2">
      <c r="B20" s="4" t="s">
        <v>1319</v>
      </c>
      <c r="C20" s="4" t="s">
        <v>1320</v>
      </c>
      <c r="D20" s="4" t="s">
        <v>1321</v>
      </c>
      <c r="E20" s="4" t="s">
        <v>1322</v>
      </c>
      <c r="F20" s="4" t="s">
        <v>1323</v>
      </c>
      <c r="G20" s="4" t="s">
        <v>957</v>
      </c>
    </row>
    <row r="21" spans="1:8" x14ac:dyDescent="0.2">
      <c r="A21" s="5" t="s">
        <v>53</v>
      </c>
      <c r="B21" s="28">
        <f>Aggreg!$B245+Scaler!$B407</f>
        <v>2.887186821690142</v>
      </c>
      <c r="C21" s="21"/>
      <c r="D21" s="21"/>
      <c r="E21" s="28">
        <f>Aggreg!$E245+Scaler!$E407</f>
        <v>3.4191336220975801</v>
      </c>
      <c r="F21" s="21"/>
      <c r="G21" s="21"/>
      <c r="H21" s="6"/>
    </row>
    <row r="22" spans="1:8" x14ac:dyDescent="0.2">
      <c r="A22" s="5" t="s">
        <v>54</v>
      </c>
      <c r="B22" s="28">
        <f>Aggreg!$B246+Scaler!$B408</f>
        <v>2.9923377840088881</v>
      </c>
      <c r="C22" s="28">
        <f>Aggreg!$C246+Scaler!$C408</f>
        <v>0.29082448709030068</v>
      </c>
      <c r="D22" s="21"/>
      <c r="E22" s="28">
        <f>Aggreg!$E246+Scaler!$E408</f>
        <v>3.4191336220975801</v>
      </c>
      <c r="F22" s="21"/>
      <c r="G22" s="21"/>
      <c r="H22" s="6"/>
    </row>
    <row r="23" spans="1:8" x14ac:dyDescent="0.2">
      <c r="A23" s="5" t="s">
        <v>94</v>
      </c>
      <c r="B23" s="28">
        <f>Aggreg!$B247+Scaler!$B409</f>
        <v>0.30413153445534891</v>
      </c>
      <c r="C23" s="21"/>
      <c r="D23" s="21"/>
      <c r="E23" s="21"/>
      <c r="F23" s="21"/>
      <c r="G23" s="21"/>
      <c r="H23" s="6"/>
    </row>
    <row r="24" spans="1:8" x14ac:dyDescent="0.2">
      <c r="A24" s="5" t="s">
        <v>55</v>
      </c>
      <c r="B24" s="28">
        <f>Aggreg!$B248+Scaler!$B410</f>
        <v>2.411978521261152</v>
      </c>
      <c r="C24" s="21"/>
      <c r="D24" s="21"/>
      <c r="E24" s="28">
        <f>Aggreg!$E248+Scaler!$E410</f>
        <v>3.4168491473270262</v>
      </c>
      <c r="F24" s="21"/>
      <c r="G24" s="21"/>
      <c r="H24" s="6"/>
    </row>
    <row r="25" spans="1:8" x14ac:dyDescent="0.2">
      <c r="A25" s="5" t="s">
        <v>56</v>
      </c>
      <c r="B25" s="28">
        <f>Aggreg!$B249+Scaler!$B411</f>
        <v>2.5534092639893915</v>
      </c>
      <c r="C25" s="28">
        <f>Aggreg!$C249+Scaler!$C411</f>
        <v>0.25085533641793434</v>
      </c>
      <c r="D25" s="21"/>
      <c r="E25" s="28">
        <f>Aggreg!$E249+Scaler!$E411</f>
        <v>3.4168491473270262</v>
      </c>
      <c r="F25" s="21"/>
      <c r="G25" s="21"/>
      <c r="H25" s="6"/>
    </row>
    <row r="26" spans="1:8" x14ac:dyDescent="0.2">
      <c r="A26" s="5" t="s">
        <v>95</v>
      </c>
      <c r="B26" s="28">
        <f>Aggreg!$B250+Scaler!$B412</f>
        <v>0.25161877923265935</v>
      </c>
      <c r="C26" s="21"/>
      <c r="D26" s="21"/>
      <c r="E26" s="21"/>
      <c r="F26" s="21"/>
      <c r="G26" s="21"/>
      <c r="H26" s="6"/>
    </row>
    <row r="27" spans="1:8" x14ac:dyDescent="0.2">
      <c r="A27" s="5" t="s">
        <v>57</v>
      </c>
      <c r="B27" s="28">
        <f>Aggreg!$B251+Scaler!$B413</f>
        <v>2.4478925605612694</v>
      </c>
      <c r="C27" s="28">
        <f>Aggreg!$C251+Scaler!$C413</f>
        <v>0.22498391799990958</v>
      </c>
      <c r="D27" s="21"/>
      <c r="E27" s="28">
        <f>Aggreg!$E251+Scaler!$E413</f>
        <v>24.197769309757849</v>
      </c>
      <c r="F27" s="21"/>
      <c r="G27" s="21"/>
      <c r="H27" s="6"/>
    </row>
    <row r="28" spans="1:8" x14ac:dyDescent="0.2">
      <c r="A28" s="5" t="s">
        <v>58</v>
      </c>
      <c r="B28" s="28">
        <f>Aggreg!$B252+Scaler!$B414</f>
        <v>2.069563579982002</v>
      </c>
      <c r="C28" s="28">
        <f>Aggreg!$C252+Scaler!$C414</f>
        <v>0.18594130232617129</v>
      </c>
      <c r="D28" s="21"/>
      <c r="E28" s="28">
        <f>Aggreg!$E252+Scaler!$E414</f>
        <v>57.084398853735657</v>
      </c>
      <c r="F28" s="21"/>
      <c r="G28" s="21"/>
      <c r="H28" s="6"/>
    </row>
    <row r="29" spans="1:8" x14ac:dyDescent="0.2">
      <c r="A29" s="5" t="s">
        <v>72</v>
      </c>
      <c r="B29" s="28">
        <f>Aggreg!$B253+Scaler!$B415</f>
        <v>1.4402665657281082</v>
      </c>
      <c r="C29" s="28">
        <f>Aggreg!$C253+Scaler!$C415</f>
        <v>0.12340551344399819</v>
      </c>
      <c r="D29" s="21"/>
      <c r="E29" s="28">
        <f>Aggreg!$E253+Scaler!$E415</f>
        <v>254.66675151326245</v>
      </c>
      <c r="F29" s="21"/>
      <c r="G29" s="21"/>
      <c r="H29" s="6"/>
    </row>
    <row r="30" spans="1:8" x14ac:dyDescent="0.2">
      <c r="A30" s="5" t="s">
        <v>59</v>
      </c>
      <c r="B30" s="28">
        <f>Aggreg!$B254+Scaler!$B416</f>
        <v>11.537159501367661</v>
      </c>
      <c r="C30" s="28">
        <f>Aggreg!$C254+Scaler!$C416</f>
        <v>0.94146752667119393</v>
      </c>
      <c r="D30" s="28">
        <f>Aggreg!$D254+Scaler!$D416</f>
        <v>0.14159260547248292</v>
      </c>
      <c r="E30" s="28">
        <f>Aggreg!$E254+Scaler!$E416</f>
        <v>11.930669489218699</v>
      </c>
      <c r="F30" s="28">
        <f>Aggreg!$F254+Scaler!$F416</f>
        <v>3.3450783794987045</v>
      </c>
      <c r="G30" s="28">
        <f>Aggreg!$G254+Scaler!$G416</f>
        <v>0.31605099622761701</v>
      </c>
      <c r="H30" s="6"/>
    </row>
    <row r="31" spans="1:8" x14ac:dyDescent="0.2">
      <c r="A31" s="5" t="s">
        <v>60</v>
      </c>
      <c r="B31" s="28">
        <f>Aggreg!$B255+Scaler!$B417</f>
        <v>11.546839458282161</v>
      </c>
      <c r="C31" s="28">
        <f>Aggreg!$C255+Scaler!$C417</f>
        <v>0.8896478780368986</v>
      </c>
      <c r="D31" s="28">
        <f>Aggreg!$D255+Scaler!$D417</f>
        <v>0.13671551072027316</v>
      </c>
      <c r="E31" s="28">
        <f>Aggreg!$E255+Scaler!$E417</f>
        <v>34.941041615624705</v>
      </c>
      <c r="F31" s="28">
        <f>Aggreg!$F255+Scaler!$F417</f>
        <v>3.2941165432113708</v>
      </c>
      <c r="G31" s="28">
        <f>Aggreg!$G255+Scaler!$G417</f>
        <v>0.29682271912154284</v>
      </c>
      <c r="H31" s="6"/>
    </row>
    <row r="32" spans="1:8" x14ac:dyDescent="0.2">
      <c r="A32" s="5" t="s">
        <v>73</v>
      </c>
      <c r="B32" s="28">
        <f>Aggreg!$B256+Scaler!$B418</f>
        <v>8.8227028843815809</v>
      </c>
      <c r="C32" s="28">
        <f>Aggreg!$C256+Scaler!$C418</f>
        <v>0.60818963215182853</v>
      </c>
      <c r="D32" s="28">
        <f>Aggreg!$D256+Scaler!$D418</f>
        <v>9.7664910129660526E-2</v>
      </c>
      <c r="E32" s="28">
        <f>Aggreg!$E256+Scaler!$E418</f>
        <v>102.60147313251026</v>
      </c>
      <c r="F32" s="28">
        <f>Aggreg!$F256+Scaler!$F418</f>
        <v>3.1904892965001022</v>
      </c>
      <c r="G32" s="28">
        <f>Aggreg!$G256+Scaler!$G418</f>
        <v>0.20619772545893514</v>
      </c>
      <c r="H32" s="6"/>
    </row>
    <row r="33" spans="1:8" x14ac:dyDescent="0.2">
      <c r="A33" s="5" t="s">
        <v>74</v>
      </c>
      <c r="B33" s="28">
        <f>Aggreg!$B257+Scaler!$B419</f>
        <v>7.2069383055496399</v>
      </c>
      <c r="C33" s="28">
        <f>Aggreg!$C257+Scaler!$C419</f>
        <v>0.45199906236455595</v>
      </c>
      <c r="D33" s="28">
        <f>Aggreg!$D257+Scaler!$D419</f>
        <v>7.5523749509417371E-2</v>
      </c>
      <c r="E33" s="28">
        <f>Aggreg!$E257+Scaler!$E419</f>
        <v>134.65836535031045</v>
      </c>
      <c r="F33" s="28">
        <f>Aggreg!$F257+Scaler!$F419</f>
        <v>2.254358525730388</v>
      </c>
      <c r="G33" s="28">
        <f>Aggreg!$G257+Scaler!$G419</f>
        <v>0.17503068763552049</v>
      </c>
      <c r="H33" s="6"/>
    </row>
    <row r="34" spans="1:8" x14ac:dyDescent="0.2">
      <c r="A34" s="5" t="s">
        <v>96</v>
      </c>
      <c r="B34" s="28">
        <f>Aggreg!$B258+Scaler!$B420</f>
        <v>2.7189052683951043</v>
      </c>
      <c r="C34" s="21"/>
      <c r="D34" s="21"/>
      <c r="E34" s="21"/>
      <c r="F34" s="21"/>
      <c r="G34" s="21"/>
      <c r="H34" s="6"/>
    </row>
    <row r="35" spans="1:8" x14ac:dyDescent="0.2">
      <c r="A35" s="5" t="s">
        <v>97</v>
      </c>
      <c r="B35" s="28">
        <f>Aggreg!$B259+Scaler!$B421</f>
        <v>3.182667093652837</v>
      </c>
      <c r="C35" s="21"/>
      <c r="D35" s="21"/>
      <c r="E35" s="21"/>
      <c r="F35" s="21"/>
      <c r="G35" s="21"/>
      <c r="H35" s="6"/>
    </row>
    <row r="36" spans="1:8" x14ac:dyDescent="0.2">
      <c r="A36" s="5" t="s">
        <v>98</v>
      </c>
      <c r="B36" s="28">
        <f>Aggreg!$B260+Scaler!$B422</f>
        <v>4.586602858399802</v>
      </c>
      <c r="C36" s="21"/>
      <c r="D36" s="21"/>
      <c r="E36" s="21"/>
      <c r="F36" s="21"/>
      <c r="G36" s="21"/>
      <c r="H36" s="6"/>
    </row>
    <row r="37" spans="1:8" x14ac:dyDescent="0.2">
      <c r="A37" s="5" t="s">
        <v>99</v>
      </c>
      <c r="B37" s="28">
        <f>Aggreg!$B261+Scaler!$B423</f>
        <v>2.4393261336122198</v>
      </c>
      <c r="C37" s="21"/>
      <c r="D37" s="21"/>
      <c r="E37" s="21"/>
      <c r="F37" s="21"/>
      <c r="G37" s="21"/>
      <c r="H37" s="6"/>
    </row>
    <row r="38" spans="1:8" x14ac:dyDescent="0.2">
      <c r="A38" s="5" t="s">
        <v>100</v>
      </c>
      <c r="B38" s="28">
        <f>Aggreg!$B262+Scaler!$B424</f>
        <v>42.507919491158866</v>
      </c>
      <c r="C38" s="28">
        <f>Aggreg!$C262+Scaler!$C424</f>
        <v>2.4708399399422789</v>
      </c>
      <c r="D38" s="28">
        <f>Aggreg!$D262+Scaler!$D424</f>
        <v>1.6216686210408298</v>
      </c>
      <c r="E38" s="21"/>
      <c r="F38" s="21"/>
      <c r="G38" s="21"/>
      <c r="H38" s="6"/>
    </row>
    <row r="39" spans="1:8" x14ac:dyDescent="0.2">
      <c r="A39" s="5" t="s">
        <v>61</v>
      </c>
      <c r="B39" s="28">
        <f>Aggreg!$B263+Scaler!$B425</f>
        <v>-0.89799162991796522</v>
      </c>
      <c r="C39" s="21"/>
      <c r="D39" s="21"/>
      <c r="E39" s="28">
        <f>Aggreg!$E263+Scaler!$E425</f>
        <v>0</v>
      </c>
      <c r="F39" s="21"/>
      <c r="G39" s="21"/>
      <c r="H39" s="6"/>
    </row>
    <row r="40" spans="1:8" x14ac:dyDescent="0.2">
      <c r="A40" s="5" t="s">
        <v>62</v>
      </c>
      <c r="B40" s="28">
        <f>Aggreg!$B264+Scaler!$B426</f>
        <v>-0.70017186540441934</v>
      </c>
      <c r="C40" s="21"/>
      <c r="D40" s="21"/>
      <c r="E40" s="28">
        <f>Aggreg!$E264+Scaler!$E426</f>
        <v>0</v>
      </c>
      <c r="F40" s="21"/>
      <c r="G40" s="21"/>
      <c r="H40" s="6"/>
    </row>
    <row r="41" spans="1:8" x14ac:dyDescent="0.2">
      <c r="A41" s="5" t="s">
        <v>63</v>
      </c>
      <c r="B41" s="28">
        <f>Aggreg!$B265+Scaler!$B427</f>
        <v>-0.89799162991796522</v>
      </c>
      <c r="C41" s="21"/>
      <c r="D41" s="21"/>
      <c r="E41" s="28">
        <f>Aggreg!$E265+Scaler!$E427</f>
        <v>0</v>
      </c>
      <c r="F41" s="21"/>
      <c r="G41" s="28">
        <f>Aggreg!$G265+Scaler!$G427</f>
        <v>0.22856792631435691</v>
      </c>
      <c r="H41" s="6"/>
    </row>
    <row r="42" spans="1:8" x14ac:dyDescent="0.2">
      <c r="A42" s="5" t="s">
        <v>64</v>
      </c>
      <c r="B42" s="28">
        <f>Aggreg!$B266+Scaler!$B428</f>
        <v>-8.9066564509464765</v>
      </c>
      <c r="C42" s="28">
        <f>Aggreg!$C266+Scaler!$C428</f>
        <v>-0.9306442336479952</v>
      </c>
      <c r="D42" s="28">
        <f>Aggreg!$D266+Scaler!$D428</f>
        <v>-0.12900200572170595</v>
      </c>
      <c r="E42" s="28">
        <f>Aggreg!$E266+Scaler!$E428</f>
        <v>0</v>
      </c>
      <c r="F42" s="21"/>
      <c r="G42" s="28">
        <f>Aggreg!$G266+Scaler!$G428</f>
        <v>0.22856792631435691</v>
      </c>
      <c r="H42" s="6"/>
    </row>
    <row r="43" spans="1:8" x14ac:dyDescent="0.2">
      <c r="A43" s="5" t="s">
        <v>65</v>
      </c>
      <c r="B43" s="28">
        <f>Aggreg!$B267+Scaler!$B429</f>
        <v>-0.70017186540441934</v>
      </c>
      <c r="C43" s="21"/>
      <c r="D43" s="21"/>
      <c r="E43" s="28">
        <f>Aggreg!$E267+Scaler!$E429</f>
        <v>0</v>
      </c>
      <c r="F43" s="21"/>
      <c r="G43" s="28">
        <f>Aggreg!$G267+Scaler!$G429</f>
        <v>0.18451992070053849</v>
      </c>
      <c r="H43" s="6"/>
    </row>
    <row r="44" spans="1:8" x14ac:dyDescent="0.2">
      <c r="A44" s="5" t="s">
        <v>66</v>
      </c>
      <c r="B44" s="28">
        <f>Aggreg!$B268+Scaler!$B430</f>
        <v>-7.0014663203041207</v>
      </c>
      <c r="C44" s="28">
        <f>Aggreg!$C268+Scaler!$C430</f>
        <v>-0.71585090459889844</v>
      </c>
      <c r="D44" s="28">
        <f>Aggreg!$D268+Scaler!$D430</f>
        <v>-9.9971320716047821E-2</v>
      </c>
      <c r="E44" s="28">
        <f>Aggreg!$E268+Scaler!$E430</f>
        <v>0</v>
      </c>
      <c r="F44" s="21"/>
      <c r="G44" s="28">
        <f>Aggreg!$G268+Scaler!$G430</f>
        <v>0.18451992070053849</v>
      </c>
      <c r="H44" s="6"/>
    </row>
    <row r="45" spans="1:8" x14ac:dyDescent="0.2">
      <c r="A45" s="5" t="s">
        <v>75</v>
      </c>
      <c r="B45" s="28">
        <f>Aggreg!$B269+Scaler!$B431</f>
        <v>-0.44367880824796413</v>
      </c>
      <c r="C45" s="21"/>
      <c r="D45" s="21"/>
      <c r="E45" s="28">
        <f>Aggreg!$E269+Scaler!$E431</f>
        <v>6.3622622359931222</v>
      </c>
      <c r="F45" s="21"/>
      <c r="G45" s="28">
        <f>Aggreg!$G269+Scaler!$G431</f>
        <v>0.12506375647908394</v>
      </c>
      <c r="H45" s="6"/>
    </row>
    <row r="46" spans="1:8" x14ac:dyDescent="0.2">
      <c r="A46" s="5" t="s">
        <v>76</v>
      </c>
      <c r="B46" s="28">
        <f>Aggreg!$B270+Scaler!$B432</f>
        <v>-4.5464883298394394</v>
      </c>
      <c r="C46" s="28">
        <f>Aggreg!$C270+Scaler!$C432</f>
        <v>-0.43472013238334989</v>
      </c>
      <c r="D46" s="28">
        <f>Aggreg!$D270+Scaler!$D432</f>
        <v>-6.2165407854378171E-2</v>
      </c>
      <c r="E46" s="28">
        <f>Aggreg!$E270+Scaler!$E432</f>
        <v>6.3622622359931222</v>
      </c>
      <c r="F46" s="21"/>
      <c r="G46" s="28">
        <f>Aggreg!$G270+Scaler!$G432</f>
        <v>0.12506375647908394</v>
      </c>
      <c r="H46" s="6"/>
    </row>
    <row r="47" spans="1:8" x14ac:dyDescent="0.2">
      <c r="A47" s="5" t="s">
        <v>77</v>
      </c>
      <c r="B47" s="28">
        <f>Aggreg!$B271+Scaler!$B433</f>
        <v>-0.29387687269531404</v>
      </c>
      <c r="C47" s="21"/>
      <c r="D47" s="21"/>
      <c r="E47" s="28">
        <f>Aggreg!$E271+Scaler!$E433</f>
        <v>6.3622622359931222</v>
      </c>
      <c r="F47" s="21"/>
      <c r="G47" s="28">
        <f>Aggreg!$G271+Scaler!$G433</f>
        <v>7.0062960325235277E-2</v>
      </c>
      <c r="H47" s="6"/>
    </row>
    <row r="48" spans="1:8" x14ac:dyDescent="0.2">
      <c r="A48" s="5" t="s">
        <v>78</v>
      </c>
      <c r="B48" s="28">
        <f>Aggreg!$B272+Scaler!$B434</f>
        <v>-3.1113852507228641</v>
      </c>
      <c r="C48" s="28">
        <f>Aggreg!$C272+Scaler!$C434</f>
        <v>-0.27075244291269507</v>
      </c>
      <c r="D48" s="28">
        <f>Aggreg!$D272+Scaler!$D434</f>
        <v>-4.0099290803666074E-2</v>
      </c>
      <c r="E48" s="28">
        <f>Aggreg!$E272+Scaler!$E434</f>
        <v>6.3622622359931222</v>
      </c>
      <c r="F48" s="21"/>
      <c r="G48" s="28">
        <f>Aggreg!$G272+Scaler!$G434</f>
        <v>7.0062960325235277E-2</v>
      </c>
      <c r="H48" s="6"/>
    </row>
    <row r="50" spans="1:8" ht="16.5" x14ac:dyDescent="0.25">
      <c r="A50" s="3" t="s">
        <v>1324</v>
      </c>
    </row>
    <row r="52" spans="1:8" ht="25.5" x14ac:dyDescent="0.2">
      <c r="B52" s="4" t="s">
        <v>1319</v>
      </c>
      <c r="C52" s="4" t="s">
        <v>1320</v>
      </c>
      <c r="D52" s="4" t="s">
        <v>1321</v>
      </c>
      <c r="E52" s="4" t="s">
        <v>1322</v>
      </c>
      <c r="F52" s="4" t="s">
        <v>1323</v>
      </c>
      <c r="G52" s="4" t="s">
        <v>957</v>
      </c>
    </row>
    <row r="53" spans="1:8" x14ac:dyDescent="0.2">
      <c r="A53" s="5" t="s">
        <v>1325</v>
      </c>
      <c r="B53" s="16">
        <v>3</v>
      </c>
      <c r="C53" s="16">
        <v>3</v>
      </c>
      <c r="D53" s="16">
        <v>3</v>
      </c>
      <c r="E53" s="16">
        <v>2</v>
      </c>
      <c r="F53" s="16">
        <v>2</v>
      </c>
      <c r="G53" s="16">
        <v>3</v>
      </c>
      <c r="H53" s="6"/>
    </row>
    <row r="55" spans="1:8" ht="16.5" x14ac:dyDescent="0.25">
      <c r="A55" s="3" t="s">
        <v>1326</v>
      </c>
    </row>
    <row r="56" spans="1:8" x14ac:dyDescent="0.2">
      <c r="A56" s="10" t="s">
        <v>238</v>
      </c>
    </row>
    <row r="57" spans="1:8" x14ac:dyDescent="0.2">
      <c r="A57" s="11" t="s">
        <v>1327</v>
      </c>
    </row>
    <row r="58" spans="1:8" x14ac:dyDescent="0.2">
      <c r="A58" s="11" t="s">
        <v>1328</v>
      </c>
    </row>
    <row r="59" spans="1:8" x14ac:dyDescent="0.2">
      <c r="A59" s="11" t="s">
        <v>1329</v>
      </c>
    </row>
    <row r="60" spans="1:8" x14ac:dyDescent="0.2">
      <c r="A60" s="11" t="s">
        <v>1330</v>
      </c>
    </row>
    <row r="61" spans="1:8" x14ac:dyDescent="0.2">
      <c r="A61" s="11" t="s">
        <v>1331</v>
      </c>
    </row>
    <row r="62" spans="1:8" x14ac:dyDescent="0.2">
      <c r="A62" s="11" t="s">
        <v>1332</v>
      </c>
    </row>
    <row r="63" spans="1:8" x14ac:dyDescent="0.2">
      <c r="A63" s="11" t="s">
        <v>1333</v>
      </c>
    </row>
    <row r="64" spans="1:8" x14ac:dyDescent="0.2">
      <c r="A64" s="11" t="s">
        <v>1334</v>
      </c>
    </row>
    <row r="65" spans="1:8" x14ac:dyDescent="0.2">
      <c r="A65" s="11" t="s">
        <v>1335</v>
      </c>
    </row>
    <row r="66" spans="1:8" x14ac:dyDescent="0.2">
      <c r="A66" s="11" t="s">
        <v>1336</v>
      </c>
    </row>
    <row r="67" spans="1:8" x14ac:dyDescent="0.2">
      <c r="A67" s="11" t="s">
        <v>1337</v>
      </c>
    </row>
    <row r="68" spans="1:8" x14ac:dyDescent="0.2">
      <c r="A68" s="11" t="s">
        <v>1338</v>
      </c>
    </row>
    <row r="69" spans="1:8" x14ac:dyDescent="0.2">
      <c r="A69" s="18" t="s">
        <v>241</v>
      </c>
      <c r="B69" s="18" t="s">
        <v>371</v>
      </c>
      <c r="C69" s="18" t="s">
        <v>371</v>
      </c>
      <c r="D69" s="18" t="s">
        <v>371</v>
      </c>
      <c r="E69" s="18" t="s">
        <v>371</v>
      </c>
      <c r="F69" s="18" t="s">
        <v>371</v>
      </c>
      <c r="G69" s="18" t="s">
        <v>371</v>
      </c>
    </row>
    <row r="70" spans="1:8" x14ac:dyDescent="0.2">
      <c r="A70" s="18" t="s">
        <v>244</v>
      </c>
      <c r="B70" s="18" t="s">
        <v>1339</v>
      </c>
      <c r="C70" s="18" t="s">
        <v>1340</v>
      </c>
      <c r="D70" s="18" t="s">
        <v>1341</v>
      </c>
      <c r="E70" s="18" t="s">
        <v>1342</v>
      </c>
      <c r="F70" s="18" t="s">
        <v>1343</v>
      </c>
      <c r="G70" s="18" t="s">
        <v>1344</v>
      </c>
    </row>
    <row r="72" spans="1:8" ht="25.5" x14ac:dyDescent="0.2">
      <c r="B72" s="4" t="s">
        <v>1319</v>
      </c>
      <c r="C72" s="4" t="s">
        <v>1320</v>
      </c>
      <c r="D72" s="4" t="s">
        <v>1321</v>
      </c>
      <c r="E72" s="4" t="s">
        <v>1322</v>
      </c>
      <c r="F72" s="4" t="s">
        <v>1323</v>
      </c>
      <c r="G72" s="4" t="s">
        <v>957</v>
      </c>
    </row>
    <row r="73" spans="1:8" x14ac:dyDescent="0.2">
      <c r="A73" s="5" t="s">
        <v>53</v>
      </c>
      <c r="B73" s="28">
        <f t="shared" ref="B73:B100" si="0">ROUND(B21,B$53)-B21</f>
        <v>-1.8682169014194727E-4</v>
      </c>
      <c r="C73" s="21"/>
      <c r="D73" s="21"/>
      <c r="E73" s="28">
        <f>ROUND(E21,E$53)-E21</f>
        <v>8.6637790241983481E-4</v>
      </c>
      <c r="F73" s="21"/>
      <c r="G73" s="21"/>
      <c r="H73" s="6"/>
    </row>
    <row r="74" spans="1:8" x14ac:dyDescent="0.2">
      <c r="A74" s="5" t="s">
        <v>54</v>
      </c>
      <c r="B74" s="28">
        <f t="shared" si="0"/>
        <v>-3.3778400888806459E-4</v>
      </c>
      <c r="C74" s="28">
        <f>ROUND(C22,C$53)-C22</f>
        <v>1.7551290969930466E-4</v>
      </c>
      <c r="D74" s="21"/>
      <c r="E74" s="28">
        <f>ROUND(E22,E$53)-E22</f>
        <v>8.6637790241983481E-4</v>
      </c>
      <c r="F74" s="21"/>
      <c r="G74" s="21"/>
      <c r="H74" s="6"/>
    </row>
    <row r="75" spans="1:8" x14ac:dyDescent="0.2">
      <c r="A75" s="5" t="s">
        <v>94</v>
      </c>
      <c r="B75" s="28">
        <f t="shared" si="0"/>
        <v>-1.3153445534891395E-4</v>
      </c>
      <c r="C75" s="21"/>
      <c r="D75" s="21"/>
      <c r="E75" s="21"/>
      <c r="F75" s="21"/>
      <c r="G75" s="21"/>
      <c r="H75" s="6"/>
    </row>
    <row r="76" spans="1:8" x14ac:dyDescent="0.2">
      <c r="A76" s="5" t="s">
        <v>55</v>
      </c>
      <c r="B76" s="28">
        <f t="shared" si="0"/>
        <v>2.1478738847946488E-5</v>
      </c>
      <c r="C76" s="21"/>
      <c r="D76" s="21"/>
      <c r="E76" s="28">
        <f>ROUND(E24,E$53)-E24</f>
        <v>3.1508526729737696E-3</v>
      </c>
      <c r="F76" s="21"/>
      <c r="G76" s="21"/>
      <c r="H76" s="6"/>
    </row>
    <row r="77" spans="1:8" x14ac:dyDescent="0.2">
      <c r="A77" s="5" t="s">
        <v>56</v>
      </c>
      <c r="B77" s="28">
        <f t="shared" si="0"/>
        <v>-4.0926398939156172E-4</v>
      </c>
      <c r="C77" s="28">
        <f>ROUND(C25,C$53)-C25</f>
        <v>1.4466358206566277E-4</v>
      </c>
      <c r="D77" s="21"/>
      <c r="E77" s="28">
        <f>ROUND(E25,E$53)-E25</f>
        <v>3.1508526729737696E-3</v>
      </c>
      <c r="F77" s="21"/>
      <c r="G77" s="21"/>
      <c r="H77" s="6"/>
    </row>
    <row r="78" spans="1:8" x14ac:dyDescent="0.2">
      <c r="A78" s="5" t="s">
        <v>95</v>
      </c>
      <c r="B78" s="28">
        <f t="shared" si="0"/>
        <v>3.8122076734065091E-4</v>
      </c>
      <c r="C78" s="21"/>
      <c r="D78" s="21"/>
      <c r="E78" s="21"/>
      <c r="F78" s="21"/>
      <c r="G78" s="21"/>
      <c r="H78" s="6"/>
    </row>
    <row r="79" spans="1:8" x14ac:dyDescent="0.2">
      <c r="A79" s="5" t="s">
        <v>57</v>
      </c>
      <c r="B79" s="28">
        <f t="shared" si="0"/>
        <v>1.0743943873059436E-4</v>
      </c>
      <c r="C79" s="28">
        <f t="shared" ref="C79:C85" si="1">ROUND(C27,C$53)-C27</f>
        <v>1.6082000090428261E-5</v>
      </c>
      <c r="D79" s="21"/>
      <c r="E79" s="28">
        <f t="shared" ref="E79:E85" si="2">ROUND(E27,E$53)-E27</f>
        <v>2.2306902421505015E-3</v>
      </c>
      <c r="F79" s="21"/>
      <c r="G79" s="21"/>
      <c r="H79" s="6"/>
    </row>
    <row r="80" spans="1:8" x14ac:dyDescent="0.2">
      <c r="A80" s="5" t="s">
        <v>58</v>
      </c>
      <c r="B80" s="28">
        <f t="shared" si="0"/>
        <v>4.3642001799781838E-4</v>
      </c>
      <c r="C80" s="28">
        <f t="shared" si="1"/>
        <v>5.8697673828711494E-5</v>
      </c>
      <c r="D80" s="21"/>
      <c r="E80" s="28">
        <f t="shared" si="2"/>
        <v>-4.3988537356582924E-3</v>
      </c>
      <c r="F80" s="21"/>
      <c r="G80" s="21"/>
      <c r="H80" s="6"/>
    </row>
    <row r="81" spans="1:8" x14ac:dyDescent="0.2">
      <c r="A81" s="5" t="s">
        <v>72</v>
      </c>
      <c r="B81" s="28">
        <f t="shared" si="0"/>
        <v>-2.6656572810823675E-4</v>
      </c>
      <c r="C81" s="28">
        <f t="shared" si="1"/>
        <v>-4.0551344399819556E-4</v>
      </c>
      <c r="D81" s="21"/>
      <c r="E81" s="28">
        <f t="shared" si="2"/>
        <v>3.248486737533085E-3</v>
      </c>
      <c r="F81" s="21"/>
      <c r="G81" s="21"/>
      <c r="H81" s="6"/>
    </row>
    <row r="82" spans="1:8" x14ac:dyDescent="0.2">
      <c r="A82" s="5" t="s">
        <v>59</v>
      </c>
      <c r="B82" s="28">
        <f t="shared" si="0"/>
        <v>-1.5950136766029743E-4</v>
      </c>
      <c r="C82" s="28">
        <f t="shared" si="1"/>
        <v>-4.6752667119398517E-4</v>
      </c>
      <c r="D82" s="28">
        <f>ROUND(D30,D$53)-D30</f>
        <v>4.0739452751706318E-4</v>
      </c>
      <c r="E82" s="28">
        <f t="shared" si="2"/>
        <v>-6.6948921869958156E-4</v>
      </c>
      <c r="F82" s="28">
        <f t="shared" ref="F82:G85" si="3">ROUND(F30,F$53)-F30</f>
        <v>4.9216205012956316E-3</v>
      </c>
      <c r="G82" s="28">
        <f t="shared" si="3"/>
        <v>-5.0996227617006173E-5</v>
      </c>
      <c r="H82" s="6"/>
    </row>
    <row r="83" spans="1:8" x14ac:dyDescent="0.2">
      <c r="A83" s="5" t="s">
        <v>60</v>
      </c>
      <c r="B83" s="28">
        <f t="shared" si="0"/>
        <v>1.6054171783963511E-4</v>
      </c>
      <c r="C83" s="28">
        <f t="shared" si="1"/>
        <v>3.5212196310141497E-4</v>
      </c>
      <c r="D83" s="28">
        <f>ROUND(D31,D$53)-D31</f>
        <v>2.8448927972685167E-4</v>
      </c>
      <c r="E83" s="28">
        <f t="shared" si="2"/>
        <v>-1.0416156247075037E-3</v>
      </c>
      <c r="F83" s="28">
        <f t="shared" si="3"/>
        <v>-4.1165432113707823E-3</v>
      </c>
      <c r="G83" s="28">
        <f t="shared" si="3"/>
        <v>1.7728087845714224E-4</v>
      </c>
      <c r="H83" s="6"/>
    </row>
    <row r="84" spans="1:8" x14ac:dyDescent="0.2">
      <c r="A84" s="5" t="s">
        <v>73</v>
      </c>
      <c r="B84" s="28">
        <f t="shared" si="0"/>
        <v>2.9711561841949674E-4</v>
      </c>
      <c r="C84" s="28">
        <f t="shared" si="1"/>
        <v>-1.8963215182854487E-4</v>
      </c>
      <c r="D84" s="28">
        <f>ROUND(D32,D$53)-D32</f>
        <v>3.3508987033947779E-4</v>
      </c>
      <c r="E84" s="28">
        <f t="shared" si="2"/>
        <v>-1.4731325102701476E-3</v>
      </c>
      <c r="F84" s="28">
        <f t="shared" si="3"/>
        <v>-4.8929650010220982E-4</v>
      </c>
      <c r="G84" s="28">
        <f t="shared" si="3"/>
        <v>-1.9772545893514959E-4</v>
      </c>
      <c r="H84" s="6"/>
    </row>
    <row r="85" spans="1:8" x14ac:dyDescent="0.2">
      <c r="A85" s="5" t="s">
        <v>74</v>
      </c>
      <c r="B85" s="28">
        <f t="shared" si="0"/>
        <v>6.1694450359972564E-5</v>
      </c>
      <c r="C85" s="28">
        <f t="shared" si="1"/>
        <v>9.3763544406488819E-7</v>
      </c>
      <c r="D85" s="28">
        <f>ROUND(D33,D$53)-D33</f>
        <v>4.7625049058262758E-4</v>
      </c>
      <c r="E85" s="28">
        <f t="shared" si="2"/>
        <v>1.6346496895494056E-3</v>
      </c>
      <c r="F85" s="28">
        <f t="shared" si="3"/>
        <v>-4.3585257303879743E-3</v>
      </c>
      <c r="G85" s="28">
        <f t="shared" si="3"/>
        <v>-3.0687635520498802E-5</v>
      </c>
      <c r="H85" s="6"/>
    </row>
    <row r="86" spans="1:8" x14ac:dyDescent="0.2">
      <c r="A86" s="5" t="s">
        <v>96</v>
      </c>
      <c r="B86" s="28">
        <f t="shared" si="0"/>
        <v>9.4731604895592625E-5</v>
      </c>
      <c r="C86" s="21"/>
      <c r="D86" s="21"/>
      <c r="E86" s="21"/>
      <c r="F86" s="21"/>
      <c r="G86" s="21"/>
      <c r="H86" s="6"/>
    </row>
    <row r="87" spans="1:8" x14ac:dyDescent="0.2">
      <c r="A87" s="5" t="s">
        <v>97</v>
      </c>
      <c r="B87" s="28">
        <f t="shared" si="0"/>
        <v>3.329063471628757E-4</v>
      </c>
      <c r="C87" s="21"/>
      <c r="D87" s="21"/>
      <c r="E87" s="21"/>
      <c r="F87" s="21"/>
      <c r="G87" s="21"/>
      <c r="H87" s="6"/>
    </row>
    <row r="88" spans="1:8" x14ac:dyDescent="0.2">
      <c r="A88" s="5" t="s">
        <v>98</v>
      </c>
      <c r="B88" s="28">
        <f t="shared" si="0"/>
        <v>3.9714160019777012E-4</v>
      </c>
      <c r="C88" s="21"/>
      <c r="D88" s="21"/>
      <c r="E88" s="21"/>
      <c r="F88" s="21"/>
      <c r="G88" s="21"/>
      <c r="H88" s="6"/>
    </row>
    <row r="89" spans="1:8" x14ac:dyDescent="0.2">
      <c r="A89" s="5" t="s">
        <v>99</v>
      </c>
      <c r="B89" s="28">
        <f t="shared" si="0"/>
        <v>-3.261336122197811E-4</v>
      </c>
      <c r="C89" s="21"/>
      <c r="D89" s="21"/>
      <c r="E89" s="21"/>
      <c r="F89" s="21"/>
      <c r="G89" s="21"/>
      <c r="H89" s="6"/>
    </row>
    <row r="90" spans="1:8" x14ac:dyDescent="0.2">
      <c r="A90" s="5" t="s">
        <v>100</v>
      </c>
      <c r="B90" s="28">
        <f t="shared" si="0"/>
        <v>8.050884113686152E-5</v>
      </c>
      <c r="C90" s="28">
        <f>ROUND(C38,C$53)-C38</f>
        <v>1.6006005772117859E-4</v>
      </c>
      <c r="D90" s="28">
        <f>ROUND(D38,D$53)-D38</f>
        <v>3.3137895917034754E-4</v>
      </c>
      <c r="E90" s="21"/>
      <c r="F90" s="21"/>
      <c r="G90" s="21"/>
      <c r="H90" s="6"/>
    </row>
    <row r="91" spans="1:8" x14ac:dyDescent="0.2">
      <c r="A91" s="5" t="s">
        <v>61</v>
      </c>
      <c r="B91" s="28">
        <f t="shared" si="0"/>
        <v>-8.3700820348031613E-6</v>
      </c>
      <c r="C91" s="21"/>
      <c r="D91" s="21"/>
      <c r="E91" s="28">
        <f t="shared" ref="E91:E100" si="4">ROUND(E39,E$53)-E39</f>
        <v>0</v>
      </c>
      <c r="F91" s="21"/>
      <c r="G91" s="21"/>
      <c r="H91" s="6"/>
    </row>
    <row r="92" spans="1:8" x14ac:dyDescent="0.2">
      <c r="A92" s="5" t="s">
        <v>62</v>
      </c>
      <c r="B92" s="28">
        <f t="shared" si="0"/>
        <v>1.7186540441938014E-4</v>
      </c>
      <c r="C92" s="21"/>
      <c r="D92" s="21"/>
      <c r="E92" s="28">
        <f t="shared" si="4"/>
        <v>0</v>
      </c>
      <c r="F92" s="21"/>
      <c r="G92" s="21"/>
      <c r="H92" s="6"/>
    </row>
    <row r="93" spans="1:8" x14ac:dyDescent="0.2">
      <c r="A93" s="5" t="s">
        <v>63</v>
      </c>
      <c r="B93" s="28">
        <f t="shared" si="0"/>
        <v>-8.3700820348031613E-6</v>
      </c>
      <c r="C93" s="21"/>
      <c r="D93" s="21"/>
      <c r="E93" s="28">
        <f t="shared" si="4"/>
        <v>0</v>
      </c>
      <c r="F93" s="21"/>
      <c r="G93" s="28">
        <f t="shared" ref="G93:G100" si="5">ROUND(G41,G$53)-G41</f>
        <v>4.3207368564310289E-4</v>
      </c>
      <c r="H93" s="6"/>
    </row>
    <row r="94" spans="1:8" x14ac:dyDescent="0.2">
      <c r="A94" s="5" t="s">
        <v>64</v>
      </c>
      <c r="B94" s="28">
        <f t="shared" si="0"/>
        <v>-3.435490535235175E-4</v>
      </c>
      <c r="C94" s="28">
        <f>ROUND(C42,C$53)-C42</f>
        <v>-3.557663520048493E-4</v>
      </c>
      <c r="D94" s="28">
        <f>ROUND(D42,D$53)-D42</f>
        <v>2.0057217059443744E-6</v>
      </c>
      <c r="E94" s="28">
        <f t="shared" si="4"/>
        <v>0</v>
      </c>
      <c r="F94" s="21"/>
      <c r="G94" s="28">
        <f t="shared" si="5"/>
        <v>4.3207368564310289E-4</v>
      </c>
      <c r="H94" s="6"/>
    </row>
    <row r="95" spans="1:8" x14ac:dyDescent="0.2">
      <c r="A95" s="5" t="s">
        <v>65</v>
      </c>
      <c r="B95" s="28">
        <f t="shared" si="0"/>
        <v>1.7186540441938014E-4</v>
      </c>
      <c r="C95" s="21"/>
      <c r="D95" s="21"/>
      <c r="E95" s="28">
        <f t="shared" si="4"/>
        <v>0</v>
      </c>
      <c r="F95" s="21"/>
      <c r="G95" s="28">
        <f t="shared" si="5"/>
        <v>4.8007929946150552E-4</v>
      </c>
      <c r="H95" s="6"/>
    </row>
    <row r="96" spans="1:8" x14ac:dyDescent="0.2">
      <c r="A96" s="5" t="s">
        <v>66</v>
      </c>
      <c r="B96" s="28">
        <f t="shared" si="0"/>
        <v>4.6632030412041559E-4</v>
      </c>
      <c r="C96" s="28">
        <f>ROUND(C44,C$53)-C44</f>
        <v>-1.4909540110152886E-4</v>
      </c>
      <c r="D96" s="28">
        <f>ROUND(D44,D$53)-D44</f>
        <v>-2.8679283952184886E-5</v>
      </c>
      <c r="E96" s="28">
        <f t="shared" si="4"/>
        <v>0</v>
      </c>
      <c r="F96" s="21"/>
      <c r="G96" s="28">
        <f t="shared" si="5"/>
        <v>4.8007929946150552E-4</v>
      </c>
      <c r="H96" s="6"/>
    </row>
    <row r="97" spans="1:8" x14ac:dyDescent="0.2">
      <c r="A97" s="5" t="s">
        <v>75</v>
      </c>
      <c r="B97" s="28">
        <f t="shared" si="0"/>
        <v>-3.2119175203587647E-4</v>
      </c>
      <c r="C97" s="21"/>
      <c r="D97" s="21"/>
      <c r="E97" s="28">
        <f t="shared" si="4"/>
        <v>-2.2622359931219194E-3</v>
      </c>
      <c r="F97" s="21"/>
      <c r="G97" s="28">
        <f t="shared" si="5"/>
        <v>-6.3756479083937334E-5</v>
      </c>
      <c r="H97" s="6"/>
    </row>
    <row r="98" spans="1:8" x14ac:dyDescent="0.2">
      <c r="A98" s="5" t="s">
        <v>76</v>
      </c>
      <c r="B98" s="28">
        <f t="shared" si="0"/>
        <v>4.8832983943913888E-4</v>
      </c>
      <c r="C98" s="28">
        <f>ROUND(C46,C$53)-C46</f>
        <v>-2.7986761665010906E-4</v>
      </c>
      <c r="D98" s="28">
        <f>ROUND(D46,D$53)-D46</f>
        <v>1.6540785437817174E-4</v>
      </c>
      <c r="E98" s="28">
        <f t="shared" si="4"/>
        <v>-2.2622359931219194E-3</v>
      </c>
      <c r="F98" s="21"/>
      <c r="G98" s="28">
        <f t="shared" si="5"/>
        <v>-6.3756479083937334E-5</v>
      </c>
      <c r="H98" s="6"/>
    </row>
    <row r="99" spans="1:8" x14ac:dyDescent="0.2">
      <c r="A99" s="5" t="s">
        <v>77</v>
      </c>
      <c r="B99" s="28">
        <f t="shared" si="0"/>
        <v>-1.2312730468594379E-4</v>
      </c>
      <c r="C99" s="21"/>
      <c r="D99" s="21"/>
      <c r="E99" s="28">
        <f t="shared" si="4"/>
        <v>-2.2622359931219194E-3</v>
      </c>
      <c r="F99" s="21"/>
      <c r="G99" s="28">
        <f t="shared" si="5"/>
        <v>-6.2960325235270065E-5</v>
      </c>
      <c r="H99" s="6"/>
    </row>
    <row r="100" spans="1:8" x14ac:dyDescent="0.2">
      <c r="A100" s="5" t="s">
        <v>78</v>
      </c>
      <c r="B100" s="28">
        <f t="shared" si="0"/>
        <v>3.8525072286388351E-4</v>
      </c>
      <c r="C100" s="28">
        <f>ROUND(C48,C$53)-C48</f>
        <v>-2.4755708730495041E-4</v>
      </c>
      <c r="D100" s="28">
        <f>ROUND(D48,D$53)-D48</f>
        <v>9.9290803666073069E-5</v>
      </c>
      <c r="E100" s="28">
        <f t="shared" si="4"/>
        <v>-2.2622359931219194E-3</v>
      </c>
      <c r="F100" s="21"/>
      <c r="G100" s="28">
        <f t="shared" si="5"/>
        <v>-6.2960325235270065E-5</v>
      </c>
      <c r="H100" s="6"/>
    </row>
    <row r="102" spans="1:8" ht="16.5" x14ac:dyDescent="0.25">
      <c r="A102" s="3" t="s">
        <v>1345</v>
      </c>
    </row>
    <row r="103" spans="1:8" x14ac:dyDescent="0.2">
      <c r="A103" s="10" t="s">
        <v>238</v>
      </c>
    </row>
    <row r="104" spans="1:8" x14ac:dyDescent="0.2">
      <c r="A104" s="11" t="s">
        <v>1327</v>
      </c>
    </row>
    <row r="105" spans="1:8" x14ac:dyDescent="0.2">
      <c r="A105" s="11" t="s">
        <v>1346</v>
      </c>
    </row>
    <row r="106" spans="1:8" x14ac:dyDescent="0.2">
      <c r="A106" s="11" t="s">
        <v>1329</v>
      </c>
    </row>
    <row r="107" spans="1:8" x14ac:dyDescent="0.2">
      <c r="A107" s="11" t="s">
        <v>1347</v>
      </c>
    </row>
    <row r="108" spans="1:8" x14ac:dyDescent="0.2">
      <c r="A108" s="11" t="s">
        <v>1331</v>
      </c>
    </row>
    <row r="109" spans="1:8" x14ac:dyDescent="0.2">
      <c r="A109" s="11" t="s">
        <v>1348</v>
      </c>
    </row>
    <row r="110" spans="1:8" x14ac:dyDescent="0.2">
      <c r="A110" s="11" t="s">
        <v>1333</v>
      </c>
    </row>
    <row r="111" spans="1:8" x14ac:dyDescent="0.2">
      <c r="A111" s="11" t="s">
        <v>1349</v>
      </c>
    </row>
    <row r="112" spans="1:8" x14ac:dyDescent="0.2">
      <c r="A112" s="11" t="s">
        <v>1335</v>
      </c>
    </row>
    <row r="113" spans="1:8" x14ac:dyDescent="0.2">
      <c r="A113" s="11" t="s">
        <v>1350</v>
      </c>
    </row>
    <row r="114" spans="1:8" x14ac:dyDescent="0.2">
      <c r="A114" s="11" t="s">
        <v>1337</v>
      </c>
    </row>
    <row r="115" spans="1:8" x14ac:dyDescent="0.2">
      <c r="A115" s="11" t="s">
        <v>1351</v>
      </c>
    </row>
    <row r="116" spans="1:8" x14ac:dyDescent="0.2">
      <c r="A116" s="18" t="s">
        <v>241</v>
      </c>
      <c r="B116" s="18" t="s">
        <v>371</v>
      </c>
      <c r="C116" s="18" t="s">
        <v>371</v>
      </c>
      <c r="D116" s="18" t="s">
        <v>371</v>
      </c>
      <c r="E116" s="18" t="s">
        <v>371</v>
      </c>
      <c r="F116" s="18" t="s">
        <v>371</v>
      </c>
      <c r="G116" s="18" t="s">
        <v>371</v>
      </c>
    </row>
    <row r="117" spans="1:8" x14ac:dyDescent="0.2">
      <c r="A117" s="18" t="s">
        <v>244</v>
      </c>
      <c r="B117" s="18" t="s">
        <v>1313</v>
      </c>
      <c r="C117" s="18" t="s">
        <v>1314</v>
      </c>
      <c r="D117" s="18" t="s">
        <v>1315</v>
      </c>
      <c r="E117" s="18" t="s">
        <v>1316</v>
      </c>
      <c r="F117" s="18" t="s">
        <v>1317</v>
      </c>
      <c r="G117" s="18" t="s">
        <v>1318</v>
      </c>
    </row>
    <row r="119" spans="1:8" ht="25.5" x14ac:dyDescent="0.2">
      <c r="B119" s="4" t="s">
        <v>1319</v>
      </c>
      <c r="C119" s="4" t="s">
        <v>1320</v>
      </c>
      <c r="D119" s="4" t="s">
        <v>1321</v>
      </c>
      <c r="E119" s="4" t="s">
        <v>1322</v>
      </c>
      <c r="F119" s="4" t="s">
        <v>1323</v>
      </c>
      <c r="G119" s="4" t="s">
        <v>957</v>
      </c>
    </row>
    <row r="120" spans="1:8" x14ac:dyDescent="0.2">
      <c r="A120" s="5" t="s">
        <v>53</v>
      </c>
      <c r="B120" s="17">
        <f t="shared" ref="B120:B147" si="6">B21+B73</f>
        <v>2.887</v>
      </c>
      <c r="C120" s="21"/>
      <c r="D120" s="21"/>
      <c r="E120" s="29">
        <f>E21+E73</f>
        <v>3.42</v>
      </c>
      <c r="F120" s="21"/>
      <c r="G120" s="21"/>
      <c r="H120" s="6"/>
    </row>
    <row r="121" spans="1:8" x14ac:dyDescent="0.2">
      <c r="A121" s="5" t="s">
        <v>54</v>
      </c>
      <c r="B121" s="17">
        <f t="shared" si="6"/>
        <v>2.992</v>
      </c>
      <c r="C121" s="17">
        <f>C22+C74</f>
        <v>0.29099999999999998</v>
      </c>
      <c r="D121" s="21"/>
      <c r="E121" s="29">
        <f>E22+E74</f>
        <v>3.42</v>
      </c>
      <c r="F121" s="21"/>
      <c r="G121" s="21"/>
      <c r="H121" s="6"/>
    </row>
    <row r="122" spans="1:8" x14ac:dyDescent="0.2">
      <c r="A122" s="5" t="s">
        <v>94</v>
      </c>
      <c r="B122" s="17">
        <f t="shared" si="6"/>
        <v>0.30399999999999999</v>
      </c>
      <c r="C122" s="21"/>
      <c r="D122" s="21"/>
      <c r="E122" s="21"/>
      <c r="F122" s="21"/>
      <c r="G122" s="21"/>
      <c r="H122" s="6"/>
    </row>
    <row r="123" spans="1:8" x14ac:dyDescent="0.2">
      <c r="A123" s="5" t="s">
        <v>55</v>
      </c>
      <c r="B123" s="17">
        <f t="shared" si="6"/>
        <v>2.4119999999999999</v>
      </c>
      <c r="C123" s="21"/>
      <c r="D123" s="21"/>
      <c r="E123" s="29">
        <f>E24+E76</f>
        <v>3.42</v>
      </c>
      <c r="F123" s="21"/>
      <c r="G123" s="21"/>
      <c r="H123" s="6"/>
    </row>
    <row r="124" spans="1:8" x14ac:dyDescent="0.2">
      <c r="A124" s="5" t="s">
        <v>56</v>
      </c>
      <c r="B124" s="17">
        <f t="shared" si="6"/>
        <v>2.5529999999999999</v>
      </c>
      <c r="C124" s="17">
        <f>C25+C77</f>
        <v>0.251</v>
      </c>
      <c r="D124" s="21"/>
      <c r="E124" s="29">
        <f>E25+E77</f>
        <v>3.42</v>
      </c>
      <c r="F124" s="21"/>
      <c r="G124" s="21"/>
      <c r="H124" s="6"/>
    </row>
    <row r="125" spans="1:8" x14ac:dyDescent="0.2">
      <c r="A125" s="5" t="s">
        <v>95</v>
      </c>
      <c r="B125" s="17">
        <f t="shared" si="6"/>
        <v>0.252</v>
      </c>
      <c r="C125" s="21"/>
      <c r="D125" s="21"/>
      <c r="E125" s="21"/>
      <c r="F125" s="21"/>
      <c r="G125" s="21"/>
      <c r="H125" s="6"/>
    </row>
    <row r="126" spans="1:8" x14ac:dyDescent="0.2">
      <c r="A126" s="5" t="s">
        <v>57</v>
      </c>
      <c r="B126" s="17">
        <f t="shared" si="6"/>
        <v>2.448</v>
      </c>
      <c r="C126" s="17">
        <f t="shared" ref="C126:C132" si="7">C27+C79</f>
        <v>0.22500000000000001</v>
      </c>
      <c r="D126" s="21"/>
      <c r="E126" s="29">
        <f t="shared" ref="E126:E132" si="8">E27+E79</f>
        <v>24.2</v>
      </c>
      <c r="F126" s="21"/>
      <c r="G126" s="21"/>
      <c r="H126" s="6"/>
    </row>
    <row r="127" spans="1:8" x14ac:dyDescent="0.2">
      <c r="A127" s="5" t="s">
        <v>58</v>
      </c>
      <c r="B127" s="17">
        <f t="shared" si="6"/>
        <v>2.0699999999999998</v>
      </c>
      <c r="C127" s="17">
        <f t="shared" si="7"/>
        <v>0.186</v>
      </c>
      <c r="D127" s="21"/>
      <c r="E127" s="29">
        <f t="shared" si="8"/>
        <v>57.08</v>
      </c>
      <c r="F127" s="21"/>
      <c r="G127" s="21"/>
      <c r="H127" s="6"/>
    </row>
    <row r="128" spans="1:8" x14ac:dyDescent="0.2">
      <c r="A128" s="5" t="s">
        <v>72</v>
      </c>
      <c r="B128" s="17">
        <f t="shared" si="6"/>
        <v>1.44</v>
      </c>
      <c r="C128" s="17">
        <f t="shared" si="7"/>
        <v>0.123</v>
      </c>
      <c r="D128" s="21"/>
      <c r="E128" s="29">
        <f t="shared" si="8"/>
        <v>254.67</v>
      </c>
      <c r="F128" s="21"/>
      <c r="G128" s="21"/>
      <c r="H128" s="6"/>
    </row>
    <row r="129" spans="1:8" x14ac:dyDescent="0.2">
      <c r="A129" s="5" t="s">
        <v>59</v>
      </c>
      <c r="B129" s="17">
        <f t="shared" si="6"/>
        <v>11.537000000000001</v>
      </c>
      <c r="C129" s="17">
        <f t="shared" si="7"/>
        <v>0.94099999999999995</v>
      </c>
      <c r="D129" s="17">
        <f>D30+D82</f>
        <v>0.14199999999999999</v>
      </c>
      <c r="E129" s="29">
        <f t="shared" si="8"/>
        <v>11.93</v>
      </c>
      <c r="F129" s="29">
        <f t="shared" ref="F129:G132" si="9">F30+F82</f>
        <v>3.35</v>
      </c>
      <c r="G129" s="17">
        <f t="shared" si="9"/>
        <v>0.316</v>
      </c>
      <c r="H129" s="6"/>
    </row>
    <row r="130" spans="1:8" x14ac:dyDescent="0.2">
      <c r="A130" s="5" t="s">
        <v>60</v>
      </c>
      <c r="B130" s="17">
        <f t="shared" si="6"/>
        <v>11.547000000000001</v>
      </c>
      <c r="C130" s="17">
        <f t="shared" si="7"/>
        <v>0.89</v>
      </c>
      <c r="D130" s="17">
        <f>D31+D83</f>
        <v>0.13700000000000001</v>
      </c>
      <c r="E130" s="29">
        <f t="shared" si="8"/>
        <v>34.94</v>
      </c>
      <c r="F130" s="29">
        <f t="shared" si="9"/>
        <v>3.29</v>
      </c>
      <c r="G130" s="17">
        <f t="shared" si="9"/>
        <v>0.29699999999999999</v>
      </c>
      <c r="H130" s="6"/>
    </row>
    <row r="131" spans="1:8" x14ac:dyDescent="0.2">
      <c r="A131" s="5" t="s">
        <v>73</v>
      </c>
      <c r="B131" s="17">
        <f t="shared" si="6"/>
        <v>8.8230000000000004</v>
      </c>
      <c r="C131" s="17">
        <f t="shared" si="7"/>
        <v>0.60799999999999998</v>
      </c>
      <c r="D131" s="17">
        <f>D32+D84</f>
        <v>9.8000000000000004E-2</v>
      </c>
      <c r="E131" s="29">
        <f t="shared" si="8"/>
        <v>102.6</v>
      </c>
      <c r="F131" s="29">
        <f t="shared" si="9"/>
        <v>3.19</v>
      </c>
      <c r="G131" s="17">
        <f t="shared" si="9"/>
        <v>0.20599999999999999</v>
      </c>
      <c r="H131" s="6"/>
    </row>
    <row r="132" spans="1:8" x14ac:dyDescent="0.2">
      <c r="A132" s="5" t="s">
        <v>74</v>
      </c>
      <c r="B132" s="17">
        <f t="shared" si="6"/>
        <v>7.2069999999999999</v>
      </c>
      <c r="C132" s="17">
        <f t="shared" si="7"/>
        <v>0.45200000000000001</v>
      </c>
      <c r="D132" s="17">
        <f>D33+D85</f>
        <v>7.5999999999999998E-2</v>
      </c>
      <c r="E132" s="29">
        <f t="shared" si="8"/>
        <v>134.66</v>
      </c>
      <c r="F132" s="29">
        <f t="shared" si="9"/>
        <v>2.25</v>
      </c>
      <c r="G132" s="17">
        <f t="shared" si="9"/>
        <v>0.17499999999999999</v>
      </c>
      <c r="H132" s="6"/>
    </row>
    <row r="133" spans="1:8" x14ac:dyDescent="0.2">
      <c r="A133" s="5" t="s">
        <v>96</v>
      </c>
      <c r="B133" s="17">
        <f t="shared" si="6"/>
        <v>2.7189999999999999</v>
      </c>
      <c r="C133" s="21"/>
      <c r="D133" s="21"/>
      <c r="E133" s="21"/>
      <c r="F133" s="21"/>
      <c r="G133" s="21"/>
      <c r="H133" s="6"/>
    </row>
    <row r="134" spans="1:8" x14ac:dyDescent="0.2">
      <c r="A134" s="5" t="s">
        <v>97</v>
      </c>
      <c r="B134" s="17">
        <f t="shared" si="6"/>
        <v>3.1829999999999998</v>
      </c>
      <c r="C134" s="21"/>
      <c r="D134" s="21"/>
      <c r="E134" s="21"/>
      <c r="F134" s="21"/>
      <c r="G134" s="21"/>
      <c r="H134" s="6"/>
    </row>
    <row r="135" spans="1:8" x14ac:dyDescent="0.2">
      <c r="A135" s="5" t="s">
        <v>98</v>
      </c>
      <c r="B135" s="17">
        <f t="shared" si="6"/>
        <v>4.5869999999999997</v>
      </c>
      <c r="C135" s="21"/>
      <c r="D135" s="21"/>
      <c r="E135" s="21"/>
      <c r="F135" s="21"/>
      <c r="G135" s="21"/>
      <c r="H135" s="6"/>
    </row>
    <row r="136" spans="1:8" x14ac:dyDescent="0.2">
      <c r="A136" s="5" t="s">
        <v>99</v>
      </c>
      <c r="B136" s="17">
        <f t="shared" si="6"/>
        <v>2.4390000000000001</v>
      </c>
      <c r="C136" s="21"/>
      <c r="D136" s="21"/>
      <c r="E136" s="21"/>
      <c r="F136" s="21"/>
      <c r="G136" s="21"/>
      <c r="H136" s="6"/>
    </row>
    <row r="137" spans="1:8" x14ac:dyDescent="0.2">
      <c r="A137" s="5" t="s">
        <v>100</v>
      </c>
      <c r="B137" s="17">
        <f t="shared" si="6"/>
        <v>42.508000000000003</v>
      </c>
      <c r="C137" s="17">
        <f>C38+C90</f>
        <v>2.4710000000000001</v>
      </c>
      <c r="D137" s="17">
        <f>D38+D90</f>
        <v>1.6220000000000001</v>
      </c>
      <c r="E137" s="21"/>
      <c r="F137" s="21"/>
      <c r="G137" s="21"/>
      <c r="H137" s="6"/>
    </row>
    <row r="138" spans="1:8" x14ac:dyDescent="0.2">
      <c r="A138" s="5" t="s">
        <v>61</v>
      </c>
      <c r="B138" s="17">
        <f t="shared" si="6"/>
        <v>-0.89800000000000002</v>
      </c>
      <c r="C138" s="21"/>
      <c r="D138" s="21"/>
      <c r="E138" s="29">
        <f t="shared" ref="E138:E147" si="10">E39+E91</f>
        <v>0</v>
      </c>
      <c r="F138" s="21"/>
      <c r="G138" s="21"/>
      <c r="H138" s="6"/>
    </row>
    <row r="139" spans="1:8" x14ac:dyDescent="0.2">
      <c r="A139" s="5" t="s">
        <v>62</v>
      </c>
      <c r="B139" s="17">
        <f t="shared" si="6"/>
        <v>-0.7</v>
      </c>
      <c r="C139" s="21"/>
      <c r="D139" s="21"/>
      <c r="E139" s="29">
        <f t="shared" si="10"/>
        <v>0</v>
      </c>
      <c r="F139" s="21"/>
      <c r="G139" s="21"/>
      <c r="H139" s="6"/>
    </row>
    <row r="140" spans="1:8" x14ac:dyDescent="0.2">
      <c r="A140" s="5" t="s">
        <v>63</v>
      </c>
      <c r="B140" s="17">
        <f t="shared" si="6"/>
        <v>-0.89800000000000002</v>
      </c>
      <c r="C140" s="21"/>
      <c r="D140" s="21"/>
      <c r="E140" s="29">
        <f t="shared" si="10"/>
        <v>0</v>
      </c>
      <c r="F140" s="21"/>
      <c r="G140" s="17">
        <f t="shared" ref="G140:G147" si="11">G41+G93</f>
        <v>0.22900000000000001</v>
      </c>
      <c r="H140" s="6"/>
    </row>
    <row r="141" spans="1:8" x14ac:dyDescent="0.2">
      <c r="A141" s="5" t="s">
        <v>64</v>
      </c>
      <c r="B141" s="17">
        <f t="shared" si="6"/>
        <v>-8.907</v>
      </c>
      <c r="C141" s="17">
        <f>C42+C94</f>
        <v>-0.93100000000000005</v>
      </c>
      <c r="D141" s="17">
        <f>D42+D94</f>
        <v>-0.129</v>
      </c>
      <c r="E141" s="29">
        <f t="shared" si="10"/>
        <v>0</v>
      </c>
      <c r="F141" s="21"/>
      <c r="G141" s="17">
        <f t="shared" si="11"/>
        <v>0.22900000000000001</v>
      </c>
      <c r="H141" s="6"/>
    </row>
    <row r="142" spans="1:8" x14ac:dyDescent="0.2">
      <c r="A142" s="5" t="s">
        <v>65</v>
      </c>
      <c r="B142" s="17">
        <f t="shared" si="6"/>
        <v>-0.7</v>
      </c>
      <c r="C142" s="21"/>
      <c r="D142" s="21"/>
      <c r="E142" s="29">
        <f t="shared" si="10"/>
        <v>0</v>
      </c>
      <c r="F142" s="21"/>
      <c r="G142" s="17">
        <f t="shared" si="11"/>
        <v>0.185</v>
      </c>
      <c r="H142" s="6"/>
    </row>
    <row r="143" spans="1:8" x14ac:dyDescent="0.2">
      <c r="A143" s="5" t="s">
        <v>66</v>
      </c>
      <c r="B143" s="17">
        <f t="shared" si="6"/>
        <v>-7.0010000000000003</v>
      </c>
      <c r="C143" s="17">
        <f>C44+C96</f>
        <v>-0.71599999999999997</v>
      </c>
      <c r="D143" s="17">
        <f>D44+D96</f>
        <v>-0.1</v>
      </c>
      <c r="E143" s="29">
        <f t="shared" si="10"/>
        <v>0</v>
      </c>
      <c r="F143" s="21"/>
      <c r="G143" s="17">
        <f t="shared" si="11"/>
        <v>0.185</v>
      </c>
      <c r="H143" s="6"/>
    </row>
    <row r="144" spans="1:8" x14ac:dyDescent="0.2">
      <c r="A144" s="5" t="s">
        <v>75</v>
      </c>
      <c r="B144" s="17">
        <f t="shared" si="6"/>
        <v>-0.44400000000000001</v>
      </c>
      <c r="C144" s="21"/>
      <c r="D144" s="21"/>
      <c r="E144" s="29">
        <f t="shared" si="10"/>
        <v>6.36</v>
      </c>
      <c r="F144" s="21"/>
      <c r="G144" s="17">
        <f t="shared" si="11"/>
        <v>0.125</v>
      </c>
      <c r="H144" s="6"/>
    </row>
    <row r="145" spans="1:8" x14ac:dyDescent="0.2">
      <c r="A145" s="5" t="s">
        <v>76</v>
      </c>
      <c r="B145" s="17">
        <f t="shared" si="6"/>
        <v>-4.5460000000000003</v>
      </c>
      <c r="C145" s="17">
        <f>C46+C98</f>
        <v>-0.435</v>
      </c>
      <c r="D145" s="17">
        <f>D46+D98</f>
        <v>-6.2E-2</v>
      </c>
      <c r="E145" s="29">
        <f t="shared" si="10"/>
        <v>6.36</v>
      </c>
      <c r="F145" s="21"/>
      <c r="G145" s="17">
        <f t="shared" si="11"/>
        <v>0.125</v>
      </c>
      <c r="H145" s="6"/>
    </row>
    <row r="146" spans="1:8" x14ac:dyDescent="0.2">
      <c r="A146" s="5" t="s">
        <v>77</v>
      </c>
      <c r="B146" s="17">
        <f t="shared" si="6"/>
        <v>-0.29399999999999998</v>
      </c>
      <c r="C146" s="21"/>
      <c r="D146" s="21"/>
      <c r="E146" s="29">
        <f t="shared" si="10"/>
        <v>6.36</v>
      </c>
      <c r="F146" s="21"/>
      <c r="G146" s="17">
        <f t="shared" si="11"/>
        <v>7.0000000000000007E-2</v>
      </c>
      <c r="H146" s="6"/>
    </row>
    <row r="147" spans="1:8" x14ac:dyDescent="0.2">
      <c r="A147" s="5" t="s">
        <v>78</v>
      </c>
      <c r="B147" s="17">
        <f t="shared" si="6"/>
        <v>-3.1110000000000002</v>
      </c>
      <c r="C147" s="17">
        <f>C48+C100</f>
        <v>-0.27100000000000002</v>
      </c>
      <c r="D147" s="17">
        <f>D48+D100</f>
        <v>-0.04</v>
      </c>
      <c r="E147" s="29">
        <f t="shared" si="10"/>
        <v>6.36</v>
      </c>
      <c r="F147" s="21"/>
      <c r="G147" s="17">
        <f t="shared" si="11"/>
        <v>7.0000000000000007E-2</v>
      </c>
      <c r="H147" s="6"/>
    </row>
    <row r="149" spans="1:8" ht="16.5" x14ac:dyDescent="0.25">
      <c r="A149" s="3" t="s">
        <v>1352</v>
      </c>
    </row>
    <row r="150" spans="1:8" x14ac:dyDescent="0.2">
      <c r="A150" s="10" t="s">
        <v>238</v>
      </c>
    </row>
    <row r="151" spans="1:8" x14ac:dyDescent="0.2">
      <c r="A151" s="11" t="s">
        <v>367</v>
      </c>
    </row>
    <row r="152" spans="1:8" x14ac:dyDescent="0.2">
      <c r="A152" s="11" t="s">
        <v>1353</v>
      </c>
    </row>
    <row r="153" spans="1:8" x14ac:dyDescent="0.2">
      <c r="A153" s="11" t="s">
        <v>960</v>
      </c>
    </row>
    <row r="154" spans="1:8" x14ac:dyDescent="0.2">
      <c r="A154" s="11" t="s">
        <v>1354</v>
      </c>
    </row>
    <row r="155" spans="1:8" x14ac:dyDescent="0.2">
      <c r="A155" s="11" t="s">
        <v>962</v>
      </c>
    </row>
    <row r="156" spans="1:8" x14ac:dyDescent="0.2">
      <c r="A156" s="11" t="s">
        <v>1355</v>
      </c>
    </row>
    <row r="157" spans="1:8" x14ac:dyDescent="0.2">
      <c r="A157" s="11" t="s">
        <v>964</v>
      </c>
    </row>
    <row r="158" spans="1:8" x14ac:dyDescent="0.2">
      <c r="A158" s="11" t="s">
        <v>1356</v>
      </c>
    </row>
    <row r="159" spans="1:8" x14ac:dyDescent="0.2">
      <c r="A159" s="11" t="s">
        <v>966</v>
      </c>
    </row>
    <row r="160" spans="1:8" x14ac:dyDescent="0.2">
      <c r="A160" s="11" t="s">
        <v>1357</v>
      </c>
    </row>
    <row r="161" spans="1:3" x14ac:dyDescent="0.2">
      <c r="A161" s="11" t="s">
        <v>968</v>
      </c>
    </row>
    <row r="162" spans="1:3" x14ac:dyDescent="0.2">
      <c r="A162" s="11" t="s">
        <v>1351</v>
      </c>
    </row>
    <row r="163" spans="1:3" x14ac:dyDescent="0.2">
      <c r="A163" s="11" t="s">
        <v>970</v>
      </c>
    </row>
    <row r="164" spans="1:3" x14ac:dyDescent="0.2">
      <c r="A164" s="10" t="s">
        <v>971</v>
      </c>
    </row>
    <row r="166" spans="1:3" ht="25.5" x14ac:dyDescent="0.2">
      <c r="B166" s="4" t="s">
        <v>1358</v>
      </c>
    </row>
    <row r="167" spans="1:3" x14ac:dyDescent="0.2">
      <c r="A167" s="5" t="s">
        <v>53</v>
      </c>
      <c r="B167" s="25">
        <f>0.01*Input!F$14*($E73*Loads!E298+$F73*Loads!F298)+10*($B73*Loads!B298+$C73*Loads!C298+$D73*Loads!D298+$G73*Loads!G298)</f>
        <v>-7625.3721665971225</v>
      </c>
      <c r="C167" s="6"/>
    </row>
    <row r="168" spans="1:3" x14ac:dyDescent="0.2">
      <c r="A168" s="5" t="s">
        <v>54</v>
      </c>
      <c r="B168" s="25">
        <f>0.01*Input!F$14*($E74*Loads!E299+$F74*Loads!F299)+10*($B74*Loads!B299+$C74*Loads!C299+$D74*Loads!D299+$G74*Loads!G299)</f>
        <v>-694.80215293926369</v>
      </c>
      <c r="C168" s="6"/>
    </row>
    <row r="169" spans="1:3" x14ac:dyDescent="0.2">
      <c r="A169" s="5" t="s">
        <v>94</v>
      </c>
      <c r="B169" s="25">
        <f>0.01*Input!F$14*($E75*Loads!E300+$F75*Loads!F300)+10*($B75*Loads!B300+$C75*Loads!C300+$D75*Loads!D300+$G75*Loads!G300)</f>
        <v>-38.263028727258465</v>
      </c>
      <c r="C169" s="6"/>
    </row>
    <row r="170" spans="1:3" x14ac:dyDescent="0.2">
      <c r="A170" s="5" t="s">
        <v>55</v>
      </c>
      <c r="B170" s="25">
        <f>0.01*Input!F$14*($E76*Loads!E301+$F76*Loads!F301)+10*($B76*Loads!B301+$C76*Loads!C301+$D76*Loads!D301+$G76*Loads!G301)</f>
        <v>1756.1271391611572</v>
      </c>
      <c r="C170" s="6"/>
    </row>
    <row r="171" spans="1:3" x14ac:dyDescent="0.2">
      <c r="A171" s="5" t="s">
        <v>56</v>
      </c>
      <c r="B171" s="25">
        <f>0.01*Input!F$14*($E77*Loads!E302+$F77*Loads!F302)+10*($B77*Loads!B302+$C77*Loads!C302+$D77*Loads!D302+$G77*Loads!G302)</f>
        <v>-1693.9732828018064</v>
      </c>
      <c r="C171" s="6"/>
    </row>
    <row r="172" spans="1:3" x14ac:dyDescent="0.2">
      <c r="A172" s="5" t="s">
        <v>95</v>
      </c>
      <c r="B172" s="25">
        <f>0.01*Input!F$14*($E78*Loads!E303+$F78*Loads!F303)+10*($B78*Loads!B303+$C78*Loads!C303+$D78*Loads!D303+$G78*Loads!G303)</f>
        <v>113.45953826491559</v>
      </c>
      <c r="C172" s="6"/>
    </row>
    <row r="173" spans="1:3" x14ac:dyDescent="0.2">
      <c r="A173" s="5" t="s">
        <v>57</v>
      </c>
      <c r="B173" s="25">
        <f>0.01*Input!F$14*($E79*Loads!E304+$F79*Loads!F304)+10*($B79*Loads!B304+$C79*Loads!C304+$D79*Loads!D304+$G79*Loads!G304)</f>
        <v>1238.3048213629825</v>
      </c>
      <c r="C173" s="6"/>
    </row>
    <row r="174" spans="1:3" x14ac:dyDescent="0.2">
      <c r="A174" s="5" t="s">
        <v>58</v>
      </c>
      <c r="B174" s="25">
        <f>0.01*Input!F$14*($E80*Loads!E305+$F80*Loads!F305)+10*($B80*Loads!B305+$C80*Loads!C305+$D80*Loads!D305+$G80*Loads!G305)</f>
        <v>150.42585187013609</v>
      </c>
      <c r="C174" s="6"/>
    </row>
    <row r="175" spans="1:3" x14ac:dyDescent="0.2">
      <c r="A175" s="5" t="s">
        <v>72</v>
      </c>
      <c r="B175" s="25">
        <f>0.01*Input!F$14*($E81*Loads!E306+$F81*Loads!F306)+10*($B81*Loads!B306+$C81*Loads!C306+$D81*Loads!D306+$G81*Loads!G306)</f>
        <v>-32.626304882771493</v>
      </c>
      <c r="C175" s="6"/>
    </row>
    <row r="176" spans="1:3" x14ac:dyDescent="0.2">
      <c r="A176" s="5" t="s">
        <v>59</v>
      </c>
      <c r="B176" s="25">
        <f>0.01*Input!F$14*($E82*Loads!E307+$F82*Loads!F307)+10*($B82*Loads!B307+$C82*Loads!C307+$D82*Loads!D307+$G82*Loads!G307)</f>
        <v>13457.984639854123</v>
      </c>
      <c r="C176" s="6"/>
    </row>
    <row r="177" spans="1:3" x14ac:dyDescent="0.2">
      <c r="A177" s="5" t="s">
        <v>60</v>
      </c>
      <c r="B177" s="25">
        <f>0.01*Input!F$14*($E83*Loads!E308+$F83*Loads!F308)+10*($B83*Loads!B308+$C83*Loads!C308+$D83*Loads!D308+$G83*Loads!G308)</f>
        <v>-5290.8980121595705</v>
      </c>
      <c r="C177" s="6"/>
    </row>
    <row r="178" spans="1:3" x14ac:dyDescent="0.2">
      <c r="A178" s="5" t="s">
        <v>73</v>
      </c>
      <c r="B178" s="25">
        <f>0.01*Input!F$14*($E84*Loads!E309+$F84*Loads!F309)+10*($B84*Loads!B309+$C84*Loads!C309+$D84*Loads!D309+$G84*Loads!G309)</f>
        <v>3487.0705747673546</v>
      </c>
      <c r="C178" s="6"/>
    </row>
    <row r="179" spans="1:3" x14ac:dyDescent="0.2">
      <c r="A179" s="5" t="s">
        <v>74</v>
      </c>
      <c r="B179" s="25">
        <f>0.01*Input!F$14*($E85*Loads!E310+$F85*Loads!F310)+10*($B85*Loads!B310+$C85*Loads!C310+$D85*Loads!D310+$G85*Loads!G310)</f>
        <v>0</v>
      </c>
      <c r="C179" s="6"/>
    </row>
    <row r="180" spans="1:3" x14ac:dyDescent="0.2">
      <c r="A180" s="5" t="s">
        <v>96</v>
      </c>
      <c r="B180" s="25">
        <f>0.01*Input!F$14*($E86*Loads!E311+$F86*Loads!F311)+10*($B86*Loads!B311+$C86*Loads!C311+$D86*Loads!D311+$G86*Loads!G311)</f>
        <v>40.874112266996399</v>
      </c>
      <c r="C180" s="6"/>
    </row>
    <row r="181" spans="1:3" x14ac:dyDescent="0.2">
      <c r="A181" s="5" t="s">
        <v>97</v>
      </c>
      <c r="B181" s="25">
        <f>0.01*Input!F$14*($E87*Loads!E312+$F87*Loads!F312)+10*($B87*Loads!B312+$C87*Loads!C312+$D87*Loads!D312+$G87*Loads!G312)</f>
        <v>44.87580030037072</v>
      </c>
      <c r="C181" s="6"/>
    </row>
    <row r="182" spans="1:3" x14ac:dyDescent="0.2">
      <c r="A182" s="5" t="s">
        <v>98</v>
      </c>
      <c r="B182" s="25">
        <f>0.01*Input!F$14*($E88*Loads!E313+$F88*Loads!F313)+10*($B88*Loads!B313+$C88*Loads!C313+$D88*Loads!D313+$G88*Loads!G313)</f>
        <v>5.5389465420678857E-3</v>
      </c>
      <c r="C182" s="6"/>
    </row>
    <row r="183" spans="1:3" x14ac:dyDescent="0.2">
      <c r="A183" s="5" t="s">
        <v>99</v>
      </c>
      <c r="B183" s="25">
        <f>0.01*Input!F$14*($E89*Loads!E314+$F89*Loads!F314)+10*($B89*Loads!B314+$C89*Loads!C314+$D89*Loads!D314+$G89*Loads!G314)</f>
        <v>0</v>
      </c>
      <c r="C183" s="6"/>
    </row>
    <row r="184" spans="1:3" x14ac:dyDescent="0.2">
      <c r="A184" s="5" t="s">
        <v>100</v>
      </c>
      <c r="B184" s="25">
        <f>0.01*Input!F$14*($E90*Loads!E315+$F90*Loads!F315)+10*($B90*Loads!B315+$C90*Loads!C315+$D90*Loads!D315+$G90*Loads!G315)</f>
        <v>843.90115136885231</v>
      </c>
      <c r="C184" s="6"/>
    </row>
    <row r="185" spans="1:3" x14ac:dyDescent="0.2">
      <c r="A185" s="5" t="s">
        <v>61</v>
      </c>
      <c r="B185" s="25">
        <f>0.01*Input!F$14*($E91*Loads!E316+$F91*Loads!F316)+10*($B91*Loads!B316+$C91*Loads!C316+$D91*Loads!D316+$G91*Loads!G316)</f>
        <v>-7.3569908137434359E-2</v>
      </c>
      <c r="C185" s="6"/>
    </row>
    <row r="186" spans="1:3" x14ac:dyDescent="0.2">
      <c r="A186" s="5" t="s">
        <v>62</v>
      </c>
      <c r="B186" s="25">
        <f>0.01*Input!F$14*($E92*Loads!E317+$F92*Loads!F317)+10*($B92*Loads!B317+$C92*Loads!C317+$D92*Loads!D317+$G92*Loads!G317)</f>
        <v>0</v>
      </c>
      <c r="C186" s="6"/>
    </row>
    <row r="187" spans="1:3" x14ac:dyDescent="0.2">
      <c r="A187" s="5" t="s">
        <v>63</v>
      </c>
      <c r="B187" s="25">
        <f>0.01*Input!F$14*($E93*Loads!E318+$F93*Loads!F318)+10*($B93*Loads!B318+$C93*Loads!C318+$D93*Loads!D318+$G93*Loads!G318)</f>
        <v>5.7994453092598803</v>
      </c>
      <c r="C187" s="6"/>
    </row>
    <row r="188" spans="1:3" x14ac:dyDescent="0.2">
      <c r="A188" s="5" t="s">
        <v>64</v>
      </c>
      <c r="B188" s="25">
        <f>0.01*Input!F$14*($E94*Loads!E319+$F94*Loads!F319)+10*($B94*Loads!B319+$C94*Loads!C319+$D94*Loads!D319+$G94*Loads!G319)</f>
        <v>-0.29212300291911486</v>
      </c>
      <c r="C188" s="6"/>
    </row>
    <row r="189" spans="1:3" x14ac:dyDescent="0.2">
      <c r="A189" s="5" t="s">
        <v>65</v>
      </c>
      <c r="B189" s="25">
        <f>0.01*Input!F$14*($E95*Loads!E320+$F95*Loads!F320)+10*($B95*Loads!B320+$C95*Loads!C320+$D95*Loads!D320+$G95*Loads!G320)</f>
        <v>0.32449713847912443</v>
      </c>
      <c r="C189" s="6"/>
    </row>
    <row r="190" spans="1:3" x14ac:dyDescent="0.2">
      <c r="A190" s="5" t="s">
        <v>66</v>
      </c>
      <c r="B190" s="25">
        <f>0.01*Input!F$14*($E96*Loads!E321+$F96*Loads!F321)+10*($B96*Loads!B321+$C96*Loads!C321+$D96*Loads!D321+$G96*Loads!G321)</f>
        <v>4.3072455921447697</v>
      </c>
      <c r="C190" s="6"/>
    </row>
    <row r="191" spans="1:3" x14ac:dyDescent="0.2">
      <c r="A191" s="5" t="s">
        <v>75</v>
      </c>
      <c r="B191" s="25">
        <f>0.01*Input!F$14*($E97*Loads!E322+$F97*Loads!F322)+10*($B97*Loads!B322+$C97*Loads!C322+$D97*Loads!D322+$G97*Loads!G322)</f>
        <v>-370.83839983877129</v>
      </c>
      <c r="C191" s="6"/>
    </row>
    <row r="192" spans="1:3" x14ac:dyDescent="0.2">
      <c r="A192" s="5" t="s">
        <v>76</v>
      </c>
      <c r="B192" s="25">
        <f>0.01*Input!F$14*($E98*Loads!E323+$F98*Loads!F323)+10*($B98*Loads!B323+$C98*Loads!C323+$D98*Loads!D323+$G98*Loads!G323)</f>
        <v>334.95694989460702</v>
      </c>
      <c r="C192" s="6"/>
    </row>
    <row r="193" spans="1:6" x14ac:dyDescent="0.2">
      <c r="A193" s="5" t="s">
        <v>77</v>
      </c>
      <c r="B193" s="25">
        <f>0.01*Input!F$14*($E99*Loads!E324+$F99*Loads!F324)+10*($B99*Loads!B324+$C99*Loads!C324+$D99*Loads!D324+$G99*Loads!G324)</f>
        <v>0</v>
      </c>
      <c r="C193" s="6"/>
    </row>
    <row r="194" spans="1:6" x14ac:dyDescent="0.2">
      <c r="A194" s="5" t="s">
        <v>78</v>
      </c>
      <c r="B194" s="25">
        <f>0.01*Input!F$14*($E100*Loads!E325+$F100*Loads!F325)+10*($B100*Loads!B325+$C100*Loads!C325+$D100*Loads!D325+$G100*Loads!G325)</f>
        <v>0</v>
      </c>
      <c r="C194" s="6"/>
    </row>
    <row r="196" spans="1:6" ht="16.5" x14ac:dyDescent="0.25">
      <c r="A196" s="3" t="s">
        <v>1359</v>
      </c>
    </row>
    <row r="197" spans="1:6" x14ac:dyDescent="0.2">
      <c r="A197" s="10" t="s">
        <v>238</v>
      </c>
    </row>
    <row r="198" spans="1:6" x14ac:dyDescent="0.2">
      <c r="A198" s="11" t="s">
        <v>1360</v>
      </c>
    </row>
    <row r="199" spans="1:6" x14ac:dyDescent="0.2">
      <c r="A199" s="69" t="s">
        <v>1823</v>
      </c>
    </row>
    <row r="200" spans="1:6" x14ac:dyDescent="0.2">
      <c r="A200" s="69" t="s">
        <v>1824</v>
      </c>
    </row>
    <row r="201" spans="1:6" x14ac:dyDescent="0.2">
      <c r="A201" s="69" t="s">
        <v>1825</v>
      </c>
    </row>
    <row r="202" spans="1:6" x14ac:dyDescent="0.2">
      <c r="A202" s="69" t="s">
        <v>1826</v>
      </c>
    </row>
    <row r="203" spans="1:6" x14ac:dyDescent="0.2">
      <c r="A203" s="69" t="s">
        <v>1827</v>
      </c>
    </row>
    <row r="204" spans="1:6" x14ac:dyDescent="0.2">
      <c r="A204" s="69" t="s">
        <v>1828</v>
      </c>
    </row>
    <row r="205" spans="1:6" ht="14.25" x14ac:dyDescent="0.2">
      <c r="A205" s="64" t="s">
        <v>1829</v>
      </c>
    </row>
    <row r="206" spans="1:6" x14ac:dyDescent="0.2">
      <c r="A206" s="18" t="s">
        <v>241</v>
      </c>
      <c r="B206" s="18" t="s">
        <v>300</v>
      </c>
      <c r="C206" s="18" t="s">
        <v>372</v>
      </c>
      <c r="D206" s="18" t="s">
        <v>372</v>
      </c>
      <c r="E206" s="18" t="s">
        <v>371</v>
      </c>
      <c r="F206" s="18" t="s">
        <v>371</v>
      </c>
    </row>
    <row r="207" spans="1:6" x14ac:dyDescent="0.2">
      <c r="A207" s="18" t="s">
        <v>244</v>
      </c>
      <c r="B207" s="18" t="s">
        <v>302</v>
      </c>
      <c r="C207" s="76" t="s">
        <v>423</v>
      </c>
      <c r="D207" s="76" t="s">
        <v>424</v>
      </c>
      <c r="E207" s="76" t="s">
        <v>1830</v>
      </c>
      <c r="F207" s="76" t="s">
        <v>1831</v>
      </c>
    </row>
    <row r="209" spans="1:7" ht="25.5" x14ac:dyDescent="0.2">
      <c r="B209" s="4" t="s">
        <v>974</v>
      </c>
      <c r="C209" s="4" t="s">
        <v>1361</v>
      </c>
      <c r="D209" s="4" t="s">
        <v>1362</v>
      </c>
      <c r="E209" s="4" t="s">
        <v>1363</v>
      </c>
      <c r="F209" s="4" t="s">
        <v>1364</v>
      </c>
    </row>
    <row r="210" spans="1:7" x14ac:dyDescent="0.2">
      <c r="A210" s="5" t="s">
        <v>1365</v>
      </c>
      <c r="B210" s="25">
        <f>Revenue!B67</f>
        <v>336509980.77315152</v>
      </c>
      <c r="C210" s="25">
        <f>SUM(Scaler!$H$407:$H$434)</f>
        <v>145322707.22053638</v>
      </c>
      <c r="D210" s="25">
        <f>SUM(B$167:B$194)</f>
        <v>5731.2782652402993</v>
      </c>
      <c r="E210" s="25">
        <f>B210+C210+D210</f>
        <v>481838419.27195311</v>
      </c>
      <c r="F210" s="25">
        <f>E210-Revenue!B56</f>
        <v>5731.2782652378082</v>
      </c>
      <c r="G210" s="6"/>
    </row>
    <row r="212" spans="1:7" ht="16.5" x14ac:dyDescent="0.25">
      <c r="A212" s="3" t="s">
        <v>1366</v>
      </c>
    </row>
    <row r="213" spans="1:7" x14ac:dyDescent="0.2">
      <c r="A213" s="10" t="s">
        <v>238</v>
      </c>
    </row>
    <row r="214" spans="1:7" x14ac:dyDescent="0.2">
      <c r="A214" s="11" t="s">
        <v>1367</v>
      </c>
    </row>
    <row r="215" spans="1:7" x14ac:dyDescent="0.2">
      <c r="A215" s="11" t="s">
        <v>1368</v>
      </c>
    </row>
    <row r="216" spans="1:7" x14ac:dyDescent="0.2">
      <c r="A216" s="11" t="s">
        <v>1369</v>
      </c>
    </row>
    <row r="217" spans="1:7" x14ac:dyDescent="0.2">
      <c r="A217" s="11" t="s">
        <v>1370</v>
      </c>
    </row>
    <row r="218" spans="1:7" x14ac:dyDescent="0.2">
      <c r="A218" s="11" t="s">
        <v>1371</v>
      </c>
    </row>
    <row r="219" spans="1:7" x14ac:dyDescent="0.2">
      <c r="A219" s="11" t="s">
        <v>1372</v>
      </c>
    </row>
    <row r="220" spans="1:7" x14ac:dyDescent="0.2">
      <c r="A220" s="11" t="s">
        <v>1373</v>
      </c>
    </row>
    <row r="221" spans="1:7" x14ac:dyDescent="0.2">
      <c r="A221" s="11" t="s">
        <v>1374</v>
      </c>
    </row>
    <row r="222" spans="1:7" x14ac:dyDescent="0.2">
      <c r="A222" s="18" t="s">
        <v>241</v>
      </c>
      <c r="B222" s="18" t="s">
        <v>371</v>
      </c>
      <c r="C222" s="18" t="s">
        <v>371</v>
      </c>
      <c r="D222" s="18" t="s">
        <v>371</v>
      </c>
      <c r="E222" s="18" t="s">
        <v>371</v>
      </c>
      <c r="F222" s="18" t="s">
        <v>371</v>
      </c>
      <c r="G222" s="18" t="s">
        <v>371</v>
      </c>
    </row>
    <row r="223" spans="1:7" x14ac:dyDescent="0.2">
      <c r="A223" s="18" t="s">
        <v>244</v>
      </c>
      <c r="B223" s="18" t="s">
        <v>1375</v>
      </c>
      <c r="C223" s="18" t="s">
        <v>1376</v>
      </c>
      <c r="D223" s="18" t="s">
        <v>1377</v>
      </c>
      <c r="E223" s="18" t="s">
        <v>1378</v>
      </c>
      <c r="F223" s="18" t="s">
        <v>1379</v>
      </c>
      <c r="G223" s="18" t="s">
        <v>1380</v>
      </c>
    </row>
    <row r="225" spans="1:8" ht="25.5" x14ac:dyDescent="0.2">
      <c r="B225" s="4" t="s">
        <v>1319</v>
      </c>
      <c r="C225" s="4" t="s">
        <v>1320</v>
      </c>
      <c r="D225" s="4" t="s">
        <v>1321</v>
      </c>
      <c r="E225" s="4" t="s">
        <v>1322</v>
      </c>
      <c r="F225" s="4" t="s">
        <v>1323</v>
      </c>
      <c r="G225" s="4" t="s">
        <v>957</v>
      </c>
    </row>
    <row r="226" spans="1:8" x14ac:dyDescent="0.2">
      <c r="A226" s="12" t="s">
        <v>111</v>
      </c>
      <c r="H226" s="6"/>
    </row>
    <row r="227" spans="1:8" x14ac:dyDescent="0.2">
      <c r="A227" s="5" t="s">
        <v>53</v>
      </c>
      <c r="B227" s="17">
        <f>ROUND(B$120*(1-Loads!$B191),3)</f>
        <v>2.887</v>
      </c>
      <c r="C227" s="17">
        <f>ROUND(C$120*(1-Loads!$B191),3)</f>
        <v>0</v>
      </c>
      <c r="D227" s="17">
        <f>ROUND(D$120*(1-Loads!$B191),3)</f>
        <v>0</v>
      </c>
      <c r="E227" s="29">
        <f>ROUND(E$120*(1-Loads!$C191),2)</f>
        <v>3.42</v>
      </c>
      <c r="F227" s="29">
        <f>ROUND(F$120*(1-Loads!$B191),2)</f>
        <v>0</v>
      </c>
      <c r="G227" s="17">
        <f>ROUND(G$120*(1-Loads!$B191),3)</f>
        <v>0</v>
      </c>
      <c r="H227" s="6"/>
    </row>
    <row r="228" spans="1:8" x14ac:dyDescent="0.2">
      <c r="A228" s="5" t="s">
        <v>112</v>
      </c>
      <c r="B228" s="17">
        <f>ROUND(B$120*(1-Loads!$B192),3)</f>
        <v>1.9470000000000001</v>
      </c>
      <c r="C228" s="17">
        <f>ROUND(C$120*(1-Loads!$B192),3)</f>
        <v>0</v>
      </c>
      <c r="D228" s="17">
        <f>ROUND(D$120*(1-Loads!$B192),3)</f>
        <v>0</v>
      </c>
      <c r="E228" s="29">
        <f>ROUND(E$120*(1-Loads!$C192),2)</f>
        <v>2.31</v>
      </c>
      <c r="F228" s="29">
        <f>ROUND(F$120*(1-Loads!$B192),2)</f>
        <v>0</v>
      </c>
      <c r="G228" s="17">
        <f>ROUND(G$120*(1-Loads!$B192),3)</f>
        <v>0</v>
      </c>
      <c r="H228" s="6"/>
    </row>
    <row r="229" spans="1:8" x14ac:dyDescent="0.2">
      <c r="A229" s="5" t="s">
        <v>113</v>
      </c>
      <c r="B229" s="17">
        <f>ROUND(B$120*(1-Loads!$B193),3)</f>
        <v>1.306</v>
      </c>
      <c r="C229" s="17">
        <f>ROUND(C$120*(1-Loads!$B193),3)</f>
        <v>0</v>
      </c>
      <c r="D229" s="17">
        <f>ROUND(D$120*(1-Loads!$B193),3)</f>
        <v>0</v>
      </c>
      <c r="E229" s="29">
        <f>ROUND(E$120*(1-Loads!$C193),2)</f>
        <v>1.55</v>
      </c>
      <c r="F229" s="29">
        <f>ROUND(F$120*(1-Loads!$B193),2)</f>
        <v>0</v>
      </c>
      <c r="G229" s="17">
        <f>ROUND(G$120*(1-Loads!$B193),3)</f>
        <v>0</v>
      </c>
      <c r="H229" s="6"/>
    </row>
    <row r="230" spans="1:8" x14ac:dyDescent="0.2">
      <c r="A230" s="12" t="s">
        <v>114</v>
      </c>
      <c r="H230" s="6"/>
    </row>
    <row r="231" spans="1:8" x14ac:dyDescent="0.2">
      <c r="A231" s="5" t="s">
        <v>54</v>
      </c>
      <c r="B231" s="17">
        <f>ROUND(B$121*(1-Loads!$B195),3)</f>
        <v>2.992</v>
      </c>
      <c r="C231" s="17">
        <f>ROUND(C$121*(1-Loads!$B195),3)</f>
        <v>0.29099999999999998</v>
      </c>
      <c r="D231" s="17">
        <f>ROUND(D$121*(1-Loads!$B195),3)</f>
        <v>0</v>
      </c>
      <c r="E231" s="29">
        <f>ROUND(E$121*(1-Loads!$C195),2)</f>
        <v>3.42</v>
      </c>
      <c r="F231" s="29">
        <f>ROUND(F$121*(1-Loads!$B195),2)</f>
        <v>0</v>
      </c>
      <c r="G231" s="17">
        <f>ROUND(G$121*(1-Loads!$B195),3)</f>
        <v>0</v>
      </c>
      <c r="H231" s="6"/>
    </row>
    <row r="232" spans="1:8" x14ac:dyDescent="0.2">
      <c r="A232" s="5" t="s">
        <v>115</v>
      </c>
      <c r="B232" s="17">
        <f>ROUND(B$121*(1-Loads!$B196),3)</f>
        <v>2.0179999999999998</v>
      </c>
      <c r="C232" s="17">
        <f>ROUND(C$121*(1-Loads!$B196),3)</f>
        <v>0.19600000000000001</v>
      </c>
      <c r="D232" s="17">
        <f>ROUND(D$121*(1-Loads!$B196),3)</f>
        <v>0</v>
      </c>
      <c r="E232" s="29">
        <f>ROUND(E$121*(1-Loads!$C196),2)</f>
        <v>2.31</v>
      </c>
      <c r="F232" s="29">
        <f>ROUND(F$121*(1-Loads!$B196),2)</f>
        <v>0</v>
      </c>
      <c r="G232" s="17">
        <f>ROUND(G$121*(1-Loads!$B196),3)</f>
        <v>0</v>
      </c>
      <c r="H232" s="6"/>
    </row>
    <row r="233" spans="1:8" x14ac:dyDescent="0.2">
      <c r="A233" s="5" t="s">
        <v>116</v>
      </c>
      <c r="B233" s="17">
        <f>ROUND(B$121*(1-Loads!$B197),3)</f>
        <v>1.353</v>
      </c>
      <c r="C233" s="17">
        <f>ROUND(C$121*(1-Loads!$B197),3)</f>
        <v>0.13200000000000001</v>
      </c>
      <c r="D233" s="17">
        <f>ROUND(D$121*(1-Loads!$B197),3)</f>
        <v>0</v>
      </c>
      <c r="E233" s="29">
        <f>ROUND(E$121*(1-Loads!$C197),2)</f>
        <v>1.55</v>
      </c>
      <c r="F233" s="29">
        <f>ROUND(F$121*(1-Loads!$B197),2)</f>
        <v>0</v>
      </c>
      <c r="G233" s="17">
        <f>ROUND(G$121*(1-Loads!$B197),3)</f>
        <v>0</v>
      </c>
      <c r="H233" s="6"/>
    </row>
    <row r="234" spans="1:8" x14ac:dyDescent="0.2">
      <c r="A234" s="12" t="s">
        <v>117</v>
      </c>
      <c r="H234" s="6"/>
    </row>
    <row r="235" spans="1:8" x14ac:dyDescent="0.2">
      <c r="A235" s="5" t="s">
        <v>94</v>
      </c>
      <c r="B235" s="17">
        <f>ROUND(B$122*(1-Loads!$B199),3)</f>
        <v>0.30399999999999999</v>
      </c>
      <c r="C235" s="17">
        <f>ROUND(C$122*(1-Loads!$B199),3)</f>
        <v>0</v>
      </c>
      <c r="D235" s="17">
        <f>ROUND(D$122*(1-Loads!$B199),3)</f>
        <v>0</v>
      </c>
      <c r="E235" s="29">
        <f>ROUND(E$122*(1-Loads!$C199),2)</f>
        <v>0</v>
      </c>
      <c r="F235" s="29">
        <f>ROUND(F$122*(1-Loads!$B199),2)</f>
        <v>0</v>
      </c>
      <c r="G235" s="17">
        <f>ROUND(G$122*(1-Loads!$B199),3)</f>
        <v>0</v>
      </c>
      <c r="H235" s="6"/>
    </row>
    <row r="236" spans="1:8" x14ac:dyDescent="0.2">
      <c r="A236" s="5" t="s">
        <v>118</v>
      </c>
      <c r="B236" s="17">
        <f>ROUND(B$122*(1-Loads!$B200),3)</f>
        <v>0.20499999999999999</v>
      </c>
      <c r="C236" s="17">
        <f>ROUND(C$122*(1-Loads!$B200),3)</f>
        <v>0</v>
      </c>
      <c r="D236" s="17">
        <f>ROUND(D$122*(1-Loads!$B200),3)</f>
        <v>0</v>
      </c>
      <c r="E236" s="29">
        <f>ROUND(E$122*(1-Loads!$C200),2)</f>
        <v>0</v>
      </c>
      <c r="F236" s="29">
        <f>ROUND(F$122*(1-Loads!$B200),2)</f>
        <v>0</v>
      </c>
      <c r="G236" s="17">
        <f>ROUND(G$122*(1-Loads!$B200),3)</f>
        <v>0</v>
      </c>
      <c r="H236" s="6"/>
    </row>
    <row r="237" spans="1:8" x14ac:dyDescent="0.2">
      <c r="A237" s="5" t="s">
        <v>119</v>
      </c>
      <c r="B237" s="17">
        <f>ROUND(B$122*(1-Loads!$B201),3)</f>
        <v>0.13700000000000001</v>
      </c>
      <c r="C237" s="17">
        <f>ROUND(C$122*(1-Loads!$B201),3)</f>
        <v>0</v>
      </c>
      <c r="D237" s="17">
        <f>ROUND(D$122*(1-Loads!$B201),3)</f>
        <v>0</v>
      </c>
      <c r="E237" s="29">
        <f>ROUND(E$122*(1-Loads!$C201),2)</f>
        <v>0</v>
      </c>
      <c r="F237" s="29">
        <f>ROUND(F$122*(1-Loads!$B201),2)</f>
        <v>0</v>
      </c>
      <c r="G237" s="17">
        <f>ROUND(G$122*(1-Loads!$B201),3)</f>
        <v>0</v>
      </c>
      <c r="H237" s="6"/>
    </row>
    <row r="238" spans="1:8" x14ac:dyDescent="0.2">
      <c r="A238" s="12" t="s">
        <v>120</v>
      </c>
      <c r="H238" s="6"/>
    </row>
    <row r="239" spans="1:8" x14ac:dyDescent="0.2">
      <c r="A239" s="5" t="s">
        <v>55</v>
      </c>
      <c r="B239" s="17">
        <f>ROUND(B$123*(1-Loads!$B203),3)</f>
        <v>2.4119999999999999</v>
      </c>
      <c r="C239" s="17">
        <f>ROUND(C$123*(1-Loads!$B203),3)</f>
        <v>0</v>
      </c>
      <c r="D239" s="17">
        <f>ROUND(D$123*(1-Loads!$B203),3)</f>
        <v>0</v>
      </c>
      <c r="E239" s="29">
        <f>ROUND(E$123*(1-Loads!$C203),2)</f>
        <v>3.42</v>
      </c>
      <c r="F239" s="29">
        <f>ROUND(F$123*(1-Loads!$B203),2)</f>
        <v>0</v>
      </c>
      <c r="G239" s="17">
        <f>ROUND(G$123*(1-Loads!$B203),3)</f>
        <v>0</v>
      </c>
      <c r="H239" s="6"/>
    </row>
    <row r="240" spans="1:8" x14ac:dyDescent="0.2">
      <c r="A240" s="5" t="s">
        <v>121</v>
      </c>
      <c r="B240" s="17">
        <f>ROUND(B$123*(1-Loads!$B204),3)</f>
        <v>1.627</v>
      </c>
      <c r="C240" s="17">
        <f>ROUND(C$123*(1-Loads!$B204),3)</f>
        <v>0</v>
      </c>
      <c r="D240" s="17">
        <f>ROUND(D$123*(1-Loads!$B204),3)</f>
        <v>0</v>
      </c>
      <c r="E240" s="29">
        <f>ROUND(E$123*(1-Loads!$C204),2)</f>
        <v>2.31</v>
      </c>
      <c r="F240" s="29">
        <f>ROUND(F$123*(1-Loads!$B204),2)</f>
        <v>0</v>
      </c>
      <c r="G240" s="17">
        <f>ROUND(G$123*(1-Loads!$B204),3)</f>
        <v>0</v>
      </c>
      <c r="H240" s="6"/>
    </row>
    <row r="241" spans="1:8" x14ac:dyDescent="0.2">
      <c r="A241" s="5" t="s">
        <v>122</v>
      </c>
      <c r="B241" s="17">
        <f>ROUND(B$123*(1-Loads!$B205),3)</f>
        <v>1.091</v>
      </c>
      <c r="C241" s="17">
        <f>ROUND(C$123*(1-Loads!$B205),3)</f>
        <v>0</v>
      </c>
      <c r="D241" s="17">
        <f>ROUND(D$123*(1-Loads!$B205),3)</f>
        <v>0</v>
      </c>
      <c r="E241" s="29">
        <f>ROUND(E$123*(1-Loads!$C205),2)</f>
        <v>1.55</v>
      </c>
      <c r="F241" s="29">
        <f>ROUND(F$123*(1-Loads!$B205),2)</f>
        <v>0</v>
      </c>
      <c r="G241" s="17">
        <f>ROUND(G$123*(1-Loads!$B205),3)</f>
        <v>0</v>
      </c>
      <c r="H241" s="6"/>
    </row>
    <row r="242" spans="1:8" x14ac:dyDescent="0.2">
      <c r="A242" s="12" t="s">
        <v>123</v>
      </c>
      <c r="H242" s="6"/>
    </row>
    <row r="243" spans="1:8" x14ac:dyDescent="0.2">
      <c r="A243" s="5" t="s">
        <v>56</v>
      </c>
      <c r="B243" s="17">
        <f>ROUND(B$124*(1-Loads!$B207),3)</f>
        <v>2.5529999999999999</v>
      </c>
      <c r="C243" s="17">
        <f>ROUND(C$124*(1-Loads!$B207),3)</f>
        <v>0.251</v>
      </c>
      <c r="D243" s="17">
        <f>ROUND(D$124*(1-Loads!$B207),3)</f>
        <v>0</v>
      </c>
      <c r="E243" s="29">
        <f>ROUND(E$124*(1-Loads!$C207),2)</f>
        <v>3.42</v>
      </c>
      <c r="F243" s="29">
        <f>ROUND(F$124*(1-Loads!$B207),2)</f>
        <v>0</v>
      </c>
      <c r="G243" s="17">
        <f>ROUND(G$124*(1-Loads!$B207),3)</f>
        <v>0</v>
      </c>
      <c r="H243" s="6"/>
    </row>
    <row r="244" spans="1:8" x14ac:dyDescent="0.2">
      <c r="A244" s="5" t="s">
        <v>124</v>
      </c>
      <c r="B244" s="17">
        <f>ROUND(B$124*(1-Loads!$B208),3)</f>
        <v>1.722</v>
      </c>
      <c r="C244" s="17">
        <f>ROUND(C$124*(1-Loads!$B208),3)</f>
        <v>0.16900000000000001</v>
      </c>
      <c r="D244" s="17">
        <f>ROUND(D$124*(1-Loads!$B208),3)</f>
        <v>0</v>
      </c>
      <c r="E244" s="29">
        <f>ROUND(E$124*(1-Loads!$C208),2)</f>
        <v>2.31</v>
      </c>
      <c r="F244" s="29">
        <f>ROUND(F$124*(1-Loads!$B208),2)</f>
        <v>0</v>
      </c>
      <c r="G244" s="17">
        <f>ROUND(G$124*(1-Loads!$B208),3)</f>
        <v>0</v>
      </c>
      <c r="H244" s="6"/>
    </row>
    <row r="245" spans="1:8" x14ac:dyDescent="0.2">
      <c r="A245" s="5" t="s">
        <v>125</v>
      </c>
      <c r="B245" s="17">
        <f>ROUND(B$124*(1-Loads!$B209),3)</f>
        <v>1.155</v>
      </c>
      <c r="C245" s="17">
        <f>ROUND(C$124*(1-Loads!$B209),3)</f>
        <v>0.114</v>
      </c>
      <c r="D245" s="17">
        <f>ROUND(D$124*(1-Loads!$B209),3)</f>
        <v>0</v>
      </c>
      <c r="E245" s="29">
        <f>ROUND(E$124*(1-Loads!$C209),2)</f>
        <v>1.55</v>
      </c>
      <c r="F245" s="29">
        <f>ROUND(F$124*(1-Loads!$B209),2)</f>
        <v>0</v>
      </c>
      <c r="G245" s="17">
        <f>ROUND(G$124*(1-Loads!$B209),3)</f>
        <v>0</v>
      </c>
      <c r="H245" s="6"/>
    </row>
    <row r="246" spans="1:8" x14ac:dyDescent="0.2">
      <c r="A246" s="12" t="s">
        <v>126</v>
      </c>
      <c r="H246" s="6"/>
    </row>
    <row r="247" spans="1:8" x14ac:dyDescent="0.2">
      <c r="A247" s="5" t="s">
        <v>95</v>
      </c>
      <c r="B247" s="17">
        <f>ROUND(B$125*(1-Loads!$B211),3)</f>
        <v>0.252</v>
      </c>
      <c r="C247" s="17">
        <f>ROUND(C$125*(1-Loads!$B211),3)</f>
        <v>0</v>
      </c>
      <c r="D247" s="17">
        <f>ROUND(D$125*(1-Loads!$B211),3)</f>
        <v>0</v>
      </c>
      <c r="E247" s="29">
        <f>ROUND(E$125*(1-Loads!$C211),2)</f>
        <v>0</v>
      </c>
      <c r="F247" s="29">
        <f>ROUND(F$125*(1-Loads!$B211),2)</f>
        <v>0</v>
      </c>
      <c r="G247" s="17">
        <f>ROUND(G$125*(1-Loads!$B211),3)</f>
        <v>0</v>
      </c>
      <c r="H247" s="6"/>
    </row>
    <row r="248" spans="1:8" ht="25.5" x14ac:dyDescent="0.2">
      <c r="A248" s="5" t="s">
        <v>127</v>
      </c>
      <c r="B248" s="17">
        <f>ROUND(B$125*(1-Loads!$B212),3)</f>
        <v>0.17</v>
      </c>
      <c r="C248" s="17">
        <f>ROUND(C$125*(1-Loads!$B212),3)</f>
        <v>0</v>
      </c>
      <c r="D248" s="17">
        <f>ROUND(D$125*(1-Loads!$B212),3)</f>
        <v>0</v>
      </c>
      <c r="E248" s="29">
        <f>ROUND(E$125*(1-Loads!$C212),2)</f>
        <v>0</v>
      </c>
      <c r="F248" s="29">
        <f>ROUND(F$125*(1-Loads!$B212),2)</f>
        <v>0</v>
      </c>
      <c r="G248" s="17">
        <f>ROUND(G$125*(1-Loads!$B212),3)</f>
        <v>0</v>
      </c>
      <c r="H248" s="6"/>
    </row>
    <row r="249" spans="1:8" ht="25.5" x14ac:dyDescent="0.2">
      <c r="A249" s="5" t="s">
        <v>128</v>
      </c>
      <c r="B249" s="17">
        <f>ROUND(B$125*(1-Loads!$B213),3)</f>
        <v>0.114</v>
      </c>
      <c r="C249" s="17">
        <f>ROUND(C$125*(1-Loads!$B213),3)</f>
        <v>0</v>
      </c>
      <c r="D249" s="17">
        <f>ROUND(D$125*(1-Loads!$B213),3)</f>
        <v>0</v>
      </c>
      <c r="E249" s="29">
        <f>ROUND(E$125*(1-Loads!$C213),2)</f>
        <v>0</v>
      </c>
      <c r="F249" s="29">
        <f>ROUND(F$125*(1-Loads!$B213),2)</f>
        <v>0</v>
      </c>
      <c r="G249" s="17">
        <f>ROUND(G$125*(1-Loads!$B213),3)</f>
        <v>0</v>
      </c>
      <c r="H249" s="6"/>
    </row>
    <row r="250" spans="1:8" x14ac:dyDescent="0.2">
      <c r="A250" s="12" t="s">
        <v>129</v>
      </c>
      <c r="H250" s="6"/>
    </row>
    <row r="251" spans="1:8" x14ac:dyDescent="0.2">
      <c r="A251" s="5" t="s">
        <v>57</v>
      </c>
      <c r="B251" s="17">
        <f>ROUND(B$126*(1-Loads!$B215),3)</f>
        <v>2.448</v>
      </c>
      <c r="C251" s="17">
        <f>ROUND(C$126*(1-Loads!$B215),3)</f>
        <v>0.22500000000000001</v>
      </c>
      <c r="D251" s="17">
        <f>ROUND(D$126*(1-Loads!$B215),3)</f>
        <v>0</v>
      </c>
      <c r="E251" s="29">
        <f>ROUND(E$126*(1-Loads!$C215),2)</f>
        <v>24.2</v>
      </c>
      <c r="F251" s="29">
        <f>ROUND(F$126*(1-Loads!$B215),2)</f>
        <v>0</v>
      </c>
      <c r="G251" s="17">
        <f>ROUND(G$126*(1-Loads!$B215),3)</f>
        <v>0</v>
      </c>
      <c r="H251" s="6"/>
    </row>
    <row r="252" spans="1:8" x14ac:dyDescent="0.2">
      <c r="A252" s="5" t="s">
        <v>130</v>
      </c>
      <c r="B252" s="17">
        <f>ROUND(B$126*(1-Loads!$B216),3)</f>
        <v>1.651</v>
      </c>
      <c r="C252" s="17">
        <f>ROUND(C$126*(1-Loads!$B216),3)</f>
        <v>0.152</v>
      </c>
      <c r="D252" s="17">
        <f>ROUND(D$126*(1-Loads!$B216),3)</f>
        <v>0</v>
      </c>
      <c r="E252" s="29">
        <f>ROUND(E$126*(1-Loads!$C216),2)</f>
        <v>16.32</v>
      </c>
      <c r="F252" s="29">
        <f>ROUND(F$126*(1-Loads!$B216),2)</f>
        <v>0</v>
      </c>
      <c r="G252" s="17">
        <f>ROUND(G$126*(1-Loads!$B216),3)</f>
        <v>0</v>
      </c>
      <c r="H252" s="6"/>
    </row>
    <row r="253" spans="1:8" x14ac:dyDescent="0.2">
      <c r="A253" s="5" t="s">
        <v>131</v>
      </c>
      <c r="B253" s="17">
        <f>ROUND(B$126*(1-Loads!$B217),3)</f>
        <v>1.107</v>
      </c>
      <c r="C253" s="17">
        <f>ROUND(C$126*(1-Loads!$B217),3)</f>
        <v>0.10199999999999999</v>
      </c>
      <c r="D253" s="17">
        <f>ROUND(D$126*(1-Loads!$B217),3)</f>
        <v>0</v>
      </c>
      <c r="E253" s="29">
        <f>ROUND(E$126*(1-Loads!$C217),2)</f>
        <v>10.94</v>
      </c>
      <c r="F253" s="29">
        <f>ROUND(F$126*(1-Loads!$B217),2)</f>
        <v>0</v>
      </c>
      <c r="G253" s="17">
        <f>ROUND(G$126*(1-Loads!$B217),3)</f>
        <v>0</v>
      </c>
      <c r="H253" s="6"/>
    </row>
    <row r="254" spans="1:8" x14ac:dyDescent="0.2">
      <c r="A254" s="12" t="s">
        <v>132</v>
      </c>
      <c r="H254" s="6"/>
    </row>
    <row r="255" spans="1:8" x14ac:dyDescent="0.2">
      <c r="A255" s="5" t="s">
        <v>58</v>
      </c>
      <c r="B255" s="17">
        <f>ROUND(B$127*(1-Loads!$B219),3)</f>
        <v>2.0699999999999998</v>
      </c>
      <c r="C255" s="17">
        <f>ROUND(C$127*(1-Loads!$B219),3)</f>
        <v>0.186</v>
      </c>
      <c r="D255" s="17">
        <f>ROUND(D$127*(1-Loads!$B219),3)</f>
        <v>0</v>
      </c>
      <c r="E255" s="29">
        <f>ROUND(E$127*(1-Loads!$C219),2)</f>
        <v>57.08</v>
      </c>
      <c r="F255" s="29">
        <f>ROUND(F$127*(1-Loads!$B219),2)</f>
        <v>0</v>
      </c>
      <c r="G255" s="17">
        <f>ROUND(G$127*(1-Loads!$B219),3)</f>
        <v>0</v>
      </c>
      <c r="H255" s="6"/>
    </row>
    <row r="256" spans="1:8" x14ac:dyDescent="0.2">
      <c r="A256" s="12" t="s">
        <v>133</v>
      </c>
      <c r="H256" s="6"/>
    </row>
    <row r="257" spans="1:8" x14ac:dyDescent="0.2">
      <c r="A257" s="5" t="s">
        <v>72</v>
      </c>
      <c r="B257" s="17">
        <f>ROUND(B$128*(1-Loads!$B221),3)</f>
        <v>1.44</v>
      </c>
      <c r="C257" s="17">
        <f>ROUND(C$128*(1-Loads!$B221),3)</f>
        <v>0.123</v>
      </c>
      <c r="D257" s="17">
        <f>ROUND(D$128*(1-Loads!$B221),3)</f>
        <v>0</v>
      </c>
      <c r="E257" s="29">
        <f>ROUND(E$128*(1-Loads!$C221),2)</f>
        <v>254.67</v>
      </c>
      <c r="F257" s="29">
        <f>ROUND(F$128*(1-Loads!$B221),2)</f>
        <v>0</v>
      </c>
      <c r="G257" s="17">
        <f>ROUND(G$128*(1-Loads!$B221),3)</f>
        <v>0</v>
      </c>
      <c r="H257" s="6"/>
    </row>
    <row r="258" spans="1:8" x14ac:dyDescent="0.2">
      <c r="A258" s="12" t="s">
        <v>134</v>
      </c>
      <c r="H258" s="6"/>
    </row>
    <row r="259" spans="1:8" x14ac:dyDescent="0.2">
      <c r="A259" s="5" t="s">
        <v>59</v>
      </c>
      <c r="B259" s="17">
        <f>ROUND(B$129*(1-Loads!$B223),3)</f>
        <v>11.537000000000001</v>
      </c>
      <c r="C259" s="17">
        <f>ROUND(C$129*(1-Loads!$B223),3)</f>
        <v>0.94099999999999995</v>
      </c>
      <c r="D259" s="17">
        <f>ROUND(D$129*(1-Loads!$B223),3)</f>
        <v>0.14199999999999999</v>
      </c>
      <c r="E259" s="29">
        <f>ROUND(E$129*(1-Loads!$C223),2)</f>
        <v>11.93</v>
      </c>
      <c r="F259" s="29">
        <f>ROUND(F$129*(1-Loads!$B223),2)</f>
        <v>3.35</v>
      </c>
      <c r="G259" s="17">
        <f>ROUND(G$129*(1-Loads!$B223),3)</f>
        <v>0.316</v>
      </c>
      <c r="H259" s="6"/>
    </row>
    <row r="260" spans="1:8" x14ac:dyDescent="0.2">
      <c r="A260" s="5" t="s">
        <v>135</v>
      </c>
      <c r="B260" s="17">
        <f>ROUND(B$129*(1-Loads!$B224),3)</f>
        <v>7.782</v>
      </c>
      <c r="C260" s="17">
        <f>ROUND(C$129*(1-Loads!$B224),3)</f>
        <v>0.63500000000000001</v>
      </c>
      <c r="D260" s="17">
        <f>ROUND(D$129*(1-Loads!$B224),3)</f>
        <v>9.6000000000000002E-2</v>
      </c>
      <c r="E260" s="29">
        <f>ROUND(E$129*(1-Loads!$C224),2)</f>
        <v>8.0500000000000007</v>
      </c>
      <c r="F260" s="29">
        <f>ROUND(F$129*(1-Loads!$B224),2)</f>
        <v>2.2599999999999998</v>
      </c>
      <c r="G260" s="17">
        <f>ROUND(G$129*(1-Loads!$B224),3)</f>
        <v>0.21299999999999999</v>
      </c>
      <c r="H260" s="6"/>
    </row>
    <row r="261" spans="1:8" x14ac:dyDescent="0.2">
      <c r="A261" s="5" t="s">
        <v>136</v>
      </c>
      <c r="B261" s="17">
        <f>ROUND(B$129*(1-Loads!$B225),3)</f>
        <v>5.218</v>
      </c>
      <c r="C261" s="17">
        <f>ROUND(C$129*(1-Loads!$B225),3)</f>
        <v>0.42599999999999999</v>
      </c>
      <c r="D261" s="17">
        <f>ROUND(D$129*(1-Loads!$B225),3)</f>
        <v>6.4000000000000001E-2</v>
      </c>
      <c r="E261" s="29">
        <f>ROUND(E$129*(1-Loads!$C225),2)</f>
        <v>5.4</v>
      </c>
      <c r="F261" s="29">
        <f>ROUND(F$129*(1-Loads!$B225),2)</f>
        <v>1.52</v>
      </c>
      <c r="G261" s="17">
        <f>ROUND(G$129*(1-Loads!$B225),3)</f>
        <v>0.14299999999999999</v>
      </c>
      <c r="H261" s="6"/>
    </row>
    <row r="262" spans="1:8" x14ac:dyDescent="0.2">
      <c r="A262" s="12" t="s">
        <v>137</v>
      </c>
      <c r="H262" s="6"/>
    </row>
    <row r="263" spans="1:8" x14ac:dyDescent="0.2">
      <c r="A263" s="5" t="s">
        <v>60</v>
      </c>
      <c r="B263" s="17">
        <f>ROUND(B$130*(1-Loads!$B227),3)</f>
        <v>11.547000000000001</v>
      </c>
      <c r="C263" s="17">
        <f>ROUND(C$130*(1-Loads!$B227),3)</f>
        <v>0.89</v>
      </c>
      <c r="D263" s="17">
        <f>ROUND(D$130*(1-Loads!$B227),3)</f>
        <v>0.13700000000000001</v>
      </c>
      <c r="E263" s="29">
        <f>ROUND(E$130*(1-Loads!$C227),2)</f>
        <v>34.94</v>
      </c>
      <c r="F263" s="29">
        <f>ROUND(F$130*(1-Loads!$B227),2)</f>
        <v>3.29</v>
      </c>
      <c r="G263" s="17">
        <f>ROUND(G$130*(1-Loads!$B227),3)</f>
        <v>0.29699999999999999</v>
      </c>
      <c r="H263" s="6"/>
    </row>
    <row r="264" spans="1:8" x14ac:dyDescent="0.2">
      <c r="A264" s="5" t="s">
        <v>138</v>
      </c>
      <c r="B264" s="17">
        <f>ROUND(B$130*(1-Loads!$B228),3)</f>
        <v>7.9740000000000002</v>
      </c>
      <c r="C264" s="17">
        <f>ROUND(C$130*(1-Loads!$B228),3)</f>
        <v>0.61499999999999999</v>
      </c>
      <c r="D264" s="17">
        <f>ROUND(D$130*(1-Loads!$B228),3)</f>
        <v>9.5000000000000001E-2</v>
      </c>
      <c r="E264" s="29">
        <f>ROUND(E$130*(1-Loads!$C228),2)</f>
        <v>24.13</v>
      </c>
      <c r="F264" s="29">
        <f>ROUND(F$130*(1-Loads!$B228),2)</f>
        <v>2.27</v>
      </c>
      <c r="G264" s="17">
        <f>ROUND(G$130*(1-Loads!$B228),3)</f>
        <v>0.20499999999999999</v>
      </c>
      <c r="H264" s="6"/>
    </row>
    <row r="265" spans="1:8" x14ac:dyDescent="0.2">
      <c r="A265" s="12" t="s">
        <v>139</v>
      </c>
      <c r="H265" s="6"/>
    </row>
    <row r="266" spans="1:8" x14ac:dyDescent="0.2">
      <c r="A266" s="5" t="s">
        <v>73</v>
      </c>
      <c r="B266" s="17">
        <f>ROUND(B$131*(1-Loads!$B230),3)</f>
        <v>8.8230000000000004</v>
      </c>
      <c r="C266" s="17">
        <f>ROUND(C$131*(1-Loads!$B230),3)</f>
        <v>0.60799999999999998</v>
      </c>
      <c r="D266" s="17">
        <f>ROUND(D$131*(1-Loads!$B230),3)</f>
        <v>9.8000000000000004E-2</v>
      </c>
      <c r="E266" s="29">
        <f>ROUND(E$131*(1-Loads!$C230),2)</f>
        <v>102.6</v>
      </c>
      <c r="F266" s="29">
        <f>ROUND(F$131*(1-Loads!$B230),2)</f>
        <v>3.19</v>
      </c>
      <c r="G266" s="17">
        <f>ROUND(G$131*(1-Loads!$B230),3)</f>
        <v>0.20599999999999999</v>
      </c>
      <c r="H266" s="6"/>
    </row>
    <row r="267" spans="1:8" x14ac:dyDescent="0.2">
      <c r="A267" s="5" t="s">
        <v>140</v>
      </c>
      <c r="B267" s="17">
        <f>ROUND(B$131*(1-Loads!$B231),3)</f>
        <v>7.1180000000000003</v>
      </c>
      <c r="C267" s="17">
        <f>ROUND(C$131*(1-Loads!$B231),3)</f>
        <v>0.49099999999999999</v>
      </c>
      <c r="D267" s="17">
        <f>ROUND(D$131*(1-Loads!$B231),3)</f>
        <v>7.9000000000000001E-2</v>
      </c>
      <c r="E267" s="29">
        <f>ROUND(E$131*(1-Loads!$C231),2)</f>
        <v>82.78</v>
      </c>
      <c r="F267" s="29">
        <f>ROUND(F$131*(1-Loads!$B231),2)</f>
        <v>2.57</v>
      </c>
      <c r="G267" s="17">
        <f>ROUND(G$131*(1-Loads!$B231),3)</f>
        <v>0.16600000000000001</v>
      </c>
      <c r="H267" s="6"/>
    </row>
    <row r="268" spans="1:8" x14ac:dyDescent="0.2">
      <c r="A268" s="12" t="s">
        <v>141</v>
      </c>
      <c r="H268" s="6"/>
    </row>
    <row r="269" spans="1:8" x14ac:dyDescent="0.2">
      <c r="A269" s="5" t="s">
        <v>74</v>
      </c>
      <c r="B269" s="17">
        <f>ROUND(B$132*(1-Loads!$B233),3)</f>
        <v>7.2069999999999999</v>
      </c>
      <c r="C269" s="17">
        <f>ROUND(C$132*(1-Loads!$B233),3)</f>
        <v>0.45200000000000001</v>
      </c>
      <c r="D269" s="17">
        <f>ROUND(D$132*(1-Loads!$B233),3)</f>
        <v>7.5999999999999998E-2</v>
      </c>
      <c r="E269" s="29">
        <f>ROUND(E$132*(1-Loads!$C233),2)</f>
        <v>134.66</v>
      </c>
      <c r="F269" s="29">
        <f>ROUND(F$132*(1-Loads!$B233),2)</f>
        <v>2.25</v>
      </c>
      <c r="G269" s="17">
        <f>ROUND(G$132*(1-Loads!$B233),3)</f>
        <v>0.17499999999999999</v>
      </c>
      <c r="H269" s="6"/>
    </row>
    <row r="270" spans="1:8" x14ac:dyDescent="0.2">
      <c r="A270" s="12" t="s">
        <v>142</v>
      </c>
      <c r="H270" s="6"/>
    </row>
    <row r="271" spans="1:8" x14ac:dyDescent="0.2">
      <c r="A271" s="5" t="s">
        <v>96</v>
      </c>
      <c r="B271" s="17">
        <f>ROUND(B$133*(1-Loads!$B235),3)</f>
        <v>2.7189999999999999</v>
      </c>
      <c r="C271" s="17">
        <f>ROUND(C$133*(1-Loads!$B235),3)</f>
        <v>0</v>
      </c>
      <c r="D271" s="17">
        <f>ROUND(D$133*(1-Loads!$B235),3)</f>
        <v>0</v>
      </c>
      <c r="E271" s="29">
        <f>ROUND(E$133*(1-Loads!$C235),2)</f>
        <v>0</v>
      </c>
      <c r="F271" s="29">
        <f>ROUND(F$133*(1-Loads!$B235),2)</f>
        <v>0</v>
      </c>
      <c r="G271" s="17">
        <f>ROUND(G$133*(1-Loads!$B235),3)</f>
        <v>0</v>
      </c>
      <c r="H271" s="6"/>
    </row>
    <row r="272" spans="1:8" x14ac:dyDescent="0.2">
      <c r="A272" s="5" t="s">
        <v>143</v>
      </c>
      <c r="B272" s="17">
        <f>ROUND(B$133*(1-Loads!$B236),3)</f>
        <v>1.8340000000000001</v>
      </c>
      <c r="C272" s="17">
        <f>ROUND(C$133*(1-Loads!$B236),3)</f>
        <v>0</v>
      </c>
      <c r="D272" s="17">
        <f>ROUND(D$133*(1-Loads!$B236),3)</f>
        <v>0</v>
      </c>
      <c r="E272" s="29">
        <f>ROUND(E$133*(1-Loads!$C236),2)</f>
        <v>0</v>
      </c>
      <c r="F272" s="29">
        <f>ROUND(F$133*(1-Loads!$B236),2)</f>
        <v>0</v>
      </c>
      <c r="G272" s="17">
        <f>ROUND(G$133*(1-Loads!$B236),3)</f>
        <v>0</v>
      </c>
      <c r="H272" s="6"/>
    </row>
    <row r="273" spans="1:8" x14ac:dyDescent="0.2">
      <c r="A273" s="5" t="s">
        <v>144</v>
      </c>
      <c r="B273" s="17">
        <f>ROUND(B$133*(1-Loads!$B237),3)</f>
        <v>1.23</v>
      </c>
      <c r="C273" s="17">
        <f>ROUND(C$133*(1-Loads!$B237),3)</f>
        <v>0</v>
      </c>
      <c r="D273" s="17">
        <f>ROUND(D$133*(1-Loads!$B237),3)</f>
        <v>0</v>
      </c>
      <c r="E273" s="29">
        <f>ROUND(E$133*(1-Loads!$C237),2)</f>
        <v>0</v>
      </c>
      <c r="F273" s="29">
        <f>ROUND(F$133*(1-Loads!$B237),2)</f>
        <v>0</v>
      </c>
      <c r="G273" s="17">
        <f>ROUND(G$133*(1-Loads!$B237),3)</f>
        <v>0</v>
      </c>
      <c r="H273" s="6"/>
    </row>
    <row r="274" spans="1:8" x14ac:dyDescent="0.2">
      <c r="A274" s="12" t="s">
        <v>145</v>
      </c>
      <c r="H274" s="6"/>
    </row>
    <row r="275" spans="1:8" x14ac:dyDescent="0.2">
      <c r="A275" s="5" t="s">
        <v>97</v>
      </c>
      <c r="B275" s="17">
        <f>ROUND(B$134*(1-Loads!$B239),3)</f>
        <v>3.1829999999999998</v>
      </c>
      <c r="C275" s="17">
        <f>ROUND(C$134*(1-Loads!$B239),3)</f>
        <v>0</v>
      </c>
      <c r="D275" s="17">
        <f>ROUND(D$134*(1-Loads!$B239),3)</f>
        <v>0</v>
      </c>
      <c r="E275" s="29">
        <f>ROUND(E$134*(1-Loads!$C239),2)</f>
        <v>0</v>
      </c>
      <c r="F275" s="29">
        <f>ROUND(F$134*(1-Loads!$B239),2)</f>
        <v>0</v>
      </c>
      <c r="G275" s="17">
        <f>ROUND(G$134*(1-Loads!$B239),3)</f>
        <v>0</v>
      </c>
      <c r="H275" s="6"/>
    </row>
    <row r="276" spans="1:8" x14ac:dyDescent="0.2">
      <c r="A276" s="5" t="s">
        <v>146</v>
      </c>
      <c r="B276" s="17">
        <f>ROUND(B$134*(1-Loads!$B240),3)</f>
        <v>2.1469999999999998</v>
      </c>
      <c r="C276" s="17">
        <f>ROUND(C$134*(1-Loads!$B240),3)</f>
        <v>0</v>
      </c>
      <c r="D276" s="17">
        <f>ROUND(D$134*(1-Loads!$B240),3)</f>
        <v>0</v>
      </c>
      <c r="E276" s="29">
        <f>ROUND(E$134*(1-Loads!$C240),2)</f>
        <v>0</v>
      </c>
      <c r="F276" s="29">
        <f>ROUND(F$134*(1-Loads!$B240),2)</f>
        <v>0</v>
      </c>
      <c r="G276" s="17">
        <f>ROUND(G$134*(1-Loads!$B240),3)</f>
        <v>0</v>
      </c>
      <c r="H276" s="6"/>
    </row>
    <row r="277" spans="1:8" x14ac:dyDescent="0.2">
      <c r="A277" s="5" t="s">
        <v>147</v>
      </c>
      <c r="B277" s="17">
        <f>ROUND(B$134*(1-Loads!$B241),3)</f>
        <v>1.4390000000000001</v>
      </c>
      <c r="C277" s="17">
        <f>ROUND(C$134*(1-Loads!$B241),3)</f>
        <v>0</v>
      </c>
      <c r="D277" s="17">
        <f>ROUND(D$134*(1-Loads!$B241),3)</f>
        <v>0</v>
      </c>
      <c r="E277" s="29">
        <f>ROUND(E$134*(1-Loads!$C241),2)</f>
        <v>0</v>
      </c>
      <c r="F277" s="29">
        <f>ROUND(F$134*(1-Loads!$B241),2)</f>
        <v>0</v>
      </c>
      <c r="G277" s="17">
        <f>ROUND(G$134*(1-Loads!$B241),3)</f>
        <v>0</v>
      </c>
      <c r="H277" s="6"/>
    </row>
    <row r="278" spans="1:8" x14ac:dyDescent="0.2">
      <c r="A278" s="12" t="s">
        <v>148</v>
      </c>
      <c r="H278" s="6"/>
    </row>
    <row r="279" spans="1:8" x14ac:dyDescent="0.2">
      <c r="A279" s="5" t="s">
        <v>98</v>
      </c>
      <c r="B279" s="17">
        <f>ROUND(B$135*(1-Loads!$B243),3)</f>
        <v>4.5869999999999997</v>
      </c>
      <c r="C279" s="17">
        <f>ROUND(C$135*(1-Loads!$B243),3)</f>
        <v>0</v>
      </c>
      <c r="D279" s="17">
        <f>ROUND(D$135*(1-Loads!$B243),3)</f>
        <v>0</v>
      </c>
      <c r="E279" s="29">
        <f>ROUND(E$135*(1-Loads!$C243),2)</f>
        <v>0</v>
      </c>
      <c r="F279" s="29">
        <f>ROUND(F$135*(1-Loads!$B243),2)</f>
        <v>0</v>
      </c>
      <c r="G279" s="17">
        <f>ROUND(G$135*(1-Loads!$B243),3)</f>
        <v>0</v>
      </c>
      <c r="H279" s="6"/>
    </row>
    <row r="280" spans="1:8" x14ac:dyDescent="0.2">
      <c r="A280" s="5" t="s">
        <v>149</v>
      </c>
      <c r="B280" s="17">
        <f>ROUND(B$135*(1-Loads!$B244),3)</f>
        <v>3.0939999999999999</v>
      </c>
      <c r="C280" s="17">
        <f>ROUND(C$135*(1-Loads!$B244),3)</f>
        <v>0</v>
      </c>
      <c r="D280" s="17">
        <f>ROUND(D$135*(1-Loads!$B244),3)</f>
        <v>0</v>
      </c>
      <c r="E280" s="29">
        <f>ROUND(E$135*(1-Loads!$C244),2)</f>
        <v>0</v>
      </c>
      <c r="F280" s="29">
        <f>ROUND(F$135*(1-Loads!$B244),2)</f>
        <v>0</v>
      </c>
      <c r="G280" s="17">
        <f>ROUND(G$135*(1-Loads!$B244),3)</f>
        <v>0</v>
      </c>
      <c r="H280" s="6"/>
    </row>
    <row r="281" spans="1:8" x14ac:dyDescent="0.2">
      <c r="A281" s="5" t="s">
        <v>150</v>
      </c>
      <c r="B281" s="17">
        <f>ROUND(B$135*(1-Loads!$B245),3)</f>
        <v>2.0739999999999998</v>
      </c>
      <c r="C281" s="17">
        <f>ROUND(C$135*(1-Loads!$B245),3)</f>
        <v>0</v>
      </c>
      <c r="D281" s="17">
        <f>ROUND(D$135*(1-Loads!$B245),3)</f>
        <v>0</v>
      </c>
      <c r="E281" s="29">
        <f>ROUND(E$135*(1-Loads!$C245),2)</f>
        <v>0</v>
      </c>
      <c r="F281" s="29">
        <f>ROUND(F$135*(1-Loads!$B245),2)</f>
        <v>0</v>
      </c>
      <c r="G281" s="17">
        <f>ROUND(G$135*(1-Loads!$B245),3)</f>
        <v>0</v>
      </c>
      <c r="H281" s="6"/>
    </row>
    <row r="282" spans="1:8" x14ac:dyDescent="0.2">
      <c r="A282" s="12" t="s">
        <v>151</v>
      </c>
      <c r="H282" s="6"/>
    </row>
    <row r="283" spans="1:8" x14ac:dyDescent="0.2">
      <c r="A283" s="5" t="s">
        <v>99</v>
      </c>
      <c r="B283" s="17">
        <f>ROUND(B$136*(1-Loads!$B247),3)</f>
        <v>2.4390000000000001</v>
      </c>
      <c r="C283" s="17">
        <f>ROUND(C$136*(1-Loads!$B247),3)</f>
        <v>0</v>
      </c>
      <c r="D283" s="17">
        <f>ROUND(D$136*(1-Loads!$B247),3)</f>
        <v>0</v>
      </c>
      <c r="E283" s="29">
        <f>ROUND(E$136*(1-Loads!$C247),2)</f>
        <v>0</v>
      </c>
      <c r="F283" s="29">
        <f>ROUND(F$136*(1-Loads!$B247),2)</f>
        <v>0</v>
      </c>
      <c r="G283" s="17">
        <f>ROUND(G$136*(1-Loads!$B247),3)</f>
        <v>0</v>
      </c>
      <c r="H283" s="6"/>
    </row>
    <row r="284" spans="1:8" x14ac:dyDescent="0.2">
      <c r="A284" s="5" t="s">
        <v>152</v>
      </c>
      <c r="B284" s="17">
        <f>ROUND(B$136*(1-Loads!$B248),3)</f>
        <v>1.645</v>
      </c>
      <c r="C284" s="17">
        <f>ROUND(C$136*(1-Loads!$B248),3)</f>
        <v>0</v>
      </c>
      <c r="D284" s="17">
        <f>ROUND(D$136*(1-Loads!$B248),3)</f>
        <v>0</v>
      </c>
      <c r="E284" s="29">
        <f>ROUND(E$136*(1-Loads!$C248),2)</f>
        <v>0</v>
      </c>
      <c r="F284" s="29">
        <f>ROUND(F$136*(1-Loads!$B248),2)</f>
        <v>0</v>
      </c>
      <c r="G284" s="17">
        <f>ROUND(G$136*(1-Loads!$B248),3)</f>
        <v>0</v>
      </c>
      <c r="H284" s="6"/>
    </row>
    <row r="285" spans="1:8" x14ac:dyDescent="0.2">
      <c r="A285" s="5" t="s">
        <v>153</v>
      </c>
      <c r="B285" s="17">
        <f>ROUND(B$136*(1-Loads!$B249),3)</f>
        <v>1.103</v>
      </c>
      <c r="C285" s="17">
        <f>ROUND(C$136*(1-Loads!$B249),3)</f>
        <v>0</v>
      </c>
      <c r="D285" s="17">
        <f>ROUND(D$136*(1-Loads!$B249),3)</f>
        <v>0</v>
      </c>
      <c r="E285" s="29">
        <f>ROUND(E$136*(1-Loads!$C249),2)</f>
        <v>0</v>
      </c>
      <c r="F285" s="29">
        <f>ROUND(F$136*(1-Loads!$B249),2)</f>
        <v>0</v>
      </c>
      <c r="G285" s="17">
        <f>ROUND(G$136*(1-Loads!$B249),3)</f>
        <v>0</v>
      </c>
      <c r="H285" s="6"/>
    </row>
    <row r="286" spans="1:8" x14ac:dyDescent="0.2">
      <c r="A286" s="12" t="s">
        <v>154</v>
      </c>
      <c r="H286" s="6"/>
    </row>
    <row r="287" spans="1:8" x14ac:dyDescent="0.2">
      <c r="A287" s="5" t="s">
        <v>100</v>
      </c>
      <c r="B287" s="17">
        <f>ROUND(B$137*(1-Loads!$B251),3)</f>
        <v>42.508000000000003</v>
      </c>
      <c r="C287" s="17">
        <f>ROUND(C$137*(1-Loads!$B251),3)</f>
        <v>2.4710000000000001</v>
      </c>
      <c r="D287" s="17">
        <f>ROUND(D$137*(1-Loads!$B251),3)</f>
        <v>1.6220000000000001</v>
      </c>
      <c r="E287" s="29">
        <f>ROUND(E$137*(1-Loads!$C251),2)</f>
        <v>0</v>
      </c>
      <c r="F287" s="29">
        <f>ROUND(F$137*(1-Loads!$B251),2)</f>
        <v>0</v>
      </c>
      <c r="G287" s="17">
        <f>ROUND(G$137*(1-Loads!$B251),3)</f>
        <v>0</v>
      </c>
      <c r="H287" s="6"/>
    </row>
    <row r="288" spans="1:8" x14ac:dyDescent="0.2">
      <c r="A288" s="5" t="s">
        <v>155</v>
      </c>
      <c r="B288" s="17">
        <f>ROUND(B$137*(1-Loads!$B252),3)</f>
        <v>28.672000000000001</v>
      </c>
      <c r="C288" s="17">
        <f>ROUND(C$137*(1-Loads!$B252),3)</f>
        <v>1.667</v>
      </c>
      <c r="D288" s="17">
        <f>ROUND(D$137*(1-Loads!$B252),3)</f>
        <v>1.0940000000000001</v>
      </c>
      <c r="E288" s="29">
        <f>ROUND(E$137*(1-Loads!$C252),2)</f>
        <v>0</v>
      </c>
      <c r="F288" s="29">
        <f>ROUND(F$137*(1-Loads!$B252),2)</f>
        <v>0</v>
      </c>
      <c r="G288" s="17">
        <f>ROUND(G$137*(1-Loads!$B252),3)</f>
        <v>0</v>
      </c>
      <c r="H288" s="6"/>
    </row>
    <row r="289" spans="1:8" x14ac:dyDescent="0.2">
      <c r="A289" s="5" t="s">
        <v>156</v>
      </c>
      <c r="B289" s="17">
        <f>ROUND(B$137*(1-Loads!$B253),3)</f>
        <v>19.224</v>
      </c>
      <c r="C289" s="17">
        <f>ROUND(C$137*(1-Loads!$B253),3)</f>
        <v>1.117</v>
      </c>
      <c r="D289" s="17">
        <f>ROUND(D$137*(1-Loads!$B253),3)</f>
        <v>0.73399999999999999</v>
      </c>
      <c r="E289" s="29">
        <f>ROUND(E$137*(1-Loads!$C253),2)</f>
        <v>0</v>
      </c>
      <c r="F289" s="29">
        <f>ROUND(F$137*(1-Loads!$B253),2)</f>
        <v>0</v>
      </c>
      <c r="G289" s="17">
        <f>ROUND(G$137*(1-Loads!$B253),3)</f>
        <v>0</v>
      </c>
      <c r="H289" s="6"/>
    </row>
    <row r="290" spans="1:8" x14ac:dyDescent="0.2">
      <c r="A290" s="12" t="s">
        <v>157</v>
      </c>
      <c r="H290" s="6"/>
    </row>
    <row r="291" spans="1:8" x14ac:dyDescent="0.2">
      <c r="A291" s="5" t="s">
        <v>61</v>
      </c>
      <c r="B291" s="17">
        <f>ROUND(B$138*(1-Loads!$B255),3)</f>
        <v>-0.89800000000000002</v>
      </c>
      <c r="C291" s="17">
        <f>ROUND(C$138*(1-Loads!$B255),3)</f>
        <v>0</v>
      </c>
      <c r="D291" s="17">
        <f>ROUND(D$138*(1-Loads!$B255),3)</f>
        <v>0</v>
      </c>
      <c r="E291" s="29">
        <f>ROUND(E$138*(1-Loads!$C255),2)</f>
        <v>0</v>
      </c>
      <c r="F291" s="29">
        <f>ROUND(F$138*(1-Loads!$B255),2)</f>
        <v>0</v>
      </c>
      <c r="G291" s="17">
        <f>ROUND(G$138*(1-Loads!$B255),3)</f>
        <v>0</v>
      </c>
      <c r="H291" s="6"/>
    </row>
    <row r="292" spans="1:8" x14ac:dyDescent="0.2">
      <c r="A292" s="5" t="s">
        <v>158</v>
      </c>
      <c r="B292" s="17">
        <f>ROUND(B$138*(1-Loads!$B256),3)</f>
        <v>-0.89800000000000002</v>
      </c>
      <c r="C292" s="17">
        <f>ROUND(C$138*(1-Loads!$B256),3)</f>
        <v>0</v>
      </c>
      <c r="D292" s="17">
        <f>ROUND(D$138*(1-Loads!$B256),3)</f>
        <v>0</v>
      </c>
      <c r="E292" s="29">
        <f>ROUND(E$138*(1-Loads!$C256),2)</f>
        <v>0</v>
      </c>
      <c r="F292" s="29">
        <f>ROUND(F$138*(1-Loads!$B256),2)</f>
        <v>0</v>
      </c>
      <c r="G292" s="17">
        <f>ROUND(G$138*(1-Loads!$B256),3)</f>
        <v>0</v>
      </c>
      <c r="H292" s="6"/>
    </row>
    <row r="293" spans="1:8" x14ac:dyDescent="0.2">
      <c r="A293" s="5" t="s">
        <v>159</v>
      </c>
      <c r="B293" s="17">
        <f>ROUND(B$138*(1-Loads!$B257),3)</f>
        <v>-0.89800000000000002</v>
      </c>
      <c r="C293" s="17">
        <f>ROUND(C$138*(1-Loads!$B257),3)</f>
        <v>0</v>
      </c>
      <c r="D293" s="17">
        <f>ROUND(D$138*(1-Loads!$B257),3)</f>
        <v>0</v>
      </c>
      <c r="E293" s="29">
        <f>ROUND(E$138*(1-Loads!$C257),2)</f>
        <v>0</v>
      </c>
      <c r="F293" s="29">
        <f>ROUND(F$138*(1-Loads!$B257),2)</f>
        <v>0</v>
      </c>
      <c r="G293" s="17">
        <f>ROUND(G$138*(1-Loads!$B257),3)</f>
        <v>0</v>
      </c>
      <c r="H293" s="6"/>
    </row>
    <row r="294" spans="1:8" x14ac:dyDescent="0.2">
      <c r="A294" s="12" t="s">
        <v>160</v>
      </c>
      <c r="H294" s="6"/>
    </row>
    <row r="295" spans="1:8" x14ac:dyDescent="0.2">
      <c r="A295" s="5" t="s">
        <v>62</v>
      </c>
      <c r="B295" s="17">
        <f>ROUND(B$139*(1-Loads!$B259),3)</f>
        <v>-0.7</v>
      </c>
      <c r="C295" s="17">
        <f>ROUND(C$139*(1-Loads!$B259),3)</f>
        <v>0</v>
      </c>
      <c r="D295" s="17">
        <f>ROUND(D$139*(1-Loads!$B259),3)</f>
        <v>0</v>
      </c>
      <c r="E295" s="29">
        <f>ROUND(E$139*(1-Loads!$C259),2)</f>
        <v>0</v>
      </c>
      <c r="F295" s="29">
        <f>ROUND(F$139*(1-Loads!$B259),2)</f>
        <v>0</v>
      </c>
      <c r="G295" s="17">
        <f>ROUND(G$139*(1-Loads!$B259),3)</f>
        <v>0</v>
      </c>
      <c r="H295" s="6"/>
    </row>
    <row r="296" spans="1:8" x14ac:dyDescent="0.2">
      <c r="A296" s="5" t="s">
        <v>161</v>
      </c>
      <c r="B296" s="17">
        <f>ROUND(B$139*(1-Loads!$B260),3)</f>
        <v>-0.7</v>
      </c>
      <c r="C296" s="17">
        <f>ROUND(C$139*(1-Loads!$B260),3)</f>
        <v>0</v>
      </c>
      <c r="D296" s="17">
        <f>ROUND(D$139*(1-Loads!$B260),3)</f>
        <v>0</v>
      </c>
      <c r="E296" s="29">
        <f>ROUND(E$139*(1-Loads!$C260),2)</f>
        <v>0</v>
      </c>
      <c r="F296" s="29">
        <f>ROUND(F$139*(1-Loads!$B260),2)</f>
        <v>0</v>
      </c>
      <c r="G296" s="17">
        <f>ROUND(G$139*(1-Loads!$B260),3)</f>
        <v>0</v>
      </c>
      <c r="H296" s="6"/>
    </row>
    <row r="297" spans="1:8" x14ac:dyDescent="0.2">
      <c r="A297" s="12" t="s">
        <v>162</v>
      </c>
      <c r="H297" s="6"/>
    </row>
    <row r="298" spans="1:8" x14ac:dyDescent="0.2">
      <c r="A298" s="5" t="s">
        <v>63</v>
      </c>
      <c r="B298" s="17">
        <f>ROUND(B$140*(1-Loads!$B262),3)</f>
        <v>-0.89800000000000002</v>
      </c>
      <c r="C298" s="17">
        <f>ROUND(C$140*(1-Loads!$B262),3)</f>
        <v>0</v>
      </c>
      <c r="D298" s="17">
        <f>ROUND(D$140*(1-Loads!$B262),3)</f>
        <v>0</v>
      </c>
      <c r="E298" s="29">
        <f>ROUND(E$140*(1-Loads!$C262),2)</f>
        <v>0</v>
      </c>
      <c r="F298" s="29">
        <f>ROUND(F$140*(1-Loads!$B262),2)</f>
        <v>0</v>
      </c>
      <c r="G298" s="17">
        <f>ROUND(G$140*(1-Loads!$B262),3)</f>
        <v>0.22900000000000001</v>
      </c>
      <c r="H298" s="6"/>
    </row>
    <row r="299" spans="1:8" x14ac:dyDescent="0.2">
      <c r="A299" s="5" t="s">
        <v>163</v>
      </c>
      <c r="B299" s="17">
        <f>ROUND(B$140*(1-Loads!$B263),3)</f>
        <v>-0.89800000000000002</v>
      </c>
      <c r="C299" s="17">
        <f>ROUND(C$140*(1-Loads!$B263),3)</f>
        <v>0</v>
      </c>
      <c r="D299" s="17">
        <f>ROUND(D$140*(1-Loads!$B263),3)</f>
        <v>0</v>
      </c>
      <c r="E299" s="29">
        <f>ROUND(E$140*(1-Loads!$C263),2)</f>
        <v>0</v>
      </c>
      <c r="F299" s="29">
        <f>ROUND(F$140*(1-Loads!$B263),2)</f>
        <v>0</v>
      </c>
      <c r="G299" s="17">
        <f>ROUND(G$140*(1-Loads!$B263),3)</f>
        <v>0.22900000000000001</v>
      </c>
      <c r="H299" s="6"/>
    </row>
    <row r="300" spans="1:8" x14ac:dyDescent="0.2">
      <c r="A300" s="5" t="s">
        <v>164</v>
      </c>
      <c r="B300" s="17">
        <f>ROUND(B$140*(1-Loads!$B264),3)</f>
        <v>-0.89800000000000002</v>
      </c>
      <c r="C300" s="17">
        <f>ROUND(C$140*(1-Loads!$B264),3)</f>
        <v>0</v>
      </c>
      <c r="D300" s="17">
        <f>ROUND(D$140*(1-Loads!$B264),3)</f>
        <v>0</v>
      </c>
      <c r="E300" s="29">
        <f>ROUND(E$140*(1-Loads!$C264),2)</f>
        <v>0</v>
      </c>
      <c r="F300" s="29">
        <f>ROUND(F$140*(1-Loads!$B264),2)</f>
        <v>0</v>
      </c>
      <c r="G300" s="17">
        <f>ROUND(G$140*(1-Loads!$B264),3)</f>
        <v>0.22900000000000001</v>
      </c>
      <c r="H300" s="6"/>
    </row>
    <row r="301" spans="1:8" x14ac:dyDescent="0.2">
      <c r="A301" s="12" t="s">
        <v>165</v>
      </c>
      <c r="H301" s="6"/>
    </row>
    <row r="302" spans="1:8" x14ac:dyDescent="0.2">
      <c r="A302" s="5" t="s">
        <v>64</v>
      </c>
      <c r="B302" s="17">
        <f>ROUND(B$141*(1-Loads!$B266),3)</f>
        <v>-8.907</v>
      </c>
      <c r="C302" s="17">
        <f>ROUND(C$141*(1-Loads!$B266),3)</f>
        <v>-0.93100000000000005</v>
      </c>
      <c r="D302" s="17">
        <f>ROUND(D$141*(1-Loads!$B266),3)</f>
        <v>-0.129</v>
      </c>
      <c r="E302" s="29">
        <f>ROUND(E$141*(1-Loads!$C266),2)</f>
        <v>0</v>
      </c>
      <c r="F302" s="29">
        <f>ROUND(F$141*(1-Loads!$B266),2)</f>
        <v>0</v>
      </c>
      <c r="G302" s="17">
        <f>ROUND(G$141*(1-Loads!$B266),3)</f>
        <v>0.22900000000000001</v>
      </c>
      <c r="H302" s="6"/>
    </row>
    <row r="303" spans="1:8" x14ac:dyDescent="0.2">
      <c r="A303" s="5" t="s">
        <v>166</v>
      </c>
      <c r="B303" s="17">
        <f>ROUND(B$141*(1-Loads!$B267),3)</f>
        <v>-8.907</v>
      </c>
      <c r="C303" s="17">
        <f>ROUND(C$141*(1-Loads!$B267),3)</f>
        <v>-0.93100000000000005</v>
      </c>
      <c r="D303" s="17">
        <f>ROUND(D$141*(1-Loads!$B267),3)</f>
        <v>-0.129</v>
      </c>
      <c r="E303" s="29">
        <f>ROUND(E$141*(1-Loads!$C267),2)</f>
        <v>0</v>
      </c>
      <c r="F303" s="29">
        <f>ROUND(F$141*(1-Loads!$B267),2)</f>
        <v>0</v>
      </c>
      <c r="G303" s="17">
        <f>ROUND(G$141*(1-Loads!$B267),3)</f>
        <v>0.22900000000000001</v>
      </c>
      <c r="H303" s="6"/>
    </row>
    <row r="304" spans="1:8" x14ac:dyDescent="0.2">
      <c r="A304" s="5" t="s">
        <v>167</v>
      </c>
      <c r="B304" s="17">
        <f>ROUND(B$141*(1-Loads!$B268),3)</f>
        <v>-8.907</v>
      </c>
      <c r="C304" s="17">
        <f>ROUND(C$141*(1-Loads!$B268),3)</f>
        <v>-0.93100000000000005</v>
      </c>
      <c r="D304" s="17">
        <f>ROUND(D$141*(1-Loads!$B268),3)</f>
        <v>-0.129</v>
      </c>
      <c r="E304" s="29">
        <f>ROUND(E$141*(1-Loads!$C268),2)</f>
        <v>0</v>
      </c>
      <c r="F304" s="29">
        <f>ROUND(F$141*(1-Loads!$B268),2)</f>
        <v>0</v>
      </c>
      <c r="G304" s="17">
        <f>ROUND(G$141*(1-Loads!$B268),3)</f>
        <v>0.22900000000000001</v>
      </c>
      <c r="H304" s="6"/>
    </row>
    <row r="305" spans="1:8" x14ac:dyDescent="0.2">
      <c r="A305" s="12" t="s">
        <v>168</v>
      </c>
      <c r="H305" s="6"/>
    </row>
    <row r="306" spans="1:8" x14ac:dyDescent="0.2">
      <c r="A306" s="5" t="s">
        <v>65</v>
      </c>
      <c r="B306" s="17">
        <f>ROUND(B$142*(1-Loads!$B270),3)</f>
        <v>-0.7</v>
      </c>
      <c r="C306" s="17">
        <f>ROUND(C$142*(1-Loads!$B270),3)</f>
        <v>0</v>
      </c>
      <c r="D306" s="17">
        <f>ROUND(D$142*(1-Loads!$B270),3)</f>
        <v>0</v>
      </c>
      <c r="E306" s="29">
        <f>ROUND(E$142*(1-Loads!$C270),2)</f>
        <v>0</v>
      </c>
      <c r="F306" s="29">
        <f>ROUND(F$142*(1-Loads!$B270),2)</f>
        <v>0</v>
      </c>
      <c r="G306" s="17">
        <f>ROUND(G$142*(1-Loads!$B270),3)</f>
        <v>0.185</v>
      </c>
      <c r="H306" s="6"/>
    </row>
    <row r="307" spans="1:8" x14ac:dyDescent="0.2">
      <c r="A307" s="5" t="s">
        <v>169</v>
      </c>
      <c r="B307" s="17">
        <f>ROUND(B$142*(1-Loads!$B271),3)</f>
        <v>-0.7</v>
      </c>
      <c r="C307" s="17">
        <f>ROUND(C$142*(1-Loads!$B271),3)</f>
        <v>0</v>
      </c>
      <c r="D307" s="17">
        <f>ROUND(D$142*(1-Loads!$B271),3)</f>
        <v>0</v>
      </c>
      <c r="E307" s="29">
        <f>ROUND(E$142*(1-Loads!$C271),2)</f>
        <v>0</v>
      </c>
      <c r="F307" s="29">
        <f>ROUND(F$142*(1-Loads!$B271),2)</f>
        <v>0</v>
      </c>
      <c r="G307" s="17">
        <f>ROUND(G$142*(1-Loads!$B271),3)</f>
        <v>0.185</v>
      </c>
      <c r="H307" s="6"/>
    </row>
    <row r="308" spans="1:8" x14ac:dyDescent="0.2">
      <c r="A308" s="12" t="s">
        <v>170</v>
      </c>
      <c r="H308" s="6"/>
    </row>
    <row r="309" spans="1:8" x14ac:dyDescent="0.2">
      <c r="A309" s="5" t="s">
        <v>66</v>
      </c>
      <c r="B309" s="17">
        <f>ROUND(B$143*(1-Loads!$B273),3)</f>
        <v>-7.0010000000000003</v>
      </c>
      <c r="C309" s="17">
        <f>ROUND(C$143*(1-Loads!$B273),3)</f>
        <v>-0.71599999999999997</v>
      </c>
      <c r="D309" s="17">
        <f>ROUND(D$143*(1-Loads!$B273),3)</f>
        <v>-0.1</v>
      </c>
      <c r="E309" s="29">
        <f>ROUND(E$143*(1-Loads!$C273),2)</f>
        <v>0</v>
      </c>
      <c r="F309" s="29">
        <f>ROUND(F$143*(1-Loads!$B273),2)</f>
        <v>0</v>
      </c>
      <c r="G309" s="17">
        <f>ROUND(G$143*(1-Loads!$B273),3)</f>
        <v>0.185</v>
      </c>
      <c r="H309" s="6"/>
    </row>
    <row r="310" spans="1:8" x14ac:dyDescent="0.2">
      <c r="A310" s="5" t="s">
        <v>171</v>
      </c>
      <c r="B310" s="17">
        <f>ROUND(B$143*(1-Loads!$B274),3)</f>
        <v>-7.0010000000000003</v>
      </c>
      <c r="C310" s="17">
        <f>ROUND(C$143*(1-Loads!$B274),3)</f>
        <v>-0.71599999999999997</v>
      </c>
      <c r="D310" s="17">
        <f>ROUND(D$143*(1-Loads!$B274),3)</f>
        <v>-0.1</v>
      </c>
      <c r="E310" s="29">
        <f>ROUND(E$143*(1-Loads!$C274),2)</f>
        <v>0</v>
      </c>
      <c r="F310" s="29">
        <f>ROUND(F$143*(1-Loads!$B274),2)</f>
        <v>0</v>
      </c>
      <c r="G310" s="17">
        <f>ROUND(G$143*(1-Loads!$B274),3)</f>
        <v>0.185</v>
      </c>
      <c r="H310" s="6"/>
    </row>
    <row r="311" spans="1:8" x14ac:dyDescent="0.2">
      <c r="A311" s="12" t="s">
        <v>172</v>
      </c>
      <c r="H311" s="6"/>
    </row>
    <row r="312" spans="1:8" x14ac:dyDescent="0.2">
      <c r="A312" s="5" t="s">
        <v>75</v>
      </c>
      <c r="B312" s="17">
        <f>ROUND(B$144*(1-Loads!$B276),3)</f>
        <v>-0.44400000000000001</v>
      </c>
      <c r="C312" s="17">
        <f>ROUND(C$144*(1-Loads!$B276),3)</f>
        <v>0</v>
      </c>
      <c r="D312" s="17">
        <f>ROUND(D$144*(1-Loads!$B276),3)</f>
        <v>0</v>
      </c>
      <c r="E312" s="29">
        <f>ROUND(E$144*(1-Loads!$C276),2)</f>
        <v>6.36</v>
      </c>
      <c r="F312" s="29">
        <f>ROUND(F$144*(1-Loads!$B276),2)</f>
        <v>0</v>
      </c>
      <c r="G312" s="17">
        <f>ROUND(G$144*(1-Loads!$B276),3)</f>
        <v>0.125</v>
      </c>
      <c r="H312" s="6"/>
    </row>
    <row r="313" spans="1:8" x14ac:dyDescent="0.2">
      <c r="A313" s="5" t="s">
        <v>173</v>
      </c>
      <c r="B313" s="17">
        <f>ROUND(B$144*(1-Loads!$B277),3)</f>
        <v>-0.44400000000000001</v>
      </c>
      <c r="C313" s="17">
        <f>ROUND(C$144*(1-Loads!$B277),3)</f>
        <v>0</v>
      </c>
      <c r="D313" s="17">
        <f>ROUND(D$144*(1-Loads!$B277),3)</f>
        <v>0</v>
      </c>
      <c r="E313" s="29">
        <f>ROUND(E$144*(1-Loads!$C277),2)</f>
        <v>0</v>
      </c>
      <c r="F313" s="29">
        <f>ROUND(F$144*(1-Loads!$B277),2)</f>
        <v>0</v>
      </c>
      <c r="G313" s="17">
        <f>ROUND(G$144*(1-Loads!$B277),3)</f>
        <v>0.125</v>
      </c>
      <c r="H313" s="6"/>
    </row>
    <row r="314" spans="1:8" x14ac:dyDescent="0.2">
      <c r="A314" s="12" t="s">
        <v>174</v>
      </c>
      <c r="H314" s="6"/>
    </row>
    <row r="315" spans="1:8" x14ac:dyDescent="0.2">
      <c r="A315" s="5" t="s">
        <v>76</v>
      </c>
      <c r="B315" s="17">
        <f>ROUND(B$145*(1-Loads!$B279),3)</f>
        <v>-4.5460000000000003</v>
      </c>
      <c r="C315" s="17">
        <f>ROUND(C$145*(1-Loads!$B279),3)</f>
        <v>-0.435</v>
      </c>
      <c r="D315" s="17">
        <f>ROUND(D$145*(1-Loads!$B279),3)</f>
        <v>-6.2E-2</v>
      </c>
      <c r="E315" s="29">
        <f>ROUND(E$145*(1-Loads!$C279),2)</f>
        <v>6.36</v>
      </c>
      <c r="F315" s="29">
        <f>ROUND(F$145*(1-Loads!$B279),2)</f>
        <v>0</v>
      </c>
      <c r="G315" s="17">
        <f>ROUND(G$145*(1-Loads!$B279),3)</f>
        <v>0.125</v>
      </c>
      <c r="H315" s="6"/>
    </row>
    <row r="316" spans="1:8" x14ac:dyDescent="0.2">
      <c r="A316" s="5" t="s">
        <v>175</v>
      </c>
      <c r="B316" s="17">
        <f>ROUND(B$145*(1-Loads!$B280),3)</f>
        <v>-4.5460000000000003</v>
      </c>
      <c r="C316" s="17">
        <f>ROUND(C$145*(1-Loads!$B280),3)</f>
        <v>-0.435</v>
      </c>
      <c r="D316" s="17">
        <f>ROUND(D$145*(1-Loads!$B280),3)</f>
        <v>-6.2E-2</v>
      </c>
      <c r="E316" s="29">
        <f>ROUND(E$145*(1-Loads!$C280),2)</f>
        <v>0</v>
      </c>
      <c r="F316" s="29">
        <f>ROUND(F$145*(1-Loads!$B280),2)</f>
        <v>0</v>
      </c>
      <c r="G316" s="17">
        <f>ROUND(G$145*(1-Loads!$B280),3)</f>
        <v>0.125</v>
      </c>
      <c r="H316" s="6"/>
    </row>
    <row r="317" spans="1:8" x14ac:dyDescent="0.2">
      <c r="A317" s="12" t="s">
        <v>176</v>
      </c>
      <c r="H317" s="6"/>
    </row>
    <row r="318" spans="1:8" x14ac:dyDescent="0.2">
      <c r="A318" s="5" t="s">
        <v>77</v>
      </c>
      <c r="B318" s="17">
        <f>ROUND(B$146*(1-Loads!$B282),3)</f>
        <v>-0.29399999999999998</v>
      </c>
      <c r="C318" s="17">
        <f>ROUND(C$146*(1-Loads!$B282),3)</f>
        <v>0</v>
      </c>
      <c r="D318" s="17">
        <f>ROUND(D$146*(1-Loads!$B282),3)</f>
        <v>0</v>
      </c>
      <c r="E318" s="29">
        <f>ROUND(E$146*(1-Loads!$C282),2)</f>
        <v>6.36</v>
      </c>
      <c r="F318" s="29">
        <f>ROUND(F$146*(1-Loads!$B282),2)</f>
        <v>0</v>
      </c>
      <c r="G318" s="17">
        <f>ROUND(G$146*(1-Loads!$B282),3)</f>
        <v>7.0000000000000007E-2</v>
      </c>
      <c r="H318" s="6"/>
    </row>
    <row r="319" spans="1:8" x14ac:dyDescent="0.2">
      <c r="A319" s="12" t="s">
        <v>177</v>
      </c>
      <c r="H319" s="6"/>
    </row>
    <row r="320" spans="1:8" x14ac:dyDescent="0.2">
      <c r="A320" s="5" t="s">
        <v>78</v>
      </c>
      <c r="B320" s="17">
        <f>ROUND(B$147*(1-Loads!$B284),3)</f>
        <v>-3.1110000000000002</v>
      </c>
      <c r="C320" s="17">
        <f>ROUND(C$147*(1-Loads!$B284),3)</f>
        <v>-0.27100000000000002</v>
      </c>
      <c r="D320" s="17">
        <f>ROUND(D$147*(1-Loads!$B284),3)</f>
        <v>-0.04</v>
      </c>
      <c r="E320" s="29">
        <f>ROUND(E$147*(1-Loads!$C284),2)</f>
        <v>6.36</v>
      </c>
      <c r="F320" s="29">
        <f>ROUND(F$147*(1-Loads!$B284),2)</f>
        <v>0</v>
      </c>
      <c r="G320" s="17">
        <f>ROUND(G$147*(1-Loads!$B284),3)</f>
        <v>7.0000000000000007E-2</v>
      </c>
      <c r="H320" s="6"/>
    </row>
  </sheetData>
  <hyperlinks>
    <hyperlink ref="A5" location="'Aggreg'!B245" display="'Aggreg'!B245"/>
    <hyperlink ref="A6" location="'Scaler'!B407" display="'Scaler'!B407"/>
    <hyperlink ref="A7" location="'Aggreg'!C245" display="'Aggreg'!C245"/>
    <hyperlink ref="A8" location="'Scaler'!C407" display="'Scaler'!C407"/>
    <hyperlink ref="A9" location="'Aggreg'!D245" display="'Aggreg'!D245"/>
    <hyperlink ref="A10" location="'Scaler'!D407" display="'Scaler'!D407"/>
    <hyperlink ref="A11" location="'Aggreg'!E245" display="'Aggreg'!E245"/>
    <hyperlink ref="A12" location="'Scaler'!E407" display="'Scaler'!E407"/>
    <hyperlink ref="A13" location="'Aggreg'!F245" display="'Aggreg'!F245"/>
    <hyperlink ref="A14" location="'Scaler'!F407" display="'Scaler'!F407"/>
    <hyperlink ref="A15" location="'Aggreg'!G245" display="'Aggreg'!G245"/>
    <hyperlink ref="A16" location="'Scaler'!G407" display="'Scaler'!G407"/>
    <hyperlink ref="A57" location="'Adjust'!B21" display="'Adjust'!B21"/>
    <hyperlink ref="A58" location="'Adjust'!B53" display="'Adjust'!B53"/>
    <hyperlink ref="A59" location="'Adjust'!C21" display="'Adjust'!C21"/>
    <hyperlink ref="A60" location="'Adjust'!C53" display="'Adjust'!C53"/>
    <hyperlink ref="A61" location="'Adjust'!D21" display="'Adjust'!D21"/>
    <hyperlink ref="A62" location="'Adjust'!D53" display="'Adjust'!D53"/>
    <hyperlink ref="A63" location="'Adjust'!E21" display="'Adjust'!E21"/>
    <hyperlink ref="A64" location="'Adjust'!E53" display="'Adjust'!E53"/>
    <hyperlink ref="A65" location="'Adjust'!F21" display="'Adjust'!F21"/>
    <hyperlink ref="A66" location="'Adjust'!F53" display="'Adjust'!F53"/>
    <hyperlink ref="A67" location="'Adjust'!G21" display="'Adjust'!G21"/>
    <hyperlink ref="A68" location="'Adjust'!G53" display="'Adjust'!G53"/>
    <hyperlink ref="A104" location="'Adjust'!B21" display="'Adjust'!B21"/>
    <hyperlink ref="A105" location="'Adjust'!B73" display="'Adjust'!B73"/>
    <hyperlink ref="A106" location="'Adjust'!C21" display="'Adjust'!C21"/>
    <hyperlink ref="A107" location="'Adjust'!C73" display="'Adjust'!C73"/>
    <hyperlink ref="A108" location="'Adjust'!D21" display="'Adjust'!D21"/>
    <hyperlink ref="A109" location="'Adjust'!D73" display="'Adjust'!D73"/>
    <hyperlink ref="A110" location="'Adjust'!E21" display="'Adjust'!E21"/>
    <hyperlink ref="A111" location="'Adjust'!E73" display="'Adjust'!E73"/>
    <hyperlink ref="A112" location="'Adjust'!F21" display="'Adjust'!F21"/>
    <hyperlink ref="A113" location="'Adjust'!F73" display="'Adjust'!F73"/>
    <hyperlink ref="A114" location="'Adjust'!G21" display="'Adjust'!G21"/>
    <hyperlink ref="A115" location="'Adjust'!G73" display="'Adjust'!G73"/>
    <hyperlink ref="A151" location="'Input'!F14" display="'Input'!F14"/>
    <hyperlink ref="A152" location="'Adjust'!E73" display="'Adjust'!E73"/>
    <hyperlink ref="A153" location="'Loads'!E298" display="'Loads'!E298"/>
    <hyperlink ref="A154" location="'Adjust'!F73" display="'Adjust'!F73"/>
    <hyperlink ref="A155" location="'Loads'!F298" display="'Loads'!F298"/>
    <hyperlink ref="A156" location="'Adjust'!B73" display="'Adjust'!B73"/>
    <hyperlink ref="A157" location="'Loads'!B298" display="'Loads'!B298"/>
    <hyperlink ref="A158" location="'Adjust'!C73" display="'Adjust'!C73"/>
    <hyperlink ref="A159" location="'Loads'!C298" display="'Loads'!C298"/>
    <hyperlink ref="A160" location="'Adjust'!D73" display="'Adjust'!D73"/>
    <hyperlink ref="A161" location="'Loads'!D298" display="'Loads'!D298"/>
    <hyperlink ref="A162" location="'Adjust'!G73" display="'Adjust'!G73"/>
    <hyperlink ref="A163" location="'Loads'!G298" display="'Loads'!G298"/>
    <hyperlink ref="A198" location="'Revenue'!B70" display="'Revenue'!B70"/>
    <hyperlink ref="A199" location="'Scaler'!H407" display="'Scaler'!H407"/>
    <hyperlink ref="A200" location="'Adjust'!B167" display="'Adjust'!B167"/>
    <hyperlink ref="A201" location="'Adjust'!B212" display="'Adjust'!B212"/>
    <hyperlink ref="A202" location="'Adjust'!D212" display="'Adjust'!D212"/>
    <hyperlink ref="A203" location="'Adjust'!E212" display="'Adjust'!E212"/>
    <hyperlink ref="A204" location="'Adjust'!F212" display="'Adjust'!F212"/>
    <hyperlink ref="A214" location="'Adjust'!B120" display="'Adjust'!B120"/>
    <hyperlink ref="A215" location="'Loads'!B190" display="'Loads'!B190"/>
    <hyperlink ref="A216" location="'Adjust'!C120" display="'Adjust'!C120"/>
    <hyperlink ref="A217" location="'Adjust'!D120" display="'Adjust'!D120"/>
    <hyperlink ref="A218" location="'Adjust'!E120" display="'Adjust'!E120"/>
    <hyperlink ref="A219" location="'Loads'!C190" display="'Loads'!C190"/>
    <hyperlink ref="A220" location="'Adjust'!F120" display="'Adjust'!F120"/>
    <hyperlink ref="A221" location="'Adjust'!G120" display="'Adjust'!G120"/>
    <hyperlink ref="A205" location="'Revenue'!B56" display="'Revenue'!B56"/>
  </hyperlinks>
  <pageMargins left="0.75" right="0.75" top="1" bottom="1" header="0.5" footer="0.5"/>
  <pageSetup paperSize="9" scale="35" fitToHeight="0" orientation="portrait" blackAndWhite="1" r:id="rId1"/>
  <headerFooter alignWithMargins="0">
    <oddHeader>&amp;L&amp;A&amp;Cr6140&amp;R&amp;P of &amp;N</oddHeader>
    <oddFooter>&amp;F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97"/>
  <sheetViews>
    <sheetView showGridLines="0" workbookViewId="0">
      <pane xSplit="1" ySplit="1" topLeftCell="B17" activePane="bottomRight" state="frozen"/>
      <selection pane="topRight"/>
      <selection pane="bottomLeft"/>
      <selection pane="bottomRight" activeCell="B36" sqref="B36:B40"/>
    </sheetView>
  </sheetViews>
  <sheetFormatPr defaultRowHeight="12.75" x14ac:dyDescent="0.2"/>
  <cols>
    <col min="1" max="1" width="50.7109375" customWidth="1"/>
    <col min="2" max="251" width="20.7109375" customWidth="1"/>
  </cols>
  <sheetData>
    <row r="1" spans="1:1" ht="19.5" x14ac:dyDescent="0.3">
      <c r="A1" s="15" t="str">
        <f>"r6140: Additional calculations for tariff comparisons"&amp;" for "&amp;Input!B7&amp;" in "&amp;Input!C7&amp;" ("&amp;Input!D7&amp;")"</f>
        <v>r6140: Additional calculations for tariff comparisons for Electricity North West  in 2013/14 (April 2013 Indicative)</v>
      </c>
    </row>
    <row r="2" spans="1:1" x14ac:dyDescent="0.2">
      <c r="A2" s="10" t="s">
        <v>1396</v>
      </c>
    </row>
    <row r="4" spans="1:1" ht="16.5" x14ac:dyDescent="0.25">
      <c r="A4" s="3" t="s">
        <v>1519</v>
      </c>
    </row>
    <row r="5" spans="1:1" x14ac:dyDescent="0.2">
      <c r="A5" s="10" t="s">
        <v>238</v>
      </c>
    </row>
    <row r="6" spans="1:1" x14ac:dyDescent="0.2">
      <c r="A6" s="11" t="s">
        <v>1520</v>
      </c>
    </row>
    <row r="7" spans="1:1" x14ac:dyDescent="0.2">
      <c r="A7" s="11" t="s">
        <v>429</v>
      </c>
    </row>
    <row r="8" spans="1:1" x14ac:dyDescent="0.2">
      <c r="A8" s="11" t="s">
        <v>1521</v>
      </c>
    </row>
    <row r="9" spans="1:1" x14ac:dyDescent="0.2">
      <c r="A9" s="11" t="s">
        <v>1419</v>
      </c>
    </row>
    <row r="10" spans="1:1" x14ac:dyDescent="0.2">
      <c r="A10" s="11" t="s">
        <v>1522</v>
      </c>
    </row>
    <row r="11" spans="1:1" x14ac:dyDescent="0.2">
      <c r="A11" s="11" t="s">
        <v>1523</v>
      </c>
    </row>
    <row r="12" spans="1:1" x14ac:dyDescent="0.2">
      <c r="A12" s="11" t="s">
        <v>1524</v>
      </c>
    </row>
    <row r="13" spans="1:1" x14ac:dyDescent="0.2">
      <c r="A13" s="11" t="s">
        <v>1525</v>
      </c>
    </row>
    <row r="14" spans="1:1" x14ac:dyDescent="0.2">
      <c r="A14" s="11" t="s">
        <v>1526</v>
      </c>
    </row>
    <row r="15" spans="1:1" x14ac:dyDescent="0.2">
      <c r="A15" s="11" t="s">
        <v>1527</v>
      </c>
    </row>
    <row r="16" spans="1:1" x14ac:dyDescent="0.2">
      <c r="A16" s="11" t="s">
        <v>1528</v>
      </c>
    </row>
    <row r="17" spans="1:3" x14ac:dyDescent="0.2">
      <c r="A17" s="11" t="s">
        <v>1529</v>
      </c>
    </row>
    <row r="18" spans="1:3" x14ac:dyDescent="0.2">
      <c r="A18" s="11" t="s">
        <v>1530</v>
      </c>
    </row>
    <row r="19" spans="1:3" x14ac:dyDescent="0.2">
      <c r="A19" s="11" t="s">
        <v>1531</v>
      </c>
    </row>
    <row r="20" spans="1:3" x14ac:dyDescent="0.2">
      <c r="A20" s="10" t="s">
        <v>1532</v>
      </c>
    </row>
    <row r="22" spans="1:3" ht="25.5" x14ac:dyDescent="0.2">
      <c r="B22" s="4" t="s">
        <v>1533</v>
      </c>
    </row>
    <row r="23" spans="1:3" x14ac:dyDescent="0.2">
      <c r="A23" s="5" t="s">
        <v>53</v>
      </c>
      <c r="B23" s="25">
        <f>IF(Input!B333,Input!B333,0.01*Input!F$14*(Input!F333*Input!E$143+Input!G333*Input!F$143)+10*(Input!C333*Input!B$143+Input!D333*Input!C$143+Input!E333*Input!D$143+Input!H333*Input!G$143))</f>
        <v>211776462.38047493</v>
      </c>
      <c r="C23" s="6"/>
    </row>
    <row r="24" spans="1:3" x14ac:dyDescent="0.2">
      <c r="A24" s="5" t="s">
        <v>54</v>
      </c>
      <c r="B24" s="25">
        <f>IF(Input!B334,Input!B334,0.01*Input!F$14*(Input!F334*Input!E$147+Input!G334*Input!F$147)+10*(Input!C334*Input!B$147+Input!D334*Input!C$147+Input!E334*Input!D$147+Input!H334*Input!G$147))</f>
        <v>23094152.959564161</v>
      </c>
      <c r="C24" s="6"/>
    </row>
    <row r="25" spans="1:3" x14ac:dyDescent="0.2">
      <c r="A25" s="5" t="s">
        <v>94</v>
      </c>
      <c r="B25" s="25">
        <f>IF(Input!B335,Input!B335,0.01*Input!F$14*(Input!F335*Input!E$151+Input!G335*Input!F$151)+10*(Input!C335*Input!B$151+Input!D335*Input!C$151+Input!E335*Input!D$151+Input!H335*Input!G$151))</f>
        <v>73015.24292677411</v>
      </c>
      <c r="C25" s="6"/>
    </row>
    <row r="26" spans="1:3" x14ac:dyDescent="0.2">
      <c r="A26" s="5" t="s">
        <v>55</v>
      </c>
      <c r="B26" s="25">
        <f>IF(Input!B336,Input!B336,0.01*Input!F$14*(Input!F336*Input!E$155+Input!G336*Input!F$155)+10*(Input!C336*Input!B$155+Input!D336*Input!C$155+Input!E336*Input!D$155+Input!H336*Input!G$155))</f>
        <v>37905386.946665585</v>
      </c>
      <c r="C26" s="6"/>
    </row>
    <row r="27" spans="1:3" x14ac:dyDescent="0.2">
      <c r="A27" s="5" t="s">
        <v>56</v>
      </c>
      <c r="B27" s="25">
        <f>IF(Input!B337,Input!B337,0.01*Input!F$14*(Input!F337*Input!E$159+Input!G337*Input!F$159)+10*(Input!C337*Input!B$159+Input!D337*Input!C$159+Input!E337*Input!D$159+Input!H337*Input!G$159))</f>
        <v>14090711.670715721</v>
      </c>
      <c r="C27" s="6"/>
    </row>
    <row r="28" spans="1:3" x14ac:dyDescent="0.2">
      <c r="A28" s="5" t="s">
        <v>95</v>
      </c>
      <c r="B28" s="25">
        <f>IF(Input!B338,Input!B338,0.01*Input!F$14*(Input!F338*Input!E$163+Input!G338*Input!F$163)+10*(Input!C338*Input!B$163+Input!D338*Input!C$163+Input!E338*Input!D$163+Input!H338*Input!G$163))</f>
        <v>66667.240477565152</v>
      </c>
      <c r="C28" s="6"/>
    </row>
    <row r="29" spans="1:3" x14ac:dyDescent="0.2">
      <c r="A29" s="5" t="s">
        <v>57</v>
      </c>
      <c r="B29" s="25">
        <f>IF(Input!B339,Input!B339,0.01*Input!F$14*(Input!F339*Input!E$167+Input!G339*Input!F$167)+10*(Input!C339*Input!B$167+Input!D339*Input!C$167+Input!E339*Input!D$167+Input!H339*Input!G$167))</f>
        <v>21754324.627236046</v>
      </c>
      <c r="C29" s="6"/>
    </row>
    <row r="30" spans="1:3" x14ac:dyDescent="0.2">
      <c r="A30" s="5" t="s">
        <v>58</v>
      </c>
      <c r="B30" s="25">
        <f>IF(Input!B340,Input!B340,0.01*Input!F$14*(Input!F340*Input!E$171+Input!G340*Input!F$171)+10*(Input!C340*Input!B$171+Input!D340*Input!C$171+Input!E340*Input!D$171+Input!H340*Input!G$171))</f>
        <v>651183.49661873584</v>
      </c>
      <c r="C30" s="6"/>
    </row>
    <row r="31" spans="1:3" x14ac:dyDescent="0.2">
      <c r="A31" s="5" t="s">
        <v>72</v>
      </c>
      <c r="B31" s="25">
        <f>IF(Input!B341,Input!B341,0.01*Input!F$14*(Input!F341*Input!E$173+Input!G341*Input!F$173)+10*(Input!C341*Input!B$173+Input!D341*Input!C$173+Input!E341*Input!D$173+Input!H341*Input!G$173))</f>
        <v>150585.8974811486</v>
      </c>
      <c r="C31" s="6"/>
    </row>
    <row r="32" spans="1:3" x14ac:dyDescent="0.2">
      <c r="A32" s="5" t="s">
        <v>59</v>
      </c>
      <c r="B32" s="25">
        <f>IF(Input!B342,Input!B342,0.01*Input!F$14*(Input!F342*Input!E$175+Input!G342*Input!F$175)+10*(Input!C342*Input!B$175+Input!D342*Input!C$175+Input!E342*Input!D$175+Input!H342*Input!G$175))</f>
        <v>24967497.724001989</v>
      </c>
      <c r="C32" s="6"/>
    </row>
    <row r="33" spans="1:3" x14ac:dyDescent="0.2">
      <c r="A33" s="5" t="s">
        <v>60</v>
      </c>
      <c r="B33" s="25">
        <f>IF(Input!B343,Input!B343,0.01*Input!F$14*(Input!F343*Input!E$179+Input!G343*Input!F$179)+10*(Input!C343*Input!B$179+Input!D343*Input!C$179+Input!E343*Input!D$179+Input!H343*Input!G$179))</f>
        <v>21072646.797324613</v>
      </c>
      <c r="C33" s="6"/>
    </row>
    <row r="34" spans="1:3" x14ac:dyDescent="0.2">
      <c r="A34" s="5" t="s">
        <v>73</v>
      </c>
      <c r="B34" s="25">
        <f>IF(Input!B344,Input!B344,0.01*Input!F$14*(Input!F344*Input!E$182+Input!G344*Input!F$182)+10*(Input!C344*Input!B$182+Input!D344*Input!C$182+Input!E344*Input!D$182+Input!H344*Input!G$182))</f>
        <v>57179576.242756307</v>
      </c>
      <c r="C34" s="6"/>
    </row>
    <row r="35" spans="1:3" x14ac:dyDescent="0.2">
      <c r="A35" s="5" t="s">
        <v>74</v>
      </c>
      <c r="B35" s="25">
        <f>IF(Input!B345,Input!B345,0.01*Input!F$14*(Input!F345*Input!E$185+Input!G345*Input!F$185)+10*(Input!C345*Input!B$185+Input!D345*Input!C$185+Input!E345*Input!D$185+Input!H345*Input!G$185))</f>
        <v>0</v>
      </c>
      <c r="C35" s="6"/>
    </row>
    <row r="36" spans="1:3" x14ac:dyDescent="0.2">
      <c r="A36" s="5" t="s">
        <v>96</v>
      </c>
      <c r="B36" s="25">
        <f>IF(Input!B346,Input!B346,0.01*Input!F$14*(Input!F346*Input!E$187+Input!G346*Input!F$187)+10*(Input!C346*Input!B$187+Input!D346*Input!C$187+Input!E346*Input!D$187+Input!H346*Input!G$187))</f>
        <v>1319875.3421579497</v>
      </c>
      <c r="C36" s="6"/>
    </row>
    <row r="37" spans="1:3" x14ac:dyDescent="0.2">
      <c r="A37" s="5" t="s">
        <v>97</v>
      </c>
      <c r="B37" s="25">
        <f>IF(Input!B347,Input!B347,0.01*Input!F$14*(Input!F347*Input!E$191+Input!G347*Input!F$191)+10*(Input!C347*Input!B$191+Input!D347*Input!C$191+Input!E347*Input!D$191+Input!H347*Input!G$191))</f>
        <v>410565.14693181042</v>
      </c>
      <c r="C37" s="6"/>
    </row>
    <row r="38" spans="1:3" x14ac:dyDescent="0.2">
      <c r="A38" s="5" t="s">
        <v>98</v>
      </c>
      <c r="B38" s="25">
        <f>IF(Input!B348,Input!B348,0.01*Input!F$14*(Input!F348*Input!E$195+Input!G348*Input!F$195)+10*(Input!C348*Input!B$195+Input!D348*Input!C$195+Input!E348*Input!D$195+Input!H348*Input!G$195))</f>
        <v>42.663970391789732</v>
      </c>
      <c r="C38" s="6"/>
    </row>
    <row r="39" spans="1:3" x14ac:dyDescent="0.2">
      <c r="A39" s="5" t="s">
        <v>99</v>
      </c>
      <c r="B39" s="25">
        <f>IF(Input!B349,Input!B349,0.01*Input!F$14*(Input!F349*Input!E$199+Input!G349*Input!F$199)+10*(Input!C349*Input!B$199+Input!D349*Input!C$199+Input!E349*Input!D$199+Input!H349*Input!G$199))</f>
        <v>0</v>
      </c>
      <c r="C39" s="6"/>
    </row>
    <row r="40" spans="1:3" x14ac:dyDescent="0.2">
      <c r="A40" s="5" t="s">
        <v>100</v>
      </c>
      <c r="B40" s="25">
        <f>IF(Input!B350,Input!B350,0.01*Input!F$14*(Input!F350*Input!E$203+Input!G350*Input!F$203)+10*(Input!C350*Input!B$203+Input!D350*Input!C$203+Input!E350*Input!D$203+Input!H350*Input!G$203))</f>
        <v>8224885.3359068111</v>
      </c>
      <c r="C40" s="6"/>
    </row>
    <row r="42" spans="1:3" ht="16.5" x14ac:dyDescent="0.25">
      <c r="A42" s="3" t="s">
        <v>1534</v>
      </c>
    </row>
    <row r="43" spans="1:3" x14ac:dyDescent="0.2">
      <c r="A43" s="10" t="s">
        <v>238</v>
      </c>
    </row>
    <row r="44" spans="1:3" x14ac:dyDescent="0.2">
      <c r="A44" s="11" t="s">
        <v>1416</v>
      </c>
    </row>
    <row r="45" spans="1:3" x14ac:dyDescent="0.2">
      <c r="A45" s="11" t="s">
        <v>1417</v>
      </c>
    </row>
    <row r="46" spans="1:3" x14ac:dyDescent="0.2">
      <c r="A46" s="11" t="s">
        <v>1418</v>
      </c>
    </row>
    <row r="47" spans="1:3" x14ac:dyDescent="0.2">
      <c r="A47" s="11" t="s">
        <v>1419</v>
      </c>
    </row>
    <row r="48" spans="1:3" x14ac:dyDescent="0.2">
      <c r="A48" s="11" t="s">
        <v>1535</v>
      </c>
    </row>
    <row r="49" spans="1:9" x14ac:dyDescent="0.2">
      <c r="A49" s="11" t="s">
        <v>1536</v>
      </c>
    </row>
    <row r="50" spans="1:9" x14ac:dyDescent="0.2">
      <c r="A50" s="11" t="s">
        <v>1537</v>
      </c>
    </row>
    <row r="51" spans="1:9" x14ac:dyDescent="0.2">
      <c r="A51" s="18" t="s">
        <v>241</v>
      </c>
      <c r="B51" s="18" t="s">
        <v>300</v>
      </c>
      <c r="C51" s="18" t="s">
        <v>300</v>
      </c>
      <c r="D51" s="18" t="s">
        <v>300</v>
      </c>
      <c r="E51" s="18" t="s">
        <v>300</v>
      </c>
      <c r="F51" s="18" t="s">
        <v>300</v>
      </c>
      <c r="G51" s="18" t="s">
        <v>300</v>
      </c>
      <c r="H51" s="18" t="s">
        <v>300</v>
      </c>
    </row>
    <row r="52" spans="1:9" x14ac:dyDescent="0.2">
      <c r="A52" s="18" t="s">
        <v>244</v>
      </c>
      <c r="B52" s="18" t="s">
        <v>865</v>
      </c>
      <c r="C52" s="18" t="s">
        <v>303</v>
      </c>
      <c r="D52" s="18" t="s">
        <v>1389</v>
      </c>
      <c r="E52" s="18" t="s">
        <v>1390</v>
      </c>
      <c r="F52" s="18" t="s">
        <v>730</v>
      </c>
      <c r="G52" s="18" t="s">
        <v>1391</v>
      </c>
      <c r="H52" s="18" t="s">
        <v>1538</v>
      </c>
    </row>
    <row r="54" spans="1:9" ht="25.5" x14ac:dyDescent="0.2">
      <c r="B54" s="4" t="s">
        <v>105</v>
      </c>
      <c r="C54" s="4" t="s">
        <v>106</v>
      </c>
      <c r="D54" s="4" t="s">
        <v>107</v>
      </c>
      <c r="E54" s="4" t="s">
        <v>108</v>
      </c>
      <c r="F54" s="4" t="s">
        <v>109</v>
      </c>
      <c r="G54" s="4" t="s">
        <v>110</v>
      </c>
      <c r="H54" s="4" t="s">
        <v>459</v>
      </c>
    </row>
    <row r="55" spans="1:9" x14ac:dyDescent="0.2">
      <c r="A55" s="5" t="s">
        <v>53</v>
      </c>
      <c r="B55" s="20">
        <f>Input!B$143</f>
        <v>7399575.6676649665</v>
      </c>
      <c r="C55" s="20">
        <f>Input!C$143</f>
        <v>0</v>
      </c>
      <c r="D55" s="20">
        <f>Input!D$143</f>
        <v>0</v>
      </c>
      <c r="E55" s="27">
        <f>Input!E$143</f>
        <v>1966268.3959221658</v>
      </c>
      <c r="F55" s="27">
        <f>Input!F$143</f>
        <v>0</v>
      </c>
      <c r="G55" s="20">
        <f>Input!G$143</f>
        <v>0</v>
      </c>
      <c r="H55" s="27">
        <f>Summary!B$57</f>
        <v>7399575.6676649665</v>
      </c>
      <c r="I55" s="6"/>
    </row>
    <row r="56" spans="1:9" x14ac:dyDescent="0.2">
      <c r="A56" s="5" t="s">
        <v>54</v>
      </c>
      <c r="B56" s="20">
        <f>Input!B$147</f>
        <v>672421.39150304359</v>
      </c>
      <c r="C56" s="20">
        <f>Input!C$147</f>
        <v>550720.33864968794</v>
      </c>
      <c r="D56" s="20">
        <f>Input!D$147</f>
        <v>0</v>
      </c>
      <c r="E56" s="27">
        <f>Input!E$147</f>
        <v>193198.50471492525</v>
      </c>
      <c r="F56" s="27">
        <f>Input!F$147</f>
        <v>0</v>
      </c>
      <c r="G56" s="20">
        <f>Input!G$147</f>
        <v>0</v>
      </c>
      <c r="H56" s="27">
        <f>Summary!B$61</f>
        <v>1223141.7301527315</v>
      </c>
      <c r="I56" s="6"/>
    </row>
    <row r="57" spans="1:9" x14ac:dyDescent="0.2">
      <c r="A57" s="5" t="s">
        <v>94</v>
      </c>
      <c r="B57" s="20">
        <f>Input!B$151</f>
        <v>29089.73821783829</v>
      </c>
      <c r="C57" s="20">
        <f>Input!C$151</f>
        <v>0</v>
      </c>
      <c r="D57" s="20">
        <f>Input!D$151</f>
        <v>0</v>
      </c>
      <c r="E57" s="27">
        <f>Input!E$151</f>
        <v>7812.8718610241485</v>
      </c>
      <c r="F57" s="27">
        <f>Input!F$151</f>
        <v>0</v>
      </c>
      <c r="G57" s="20">
        <f>Input!G$151</f>
        <v>0</v>
      </c>
      <c r="H57" s="27">
        <f>Summary!B$65</f>
        <v>29089.73821783829</v>
      </c>
      <c r="I57" s="6"/>
    </row>
    <row r="58" spans="1:9" x14ac:dyDescent="0.2">
      <c r="A58" s="5" t="s">
        <v>55</v>
      </c>
      <c r="B58" s="20">
        <f>Input!B$155</f>
        <v>1773367.1718367361</v>
      </c>
      <c r="C58" s="20">
        <f>Input!C$155</f>
        <v>0</v>
      </c>
      <c r="D58" s="20">
        <f>Input!D$155</f>
        <v>0</v>
      </c>
      <c r="E58" s="27">
        <f>Input!E$155</f>
        <v>119240.62499606305</v>
      </c>
      <c r="F58" s="27">
        <f>Input!F$155</f>
        <v>0</v>
      </c>
      <c r="G58" s="20">
        <f>Input!G$155</f>
        <v>0</v>
      </c>
      <c r="H58" s="27">
        <f>Summary!B$69</f>
        <v>1773367.1718367361</v>
      </c>
      <c r="I58" s="6"/>
    </row>
    <row r="59" spans="1:9" x14ac:dyDescent="0.2">
      <c r="A59" s="5" t="s">
        <v>56</v>
      </c>
      <c r="B59" s="20">
        <f>Input!B$159</f>
        <v>580219.88067205786</v>
      </c>
      <c r="C59" s="20">
        <f>Input!C$159</f>
        <v>225877.39922975076</v>
      </c>
      <c r="D59" s="20">
        <f>Input!D$159</f>
        <v>0</v>
      </c>
      <c r="E59" s="27">
        <f>Input!E$159</f>
        <v>30821.313864052241</v>
      </c>
      <c r="F59" s="27">
        <f>Input!F$159</f>
        <v>0</v>
      </c>
      <c r="G59" s="20">
        <f>Input!G$159</f>
        <v>0</v>
      </c>
      <c r="H59" s="27">
        <f>Summary!B$73</f>
        <v>806097.27990180859</v>
      </c>
      <c r="I59" s="6"/>
    </row>
    <row r="60" spans="1:9" x14ac:dyDescent="0.2">
      <c r="A60" s="5" t="s">
        <v>95</v>
      </c>
      <c r="B60" s="20">
        <f>Input!B$163</f>
        <v>29762.160927484445</v>
      </c>
      <c r="C60" s="20">
        <f>Input!C$163</f>
        <v>0</v>
      </c>
      <c r="D60" s="20">
        <f>Input!D$163</f>
        <v>0</v>
      </c>
      <c r="E60" s="27">
        <f>Input!E$163</f>
        <v>4537.443879090979</v>
      </c>
      <c r="F60" s="27">
        <f>Input!F$163</f>
        <v>0</v>
      </c>
      <c r="G60" s="20">
        <f>Input!G$163</f>
        <v>0</v>
      </c>
      <c r="H60" s="27">
        <f>Summary!B$77</f>
        <v>29762.160927484445</v>
      </c>
      <c r="I60" s="6"/>
    </row>
    <row r="61" spans="1:9" x14ac:dyDescent="0.2">
      <c r="A61" s="5" t="s">
        <v>57</v>
      </c>
      <c r="B61" s="20">
        <f>Input!B$167</f>
        <v>1029276.3013581143</v>
      </c>
      <c r="C61" s="20">
        <f>Input!C$167</f>
        <v>253869.7108350849</v>
      </c>
      <c r="D61" s="20">
        <f>Input!D$167</f>
        <v>0</v>
      </c>
      <c r="E61" s="27">
        <f>Input!E$167</f>
        <v>11223.982793627194</v>
      </c>
      <c r="F61" s="27">
        <f>Input!F$167</f>
        <v>0</v>
      </c>
      <c r="G61" s="20">
        <f>Input!G$167</f>
        <v>0</v>
      </c>
      <c r="H61" s="27">
        <f>Summary!B$81</f>
        <v>1283146.0121931992</v>
      </c>
      <c r="I61" s="6"/>
    </row>
    <row r="62" spans="1:9" x14ac:dyDescent="0.2">
      <c r="A62" s="5" t="s">
        <v>58</v>
      </c>
      <c r="B62" s="20">
        <f>Input!B$171</f>
        <v>34485.961825356251</v>
      </c>
      <c r="C62" s="20">
        <f>Input!C$171</f>
        <v>9407.0686626999159</v>
      </c>
      <c r="D62" s="20">
        <f>Input!D$171</f>
        <v>0</v>
      </c>
      <c r="E62" s="27">
        <f>Input!E$171</f>
        <v>348.75333450159138</v>
      </c>
      <c r="F62" s="27">
        <f>Input!F$171</f>
        <v>0</v>
      </c>
      <c r="G62" s="20">
        <f>Input!G$171</f>
        <v>0</v>
      </c>
      <c r="H62" s="27">
        <f>Summary!B$85</f>
        <v>43893.030488056167</v>
      </c>
      <c r="I62" s="6"/>
    </row>
    <row r="63" spans="1:9" x14ac:dyDescent="0.2">
      <c r="A63" s="5" t="s">
        <v>72</v>
      </c>
      <c r="B63" s="20">
        <f>Input!B$173</f>
        <v>8641.9161673928411</v>
      </c>
      <c r="C63" s="20">
        <f>Input!C$173</f>
        <v>2565.3353644297385</v>
      </c>
      <c r="D63" s="20">
        <f>Input!D$173</f>
        <v>0</v>
      </c>
      <c r="E63" s="27">
        <f>Input!E$173</f>
        <v>68.555558952026317</v>
      </c>
      <c r="F63" s="27">
        <f>Input!F$173</f>
        <v>0</v>
      </c>
      <c r="G63" s="20">
        <f>Input!G$173</f>
        <v>0</v>
      </c>
      <c r="H63" s="27">
        <f>Summary!B$87</f>
        <v>11207.25153182258</v>
      </c>
      <c r="I63" s="6"/>
    </row>
    <row r="64" spans="1:9" x14ac:dyDescent="0.2">
      <c r="A64" s="5" t="s">
        <v>59</v>
      </c>
      <c r="B64" s="20">
        <f>Input!B$175</f>
        <v>115710.04138381009</v>
      </c>
      <c r="C64" s="20">
        <f>Input!C$175</f>
        <v>661020.25327785639</v>
      </c>
      <c r="D64" s="20">
        <f>Input!D$175</f>
        <v>808010.335403773</v>
      </c>
      <c r="E64" s="27">
        <f>Input!E$175</f>
        <v>4948.4112120990931</v>
      </c>
      <c r="F64" s="27">
        <f>Input!F$175</f>
        <v>752209.79678130196</v>
      </c>
      <c r="G64" s="20">
        <f>Input!G$175</f>
        <v>116363.06440213854</v>
      </c>
      <c r="H64" s="27">
        <f>Summary!B$89</f>
        <v>1584740.6300654395</v>
      </c>
      <c r="I64" s="6"/>
    </row>
    <row r="65" spans="1:9" x14ac:dyDescent="0.2">
      <c r="A65" s="5" t="s">
        <v>60</v>
      </c>
      <c r="B65" s="20">
        <f>Input!B$179</f>
        <v>93144.042828731064</v>
      </c>
      <c r="C65" s="20">
        <f>Input!C$179</f>
        <v>545943.1064019521</v>
      </c>
      <c r="D65" s="20">
        <f>Input!D$179</f>
        <v>688947.02480521007</v>
      </c>
      <c r="E65" s="27">
        <f>Input!E$179</f>
        <v>1830.2774665284201</v>
      </c>
      <c r="F65" s="27">
        <f>Input!F$179</f>
        <v>631754.01391039649</v>
      </c>
      <c r="G65" s="20">
        <f>Input!G$179</f>
        <v>99562.514593088417</v>
      </c>
      <c r="H65" s="27">
        <f>Summary!B$93</f>
        <v>1328034.1740358933</v>
      </c>
      <c r="I65" s="6"/>
    </row>
    <row r="66" spans="1:9" x14ac:dyDescent="0.2">
      <c r="A66" s="5" t="s">
        <v>73</v>
      </c>
      <c r="B66" s="20">
        <f>Input!B$182</f>
        <v>348070.46558944526</v>
      </c>
      <c r="C66" s="20">
        <f>Input!C$182</f>
        <v>1911997.1742103195</v>
      </c>
      <c r="D66" s="20">
        <f>Input!D$182</f>
        <v>2977880.4572311277</v>
      </c>
      <c r="E66" s="27">
        <f>Input!E$182</f>
        <v>1964.4374527396105</v>
      </c>
      <c r="F66" s="27">
        <f>Input!F$182</f>
        <v>1834857.0806551576</v>
      </c>
      <c r="G66" s="20">
        <f>Input!G$182</f>
        <v>309733.7512243017</v>
      </c>
      <c r="H66" s="27">
        <f>Summary!B$96</f>
        <v>5237948.097030893</v>
      </c>
      <c r="I66" s="6"/>
    </row>
    <row r="67" spans="1:9" x14ac:dyDescent="0.2">
      <c r="A67" s="5" t="s">
        <v>74</v>
      </c>
      <c r="B67" s="20">
        <f>Input!B$185</f>
        <v>0</v>
      </c>
      <c r="C67" s="20">
        <f>Input!C$185</f>
        <v>0</v>
      </c>
      <c r="D67" s="20">
        <f>Input!D$185</f>
        <v>0</v>
      </c>
      <c r="E67" s="27">
        <f>Input!E$185</f>
        <v>0</v>
      </c>
      <c r="F67" s="27">
        <f>Input!F$185</f>
        <v>0</v>
      </c>
      <c r="G67" s="20">
        <f>Input!G$185</f>
        <v>0</v>
      </c>
      <c r="H67" s="27">
        <f>Summary!B$99</f>
        <v>0</v>
      </c>
      <c r="I67" s="6"/>
    </row>
    <row r="68" spans="1:9" x14ac:dyDescent="0.2">
      <c r="A68" s="5" t="s">
        <v>96</v>
      </c>
      <c r="B68" s="20">
        <f>Input!B$187</f>
        <v>43147.28153507517</v>
      </c>
      <c r="C68" s="20">
        <f>Input!C$187</f>
        <v>0</v>
      </c>
      <c r="D68" s="20">
        <f>Input!D$187</f>
        <v>0</v>
      </c>
      <c r="E68" s="27">
        <f>Input!E$187</f>
        <v>248</v>
      </c>
      <c r="F68" s="27">
        <f>Input!F$187</f>
        <v>0</v>
      </c>
      <c r="G68" s="20">
        <f>Input!G$187</f>
        <v>0</v>
      </c>
      <c r="H68" s="27">
        <f>Summary!B$101</f>
        <v>43147.28153507517</v>
      </c>
      <c r="I68" s="6"/>
    </row>
    <row r="69" spans="1:9" x14ac:dyDescent="0.2">
      <c r="A69" s="5" t="s">
        <v>97</v>
      </c>
      <c r="B69" s="20">
        <f>Input!B$191</f>
        <v>13421.547791167388</v>
      </c>
      <c r="C69" s="20">
        <f>Input!C$191</f>
        <v>0</v>
      </c>
      <c r="D69" s="20">
        <f>Input!D$191</f>
        <v>0</v>
      </c>
      <c r="E69" s="27">
        <f>Input!E$191</f>
        <v>401</v>
      </c>
      <c r="F69" s="27">
        <f>Input!F$191</f>
        <v>0</v>
      </c>
      <c r="G69" s="20">
        <f>Input!G$191</f>
        <v>0</v>
      </c>
      <c r="H69" s="27">
        <f>Summary!B$105</f>
        <v>13421.547791167388</v>
      </c>
      <c r="I69" s="6"/>
    </row>
    <row r="70" spans="1:9" x14ac:dyDescent="0.2">
      <c r="A70" s="5" t="s">
        <v>98</v>
      </c>
      <c r="B70" s="20">
        <f>Input!B$195</f>
        <v>1.3947031837786772</v>
      </c>
      <c r="C70" s="20">
        <f>Input!C$195</f>
        <v>0</v>
      </c>
      <c r="D70" s="20">
        <f>Input!D$195</f>
        <v>0</v>
      </c>
      <c r="E70" s="27">
        <f>Input!E$195</f>
        <v>1</v>
      </c>
      <c r="F70" s="27">
        <f>Input!F$195</f>
        <v>0</v>
      </c>
      <c r="G70" s="20">
        <f>Input!G$195</f>
        <v>0</v>
      </c>
      <c r="H70" s="27">
        <f>Summary!B$109</f>
        <v>1.3947031837786772</v>
      </c>
      <c r="I70" s="6"/>
    </row>
    <row r="71" spans="1:9" x14ac:dyDescent="0.2">
      <c r="A71" s="5" t="s">
        <v>99</v>
      </c>
      <c r="B71" s="20">
        <f>Input!B$199</f>
        <v>0</v>
      </c>
      <c r="C71" s="20">
        <f>Input!C$199</f>
        <v>0</v>
      </c>
      <c r="D71" s="20">
        <f>Input!D$199</f>
        <v>0</v>
      </c>
      <c r="E71" s="27">
        <f>Input!E$199</f>
        <v>0</v>
      </c>
      <c r="F71" s="27">
        <f>Input!F$199</f>
        <v>0</v>
      </c>
      <c r="G71" s="20">
        <f>Input!G$199</f>
        <v>0</v>
      </c>
      <c r="H71" s="27">
        <f>Summary!B$113</f>
        <v>0</v>
      </c>
      <c r="I71" s="6"/>
    </row>
    <row r="72" spans="1:9" x14ac:dyDescent="0.2">
      <c r="A72" s="5" t="s">
        <v>100</v>
      </c>
      <c r="B72" s="20">
        <f>Input!B$203</f>
        <v>9424.2315778324828</v>
      </c>
      <c r="C72" s="20">
        <f>Input!C$203</f>
        <v>33565.973169766723</v>
      </c>
      <c r="D72" s="20">
        <f>Input!D$203</f>
        <v>236161.06999327819</v>
      </c>
      <c r="E72" s="27">
        <f>Input!E$203</f>
        <v>23</v>
      </c>
      <c r="F72" s="27">
        <f>Input!F$203</f>
        <v>0</v>
      </c>
      <c r="G72" s="20">
        <f>Input!G$203</f>
        <v>0</v>
      </c>
      <c r="H72" s="27">
        <f>Summary!B$117</f>
        <v>279151.27474087739</v>
      </c>
      <c r="I72" s="6"/>
    </row>
    <row r="73" spans="1:9" x14ac:dyDescent="0.2">
      <c r="A73" s="5" t="s">
        <v>61</v>
      </c>
      <c r="B73" s="20">
        <f>Input!B$207</f>
        <v>878.96280862633739</v>
      </c>
      <c r="C73" s="20">
        <f>Input!C$207</f>
        <v>0</v>
      </c>
      <c r="D73" s="20">
        <f>Input!D$207</f>
        <v>0</v>
      </c>
      <c r="E73" s="27">
        <f>Input!E$207</f>
        <v>51</v>
      </c>
      <c r="F73" s="27">
        <f>Input!F$207</f>
        <v>0</v>
      </c>
      <c r="G73" s="20">
        <f>Input!G$207</f>
        <v>0</v>
      </c>
      <c r="H73" s="27">
        <f>Summary!B$121</f>
        <v>878.96280862633739</v>
      </c>
      <c r="I73" s="6"/>
    </row>
    <row r="74" spans="1:9" x14ac:dyDescent="0.2">
      <c r="A74" s="5" t="s">
        <v>62</v>
      </c>
      <c r="B74" s="20">
        <f>Input!B$211</f>
        <v>0</v>
      </c>
      <c r="C74" s="20">
        <f>Input!C$211</f>
        <v>0</v>
      </c>
      <c r="D74" s="20">
        <f>Input!D$211</f>
        <v>0</v>
      </c>
      <c r="E74" s="27">
        <f>Input!E$211</f>
        <v>0</v>
      </c>
      <c r="F74" s="27">
        <f>Input!F$211</f>
        <v>0</v>
      </c>
      <c r="G74" s="20">
        <f>Input!G$211</f>
        <v>0</v>
      </c>
      <c r="H74" s="27">
        <f>Summary!B$125</f>
        <v>0</v>
      </c>
      <c r="I74" s="6"/>
    </row>
    <row r="75" spans="1:9" x14ac:dyDescent="0.2">
      <c r="A75" s="5" t="s">
        <v>63</v>
      </c>
      <c r="B75" s="20">
        <f>Input!B$214</f>
        <v>3907.804934004047</v>
      </c>
      <c r="C75" s="20">
        <f>Input!C$214</f>
        <v>0</v>
      </c>
      <c r="D75" s="20">
        <f>Input!D$214</f>
        <v>0</v>
      </c>
      <c r="E75" s="27">
        <f>Input!E$214</f>
        <v>39</v>
      </c>
      <c r="F75" s="27">
        <f>Input!F$214</f>
        <v>0</v>
      </c>
      <c r="G75" s="20">
        <f>Input!G$214</f>
        <v>1417.9367991080762</v>
      </c>
      <c r="H75" s="27">
        <f>Summary!B$128</f>
        <v>3907.804934004047</v>
      </c>
      <c r="I75" s="6"/>
    </row>
    <row r="76" spans="1:9" x14ac:dyDescent="0.2">
      <c r="A76" s="5" t="s">
        <v>64</v>
      </c>
      <c r="B76" s="20">
        <f>Input!B$218</f>
        <v>38.187016590265401</v>
      </c>
      <c r="C76" s="20">
        <f>Input!C$218</f>
        <v>77.674890534546904</v>
      </c>
      <c r="D76" s="20">
        <f>Input!D$218</f>
        <v>115.07817629643461</v>
      </c>
      <c r="E76" s="27">
        <f>Input!E$218</f>
        <v>6</v>
      </c>
      <c r="F76" s="27">
        <f>Input!F$218</f>
        <v>0</v>
      </c>
      <c r="G76" s="20">
        <f>Input!G$218</f>
        <v>26.176347095751652</v>
      </c>
      <c r="H76" s="27">
        <f>Summary!B$132</f>
        <v>230.94008342124692</v>
      </c>
      <c r="I76" s="6"/>
    </row>
    <row r="77" spans="1:9" x14ac:dyDescent="0.2">
      <c r="A77" s="5" t="s">
        <v>65</v>
      </c>
      <c r="B77" s="20">
        <f>Input!B$222</f>
        <v>162.80251073502833</v>
      </c>
      <c r="C77" s="20">
        <f>Input!C$222</f>
        <v>0</v>
      </c>
      <c r="D77" s="20">
        <f>Input!D$222</f>
        <v>0</v>
      </c>
      <c r="E77" s="27">
        <f>Input!E$222</f>
        <v>3</v>
      </c>
      <c r="F77" s="27">
        <f>Input!F$222</f>
        <v>0</v>
      </c>
      <c r="G77" s="20">
        <f>Input!G$222</f>
        <v>9.3101171097353372</v>
      </c>
      <c r="H77" s="27">
        <f>Summary!B$136</f>
        <v>162.80251073502833</v>
      </c>
      <c r="I77" s="6"/>
    </row>
    <row r="78" spans="1:9" x14ac:dyDescent="0.2">
      <c r="A78" s="5" t="s">
        <v>66</v>
      </c>
      <c r="B78" s="20">
        <f>Input!B$225</f>
        <v>191.58774492120747</v>
      </c>
      <c r="C78" s="20">
        <f>Input!C$225</f>
        <v>148.85032172385118</v>
      </c>
      <c r="D78" s="20">
        <f>Input!D$225</f>
        <v>129.98347870675352</v>
      </c>
      <c r="E78" s="27">
        <f>Input!E$225</f>
        <v>9</v>
      </c>
      <c r="F78" s="27">
        <f>Input!F$225</f>
        <v>0</v>
      </c>
      <c r="G78" s="20">
        <f>Input!G$225</f>
        <v>765.09034166960498</v>
      </c>
      <c r="H78" s="27">
        <f>Summary!B$139</f>
        <v>470.42154535181214</v>
      </c>
      <c r="I78" s="6"/>
    </row>
    <row r="79" spans="1:9" x14ac:dyDescent="0.2">
      <c r="A79" s="5" t="s">
        <v>75</v>
      </c>
      <c r="B79" s="20">
        <f>Input!B$228</f>
        <v>113862.35349765769</v>
      </c>
      <c r="C79" s="20">
        <f>Input!C$228</f>
        <v>0</v>
      </c>
      <c r="D79" s="20">
        <f>Input!D$228</f>
        <v>0</v>
      </c>
      <c r="E79" s="27">
        <f>Input!E$228</f>
        <v>33</v>
      </c>
      <c r="F79" s="27">
        <f>Input!F$228</f>
        <v>0</v>
      </c>
      <c r="G79" s="20">
        <f>Input!G$228</f>
        <v>7606.1687763615655</v>
      </c>
      <c r="H79" s="27">
        <f>Summary!B$142</f>
        <v>113862.35349765769</v>
      </c>
      <c r="I79" s="6"/>
    </row>
    <row r="80" spans="1:9" x14ac:dyDescent="0.2">
      <c r="A80" s="5" t="s">
        <v>76</v>
      </c>
      <c r="B80" s="20">
        <f>Input!B$231</f>
        <v>30117.877805273667</v>
      </c>
      <c r="C80" s="20">
        <f>Input!C$231</f>
        <v>148032.72480574468</v>
      </c>
      <c r="D80" s="20">
        <f>Input!D$231</f>
        <v>369275.98540024838</v>
      </c>
      <c r="E80" s="27">
        <f>Input!E$231</f>
        <v>97</v>
      </c>
      <c r="F80" s="27">
        <f>Input!F$231</f>
        <v>0</v>
      </c>
      <c r="G80" s="20">
        <f>Input!G$231</f>
        <v>12285.04977358382</v>
      </c>
      <c r="H80" s="27">
        <f>Summary!B$145</f>
        <v>547426.58801126666</v>
      </c>
      <c r="I80" s="6"/>
    </row>
    <row r="81" spans="1:9" x14ac:dyDescent="0.2">
      <c r="A81" s="5" t="s">
        <v>77</v>
      </c>
      <c r="B81" s="20">
        <f>Input!B$234</f>
        <v>0</v>
      </c>
      <c r="C81" s="20">
        <f>Input!C$234</f>
        <v>0</v>
      </c>
      <c r="D81" s="20">
        <f>Input!D$234</f>
        <v>0</v>
      </c>
      <c r="E81" s="27">
        <f>Input!E$234</f>
        <v>0</v>
      </c>
      <c r="F81" s="27">
        <f>Input!F$234</f>
        <v>0</v>
      </c>
      <c r="G81" s="20">
        <f>Input!G$234</f>
        <v>0</v>
      </c>
      <c r="H81" s="27">
        <f>Summary!B$148</f>
        <v>0</v>
      </c>
      <c r="I81" s="6"/>
    </row>
    <row r="82" spans="1:9" x14ac:dyDescent="0.2">
      <c r="A82" s="5" t="s">
        <v>78</v>
      </c>
      <c r="B82" s="20">
        <f>Input!B$236</f>
        <v>0</v>
      </c>
      <c r="C82" s="20">
        <f>Input!C$236</f>
        <v>0</v>
      </c>
      <c r="D82" s="20">
        <f>Input!D$236</f>
        <v>0</v>
      </c>
      <c r="E82" s="27">
        <f>Input!E$236</f>
        <v>0</v>
      </c>
      <c r="F82" s="27">
        <f>Input!F$236</f>
        <v>0</v>
      </c>
      <c r="G82" s="20">
        <f>Input!G$236</f>
        <v>0</v>
      </c>
      <c r="H82" s="27">
        <f>Summary!B$150</f>
        <v>0</v>
      </c>
      <c r="I82" s="6"/>
    </row>
    <row r="84" spans="1:9" ht="16.5" x14ac:dyDescent="0.25">
      <c r="A84" s="3" t="s">
        <v>1539</v>
      </c>
    </row>
    <row r="86" spans="1:9" x14ac:dyDescent="0.2">
      <c r="B86" s="4" t="s">
        <v>1540</v>
      </c>
    </row>
    <row r="87" spans="1:9" x14ac:dyDescent="0.2">
      <c r="A87" s="5" t="s">
        <v>53</v>
      </c>
      <c r="B87" s="8" t="s">
        <v>1541</v>
      </c>
      <c r="C87" s="6"/>
    </row>
    <row r="88" spans="1:9" x14ac:dyDescent="0.2">
      <c r="A88" s="5" t="s">
        <v>54</v>
      </c>
      <c r="B88" s="8" t="s">
        <v>1541</v>
      </c>
      <c r="C88" s="6"/>
    </row>
    <row r="89" spans="1:9" x14ac:dyDescent="0.2">
      <c r="A89" s="5" t="s">
        <v>94</v>
      </c>
      <c r="B89" s="8" t="s">
        <v>1541</v>
      </c>
      <c r="C89" s="6"/>
    </row>
    <row r="90" spans="1:9" x14ac:dyDescent="0.2">
      <c r="A90" s="5" t="s">
        <v>55</v>
      </c>
      <c r="B90" s="8" t="s">
        <v>1541</v>
      </c>
      <c r="C90" s="6"/>
    </row>
    <row r="91" spans="1:9" x14ac:dyDescent="0.2">
      <c r="A91" s="5" t="s">
        <v>56</v>
      </c>
      <c r="B91" s="8" t="s">
        <v>1541</v>
      </c>
      <c r="C91" s="6"/>
    </row>
    <row r="92" spans="1:9" x14ac:dyDescent="0.2">
      <c r="A92" s="5" t="s">
        <v>95</v>
      </c>
      <c r="B92" s="8" t="s">
        <v>1541</v>
      </c>
      <c r="C92" s="6"/>
    </row>
    <row r="93" spans="1:9" x14ac:dyDescent="0.2">
      <c r="A93" s="5" t="s">
        <v>57</v>
      </c>
      <c r="B93" s="8" t="s">
        <v>1541</v>
      </c>
      <c r="C93" s="6"/>
    </row>
    <row r="94" spans="1:9" x14ac:dyDescent="0.2">
      <c r="A94" s="5" t="s">
        <v>58</v>
      </c>
      <c r="B94" s="8" t="s">
        <v>1541</v>
      </c>
      <c r="C94" s="6"/>
    </row>
    <row r="95" spans="1:9" x14ac:dyDescent="0.2">
      <c r="A95" s="5" t="s">
        <v>72</v>
      </c>
      <c r="B95" s="8" t="s">
        <v>1541</v>
      </c>
      <c r="C95" s="6"/>
    </row>
    <row r="96" spans="1:9" x14ac:dyDescent="0.2">
      <c r="A96" s="5" t="s">
        <v>59</v>
      </c>
      <c r="B96" s="8" t="s">
        <v>1542</v>
      </c>
      <c r="C96" s="6"/>
    </row>
    <row r="97" spans="1:3" x14ac:dyDescent="0.2">
      <c r="A97" s="5" t="s">
        <v>60</v>
      </c>
      <c r="B97" s="8" t="s">
        <v>1542</v>
      </c>
      <c r="C97" s="6"/>
    </row>
    <row r="98" spans="1:3" x14ac:dyDescent="0.2">
      <c r="A98" s="5" t="s">
        <v>73</v>
      </c>
      <c r="B98" s="8" t="s">
        <v>1542</v>
      </c>
      <c r="C98" s="6"/>
    </row>
    <row r="99" spans="1:3" x14ac:dyDescent="0.2">
      <c r="A99" s="5" t="s">
        <v>74</v>
      </c>
      <c r="B99" s="8" t="s">
        <v>1542</v>
      </c>
      <c r="C99" s="6"/>
    </row>
    <row r="100" spans="1:3" x14ac:dyDescent="0.2">
      <c r="A100" s="5" t="s">
        <v>96</v>
      </c>
      <c r="B100" s="8" t="s">
        <v>1543</v>
      </c>
      <c r="C100" s="6"/>
    </row>
    <row r="101" spans="1:3" x14ac:dyDescent="0.2">
      <c r="A101" s="5" t="s">
        <v>97</v>
      </c>
      <c r="B101" s="8" t="s">
        <v>1543</v>
      </c>
      <c r="C101" s="6"/>
    </row>
    <row r="102" spans="1:3" x14ac:dyDescent="0.2">
      <c r="A102" s="5" t="s">
        <v>98</v>
      </c>
      <c r="B102" s="8" t="s">
        <v>1543</v>
      </c>
      <c r="C102" s="6"/>
    </row>
    <row r="103" spans="1:3" x14ac:dyDescent="0.2">
      <c r="A103" s="5" t="s">
        <v>99</v>
      </c>
      <c r="B103" s="8" t="s">
        <v>1543</v>
      </c>
      <c r="C103" s="6"/>
    </row>
    <row r="104" spans="1:3" x14ac:dyDescent="0.2">
      <c r="A104" s="5" t="s">
        <v>100</v>
      </c>
      <c r="B104" s="8" t="s">
        <v>1543</v>
      </c>
      <c r="C104" s="6"/>
    </row>
    <row r="105" spans="1:3" x14ac:dyDescent="0.2">
      <c r="A105" s="5" t="s">
        <v>61</v>
      </c>
      <c r="B105" s="8" t="s">
        <v>1543</v>
      </c>
      <c r="C105" s="6"/>
    </row>
    <row r="106" spans="1:3" x14ac:dyDescent="0.2">
      <c r="A106" s="5" t="s">
        <v>62</v>
      </c>
      <c r="B106" s="8" t="s">
        <v>1543</v>
      </c>
      <c r="C106" s="6"/>
    </row>
    <row r="107" spans="1:3" x14ac:dyDescent="0.2">
      <c r="A107" s="5" t="s">
        <v>63</v>
      </c>
      <c r="B107" s="8" t="s">
        <v>1543</v>
      </c>
      <c r="C107" s="6"/>
    </row>
    <row r="108" spans="1:3" x14ac:dyDescent="0.2">
      <c r="A108" s="5" t="s">
        <v>64</v>
      </c>
      <c r="B108" s="8" t="s">
        <v>1543</v>
      </c>
      <c r="C108" s="6"/>
    </row>
    <row r="109" spans="1:3" x14ac:dyDescent="0.2">
      <c r="A109" s="5" t="s">
        <v>65</v>
      </c>
      <c r="B109" s="8" t="s">
        <v>1543</v>
      </c>
      <c r="C109" s="6"/>
    </row>
    <row r="110" spans="1:3" x14ac:dyDescent="0.2">
      <c r="A110" s="5" t="s">
        <v>66</v>
      </c>
      <c r="B110" s="8" t="s">
        <v>1543</v>
      </c>
      <c r="C110" s="6"/>
    </row>
    <row r="111" spans="1:3" x14ac:dyDescent="0.2">
      <c r="A111" s="5" t="s">
        <v>75</v>
      </c>
      <c r="B111" s="8" t="s">
        <v>1543</v>
      </c>
      <c r="C111" s="6"/>
    </row>
    <row r="112" spans="1:3" x14ac:dyDescent="0.2">
      <c r="A112" s="5" t="s">
        <v>76</v>
      </c>
      <c r="B112" s="8" t="s">
        <v>1543</v>
      </c>
      <c r="C112" s="6"/>
    </row>
    <row r="113" spans="1:3" x14ac:dyDescent="0.2">
      <c r="A113" s="5" t="s">
        <v>77</v>
      </c>
      <c r="B113" s="8" t="s">
        <v>1543</v>
      </c>
      <c r="C113" s="6"/>
    </row>
    <row r="114" spans="1:3" x14ac:dyDescent="0.2">
      <c r="A114" s="5" t="s">
        <v>78</v>
      </c>
      <c r="B114" s="8" t="s">
        <v>1543</v>
      </c>
      <c r="C114" s="6"/>
    </row>
    <row r="116" spans="1:3" ht="16.5" x14ac:dyDescent="0.25">
      <c r="A116" s="3" t="s">
        <v>1544</v>
      </c>
    </row>
    <row r="117" spans="1:3" x14ac:dyDescent="0.2">
      <c r="A117" s="10" t="s">
        <v>238</v>
      </c>
    </row>
    <row r="118" spans="1:3" x14ac:dyDescent="0.2">
      <c r="A118" s="11" t="s">
        <v>1545</v>
      </c>
    </row>
    <row r="119" spans="1:3" x14ac:dyDescent="0.2">
      <c r="A119" s="11" t="s">
        <v>1546</v>
      </c>
    </row>
    <row r="120" spans="1:3" x14ac:dyDescent="0.2">
      <c r="A120" s="11" t="s">
        <v>1547</v>
      </c>
    </row>
    <row r="121" spans="1:3" x14ac:dyDescent="0.2">
      <c r="A121" s="11" t="s">
        <v>1548</v>
      </c>
    </row>
    <row r="122" spans="1:3" x14ac:dyDescent="0.2">
      <c r="A122" s="11" t="s">
        <v>1549</v>
      </c>
    </row>
    <row r="123" spans="1:3" x14ac:dyDescent="0.2">
      <c r="A123" s="11" t="s">
        <v>1550</v>
      </c>
    </row>
    <row r="124" spans="1:3" x14ac:dyDescent="0.2">
      <c r="A124" s="11" t="s">
        <v>1551</v>
      </c>
    </row>
    <row r="125" spans="1:3" x14ac:dyDescent="0.2">
      <c r="A125" s="11" t="s">
        <v>1552</v>
      </c>
    </row>
    <row r="126" spans="1:3" x14ac:dyDescent="0.2">
      <c r="A126" s="11" t="s">
        <v>1011</v>
      </c>
    </row>
    <row r="127" spans="1:3" x14ac:dyDescent="0.2">
      <c r="A127" s="11" t="s">
        <v>1553</v>
      </c>
    </row>
    <row r="128" spans="1:3" x14ac:dyDescent="0.2">
      <c r="A128" s="11" t="s">
        <v>1554</v>
      </c>
    </row>
    <row r="129" spans="1:9" x14ac:dyDescent="0.2">
      <c r="A129" s="11" t="s">
        <v>1555</v>
      </c>
    </row>
    <row r="130" spans="1:9" x14ac:dyDescent="0.2">
      <c r="A130" s="11" t="s">
        <v>1556</v>
      </c>
    </row>
    <row r="131" spans="1:9" x14ac:dyDescent="0.2">
      <c r="A131" s="11" t="s">
        <v>1557</v>
      </c>
    </row>
    <row r="132" spans="1:9" x14ac:dyDescent="0.2">
      <c r="A132" s="11" t="s">
        <v>1558</v>
      </c>
    </row>
    <row r="133" spans="1:9" x14ac:dyDescent="0.2">
      <c r="A133" s="11" t="s">
        <v>1559</v>
      </c>
    </row>
    <row r="134" spans="1:9" x14ac:dyDescent="0.2">
      <c r="A134" s="11" t="s">
        <v>1560</v>
      </c>
    </row>
    <row r="135" spans="1:9" x14ac:dyDescent="0.2">
      <c r="A135" s="11" t="s">
        <v>1561</v>
      </c>
    </row>
    <row r="136" spans="1:9" x14ac:dyDescent="0.2">
      <c r="A136" s="11" t="s">
        <v>1562</v>
      </c>
    </row>
    <row r="137" spans="1:9" x14ac:dyDescent="0.2">
      <c r="A137" s="11" t="s">
        <v>1563</v>
      </c>
    </row>
    <row r="138" spans="1:9" x14ac:dyDescent="0.2">
      <c r="A138" s="11" t="s">
        <v>1564</v>
      </c>
    </row>
    <row r="139" spans="1:9" x14ac:dyDescent="0.2">
      <c r="A139" s="18" t="s">
        <v>241</v>
      </c>
      <c r="B139" s="18" t="s">
        <v>371</v>
      </c>
      <c r="C139" s="18" t="s">
        <v>371</v>
      </c>
      <c r="D139" s="18" t="s">
        <v>371</v>
      </c>
      <c r="E139" s="18" t="s">
        <v>371</v>
      </c>
      <c r="F139" s="18" t="s">
        <v>371</v>
      </c>
      <c r="G139" s="18" t="s">
        <v>371</v>
      </c>
      <c r="H139" s="18" t="s">
        <v>371</v>
      </c>
    </row>
    <row r="140" spans="1:9" ht="51" x14ac:dyDescent="0.2">
      <c r="A140" s="18" t="s">
        <v>244</v>
      </c>
      <c r="B140" s="18" t="s">
        <v>1565</v>
      </c>
      <c r="C140" s="18" t="s">
        <v>1566</v>
      </c>
      <c r="D140" s="18" t="s">
        <v>1567</v>
      </c>
      <c r="E140" s="18" t="s">
        <v>1568</v>
      </c>
      <c r="F140" s="18" t="s">
        <v>1569</v>
      </c>
      <c r="G140" s="18" t="s">
        <v>1570</v>
      </c>
      <c r="H140" s="18" t="s">
        <v>1571</v>
      </c>
    </row>
    <row r="142" spans="1:9" ht="25.5" x14ac:dyDescent="0.2">
      <c r="B142" s="4" t="s">
        <v>1572</v>
      </c>
      <c r="C142" s="4" t="s">
        <v>1573</v>
      </c>
      <c r="D142" s="4" t="s">
        <v>1574</v>
      </c>
      <c r="E142" s="4" t="s">
        <v>1575</v>
      </c>
      <c r="F142" s="4" t="s">
        <v>1576</v>
      </c>
      <c r="G142" s="4" t="s">
        <v>1577</v>
      </c>
      <c r="H142" s="4" t="s">
        <v>1578</v>
      </c>
    </row>
    <row r="143" spans="1:9" x14ac:dyDescent="0.2">
      <c r="A143" s="12" t="s">
        <v>53</v>
      </c>
      <c r="I143" s="6"/>
    </row>
    <row r="144" spans="1:9" x14ac:dyDescent="0.2">
      <c r="A144" s="5" t="s">
        <v>53</v>
      </c>
      <c r="B144" s="17">
        <f>B$55/IF(B$87="kVA",IF(F$55,F$55,1),IF(B$87="MPAN",IF(E$55,E$55,1),IF(H$55,H$55,1)))</f>
        <v>3.7632582016834069</v>
      </c>
      <c r="C144" s="17">
        <f>C$55/IF(B$87="kVA",IF(F$55,F$55,1),IF(B$87="MPAN",IF(E$55,E$55,1),IF(H$55,H$55,1)))</f>
        <v>0</v>
      </c>
      <c r="D144" s="17">
        <f>D$55/IF(B$87="kVA",IF(F$55,F$55,1),IF(B$87="MPAN",IF(E$55,E$55,1),IF(H$55,H$55,1)))</f>
        <v>0</v>
      </c>
      <c r="E144" s="17">
        <f>E$55/IF(B$87="kVA",IF(F$55,F$55,1),IF(B$87="MPAN",IF(E$55,E$55,1),IF(H$55,H$55,1)))</f>
        <v>1</v>
      </c>
      <c r="F144" s="17">
        <f>F$55/IF(B$87="kVA",IF(F$55,F$55,1),IF(B$87="MPAN",IF(E$55,E$55,1),IF(H$55,H$55,1)))</f>
        <v>0</v>
      </c>
      <c r="G144" s="17">
        <f>G$55/IF(B$87="kVA",IF(F$55,F$55,1),IF(B$87="MPAN",IF(E$55,E$55,1),IF(H$55,H$55,1)))</f>
        <v>0</v>
      </c>
      <c r="H144" s="29">
        <f>0.01*Input!F$14*(Adjust!$E$227*E144+Adjust!$F$227*F144)+10*(Adjust!$B$227*B144+Adjust!$C$227*C144+Adjust!$D$227*D144+Adjust!$G$227*G144)</f>
        <v>121.12826428259996</v>
      </c>
      <c r="I144" s="6"/>
    </row>
    <row r="145" spans="1:9" x14ac:dyDescent="0.2">
      <c r="A145" s="5" t="s">
        <v>112</v>
      </c>
      <c r="B145" s="17">
        <f>B$55/IF(B$87="kVA",IF(F$55,F$55,1),IF(B$87="MPAN",IF(E$55,E$55,1),IF(H$55,H$55,1)))</f>
        <v>3.7632582016834069</v>
      </c>
      <c r="C145" s="17">
        <f>C$55/IF(B$87="kVA",IF(F$55,F$55,1),IF(B$87="MPAN",IF(E$55,E$55,1),IF(H$55,H$55,1)))</f>
        <v>0</v>
      </c>
      <c r="D145" s="17">
        <f>D$55/IF(B$87="kVA",IF(F$55,F$55,1),IF(B$87="MPAN",IF(E$55,E$55,1),IF(H$55,H$55,1)))</f>
        <v>0</v>
      </c>
      <c r="E145" s="17">
        <f>E$55/IF(B$87="kVA",IF(F$55,F$55,1),IF(B$87="MPAN",IF(E$55,E$55,1),IF(H$55,H$55,1)))</f>
        <v>1</v>
      </c>
      <c r="F145" s="17">
        <f>F$55/IF(B$87="kVA",IF(F$55,F$55,1),IF(B$87="MPAN",IF(E$55,E$55,1),IF(H$55,H$55,1)))</f>
        <v>0</v>
      </c>
      <c r="G145" s="17">
        <f>G$55/IF(B$87="kVA",IF(F$55,F$55,1),IF(B$87="MPAN",IF(E$55,E$55,1),IF(H$55,H$55,1)))</f>
        <v>0</v>
      </c>
      <c r="H145" s="29">
        <f>0.01*Input!F$14*(Adjust!$E$228*E145+Adjust!$F$228*F145)+10*(Adjust!$B$228*B145+Adjust!$C$228*C145+Adjust!$D$228*D145+Adjust!$G$228*G145)</f>
        <v>81.702137186775943</v>
      </c>
      <c r="I145" s="6"/>
    </row>
    <row r="146" spans="1:9" x14ac:dyDescent="0.2">
      <c r="A146" s="5" t="s">
        <v>113</v>
      </c>
      <c r="B146" s="17">
        <f>B$55/IF(B$87="kVA",IF(F$55,F$55,1),IF(B$87="MPAN",IF(E$55,E$55,1),IF(H$55,H$55,1)))</f>
        <v>3.7632582016834069</v>
      </c>
      <c r="C146" s="17">
        <f>C$55/IF(B$87="kVA",IF(F$55,F$55,1),IF(B$87="MPAN",IF(E$55,E$55,1),IF(H$55,H$55,1)))</f>
        <v>0</v>
      </c>
      <c r="D146" s="17">
        <f>D$55/IF(B$87="kVA",IF(F$55,F$55,1),IF(B$87="MPAN",IF(E$55,E$55,1),IF(H$55,H$55,1)))</f>
        <v>0</v>
      </c>
      <c r="E146" s="17">
        <f>E$55/IF(B$87="kVA",IF(F$55,F$55,1),IF(B$87="MPAN",IF(E$55,E$55,1),IF(H$55,H$55,1)))</f>
        <v>1</v>
      </c>
      <c r="F146" s="17">
        <f>F$55/IF(B$87="kVA",IF(F$55,F$55,1),IF(B$87="MPAN",IF(E$55,E$55,1),IF(H$55,H$55,1)))</f>
        <v>0</v>
      </c>
      <c r="G146" s="17">
        <f>G$55/IF(B$87="kVA",IF(F$55,F$55,1),IF(B$87="MPAN",IF(E$55,E$55,1),IF(H$55,H$55,1)))</f>
        <v>0</v>
      </c>
      <c r="H146" s="29">
        <f>0.01*Input!F$14*(Adjust!$E$229*E146+Adjust!$F$229*F146)+10*(Adjust!$B$229*B146+Adjust!$C$229*C146+Adjust!$D$229*D146+Adjust!$G$229*G146)</f>
        <v>54.805652113985296</v>
      </c>
      <c r="I146" s="6"/>
    </row>
    <row r="147" spans="1:9" x14ac:dyDescent="0.2">
      <c r="A147" s="12" t="s">
        <v>54</v>
      </c>
      <c r="I147" s="6"/>
    </row>
    <row r="148" spans="1:9" x14ac:dyDescent="0.2">
      <c r="A148" s="5" t="s">
        <v>54</v>
      </c>
      <c r="B148" s="17">
        <f>B$56/IF(B$88="kVA",IF(F$56,F$56,1),IF(B$88="MPAN",IF(E$56,E$56,1),IF(H$56,H$56,1)))</f>
        <v>3.4804689223409748</v>
      </c>
      <c r="C148" s="17">
        <f>C$56/IF(B$88="kVA",IF(F$56,F$56,1),IF(B$88="MPAN",IF(E$56,E$56,1),IF(H$56,H$56,1)))</f>
        <v>2.8505414131558902</v>
      </c>
      <c r="D148" s="17">
        <f>D$56/IF(B$88="kVA",IF(F$56,F$56,1),IF(B$88="MPAN",IF(E$56,E$56,1),IF(H$56,H$56,1)))</f>
        <v>0</v>
      </c>
      <c r="E148" s="17">
        <f>E$56/IF(B$88="kVA",IF(F$56,F$56,1),IF(B$88="MPAN",IF(E$56,E$56,1),IF(H$56,H$56,1)))</f>
        <v>1</v>
      </c>
      <c r="F148" s="17">
        <f>F$56/IF(B$88="kVA",IF(F$56,F$56,1),IF(B$88="MPAN",IF(E$56,E$56,1),IF(H$56,H$56,1)))</f>
        <v>0</v>
      </c>
      <c r="G148" s="17">
        <f>G$56/IF(B$88="kVA",IF(F$56,F$56,1),IF(B$88="MPAN",IF(E$56,E$56,1),IF(H$56,H$56,1)))</f>
        <v>0</v>
      </c>
      <c r="H148" s="29">
        <f>0.01*Input!F$14*(Adjust!$E$231*E148+Adjust!$F$231*F148)+10*(Adjust!$B$231*B148+Adjust!$C$231*C148+Adjust!$D$231*D148+Adjust!$G$231*G148)</f>
        <v>124.91370566872561</v>
      </c>
      <c r="I148" s="6"/>
    </row>
    <row r="149" spans="1:9" x14ac:dyDescent="0.2">
      <c r="A149" s="5" t="s">
        <v>115</v>
      </c>
      <c r="B149" s="17">
        <f>B$56/IF(B$88="kVA",IF(F$56,F$56,1),IF(B$88="MPAN",IF(E$56,E$56,1),IF(H$56,H$56,1)))</f>
        <v>3.4804689223409748</v>
      </c>
      <c r="C149" s="17">
        <f>C$56/IF(B$88="kVA",IF(F$56,F$56,1),IF(B$88="MPAN",IF(E$56,E$56,1),IF(H$56,H$56,1)))</f>
        <v>2.8505414131558902</v>
      </c>
      <c r="D149" s="17">
        <f>D$56/IF(B$88="kVA",IF(F$56,F$56,1),IF(B$88="MPAN",IF(E$56,E$56,1),IF(H$56,H$56,1)))</f>
        <v>0</v>
      </c>
      <c r="E149" s="17">
        <f>E$56/IF(B$88="kVA",IF(F$56,F$56,1),IF(B$88="MPAN",IF(E$56,E$56,1),IF(H$56,H$56,1)))</f>
        <v>1</v>
      </c>
      <c r="F149" s="17">
        <f>F$56/IF(B$88="kVA",IF(F$56,F$56,1),IF(B$88="MPAN",IF(E$56,E$56,1),IF(H$56,H$56,1)))</f>
        <v>0</v>
      </c>
      <c r="G149" s="17">
        <f>G$56/IF(B$88="kVA",IF(F$56,F$56,1),IF(B$88="MPAN",IF(E$56,E$56,1),IF(H$56,H$56,1)))</f>
        <v>0</v>
      </c>
      <c r="H149" s="29">
        <f>0.01*Input!F$14*(Adjust!$E$232*E149+Adjust!$F$232*F149)+10*(Adjust!$B$232*B149+Adjust!$C$232*C149+Adjust!$D$232*D149+Adjust!$G$232*G149)</f>
        <v>84.254424022626409</v>
      </c>
      <c r="I149" s="6"/>
    </row>
    <row r="150" spans="1:9" x14ac:dyDescent="0.2">
      <c r="A150" s="5" t="s">
        <v>116</v>
      </c>
      <c r="B150" s="17">
        <f>B$56/IF(B$88="kVA",IF(F$56,F$56,1),IF(B$88="MPAN",IF(E$56,E$56,1),IF(H$56,H$56,1)))</f>
        <v>3.4804689223409748</v>
      </c>
      <c r="C150" s="17">
        <f>C$56/IF(B$88="kVA",IF(F$56,F$56,1),IF(B$88="MPAN",IF(E$56,E$56,1),IF(H$56,H$56,1)))</f>
        <v>2.8505414131558902</v>
      </c>
      <c r="D150" s="17">
        <f>D$56/IF(B$88="kVA",IF(F$56,F$56,1),IF(B$88="MPAN",IF(E$56,E$56,1),IF(H$56,H$56,1)))</f>
        <v>0</v>
      </c>
      <c r="E150" s="17">
        <f>E$56/IF(B$88="kVA",IF(F$56,F$56,1),IF(B$88="MPAN",IF(E$56,E$56,1),IF(H$56,H$56,1)))</f>
        <v>1</v>
      </c>
      <c r="F150" s="17">
        <f>F$56/IF(B$88="kVA",IF(F$56,F$56,1),IF(B$88="MPAN",IF(E$56,E$56,1),IF(H$56,H$56,1)))</f>
        <v>0</v>
      </c>
      <c r="G150" s="17">
        <f>G$56/IF(B$88="kVA",IF(F$56,F$56,1),IF(B$88="MPAN",IF(E$56,E$56,1),IF(H$56,H$56,1)))</f>
        <v>0</v>
      </c>
      <c r="H150" s="29">
        <f>0.01*Input!F$14*(Adjust!$E$233*E150+Adjust!$F$233*F150)+10*(Adjust!$B$233*B150+Adjust!$C$233*C150+Adjust!$D$233*D150+Adjust!$G$233*G150)</f>
        <v>56.510959184639162</v>
      </c>
      <c r="I150" s="6"/>
    </row>
    <row r="151" spans="1:9" x14ac:dyDescent="0.2">
      <c r="A151" s="12" t="s">
        <v>94</v>
      </c>
      <c r="I151" s="6"/>
    </row>
    <row r="152" spans="1:9" x14ac:dyDescent="0.2">
      <c r="A152" s="5" t="s">
        <v>94</v>
      </c>
      <c r="B152" s="17">
        <f>B$57/IF(B$89="kVA",IF(F$57,F$57,1),IF(B$89="MPAN",IF(E$57,E$57,1),IF(H$57,H$57,1)))</f>
        <v>3.7233092690227569</v>
      </c>
      <c r="C152" s="17">
        <f>C$57/IF(B$89="kVA",IF(F$57,F$57,1),IF(B$89="MPAN",IF(E$57,E$57,1),IF(H$57,H$57,1)))</f>
        <v>0</v>
      </c>
      <c r="D152" s="17">
        <f>D$57/IF(B$89="kVA",IF(F$57,F$57,1),IF(B$89="MPAN",IF(E$57,E$57,1),IF(H$57,H$57,1)))</f>
        <v>0</v>
      </c>
      <c r="E152" s="17">
        <f>E$57/IF(B$89="kVA",IF(F$57,F$57,1),IF(B$89="MPAN",IF(E$57,E$57,1),IF(H$57,H$57,1)))</f>
        <v>1</v>
      </c>
      <c r="F152" s="17">
        <f>F$57/IF(B$89="kVA",IF(F$57,F$57,1),IF(B$89="MPAN",IF(E$57,E$57,1),IF(H$57,H$57,1)))</f>
        <v>0</v>
      </c>
      <c r="G152" s="17">
        <f>G$57/IF(B$89="kVA",IF(F$57,F$57,1),IF(B$89="MPAN",IF(E$57,E$57,1),IF(H$57,H$57,1)))</f>
        <v>0</v>
      </c>
      <c r="H152" s="29">
        <f>0.01*Input!F$14*(Adjust!$E$235*E152+Adjust!$F$235*F152)+10*(Adjust!$B$235*B152+Adjust!$C$235*C152+Adjust!$D$235*D152+Adjust!$G$235*G152)</f>
        <v>11.31886017782918</v>
      </c>
      <c r="I152" s="6"/>
    </row>
    <row r="153" spans="1:9" x14ac:dyDescent="0.2">
      <c r="A153" s="5" t="s">
        <v>118</v>
      </c>
      <c r="B153" s="17">
        <f>B$57/IF(B$89="kVA",IF(F$57,F$57,1),IF(B$89="MPAN",IF(E$57,E$57,1),IF(H$57,H$57,1)))</f>
        <v>3.7233092690227569</v>
      </c>
      <c r="C153" s="17">
        <f>C$57/IF(B$89="kVA",IF(F$57,F$57,1),IF(B$89="MPAN",IF(E$57,E$57,1),IF(H$57,H$57,1)))</f>
        <v>0</v>
      </c>
      <c r="D153" s="17">
        <f>D$57/IF(B$89="kVA",IF(F$57,F$57,1),IF(B$89="MPAN",IF(E$57,E$57,1),IF(H$57,H$57,1)))</f>
        <v>0</v>
      </c>
      <c r="E153" s="17">
        <f>E$57/IF(B$89="kVA",IF(F$57,F$57,1),IF(B$89="MPAN",IF(E$57,E$57,1),IF(H$57,H$57,1)))</f>
        <v>1</v>
      </c>
      <c r="F153" s="17">
        <f>F$57/IF(B$89="kVA",IF(F$57,F$57,1),IF(B$89="MPAN",IF(E$57,E$57,1),IF(H$57,H$57,1)))</f>
        <v>0</v>
      </c>
      <c r="G153" s="17">
        <f>G$57/IF(B$89="kVA",IF(F$57,F$57,1),IF(B$89="MPAN",IF(E$57,E$57,1),IF(H$57,H$57,1)))</f>
        <v>0</v>
      </c>
      <c r="H153" s="29">
        <f>0.01*Input!F$14*(Adjust!$E$236*E153+Adjust!$F$236*F153)+10*(Adjust!$B$236*B153+Adjust!$C$236*C153+Adjust!$D$236*D153+Adjust!$G$236*G153)</f>
        <v>7.6327840014966508</v>
      </c>
      <c r="I153" s="6"/>
    </row>
    <row r="154" spans="1:9" x14ac:dyDescent="0.2">
      <c r="A154" s="5" t="s">
        <v>119</v>
      </c>
      <c r="B154" s="17">
        <f>B$57/IF(B$89="kVA",IF(F$57,F$57,1),IF(B$89="MPAN",IF(E$57,E$57,1),IF(H$57,H$57,1)))</f>
        <v>3.7233092690227569</v>
      </c>
      <c r="C154" s="17">
        <f>C$57/IF(B$89="kVA",IF(F$57,F$57,1),IF(B$89="MPAN",IF(E$57,E$57,1),IF(H$57,H$57,1)))</f>
        <v>0</v>
      </c>
      <c r="D154" s="17">
        <f>D$57/IF(B$89="kVA",IF(F$57,F$57,1),IF(B$89="MPAN",IF(E$57,E$57,1),IF(H$57,H$57,1)))</f>
        <v>0</v>
      </c>
      <c r="E154" s="17">
        <f>E$57/IF(B$89="kVA",IF(F$57,F$57,1),IF(B$89="MPAN",IF(E$57,E$57,1),IF(H$57,H$57,1)))</f>
        <v>1</v>
      </c>
      <c r="F154" s="17">
        <f>F$57/IF(B$89="kVA",IF(F$57,F$57,1),IF(B$89="MPAN",IF(E$57,E$57,1),IF(H$57,H$57,1)))</f>
        <v>0</v>
      </c>
      <c r="G154" s="17">
        <f>G$57/IF(B$89="kVA",IF(F$57,F$57,1),IF(B$89="MPAN",IF(E$57,E$57,1),IF(H$57,H$57,1)))</f>
        <v>0</v>
      </c>
      <c r="H154" s="29">
        <f>0.01*Input!F$14*(Adjust!$E$237*E154+Adjust!$F$237*F154)+10*(Adjust!$B$237*B154+Adjust!$C$237*C154+Adjust!$D$237*D154+Adjust!$G$237*G154)</f>
        <v>5.1009336985611773</v>
      </c>
      <c r="I154" s="6"/>
    </row>
    <row r="155" spans="1:9" x14ac:dyDescent="0.2">
      <c r="A155" s="12" t="s">
        <v>55</v>
      </c>
      <c r="I155" s="6"/>
    </row>
    <row r="156" spans="1:9" x14ac:dyDescent="0.2">
      <c r="A156" s="5" t="s">
        <v>55</v>
      </c>
      <c r="B156" s="17">
        <f>B$58/IF(B$90="kVA",IF(F$58,F$58,1),IF(B$90="MPAN",IF(E$58,E$58,1),IF(H$58,H$58,1)))</f>
        <v>14.872172733875615</v>
      </c>
      <c r="C156" s="17">
        <f>C$58/IF(B$90="kVA",IF(F$58,F$58,1),IF(B$90="MPAN",IF(E$58,E$58,1),IF(H$58,H$58,1)))</f>
        <v>0</v>
      </c>
      <c r="D156" s="17">
        <f>D$58/IF(B$90="kVA",IF(F$58,F$58,1),IF(B$90="MPAN",IF(E$58,E$58,1),IF(H$58,H$58,1)))</f>
        <v>0</v>
      </c>
      <c r="E156" s="17">
        <f>E$58/IF(B$90="kVA",IF(F$58,F$58,1),IF(B$90="MPAN",IF(E$58,E$58,1),IF(H$58,H$58,1)))</f>
        <v>1</v>
      </c>
      <c r="F156" s="17">
        <f>F$58/IF(B$90="kVA",IF(F$58,F$58,1),IF(B$90="MPAN",IF(E$58,E$58,1),IF(H$58,H$58,1)))</f>
        <v>0</v>
      </c>
      <c r="G156" s="17">
        <f>G$58/IF(B$90="kVA",IF(F$58,F$58,1),IF(B$90="MPAN",IF(E$58,E$58,1),IF(H$58,H$58,1)))</f>
        <v>0</v>
      </c>
      <c r="H156" s="29">
        <f>0.01*Input!F$14*(Adjust!$E$239*E156+Adjust!$F$239*F156)+10*(Adjust!$B$239*B156+Adjust!$C$239*C156+Adjust!$D$239*D156+Adjust!$G$239*G156)</f>
        <v>371.19980634107981</v>
      </c>
      <c r="I156" s="6"/>
    </row>
    <row r="157" spans="1:9" x14ac:dyDescent="0.2">
      <c r="A157" s="5" t="s">
        <v>121</v>
      </c>
      <c r="B157" s="17">
        <f>B$58/IF(B$90="kVA",IF(F$58,F$58,1),IF(B$90="MPAN",IF(E$58,E$58,1),IF(H$58,H$58,1)))</f>
        <v>14.872172733875615</v>
      </c>
      <c r="C157" s="17">
        <f>C$58/IF(B$90="kVA",IF(F$58,F$58,1),IF(B$90="MPAN",IF(E$58,E$58,1),IF(H$58,H$58,1)))</f>
        <v>0</v>
      </c>
      <c r="D157" s="17">
        <f>D$58/IF(B$90="kVA",IF(F$58,F$58,1),IF(B$90="MPAN",IF(E$58,E$58,1),IF(H$58,H$58,1)))</f>
        <v>0</v>
      </c>
      <c r="E157" s="17">
        <f>E$58/IF(B$90="kVA",IF(F$58,F$58,1),IF(B$90="MPAN",IF(E$58,E$58,1),IF(H$58,H$58,1)))</f>
        <v>1</v>
      </c>
      <c r="F157" s="17">
        <f>F$58/IF(B$90="kVA",IF(F$58,F$58,1),IF(B$90="MPAN",IF(E$58,E$58,1),IF(H$58,H$58,1)))</f>
        <v>0</v>
      </c>
      <c r="G157" s="17">
        <f>G$58/IF(B$90="kVA",IF(F$58,F$58,1),IF(B$90="MPAN",IF(E$58,E$58,1),IF(H$58,H$58,1)))</f>
        <v>0</v>
      </c>
      <c r="H157" s="29">
        <f>0.01*Input!F$14*(Adjust!$E$240*E157+Adjust!$F$240*F157)+10*(Adjust!$B$240*B157+Adjust!$C$240*C157+Adjust!$D$240*D157+Adjust!$G$240*G157)</f>
        <v>250.40175038015624</v>
      </c>
      <c r="I157" s="6"/>
    </row>
    <row r="158" spans="1:9" x14ac:dyDescent="0.2">
      <c r="A158" s="5" t="s">
        <v>122</v>
      </c>
      <c r="B158" s="17">
        <f>B$58/IF(B$90="kVA",IF(F$58,F$58,1),IF(B$90="MPAN",IF(E$58,E$58,1),IF(H$58,H$58,1)))</f>
        <v>14.872172733875615</v>
      </c>
      <c r="C158" s="17">
        <f>C$58/IF(B$90="kVA",IF(F$58,F$58,1),IF(B$90="MPAN",IF(E$58,E$58,1),IF(H$58,H$58,1)))</f>
        <v>0</v>
      </c>
      <c r="D158" s="17">
        <f>D$58/IF(B$90="kVA",IF(F$58,F$58,1),IF(B$90="MPAN",IF(E$58,E$58,1),IF(H$58,H$58,1)))</f>
        <v>0</v>
      </c>
      <c r="E158" s="17">
        <f>E$58/IF(B$90="kVA",IF(F$58,F$58,1),IF(B$90="MPAN",IF(E$58,E$58,1),IF(H$58,H$58,1)))</f>
        <v>1</v>
      </c>
      <c r="F158" s="17">
        <f>F$58/IF(B$90="kVA",IF(F$58,F$58,1),IF(B$90="MPAN",IF(E$58,E$58,1),IF(H$58,H$58,1)))</f>
        <v>0</v>
      </c>
      <c r="G158" s="17">
        <f>G$58/IF(B$90="kVA",IF(F$58,F$58,1),IF(B$90="MPAN",IF(E$58,E$58,1),IF(H$58,H$58,1)))</f>
        <v>0</v>
      </c>
      <c r="H158" s="29">
        <f>0.01*Input!F$14*(Adjust!$E$241*E158+Adjust!$F$241*F158)+10*(Adjust!$B$241*B158+Adjust!$C$241*C158+Adjust!$D$241*D158+Adjust!$G$241*G158)</f>
        <v>167.91290452658296</v>
      </c>
      <c r="I158" s="6"/>
    </row>
    <row r="159" spans="1:9" x14ac:dyDescent="0.2">
      <c r="A159" s="12" t="s">
        <v>56</v>
      </c>
      <c r="I159" s="6"/>
    </row>
    <row r="160" spans="1:9" x14ac:dyDescent="0.2">
      <c r="A160" s="5" t="s">
        <v>56</v>
      </c>
      <c r="B160" s="17">
        <f>B$59/IF(B$91="kVA",IF(F$59,F$59,1),IF(B$91="MPAN",IF(E$59,E$59,1),IF(H$59,H$59,1)))</f>
        <v>18.825280558489901</v>
      </c>
      <c r="C160" s="17">
        <f>C$59/IF(B$91="kVA",IF(F$59,F$59,1),IF(B$91="MPAN",IF(E$59,E$59,1),IF(H$59,H$59,1)))</f>
        <v>7.328610331994895</v>
      </c>
      <c r="D160" s="17">
        <f>D$59/IF(B$91="kVA",IF(F$59,F$59,1),IF(B$91="MPAN",IF(E$59,E$59,1),IF(H$59,H$59,1)))</f>
        <v>0</v>
      </c>
      <c r="E160" s="17">
        <f>E$59/IF(B$91="kVA",IF(F$59,F$59,1),IF(B$91="MPAN",IF(E$59,E$59,1),IF(H$59,H$59,1)))</f>
        <v>1</v>
      </c>
      <c r="F160" s="17">
        <f>F$59/IF(B$91="kVA",IF(F$59,F$59,1),IF(B$91="MPAN",IF(E$59,E$59,1),IF(H$59,H$59,1)))</f>
        <v>0</v>
      </c>
      <c r="G160" s="17">
        <f>G$59/IF(B$91="kVA",IF(F$59,F$59,1),IF(B$91="MPAN",IF(E$59,E$59,1),IF(H$59,H$59,1)))</f>
        <v>0</v>
      </c>
      <c r="H160" s="29">
        <f>0.01*Input!F$14*(Adjust!$E$243*E160+Adjust!$F$243*F160)+10*(Adjust!$B$243*B160+Adjust!$C$243*C160+Adjust!$D$243*D160+Adjust!$G$243*G160)</f>
        <v>511.48722459155437</v>
      </c>
      <c r="I160" s="6"/>
    </row>
    <row r="161" spans="1:9" x14ac:dyDescent="0.2">
      <c r="A161" s="5" t="s">
        <v>124</v>
      </c>
      <c r="B161" s="17">
        <f>B$59/IF(B$91="kVA",IF(F$59,F$59,1),IF(B$91="MPAN",IF(E$59,E$59,1),IF(H$59,H$59,1)))</f>
        <v>18.825280558489901</v>
      </c>
      <c r="C161" s="17">
        <f>C$59/IF(B$91="kVA",IF(F$59,F$59,1),IF(B$91="MPAN",IF(E$59,E$59,1),IF(H$59,H$59,1)))</f>
        <v>7.328610331994895</v>
      </c>
      <c r="D161" s="17">
        <f>D$59/IF(B$91="kVA",IF(F$59,F$59,1),IF(B$91="MPAN",IF(E$59,E$59,1),IF(H$59,H$59,1)))</f>
        <v>0</v>
      </c>
      <c r="E161" s="17">
        <f>E$59/IF(B$91="kVA",IF(F$59,F$59,1),IF(B$91="MPAN",IF(E$59,E$59,1),IF(H$59,H$59,1)))</f>
        <v>1</v>
      </c>
      <c r="F161" s="17">
        <f>F$59/IF(B$91="kVA",IF(F$59,F$59,1),IF(B$91="MPAN",IF(E$59,E$59,1),IF(H$59,H$59,1)))</f>
        <v>0</v>
      </c>
      <c r="G161" s="17">
        <f>G$59/IF(B$91="kVA",IF(F$59,F$59,1),IF(B$91="MPAN",IF(E$59,E$59,1),IF(H$59,H$59,1)))</f>
        <v>0</v>
      </c>
      <c r="H161" s="29">
        <f>0.01*Input!F$14*(Adjust!$E$244*E161+Adjust!$F$244*F161)+10*(Adjust!$B$244*B161+Adjust!$C$244*C161+Adjust!$D$244*D161+Adjust!$G$244*G161)</f>
        <v>344.98818267826744</v>
      </c>
      <c r="I161" s="6"/>
    </row>
    <row r="162" spans="1:9" x14ac:dyDescent="0.2">
      <c r="A162" s="5" t="s">
        <v>125</v>
      </c>
      <c r="B162" s="17">
        <f>B$59/IF(B$91="kVA",IF(F$59,F$59,1),IF(B$91="MPAN",IF(E$59,E$59,1),IF(H$59,H$59,1)))</f>
        <v>18.825280558489901</v>
      </c>
      <c r="C162" s="17">
        <f>C$59/IF(B$91="kVA",IF(F$59,F$59,1),IF(B$91="MPAN",IF(E$59,E$59,1),IF(H$59,H$59,1)))</f>
        <v>7.328610331994895</v>
      </c>
      <c r="D162" s="17">
        <f>D$59/IF(B$91="kVA",IF(F$59,F$59,1),IF(B$91="MPAN",IF(E$59,E$59,1),IF(H$59,H$59,1)))</f>
        <v>0</v>
      </c>
      <c r="E162" s="17">
        <f>E$59/IF(B$91="kVA",IF(F$59,F$59,1),IF(B$91="MPAN",IF(E$59,E$59,1),IF(H$59,H$59,1)))</f>
        <v>1</v>
      </c>
      <c r="F162" s="17">
        <f>F$59/IF(B$91="kVA",IF(F$59,F$59,1),IF(B$91="MPAN",IF(E$59,E$59,1),IF(H$59,H$59,1)))</f>
        <v>0</v>
      </c>
      <c r="G162" s="17">
        <f>G$59/IF(B$91="kVA",IF(F$59,F$59,1),IF(B$91="MPAN",IF(E$59,E$59,1),IF(H$59,H$59,1)))</f>
        <v>0</v>
      </c>
      <c r="H162" s="29">
        <f>0.01*Input!F$14*(Adjust!$E$245*E162+Adjust!$F$245*F162)+10*(Adjust!$B$245*B162+Adjust!$C$245*C162+Adjust!$D$245*D162+Adjust!$G$245*G162)</f>
        <v>231.44410622903254</v>
      </c>
      <c r="I162" s="6"/>
    </row>
    <row r="163" spans="1:9" x14ac:dyDescent="0.2">
      <c r="A163" s="12" t="s">
        <v>95</v>
      </c>
      <c r="I163" s="6"/>
    </row>
    <row r="164" spans="1:9" x14ac:dyDescent="0.2">
      <c r="A164" s="5" t="s">
        <v>95</v>
      </c>
      <c r="B164" s="17">
        <f>B$60/IF(B$92="kVA",IF(F$60,F$60,1),IF(B$92="MPAN",IF(E$60,E$60,1),IF(H$60,H$60,1)))</f>
        <v>6.5592350496348022</v>
      </c>
      <c r="C164" s="17">
        <f>C$60/IF(B$92="kVA",IF(F$60,F$60,1),IF(B$92="MPAN",IF(E$60,E$60,1),IF(H$60,H$60,1)))</f>
        <v>0</v>
      </c>
      <c r="D164" s="17">
        <f>D$60/IF(B$92="kVA",IF(F$60,F$60,1),IF(B$92="MPAN",IF(E$60,E$60,1),IF(H$60,H$60,1)))</f>
        <v>0</v>
      </c>
      <c r="E164" s="17">
        <f>E$60/IF(B$92="kVA",IF(F$60,F$60,1),IF(B$92="MPAN",IF(E$60,E$60,1),IF(H$60,H$60,1)))</f>
        <v>1</v>
      </c>
      <c r="F164" s="17">
        <f>F$60/IF(B$92="kVA",IF(F$60,F$60,1),IF(B$92="MPAN",IF(E$60,E$60,1),IF(H$60,H$60,1)))</f>
        <v>0</v>
      </c>
      <c r="G164" s="17">
        <f>G$60/IF(B$92="kVA",IF(F$60,F$60,1),IF(B$92="MPAN",IF(E$60,E$60,1),IF(H$60,H$60,1)))</f>
        <v>0</v>
      </c>
      <c r="H164" s="29">
        <f>0.01*Input!F$14*(Adjust!$E$247*E164+Adjust!$F$247*F164)+10*(Adjust!$B$247*B164+Adjust!$C$247*C164+Adjust!$D$247*D164+Adjust!$G$247*G164)</f>
        <v>16.529272325079702</v>
      </c>
      <c r="I164" s="6"/>
    </row>
    <row r="165" spans="1:9" ht="25.5" x14ac:dyDescent="0.2">
      <c r="A165" s="5" t="s">
        <v>127</v>
      </c>
      <c r="B165" s="17">
        <f>B$60/IF(B$92="kVA",IF(F$60,F$60,1),IF(B$92="MPAN",IF(E$60,E$60,1),IF(H$60,H$60,1)))</f>
        <v>6.5592350496348022</v>
      </c>
      <c r="C165" s="17">
        <f>C$60/IF(B$92="kVA",IF(F$60,F$60,1),IF(B$92="MPAN",IF(E$60,E$60,1),IF(H$60,H$60,1)))</f>
        <v>0</v>
      </c>
      <c r="D165" s="17">
        <f>D$60/IF(B$92="kVA",IF(F$60,F$60,1),IF(B$92="MPAN",IF(E$60,E$60,1),IF(H$60,H$60,1)))</f>
        <v>0</v>
      </c>
      <c r="E165" s="17">
        <f>E$60/IF(B$92="kVA",IF(F$60,F$60,1),IF(B$92="MPAN",IF(E$60,E$60,1),IF(H$60,H$60,1)))</f>
        <v>1</v>
      </c>
      <c r="F165" s="17">
        <f>F$60/IF(B$92="kVA",IF(F$60,F$60,1),IF(B$92="MPAN",IF(E$60,E$60,1),IF(H$60,H$60,1)))</f>
        <v>0</v>
      </c>
      <c r="G165" s="17">
        <f>G$60/IF(B$92="kVA",IF(F$60,F$60,1),IF(B$92="MPAN",IF(E$60,E$60,1),IF(H$60,H$60,1)))</f>
        <v>0</v>
      </c>
      <c r="H165" s="29">
        <f>0.01*Input!F$14*(Adjust!$E$248*E165+Adjust!$F$248*F165)+10*(Adjust!$B$248*B165+Adjust!$C$248*C165+Adjust!$D$248*D165+Adjust!$G$248*G165)</f>
        <v>11.150699584379165</v>
      </c>
      <c r="I165" s="6"/>
    </row>
    <row r="166" spans="1:9" ht="25.5" x14ac:dyDescent="0.2">
      <c r="A166" s="5" t="s">
        <v>128</v>
      </c>
      <c r="B166" s="17">
        <f>B$60/IF(B$92="kVA",IF(F$60,F$60,1),IF(B$92="MPAN",IF(E$60,E$60,1),IF(H$60,H$60,1)))</f>
        <v>6.5592350496348022</v>
      </c>
      <c r="C166" s="17">
        <f>C$60/IF(B$92="kVA",IF(F$60,F$60,1),IF(B$92="MPAN",IF(E$60,E$60,1),IF(H$60,H$60,1)))</f>
        <v>0</v>
      </c>
      <c r="D166" s="17">
        <f>D$60/IF(B$92="kVA",IF(F$60,F$60,1),IF(B$92="MPAN",IF(E$60,E$60,1),IF(H$60,H$60,1)))</f>
        <v>0</v>
      </c>
      <c r="E166" s="17">
        <f>E$60/IF(B$92="kVA",IF(F$60,F$60,1),IF(B$92="MPAN",IF(E$60,E$60,1),IF(H$60,H$60,1)))</f>
        <v>1</v>
      </c>
      <c r="F166" s="17">
        <f>F$60/IF(B$92="kVA",IF(F$60,F$60,1),IF(B$92="MPAN",IF(E$60,E$60,1),IF(H$60,H$60,1)))</f>
        <v>0</v>
      </c>
      <c r="G166" s="17">
        <f>G$60/IF(B$92="kVA",IF(F$60,F$60,1),IF(B$92="MPAN",IF(E$60,E$60,1),IF(H$60,H$60,1)))</f>
        <v>0</v>
      </c>
      <c r="H166" s="29">
        <f>0.01*Input!F$14*(Adjust!$E$249*E166+Adjust!$F$249*F166)+10*(Adjust!$B$249*B166+Adjust!$C$249*C166+Adjust!$D$249*D166+Adjust!$G$249*G166)</f>
        <v>7.4775279565836748</v>
      </c>
      <c r="I166" s="6"/>
    </row>
    <row r="167" spans="1:9" x14ac:dyDescent="0.2">
      <c r="A167" s="12" t="s">
        <v>57</v>
      </c>
      <c r="I167" s="6"/>
    </row>
    <row r="168" spans="1:9" x14ac:dyDescent="0.2">
      <c r="A168" s="5" t="s">
        <v>57</v>
      </c>
      <c r="B168" s="17">
        <f>B$61/IF(B$93="kVA",IF(F$61,F$61,1),IF(B$93="MPAN",IF(E$61,E$61,1),IF(H$61,H$61,1)))</f>
        <v>91.703303567297141</v>
      </c>
      <c r="C168" s="17">
        <f>C$61/IF(B$93="kVA",IF(F$61,F$61,1),IF(B$93="MPAN",IF(E$61,E$61,1),IF(H$61,H$61,1)))</f>
        <v>22.618504990869038</v>
      </c>
      <c r="D168" s="17">
        <f>D$61/IF(B$93="kVA",IF(F$61,F$61,1),IF(B$93="MPAN",IF(E$61,E$61,1),IF(H$61,H$61,1)))</f>
        <v>0</v>
      </c>
      <c r="E168" s="17">
        <f>E$61/IF(B$93="kVA",IF(F$61,F$61,1),IF(B$93="MPAN",IF(E$61,E$61,1),IF(H$61,H$61,1)))</f>
        <v>1</v>
      </c>
      <c r="F168" s="17">
        <f>F$61/IF(B$93="kVA",IF(F$61,F$61,1),IF(B$93="MPAN",IF(E$61,E$61,1),IF(H$61,H$61,1)))</f>
        <v>0</v>
      </c>
      <c r="G168" s="17">
        <f>G$61/IF(B$93="kVA",IF(F$61,F$61,1),IF(B$93="MPAN",IF(E$61,E$61,1),IF(H$61,H$61,1)))</f>
        <v>0</v>
      </c>
      <c r="H168" s="29">
        <f>0.01*Input!F$14*(Adjust!$E$251*E168+Adjust!$F$251*F168)+10*(Adjust!$B$251*B168+Adjust!$C$251*C168+Adjust!$D$251*D168+Adjust!$G$251*G168)</f>
        <v>2384.1185075568892</v>
      </c>
      <c r="I168" s="6"/>
    </row>
    <row r="169" spans="1:9" x14ac:dyDescent="0.2">
      <c r="A169" s="5" t="s">
        <v>130</v>
      </c>
      <c r="B169" s="17">
        <f>B$61/IF(B$93="kVA",IF(F$61,F$61,1),IF(B$93="MPAN",IF(E$61,E$61,1),IF(H$61,H$61,1)))</f>
        <v>91.703303567297141</v>
      </c>
      <c r="C169" s="17">
        <f>C$61/IF(B$93="kVA",IF(F$61,F$61,1),IF(B$93="MPAN",IF(E$61,E$61,1),IF(H$61,H$61,1)))</f>
        <v>22.618504990869038</v>
      </c>
      <c r="D169" s="17">
        <f>D$61/IF(B$93="kVA",IF(F$61,F$61,1),IF(B$93="MPAN",IF(E$61,E$61,1),IF(H$61,H$61,1)))</f>
        <v>0</v>
      </c>
      <c r="E169" s="17">
        <f>E$61/IF(B$93="kVA",IF(F$61,F$61,1),IF(B$93="MPAN",IF(E$61,E$61,1),IF(H$61,H$61,1)))</f>
        <v>1</v>
      </c>
      <c r="F169" s="17">
        <f>F$61/IF(B$93="kVA",IF(F$61,F$61,1),IF(B$93="MPAN",IF(E$61,E$61,1),IF(H$61,H$61,1)))</f>
        <v>0</v>
      </c>
      <c r="G169" s="17">
        <f>G$61/IF(B$93="kVA",IF(F$61,F$61,1),IF(B$93="MPAN",IF(E$61,E$61,1),IF(H$61,H$61,1)))</f>
        <v>0</v>
      </c>
      <c r="H169" s="29">
        <f>0.01*Input!F$14*(Adjust!$E$252*E169+Adjust!$F$252*F169)+10*(Adjust!$B$252*B169+Adjust!$C$252*C169+Adjust!$D$252*D169+Adjust!$G$252*G169)</f>
        <v>1607.9696694821969</v>
      </c>
      <c r="I169" s="6"/>
    </row>
    <row r="170" spans="1:9" x14ac:dyDescent="0.2">
      <c r="A170" s="5" t="s">
        <v>131</v>
      </c>
      <c r="B170" s="17">
        <f>B$61/IF(B$93="kVA",IF(F$61,F$61,1),IF(B$93="MPAN",IF(E$61,E$61,1),IF(H$61,H$61,1)))</f>
        <v>91.703303567297141</v>
      </c>
      <c r="C170" s="17">
        <f>C$61/IF(B$93="kVA",IF(F$61,F$61,1),IF(B$93="MPAN",IF(E$61,E$61,1),IF(H$61,H$61,1)))</f>
        <v>22.618504990869038</v>
      </c>
      <c r="D170" s="17">
        <f>D$61/IF(B$93="kVA",IF(F$61,F$61,1),IF(B$93="MPAN",IF(E$61,E$61,1),IF(H$61,H$61,1)))</f>
        <v>0</v>
      </c>
      <c r="E170" s="17">
        <f>E$61/IF(B$93="kVA",IF(F$61,F$61,1),IF(B$93="MPAN",IF(E$61,E$61,1),IF(H$61,H$61,1)))</f>
        <v>1</v>
      </c>
      <c r="F170" s="17">
        <f>F$61/IF(B$93="kVA",IF(F$61,F$61,1),IF(B$93="MPAN",IF(E$61,E$61,1),IF(H$61,H$61,1)))</f>
        <v>0</v>
      </c>
      <c r="G170" s="17">
        <f>G$61/IF(B$93="kVA",IF(F$61,F$61,1),IF(B$93="MPAN",IF(E$61,E$61,1),IF(H$61,H$61,1)))</f>
        <v>0</v>
      </c>
      <c r="H170" s="29">
        <f>0.01*Input!F$14*(Adjust!$E$253*E170+Adjust!$F$253*F170)+10*(Adjust!$B$253*B170+Adjust!$C$253*C170+Adjust!$D$253*D170+Adjust!$G$253*G170)</f>
        <v>1078.1574455806658</v>
      </c>
      <c r="I170" s="6"/>
    </row>
    <row r="171" spans="1:9" x14ac:dyDescent="0.2">
      <c r="A171" s="12" t="s">
        <v>58</v>
      </c>
      <c r="I171" s="6"/>
    </row>
    <row r="172" spans="1:9" x14ac:dyDescent="0.2">
      <c r="A172" s="5" t="s">
        <v>58</v>
      </c>
      <c r="B172" s="17">
        <f>B$62/IF(B$94="kVA",IF(F$62,F$62,1),IF(B$94="MPAN",IF(E$62,E$62,1),IF(H$62,H$62,1)))</f>
        <v>98.883532897658611</v>
      </c>
      <c r="C172" s="17">
        <f>C$62/IF(B$94="kVA",IF(F$62,F$62,1),IF(B$94="MPAN",IF(E$62,E$62,1),IF(H$62,H$62,1)))</f>
        <v>26.973415684021198</v>
      </c>
      <c r="D172" s="17">
        <f>D$62/IF(B$94="kVA",IF(F$62,F$62,1),IF(B$94="MPAN",IF(E$62,E$62,1),IF(H$62,H$62,1)))</f>
        <v>0</v>
      </c>
      <c r="E172" s="17">
        <f>E$62/IF(B$94="kVA",IF(F$62,F$62,1),IF(B$94="MPAN",IF(E$62,E$62,1),IF(H$62,H$62,1)))</f>
        <v>1</v>
      </c>
      <c r="F172" s="17">
        <f>F$62/IF(B$94="kVA",IF(F$62,F$62,1),IF(B$94="MPAN",IF(E$62,E$62,1),IF(H$62,H$62,1)))</f>
        <v>0</v>
      </c>
      <c r="G172" s="17">
        <f>G$62/IF(B$94="kVA",IF(F$62,F$62,1),IF(B$94="MPAN",IF(E$62,E$62,1),IF(H$62,H$62,1)))</f>
        <v>0</v>
      </c>
      <c r="H172" s="29">
        <f>0.01*Input!F$14*(Adjust!$E$255*E172+Adjust!$F$255*F172)+10*(Adjust!$B$255*B172+Adjust!$C$255*C172+Adjust!$D$255*D172+Adjust!$G$255*G172)</f>
        <v>2305.4016841538128</v>
      </c>
      <c r="I172" s="6"/>
    </row>
    <row r="173" spans="1:9" x14ac:dyDescent="0.2">
      <c r="A173" s="12" t="s">
        <v>72</v>
      </c>
      <c r="I173" s="6"/>
    </row>
    <row r="174" spans="1:9" x14ac:dyDescent="0.2">
      <c r="A174" s="5" t="s">
        <v>72</v>
      </c>
      <c r="B174" s="17">
        <f>B$63/IF(B$95="kVA",IF(F$63,F$63,1),IF(B$95="MPAN",IF(E$63,E$63,1),IF(H$63,H$63,1)))</f>
        <v>126.05711775233669</v>
      </c>
      <c r="C174" s="17">
        <f>C$63/IF(B$95="kVA",IF(F$63,F$63,1),IF(B$95="MPAN",IF(E$63,E$63,1),IF(H$63,H$63,1)))</f>
        <v>37.419800868736324</v>
      </c>
      <c r="D174" s="17">
        <f>D$63/IF(B$95="kVA",IF(F$63,F$63,1),IF(B$95="MPAN",IF(E$63,E$63,1),IF(H$63,H$63,1)))</f>
        <v>0</v>
      </c>
      <c r="E174" s="17">
        <f>E$63/IF(B$95="kVA",IF(F$63,F$63,1),IF(B$95="MPAN",IF(E$63,E$63,1),IF(H$63,H$63,1)))</f>
        <v>1</v>
      </c>
      <c r="F174" s="17">
        <f>F$63/IF(B$95="kVA",IF(F$63,F$63,1),IF(B$95="MPAN",IF(E$63,E$63,1),IF(H$63,H$63,1)))</f>
        <v>0</v>
      </c>
      <c r="G174" s="17">
        <f>G$63/IF(B$95="kVA",IF(F$63,F$63,1),IF(B$95="MPAN",IF(E$63,E$63,1),IF(H$63,H$63,1)))</f>
        <v>0</v>
      </c>
      <c r="H174" s="29">
        <f>0.01*Input!F$14*(Adjust!$E$257*E174+Adjust!$F$257*F174)+10*(Adjust!$B$257*B174+Adjust!$C$257*C174+Adjust!$D$257*D174+Adjust!$G$257*G174)</f>
        <v>2790.7943507021937</v>
      </c>
      <c r="I174" s="6"/>
    </row>
    <row r="175" spans="1:9" x14ac:dyDescent="0.2">
      <c r="A175" s="12" t="s">
        <v>59</v>
      </c>
      <c r="I175" s="6"/>
    </row>
    <row r="176" spans="1:9" x14ac:dyDescent="0.2">
      <c r="A176" s="5" t="s">
        <v>59</v>
      </c>
      <c r="B176" s="17">
        <f>B$64/IF(B$96="kVA",IF(F$64,F$64,1),IF(B$96="MPAN",IF(E$64,E$64,1),IF(H$64,H$64,1)))</f>
        <v>0.15382682049467075</v>
      </c>
      <c r="C176" s="17">
        <f>C$64/IF(B$96="kVA",IF(F$64,F$64,1),IF(B$96="MPAN",IF(E$64,E$64,1),IF(H$64,H$64,1)))</f>
        <v>0.87877113021706887</v>
      </c>
      <c r="D176" s="17">
        <f>D$64/IF(B$96="kVA",IF(F$64,F$64,1),IF(B$96="MPAN",IF(E$64,E$64,1),IF(H$64,H$64,1)))</f>
        <v>1.0741821482001976</v>
      </c>
      <c r="E176" s="17">
        <f>E$64/IF(B$96="kVA",IF(F$64,F$64,1),IF(B$96="MPAN",IF(E$64,E$64,1),IF(H$64,H$64,1)))</f>
        <v>6.5784987556308013E-3</v>
      </c>
      <c r="F176" s="17">
        <f>F$64/IF(B$96="kVA",IF(F$64,F$64,1),IF(B$96="MPAN",IF(E$64,E$64,1),IF(H$64,H$64,1)))</f>
        <v>1</v>
      </c>
      <c r="G176" s="17">
        <f>G$64/IF(B$96="kVA",IF(F$64,F$64,1),IF(B$96="MPAN",IF(E$64,E$64,1),IF(H$64,H$64,1)))</f>
        <v>0.15469495997001753</v>
      </c>
      <c r="H176" s="29">
        <f>0.01*Input!F$14*(Adjust!$E$259*E176+Adjust!$F$259*F176)+10*(Adjust!$B$259*B176+Adjust!$C$259*C176+Adjust!$D$259*D176+Adjust!$G$259*G176)</f>
        <v>40.544368778826893</v>
      </c>
      <c r="I176" s="6"/>
    </row>
    <row r="177" spans="1:9" x14ac:dyDescent="0.2">
      <c r="A177" s="5" t="s">
        <v>135</v>
      </c>
      <c r="B177" s="17">
        <f>B$64/IF(B$96="kVA",IF(F$64,F$64,1),IF(B$96="MPAN",IF(E$64,E$64,1),IF(H$64,H$64,1)))</f>
        <v>0.15382682049467075</v>
      </c>
      <c r="C177" s="17">
        <f>C$64/IF(B$96="kVA",IF(F$64,F$64,1),IF(B$96="MPAN",IF(E$64,E$64,1),IF(H$64,H$64,1)))</f>
        <v>0.87877113021706887</v>
      </c>
      <c r="D177" s="17">
        <f>D$64/IF(B$96="kVA",IF(F$64,F$64,1),IF(B$96="MPAN",IF(E$64,E$64,1),IF(H$64,H$64,1)))</f>
        <v>1.0741821482001976</v>
      </c>
      <c r="E177" s="17">
        <f>E$64/IF(B$96="kVA",IF(F$64,F$64,1),IF(B$96="MPAN",IF(E$64,E$64,1),IF(H$64,H$64,1)))</f>
        <v>6.5784987556308013E-3</v>
      </c>
      <c r="F177" s="17">
        <f>F$64/IF(B$96="kVA",IF(F$64,F$64,1),IF(B$96="MPAN",IF(E$64,E$64,1),IF(H$64,H$64,1)))</f>
        <v>1</v>
      </c>
      <c r="G177" s="17">
        <f>G$64/IF(B$96="kVA",IF(F$64,F$64,1),IF(B$96="MPAN",IF(E$64,E$64,1),IF(H$64,H$64,1)))</f>
        <v>0.15469495997001753</v>
      </c>
      <c r="H177" s="29">
        <f>0.01*Input!F$14*(Adjust!$E$260*E177+Adjust!$F$260*F177)+10*(Adjust!$B$260*B177+Adjust!$C$260*C177+Adjust!$D$260*D177+Adjust!$G$260*G177)</f>
        <v>27.354007714469315</v>
      </c>
      <c r="I177" s="6"/>
    </row>
    <row r="178" spans="1:9" x14ac:dyDescent="0.2">
      <c r="A178" s="5" t="s">
        <v>136</v>
      </c>
      <c r="B178" s="17">
        <f>B$64/IF(B$96="kVA",IF(F$64,F$64,1),IF(B$96="MPAN",IF(E$64,E$64,1),IF(H$64,H$64,1)))</f>
        <v>0.15382682049467075</v>
      </c>
      <c r="C178" s="17">
        <f>C$64/IF(B$96="kVA",IF(F$64,F$64,1),IF(B$96="MPAN",IF(E$64,E$64,1),IF(H$64,H$64,1)))</f>
        <v>0.87877113021706887</v>
      </c>
      <c r="D178" s="17">
        <f>D$64/IF(B$96="kVA",IF(F$64,F$64,1),IF(B$96="MPAN",IF(E$64,E$64,1),IF(H$64,H$64,1)))</f>
        <v>1.0741821482001976</v>
      </c>
      <c r="E178" s="17">
        <f>E$64/IF(B$96="kVA",IF(F$64,F$64,1),IF(B$96="MPAN",IF(E$64,E$64,1),IF(H$64,H$64,1)))</f>
        <v>6.5784987556308013E-3</v>
      </c>
      <c r="F178" s="17">
        <f>F$64/IF(B$96="kVA",IF(F$64,F$64,1),IF(B$96="MPAN",IF(E$64,E$64,1),IF(H$64,H$64,1)))</f>
        <v>1</v>
      </c>
      <c r="G178" s="17">
        <f>G$64/IF(B$96="kVA",IF(F$64,F$64,1),IF(B$96="MPAN",IF(E$64,E$64,1),IF(H$64,H$64,1)))</f>
        <v>0.15469495997001753</v>
      </c>
      <c r="H178" s="29">
        <f>0.01*Input!F$14*(Adjust!$E$261*E178+Adjust!$F$261*F178)+10*(Adjust!$B$261*B178+Adjust!$C$261*C178+Adjust!$D$261*D178+Adjust!$G$261*G178)</f>
        <v>18.356601086215367</v>
      </c>
      <c r="I178" s="6"/>
    </row>
    <row r="179" spans="1:9" x14ac:dyDescent="0.2">
      <c r="A179" s="12" t="s">
        <v>60</v>
      </c>
      <c r="I179" s="6"/>
    </row>
    <row r="180" spans="1:9" x14ac:dyDescent="0.2">
      <c r="A180" s="5" t="s">
        <v>60</v>
      </c>
      <c r="B180" s="17">
        <f>B$65/IF(B$97="kVA",IF(F$65,F$65,1),IF(B$97="MPAN",IF(E$65,E$65,1),IF(H$65,H$65,1)))</f>
        <v>0.14743719988764797</v>
      </c>
      <c r="C180" s="17">
        <f>C$65/IF(B$97="kVA",IF(F$65,F$65,1),IF(B$97="MPAN",IF(E$65,E$65,1),IF(H$65,H$65,1)))</f>
        <v>0.86417038021286685</v>
      </c>
      <c r="D180" s="17">
        <f>D$65/IF(B$97="kVA",IF(F$65,F$65,1),IF(B$97="MPAN",IF(E$65,E$65,1),IF(H$65,H$65,1)))</f>
        <v>1.0905305065508066</v>
      </c>
      <c r="E180" s="17">
        <f>E$65/IF(B$97="kVA",IF(F$65,F$65,1),IF(B$97="MPAN",IF(E$65,E$65,1),IF(H$65,H$65,1)))</f>
        <v>2.8971362685920564E-3</v>
      </c>
      <c r="F180" s="17">
        <f>F$65/IF(B$97="kVA",IF(F$65,F$65,1),IF(B$97="MPAN",IF(E$65,E$65,1),IF(H$65,H$65,1)))</f>
        <v>1</v>
      </c>
      <c r="G180" s="17">
        <f>G$65/IF(B$97="kVA",IF(F$65,F$65,1),IF(B$97="MPAN",IF(E$65,E$65,1),IF(H$65,H$65,1)))</f>
        <v>0.1575969640094913</v>
      </c>
      <c r="H180" s="29">
        <f>0.01*Input!F$14*(Adjust!$E$263*E180+Adjust!$F$263*F180)+10*(Adjust!$B$263*B180+Adjust!$C$263*C180+Adjust!$D$263*D180+Adjust!$G$263*G180)</f>
        <v>39.055754317473834</v>
      </c>
      <c r="I180" s="6"/>
    </row>
    <row r="181" spans="1:9" x14ac:dyDescent="0.2">
      <c r="A181" s="5" t="s">
        <v>138</v>
      </c>
      <c r="B181" s="17">
        <f>B$65/IF(B$97="kVA",IF(F$65,F$65,1),IF(B$97="MPAN",IF(E$65,E$65,1),IF(H$65,H$65,1)))</f>
        <v>0.14743719988764797</v>
      </c>
      <c r="C181" s="17">
        <f>C$65/IF(B$97="kVA",IF(F$65,F$65,1),IF(B$97="MPAN",IF(E$65,E$65,1),IF(H$65,H$65,1)))</f>
        <v>0.86417038021286685</v>
      </c>
      <c r="D181" s="17">
        <f>D$65/IF(B$97="kVA",IF(F$65,F$65,1),IF(B$97="MPAN",IF(E$65,E$65,1),IF(H$65,H$65,1)))</f>
        <v>1.0905305065508066</v>
      </c>
      <c r="E181" s="17">
        <f>E$65/IF(B$97="kVA",IF(F$65,F$65,1),IF(B$97="MPAN",IF(E$65,E$65,1),IF(H$65,H$65,1)))</f>
        <v>2.8971362685920564E-3</v>
      </c>
      <c r="F181" s="17">
        <f>F$65/IF(B$97="kVA",IF(F$65,F$65,1),IF(B$97="MPAN",IF(E$65,E$65,1),IF(H$65,H$65,1)))</f>
        <v>1</v>
      </c>
      <c r="G181" s="17">
        <f>G$65/IF(B$97="kVA",IF(F$65,F$65,1),IF(B$97="MPAN",IF(E$65,E$65,1),IF(H$65,H$65,1)))</f>
        <v>0.1575969640094913</v>
      </c>
      <c r="H181" s="29">
        <f>0.01*Input!F$14*(Adjust!$E$264*E181+Adjust!$F$264*F181)+10*(Adjust!$B$264*B181+Adjust!$C$264*C181+Adjust!$D$264*D181+Adjust!$G$264*G181)</f>
        <v>26.971031743081021</v>
      </c>
      <c r="I181" s="6"/>
    </row>
    <row r="182" spans="1:9" x14ac:dyDescent="0.2">
      <c r="A182" s="12" t="s">
        <v>73</v>
      </c>
      <c r="I182" s="6"/>
    </row>
    <row r="183" spans="1:9" x14ac:dyDescent="0.2">
      <c r="A183" s="5" t="s">
        <v>73</v>
      </c>
      <c r="B183" s="17">
        <f>B$66/IF(B$98="kVA",IF(F$66,F$66,1),IF(B$98="MPAN",IF(E$66,E$66,1),IF(H$66,H$66,1)))</f>
        <v>0.18969895217406391</v>
      </c>
      <c r="C183" s="17">
        <f>C$66/IF(B$98="kVA",IF(F$66,F$66,1),IF(B$98="MPAN",IF(E$66,E$66,1),IF(H$66,H$66,1)))</f>
        <v>1.0420414725312657</v>
      </c>
      <c r="D183" s="17">
        <f>D$66/IF(B$98="kVA",IF(F$66,F$66,1),IF(B$98="MPAN",IF(E$66,E$66,1),IF(H$66,H$66,1)))</f>
        <v>1.6229495412077763</v>
      </c>
      <c r="E183" s="17">
        <f>E$66/IF(B$98="kVA",IF(F$66,F$66,1),IF(B$98="MPAN",IF(E$66,E$66,1),IF(H$66,H$66,1)))</f>
        <v>1.0706215069558359E-3</v>
      </c>
      <c r="F183" s="17">
        <f>F$66/IF(B$98="kVA",IF(F$66,F$66,1),IF(B$98="MPAN",IF(E$66,E$66,1),IF(H$66,H$66,1)))</f>
        <v>1</v>
      </c>
      <c r="G183" s="17">
        <f>G$66/IF(B$98="kVA",IF(F$66,F$66,1),IF(B$98="MPAN",IF(E$66,E$66,1),IF(H$66,H$66,1)))</f>
        <v>0.16880538244085341</v>
      </c>
      <c r="H183" s="29">
        <f>0.01*Input!F$14*(Adjust!$E$266*E183+Adjust!$F$266*F183)+10*(Adjust!$B$266*B183+Adjust!$C$266*C183+Adjust!$D$266*D183+Adjust!$G$266*G183)</f>
        <v>37.055417389659425</v>
      </c>
      <c r="I183" s="6"/>
    </row>
    <row r="184" spans="1:9" x14ac:dyDescent="0.2">
      <c r="A184" s="5" t="s">
        <v>140</v>
      </c>
      <c r="B184" s="17">
        <f>B$66/IF(B$98="kVA",IF(F$66,F$66,1),IF(B$98="MPAN",IF(E$66,E$66,1),IF(H$66,H$66,1)))</f>
        <v>0.18969895217406391</v>
      </c>
      <c r="C184" s="17">
        <f>C$66/IF(B$98="kVA",IF(F$66,F$66,1),IF(B$98="MPAN",IF(E$66,E$66,1),IF(H$66,H$66,1)))</f>
        <v>1.0420414725312657</v>
      </c>
      <c r="D184" s="17">
        <f>D$66/IF(B$98="kVA",IF(F$66,F$66,1),IF(B$98="MPAN",IF(E$66,E$66,1),IF(H$66,H$66,1)))</f>
        <v>1.6229495412077763</v>
      </c>
      <c r="E184" s="17">
        <f>E$66/IF(B$98="kVA",IF(F$66,F$66,1),IF(B$98="MPAN",IF(E$66,E$66,1),IF(H$66,H$66,1)))</f>
        <v>1.0706215069558359E-3</v>
      </c>
      <c r="F184" s="17">
        <f>F$66/IF(B$98="kVA",IF(F$66,F$66,1),IF(B$98="MPAN",IF(E$66,E$66,1),IF(H$66,H$66,1)))</f>
        <v>1</v>
      </c>
      <c r="G184" s="17">
        <f>G$66/IF(B$98="kVA",IF(F$66,F$66,1),IF(B$98="MPAN",IF(E$66,E$66,1),IF(H$66,H$66,1)))</f>
        <v>0.16880538244085341</v>
      </c>
      <c r="H184" s="29">
        <f>0.01*Input!F$14*(Adjust!$E$267*E184+Adjust!$F$267*F184)+10*(Adjust!$B$267*B184+Adjust!$C$267*C184+Adjust!$D$267*D184+Adjust!$G$267*G184)</f>
        <v>29.88552719474653</v>
      </c>
      <c r="I184" s="6"/>
    </row>
    <row r="185" spans="1:9" x14ac:dyDescent="0.2">
      <c r="A185" s="12" t="s">
        <v>74</v>
      </c>
      <c r="I185" s="6"/>
    </row>
    <row r="186" spans="1:9" x14ac:dyDescent="0.2">
      <c r="A186" s="5" t="s">
        <v>74</v>
      </c>
      <c r="B186" s="17">
        <f>B$67/IF(B$99="kVA",IF(F$67,F$67,1),IF(B$99="MPAN",IF(E$67,E$67,1),IF(H$67,H$67,1)))</f>
        <v>0</v>
      </c>
      <c r="C186" s="17">
        <f>C$67/IF(B$99="kVA",IF(F$67,F$67,1),IF(B$99="MPAN",IF(E$67,E$67,1),IF(H$67,H$67,1)))</f>
        <v>0</v>
      </c>
      <c r="D186" s="17">
        <f>D$67/IF(B$99="kVA",IF(F$67,F$67,1),IF(B$99="MPAN",IF(E$67,E$67,1),IF(H$67,H$67,1)))</f>
        <v>0</v>
      </c>
      <c r="E186" s="17">
        <f>E$67/IF(B$99="kVA",IF(F$67,F$67,1),IF(B$99="MPAN",IF(E$67,E$67,1),IF(H$67,H$67,1)))</f>
        <v>0</v>
      </c>
      <c r="F186" s="17">
        <f>F$67/IF(B$99="kVA",IF(F$67,F$67,1),IF(B$99="MPAN",IF(E$67,E$67,1),IF(H$67,H$67,1)))</f>
        <v>0</v>
      </c>
      <c r="G186" s="17">
        <f>G$67/IF(B$99="kVA",IF(F$67,F$67,1),IF(B$99="MPAN",IF(E$67,E$67,1),IF(H$67,H$67,1)))</f>
        <v>0</v>
      </c>
      <c r="H186" s="29">
        <f>0.01*Input!F$14*(Adjust!$E$269*E186+Adjust!$F$269*F186)+10*(Adjust!$B$269*B186+Adjust!$C$269*C186+Adjust!$D$269*D186+Adjust!$G$269*G186)</f>
        <v>0</v>
      </c>
      <c r="I186" s="6"/>
    </row>
    <row r="187" spans="1:9" x14ac:dyDescent="0.2">
      <c r="A187" s="12" t="s">
        <v>96</v>
      </c>
      <c r="I187" s="6"/>
    </row>
    <row r="188" spans="1:9" x14ac:dyDescent="0.2">
      <c r="A188" s="5" t="s">
        <v>96</v>
      </c>
      <c r="B188" s="17">
        <f>B$68/IF(B$100="kVA",IF(F$68,F$68,1),IF(B$100="MPAN",IF(E$68,E$68,1),IF(H$68,H$68,1)))</f>
        <v>1</v>
      </c>
      <c r="C188" s="17">
        <f>C$68/IF(B$100="kVA",IF(F$68,F$68,1),IF(B$100="MPAN",IF(E$68,E$68,1),IF(H$68,H$68,1)))</f>
        <v>0</v>
      </c>
      <c r="D188" s="17">
        <f>D$68/IF(B$100="kVA",IF(F$68,F$68,1),IF(B$100="MPAN",IF(E$68,E$68,1),IF(H$68,H$68,1)))</f>
        <v>0</v>
      </c>
      <c r="E188" s="17">
        <f>E$68/IF(B$100="kVA",IF(F$68,F$68,1),IF(B$100="MPAN",IF(E$68,E$68,1),IF(H$68,H$68,1)))</f>
        <v>5.7477549263073857E-3</v>
      </c>
      <c r="F188" s="17">
        <f>F$68/IF(B$100="kVA",IF(F$68,F$68,1),IF(B$100="MPAN",IF(E$68,E$68,1),IF(H$68,H$68,1)))</f>
        <v>0</v>
      </c>
      <c r="G188" s="17">
        <f>G$68/IF(B$100="kVA",IF(F$68,F$68,1),IF(B$100="MPAN",IF(E$68,E$68,1),IF(H$68,H$68,1)))</f>
        <v>0</v>
      </c>
      <c r="H188" s="29">
        <f>0.01*Input!F$14*(Adjust!$E$271*E188+Adjust!$F$271*F188)+10*(Adjust!$B$271*B188+Adjust!$C$271*C188+Adjust!$D$271*D188+Adjust!$G$271*G188)</f>
        <v>27.189999999999998</v>
      </c>
      <c r="I188" s="6"/>
    </row>
    <row r="189" spans="1:9" x14ac:dyDescent="0.2">
      <c r="A189" s="5" t="s">
        <v>143</v>
      </c>
      <c r="B189" s="17">
        <f>B$68/IF(B$100="kVA",IF(F$68,F$68,1),IF(B$100="MPAN",IF(E$68,E$68,1),IF(H$68,H$68,1)))</f>
        <v>1</v>
      </c>
      <c r="C189" s="17">
        <f>C$68/IF(B$100="kVA",IF(F$68,F$68,1),IF(B$100="MPAN",IF(E$68,E$68,1),IF(H$68,H$68,1)))</f>
        <v>0</v>
      </c>
      <c r="D189" s="17">
        <f>D$68/IF(B$100="kVA",IF(F$68,F$68,1),IF(B$100="MPAN",IF(E$68,E$68,1),IF(H$68,H$68,1)))</f>
        <v>0</v>
      </c>
      <c r="E189" s="17">
        <f>E$68/IF(B$100="kVA",IF(F$68,F$68,1),IF(B$100="MPAN",IF(E$68,E$68,1),IF(H$68,H$68,1)))</f>
        <v>5.7477549263073857E-3</v>
      </c>
      <c r="F189" s="17">
        <f>F$68/IF(B$100="kVA",IF(F$68,F$68,1),IF(B$100="MPAN",IF(E$68,E$68,1),IF(H$68,H$68,1)))</f>
        <v>0</v>
      </c>
      <c r="G189" s="17">
        <f>G$68/IF(B$100="kVA",IF(F$68,F$68,1),IF(B$100="MPAN",IF(E$68,E$68,1),IF(H$68,H$68,1)))</f>
        <v>0</v>
      </c>
      <c r="H189" s="29">
        <f>0.01*Input!F$14*(Adjust!$E$272*E189+Adjust!$F$272*F189)+10*(Adjust!$B$272*B189+Adjust!$C$272*C189+Adjust!$D$272*D189+Adjust!$G$272*G189)</f>
        <v>18.34</v>
      </c>
      <c r="I189" s="6"/>
    </row>
    <row r="190" spans="1:9" x14ac:dyDescent="0.2">
      <c r="A190" s="5" t="s">
        <v>144</v>
      </c>
      <c r="B190" s="17">
        <f>B$68/IF(B$100="kVA",IF(F$68,F$68,1),IF(B$100="MPAN",IF(E$68,E$68,1),IF(H$68,H$68,1)))</f>
        <v>1</v>
      </c>
      <c r="C190" s="17">
        <f>C$68/IF(B$100="kVA",IF(F$68,F$68,1),IF(B$100="MPAN",IF(E$68,E$68,1),IF(H$68,H$68,1)))</f>
        <v>0</v>
      </c>
      <c r="D190" s="17">
        <f>D$68/IF(B$100="kVA",IF(F$68,F$68,1),IF(B$100="MPAN",IF(E$68,E$68,1),IF(H$68,H$68,1)))</f>
        <v>0</v>
      </c>
      <c r="E190" s="17">
        <f>E$68/IF(B$100="kVA",IF(F$68,F$68,1),IF(B$100="MPAN",IF(E$68,E$68,1),IF(H$68,H$68,1)))</f>
        <v>5.7477549263073857E-3</v>
      </c>
      <c r="F190" s="17">
        <f>F$68/IF(B$100="kVA",IF(F$68,F$68,1),IF(B$100="MPAN",IF(E$68,E$68,1),IF(H$68,H$68,1)))</f>
        <v>0</v>
      </c>
      <c r="G190" s="17">
        <f>G$68/IF(B$100="kVA",IF(F$68,F$68,1),IF(B$100="MPAN",IF(E$68,E$68,1),IF(H$68,H$68,1)))</f>
        <v>0</v>
      </c>
      <c r="H190" s="29">
        <f>0.01*Input!F$14*(Adjust!$E$273*E190+Adjust!$F$273*F190)+10*(Adjust!$B$273*B190+Adjust!$C$273*C190+Adjust!$D$273*D190+Adjust!$G$273*G190)</f>
        <v>12.3</v>
      </c>
      <c r="I190" s="6"/>
    </row>
    <row r="191" spans="1:9" x14ac:dyDescent="0.2">
      <c r="A191" s="12" t="s">
        <v>97</v>
      </c>
      <c r="I191" s="6"/>
    </row>
    <row r="192" spans="1:9" x14ac:dyDescent="0.2">
      <c r="A192" s="5" t="s">
        <v>97</v>
      </c>
      <c r="B192" s="17">
        <f>B$69/IF(B$101="kVA",IF(F$69,F$69,1),IF(B$101="MPAN",IF(E$69,E$69,1),IF(H$69,H$69,1)))</f>
        <v>1</v>
      </c>
      <c r="C192" s="17">
        <f>C$69/IF(B$101="kVA",IF(F$69,F$69,1),IF(B$101="MPAN",IF(E$69,E$69,1),IF(H$69,H$69,1)))</f>
        <v>0</v>
      </c>
      <c r="D192" s="17">
        <f>D$69/IF(B$101="kVA",IF(F$69,F$69,1),IF(B$101="MPAN",IF(E$69,E$69,1),IF(H$69,H$69,1)))</f>
        <v>0</v>
      </c>
      <c r="E192" s="17">
        <f>E$69/IF(B$101="kVA",IF(F$69,F$69,1),IF(B$101="MPAN",IF(E$69,E$69,1),IF(H$69,H$69,1)))</f>
        <v>2.9877329071084847E-2</v>
      </c>
      <c r="F192" s="17">
        <f>F$69/IF(B$101="kVA",IF(F$69,F$69,1),IF(B$101="MPAN",IF(E$69,E$69,1),IF(H$69,H$69,1)))</f>
        <v>0</v>
      </c>
      <c r="G192" s="17">
        <f>G$69/IF(B$101="kVA",IF(F$69,F$69,1),IF(B$101="MPAN",IF(E$69,E$69,1),IF(H$69,H$69,1)))</f>
        <v>0</v>
      </c>
      <c r="H192" s="29">
        <f>0.01*Input!F$14*(Adjust!$E$275*E192+Adjust!$F$275*F192)+10*(Adjust!$B$275*B192+Adjust!$C$275*C192+Adjust!$D$275*D192+Adjust!$G$275*G192)</f>
        <v>31.83</v>
      </c>
      <c r="I192" s="6"/>
    </row>
    <row r="193" spans="1:9" x14ac:dyDescent="0.2">
      <c r="A193" s="5" t="s">
        <v>146</v>
      </c>
      <c r="B193" s="17">
        <f>B$69/IF(B$101="kVA",IF(F$69,F$69,1),IF(B$101="MPAN",IF(E$69,E$69,1),IF(H$69,H$69,1)))</f>
        <v>1</v>
      </c>
      <c r="C193" s="17">
        <f>C$69/IF(B$101="kVA",IF(F$69,F$69,1),IF(B$101="MPAN",IF(E$69,E$69,1),IF(H$69,H$69,1)))</f>
        <v>0</v>
      </c>
      <c r="D193" s="17">
        <f>D$69/IF(B$101="kVA",IF(F$69,F$69,1),IF(B$101="MPAN",IF(E$69,E$69,1),IF(H$69,H$69,1)))</f>
        <v>0</v>
      </c>
      <c r="E193" s="17">
        <f>E$69/IF(B$101="kVA",IF(F$69,F$69,1),IF(B$101="MPAN",IF(E$69,E$69,1),IF(H$69,H$69,1)))</f>
        <v>2.9877329071084847E-2</v>
      </c>
      <c r="F193" s="17">
        <f>F$69/IF(B$101="kVA",IF(F$69,F$69,1),IF(B$101="MPAN",IF(E$69,E$69,1),IF(H$69,H$69,1)))</f>
        <v>0</v>
      </c>
      <c r="G193" s="17">
        <f>G$69/IF(B$101="kVA",IF(F$69,F$69,1),IF(B$101="MPAN",IF(E$69,E$69,1),IF(H$69,H$69,1)))</f>
        <v>0</v>
      </c>
      <c r="H193" s="29">
        <f>0.01*Input!F$14*(Adjust!$E$276*E193+Adjust!$F$276*F193)+10*(Adjust!$B$276*B193+Adjust!$C$276*C193+Adjust!$D$276*D193+Adjust!$G$276*G193)</f>
        <v>21.47</v>
      </c>
      <c r="I193" s="6"/>
    </row>
    <row r="194" spans="1:9" x14ac:dyDescent="0.2">
      <c r="A194" s="5" t="s">
        <v>147</v>
      </c>
      <c r="B194" s="17">
        <f>B$69/IF(B$101="kVA",IF(F$69,F$69,1),IF(B$101="MPAN",IF(E$69,E$69,1),IF(H$69,H$69,1)))</f>
        <v>1</v>
      </c>
      <c r="C194" s="17">
        <f>C$69/IF(B$101="kVA",IF(F$69,F$69,1),IF(B$101="MPAN",IF(E$69,E$69,1),IF(H$69,H$69,1)))</f>
        <v>0</v>
      </c>
      <c r="D194" s="17">
        <f>D$69/IF(B$101="kVA",IF(F$69,F$69,1),IF(B$101="MPAN",IF(E$69,E$69,1),IF(H$69,H$69,1)))</f>
        <v>0</v>
      </c>
      <c r="E194" s="17">
        <f>E$69/IF(B$101="kVA",IF(F$69,F$69,1),IF(B$101="MPAN",IF(E$69,E$69,1),IF(H$69,H$69,1)))</f>
        <v>2.9877329071084847E-2</v>
      </c>
      <c r="F194" s="17">
        <f>F$69/IF(B$101="kVA",IF(F$69,F$69,1),IF(B$101="MPAN",IF(E$69,E$69,1),IF(H$69,H$69,1)))</f>
        <v>0</v>
      </c>
      <c r="G194" s="17">
        <f>G$69/IF(B$101="kVA",IF(F$69,F$69,1),IF(B$101="MPAN",IF(E$69,E$69,1),IF(H$69,H$69,1)))</f>
        <v>0</v>
      </c>
      <c r="H194" s="29">
        <f>0.01*Input!F$14*(Adjust!$E$277*E194+Adjust!$F$277*F194)+10*(Adjust!$B$277*B194+Adjust!$C$277*C194+Adjust!$D$277*D194+Adjust!$G$277*G194)</f>
        <v>14.39</v>
      </c>
      <c r="I194" s="6"/>
    </row>
    <row r="195" spans="1:9" x14ac:dyDescent="0.2">
      <c r="A195" s="12" t="s">
        <v>98</v>
      </c>
      <c r="I195" s="6"/>
    </row>
    <row r="196" spans="1:9" x14ac:dyDescent="0.2">
      <c r="A196" s="5" t="s">
        <v>98</v>
      </c>
      <c r="B196" s="17">
        <f>B$70/IF(B$102="kVA",IF(F$70,F$70,1),IF(B$102="MPAN",IF(E$70,E$70,1),IF(H$70,H$70,1)))</f>
        <v>1</v>
      </c>
      <c r="C196" s="17">
        <f>C$70/IF(B$102="kVA",IF(F$70,F$70,1),IF(B$102="MPAN",IF(E$70,E$70,1),IF(H$70,H$70,1)))</f>
        <v>0</v>
      </c>
      <c r="D196" s="17">
        <f>D$70/IF(B$102="kVA",IF(F$70,F$70,1),IF(B$102="MPAN",IF(E$70,E$70,1),IF(H$70,H$70,1)))</f>
        <v>0</v>
      </c>
      <c r="E196" s="17">
        <f>E$70/IF(B$102="kVA",IF(F$70,F$70,1),IF(B$102="MPAN",IF(E$70,E$70,1),IF(H$70,H$70,1)))</f>
        <v>0.71699843495781979</v>
      </c>
      <c r="F196" s="17">
        <f>F$70/IF(B$102="kVA",IF(F$70,F$70,1),IF(B$102="MPAN",IF(E$70,E$70,1),IF(H$70,H$70,1)))</f>
        <v>0</v>
      </c>
      <c r="G196" s="17">
        <f>G$70/IF(B$102="kVA",IF(F$70,F$70,1),IF(B$102="MPAN",IF(E$70,E$70,1),IF(H$70,H$70,1)))</f>
        <v>0</v>
      </c>
      <c r="H196" s="29">
        <f>0.01*Input!F$14*(Adjust!$E$279*E196+Adjust!$F$279*F196)+10*(Adjust!$B$279*B196+Adjust!$C$279*C196+Adjust!$D$279*D196+Adjust!$G$279*G196)</f>
        <v>45.87</v>
      </c>
      <c r="I196" s="6"/>
    </row>
    <row r="197" spans="1:9" x14ac:dyDescent="0.2">
      <c r="A197" s="5" t="s">
        <v>149</v>
      </c>
      <c r="B197" s="17">
        <f>B$70/IF(B$102="kVA",IF(F$70,F$70,1),IF(B$102="MPAN",IF(E$70,E$70,1),IF(H$70,H$70,1)))</f>
        <v>1</v>
      </c>
      <c r="C197" s="17">
        <f>C$70/IF(B$102="kVA",IF(F$70,F$70,1),IF(B$102="MPAN",IF(E$70,E$70,1),IF(H$70,H$70,1)))</f>
        <v>0</v>
      </c>
      <c r="D197" s="17">
        <f>D$70/IF(B$102="kVA",IF(F$70,F$70,1),IF(B$102="MPAN",IF(E$70,E$70,1),IF(H$70,H$70,1)))</f>
        <v>0</v>
      </c>
      <c r="E197" s="17">
        <f>E$70/IF(B$102="kVA",IF(F$70,F$70,1),IF(B$102="MPAN",IF(E$70,E$70,1),IF(H$70,H$70,1)))</f>
        <v>0.71699843495781979</v>
      </c>
      <c r="F197" s="17">
        <f>F$70/IF(B$102="kVA",IF(F$70,F$70,1),IF(B$102="MPAN",IF(E$70,E$70,1),IF(H$70,H$70,1)))</f>
        <v>0</v>
      </c>
      <c r="G197" s="17">
        <f>G$70/IF(B$102="kVA",IF(F$70,F$70,1),IF(B$102="MPAN",IF(E$70,E$70,1),IF(H$70,H$70,1)))</f>
        <v>0</v>
      </c>
      <c r="H197" s="29">
        <f>0.01*Input!F$14*(Adjust!$E$280*E197+Adjust!$F$280*F197)+10*(Adjust!$B$280*B197+Adjust!$C$280*C197+Adjust!$D$280*D197+Adjust!$G$280*G197)</f>
        <v>30.939999999999998</v>
      </c>
      <c r="I197" s="6"/>
    </row>
    <row r="198" spans="1:9" x14ac:dyDescent="0.2">
      <c r="A198" s="5" t="s">
        <v>150</v>
      </c>
      <c r="B198" s="17">
        <f>B$70/IF(B$102="kVA",IF(F$70,F$70,1),IF(B$102="MPAN",IF(E$70,E$70,1),IF(H$70,H$70,1)))</f>
        <v>1</v>
      </c>
      <c r="C198" s="17">
        <f>C$70/IF(B$102="kVA",IF(F$70,F$70,1),IF(B$102="MPAN",IF(E$70,E$70,1),IF(H$70,H$70,1)))</f>
        <v>0</v>
      </c>
      <c r="D198" s="17">
        <f>D$70/IF(B$102="kVA",IF(F$70,F$70,1),IF(B$102="MPAN",IF(E$70,E$70,1),IF(H$70,H$70,1)))</f>
        <v>0</v>
      </c>
      <c r="E198" s="17">
        <f>E$70/IF(B$102="kVA",IF(F$70,F$70,1),IF(B$102="MPAN",IF(E$70,E$70,1),IF(H$70,H$70,1)))</f>
        <v>0.71699843495781979</v>
      </c>
      <c r="F198" s="17">
        <f>F$70/IF(B$102="kVA",IF(F$70,F$70,1),IF(B$102="MPAN",IF(E$70,E$70,1),IF(H$70,H$70,1)))</f>
        <v>0</v>
      </c>
      <c r="G198" s="17">
        <f>G$70/IF(B$102="kVA",IF(F$70,F$70,1),IF(B$102="MPAN",IF(E$70,E$70,1),IF(H$70,H$70,1)))</f>
        <v>0</v>
      </c>
      <c r="H198" s="29">
        <f>0.01*Input!F$14*(Adjust!$E$281*E198+Adjust!$F$281*F198)+10*(Adjust!$B$281*B198+Adjust!$C$281*C198+Adjust!$D$281*D198+Adjust!$G$281*G198)</f>
        <v>20.74</v>
      </c>
      <c r="I198" s="6"/>
    </row>
    <row r="199" spans="1:9" x14ac:dyDescent="0.2">
      <c r="A199" s="12" t="s">
        <v>99</v>
      </c>
      <c r="I199" s="6"/>
    </row>
    <row r="200" spans="1:9" x14ac:dyDescent="0.2">
      <c r="A200" s="5" t="s">
        <v>99</v>
      </c>
      <c r="B200" s="17">
        <f>B$71/IF(B$103="kVA",IF(F$71,F$71,1),IF(B$103="MPAN",IF(E$71,E$71,1),IF(H$71,H$71,1)))</f>
        <v>0</v>
      </c>
      <c r="C200" s="17">
        <f>C$71/IF(B$103="kVA",IF(F$71,F$71,1),IF(B$103="MPAN",IF(E$71,E$71,1),IF(H$71,H$71,1)))</f>
        <v>0</v>
      </c>
      <c r="D200" s="17">
        <f>D$71/IF(B$103="kVA",IF(F$71,F$71,1),IF(B$103="MPAN",IF(E$71,E$71,1),IF(H$71,H$71,1)))</f>
        <v>0</v>
      </c>
      <c r="E200" s="17">
        <f>E$71/IF(B$103="kVA",IF(F$71,F$71,1),IF(B$103="MPAN",IF(E$71,E$71,1),IF(H$71,H$71,1)))</f>
        <v>0</v>
      </c>
      <c r="F200" s="17">
        <f>F$71/IF(B$103="kVA",IF(F$71,F$71,1),IF(B$103="MPAN",IF(E$71,E$71,1),IF(H$71,H$71,1)))</f>
        <v>0</v>
      </c>
      <c r="G200" s="17">
        <f>G$71/IF(B$103="kVA",IF(F$71,F$71,1),IF(B$103="MPAN",IF(E$71,E$71,1),IF(H$71,H$71,1)))</f>
        <v>0</v>
      </c>
      <c r="H200" s="29">
        <f>0.01*Input!F$14*(Adjust!$E$283*E200+Adjust!$F$283*F200)+10*(Adjust!$B$283*B200+Adjust!$C$283*C200+Adjust!$D$283*D200+Adjust!$G$283*G200)</f>
        <v>0</v>
      </c>
      <c r="I200" s="6"/>
    </row>
    <row r="201" spans="1:9" x14ac:dyDescent="0.2">
      <c r="A201" s="5" t="s">
        <v>152</v>
      </c>
      <c r="B201" s="17">
        <f>B$71/IF(B$103="kVA",IF(F$71,F$71,1),IF(B$103="MPAN",IF(E$71,E$71,1),IF(H$71,H$71,1)))</f>
        <v>0</v>
      </c>
      <c r="C201" s="17">
        <f>C$71/IF(B$103="kVA",IF(F$71,F$71,1),IF(B$103="MPAN",IF(E$71,E$71,1),IF(H$71,H$71,1)))</f>
        <v>0</v>
      </c>
      <c r="D201" s="17">
        <f>D$71/IF(B$103="kVA",IF(F$71,F$71,1),IF(B$103="MPAN",IF(E$71,E$71,1),IF(H$71,H$71,1)))</f>
        <v>0</v>
      </c>
      <c r="E201" s="17">
        <f>E$71/IF(B$103="kVA",IF(F$71,F$71,1),IF(B$103="MPAN",IF(E$71,E$71,1),IF(H$71,H$71,1)))</f>
        <v>0</v>
      </c>
      <c r="F201" s="17">
        <f>F$71/IF(B$103="kVA",IF(F$71,F$71,1),IF(B$103="MPAN",IF(E$71,E$71,1),IF(H$71,H$71,1)))</f>
        <v>0</v>
      </c>
      <c r="G201" s="17">
        <f>G$71/IF(B$103="kVA",IF(F$71,F$71,1),IF(B$103="MPAN",IF(E$71,E$71,1),IF(H$71,H$71,1)))</f>
        <v>0</v>
      </c>
      <c r="H201" s="29">
        <f>0.01*Input!F$14*(Adjust!$E$284*E201+Adjust!$F$284*F201)+10*(Adjust!$B$284*B201+Adjust!$C$284*C201+Adjust!$D$284*D201+Adjust!$G$284*G201)</f>
        <v>0</v>
      </c>
      <c r="I201" s="6"/>
    </row>
    <row r="202" spans="1:9" x14ac:dyDescent="0.2">
      <c r="A202" s="5" t="s">
        <v>153</v>
      </c>
      <c r="B202" s="17">
        <f>B$71/IF(B$103="kVA",IF(F$71,F$71,1),IF(B$103="MPAN",IF(E$71,E$71,1),IF(H$71,H$71,1)))</f>
        <v>0</v>
      </c>
      <c r="C202" s="17">
        <f>C$71/IF(B$103="kVA",IF(F$71,F$71,1),IF(B$103="MPAN",IF(E$71,E$71,1),IF(H$71,H$71,1)))</f>
        <v>0</v>
      </c>
      <c r="D202" s="17">
        <f>D$71/IF(B$103="kVA",IF(F$71,F$71,1),IF(B$103="MPAN",IF(E$71,E$71,1),IF(H$71,H$71,1)))</f>
        <v>0</v>
      </c>
      <c r="E202" s="17">
        <f>E$71/IF(B$103="kVA",IF(F$71,F$71,1),IF(B$103="MPAN",IF(E$71,E$71,1),IF(H$71,H$71,1)))</f>
        <v>0</v>
      </c>
      <c r="F202" s="17">
        <f>F$71/IF(B$103="kVA",IF(F$71,F$71,1),IF(B$103="MPAN",IF(E$71,E$71,1),IF(H$71,H$71,1)))</f>
        <v>0</v>
      </c>
      <c r="G202" s="17">
        <f>G$71/IF(B$103="kVA",IF(F$71,F$71,1),IF(B$103="MPAN",IF(E$71,E$71,1),IF(H$71,H$71,1)))</f>
        <v>0</v>
      </c>
      <c r="H202" s="29">
        <f>0.01*Input!F$14*(Adjust!$E$285*E202+Adjust!$F$285*F202)+10*(Adjust!$B$285*B202+Adjust!$C$285*C202+Adjust!$D$285*D202+Adjust!$G$285*G202)</f>
        <v>0</v>
      </c>
      <c r="I202" s="6"/>
    </row>
    <row r="203" spans="1:9" x14ac:dyDescent="0.2">
      <c r="A203" s="12" t="s">
        <v>100</v>
      </c>
      <c r="I203" s="6"/>
    </row>
    <row r="204" spans="1:9" x14ac:dyDescent="0.2">
      <c r="A204" s="5" t="s">
        <v>100</v>
      </c>
      <c r="B204" s="17">
        <f>B$72/IF(B$104="kVA",IF(F$72,F$72,1),IF(B$104="MPAN",IF(E$72,E$72,1),IF(H$72,H$72,1)))</f>
        <v>3.3760302855792228E-2</v>
      </c>
      <c r="C204" s="17">
        <f>C$72/IF(B$104="kVA",IF(F$72,F$72,1),IF(B$104="MPAN",IF(E$72,E$72,1),IF(H$72,H$72,1)))</f>
        <v>0.12024295142812581</v>
      </c>
      <c r="D204" s="17">
        <f>D$72/IF(B$104="kVA",IF(F$72,F$72,1),IF(B$104="MPAN",IF(E$72,E$72,1),IF(H$72,H$72,1)))</f>
        <v>0.84599674571608197</v>
      </c>
      <c r="E204" s="17">
        <f>E$72/IF(B$104="kVA",IF(F$72,F$72,1),IF(B$104="MPAN",IF(E$72,E$72,1),IF(H$72,H$72,1)))</f>
        <v>8.2392602438766536E-5</v>
      </c>
      <c r="F204" s="17">
        <f>F$72/IF(B$104="kVA",IF(F$72,F$72,1),IF(B$104="MPAN",IF(E$72,E$72,1),IF(H$72,H$72,1)))</f>
        <v>0</v>
      </c>
      <c r="G204" s="17">
        <f>G$72/IF(B$104="kVA",IF(F$72,F$72,1),IF(B$104="MPAN",IF(E$72,E$72,1),IF(H$72,H$72,1)))</f>
        <v>0</v>
      </c>
      <c r="H204" s="29">
        <f>0.01*Input!F$14*(Adjust!$E$287*E204+Adjust!$F$287*F204)+10*(Adjust!$B$287*B204+Adjust!$C$287*C204+Adjust!$D$287*D204+Adjust!$G$287*G204)</f>
        <v>31.044100083244004</v>
      </c>
      <c r="I204" s="6"/>
    </row>
    <row r="205" spans="1:9" x14ac:dyDescent="0.2">
      <c r="A205" s="5" t="s">
        <v>155</v>
      </c>
      <c r="B205" s="17">
        <f>B$72/IF(B$104="kVA",IF(F$72,F$72,1),IF(B$104="MPAN",IF(E$72,E$72,1),IF(H$72,H$72,1)))</f>
        <v>3.3760302855792228E-2</v>
      </c>
      <c r="C205" s="17">
        <f>C$72/IF(B$104="kVA",IF(F$72,F$72,1),IF(B$104="MPAN",IF(E$72,E$72,1),IF(H$72,H$72,1)))</f>
        <v>0.12024295142812581</v>
      </c>
      <c r="D205" s="17">
        <f>D$72/IF(B$104="kVA",IF(F$72,F$72,1),IF(B$104="MPAN",IF(E$72,E$72,1),IF(H$72,H$72,1)))</f>
        <v>0.84599674571608197</v>
      </c>
      <c r="E205" s="17">
        <f>E$72/IF(B$104="kVA",IF(F$72,F$72,1),IF(B$104="MPAN",IF(E$72,E$72,1),IF(H$72,H$72,1)))</f>
        <v>8.2392602438766536E-5</v>
      </c>
      <c r="F205" s="17">
        <f>F$72/IF(B$104="kVA",IF(F$72,F$72,1),IF(B$104="MPAN",IF(E$72,E$72,1),IF(H$72,H$72,1)))</f>
        <v>0</v>
      </c>
      <c r="G205" s="17">
        <f>G$72/IF(B$104="kVA",IF(F$72,F$72,1),IF(B$104="MPAN",IF(E$72,E$72,1),IF(H$72,H$72,1)))</f>
        <v>0</v>
      </c>
      <c r="H205" s="29">
        <f>0.01*Input!F$14*(Adjust!$E$288*E205+Adjust!$F$288*F205)+10*(Adjust!$B$288*B205+Adjust!$C$288*C205+Adjust!$D$288*D205+Adjust!$G$288*G205)</f>
        <v>20.939408433253544</v>
      </c>
      <c r="I205" s="6"/>
    </row>
    <row r="206" spans="1:9" x14ac:dyDescent="0.2">
      <c r="A206" s="5" t="s">
        <v>156</v>
      </c>
      <c r="B206" s="17">
        <f>B$72/IF(B$104="kVA",IF(F$72,F$72,1),IF(B$104="MPAN",IF(E$72,E$72,1),IF(H$72,H$72,1)))</f>
        <v>3.3760302855792228E-2</v>
      </c>
      <c r="C206" s="17">
        <f>C$72/IF(B$104="kVA",IF(F$72,F$72,1),IF(B$104="MPAN",IF(E$72,E$72,1),IF(H$72,H$72,1)))</f>
        <v>0.12024295142812581</v>
      </c>
      <c r="D206" s="17">
        <f>D$72/IF(B$104="kVA",IF(F$72,F$72,1),IF(B$104="MPAN",IF(E$72,E$72,1),IF(H$72,H$72,1)))</f>
        <v>0.84599674571608197</v>
      </c>
      <c r="E206" s="17">
        <f>E$72/IF(B$104="kVA",IF(F$72,F$72,1),IF(B$104="MPAN",IF(E$72,E$72,1),IF(H$72,H$72,1)))</f>
        <v>8.2392602438766536E-5</v>
      </c>
      <c r="F206" s="17">
        <f>F$72/IF(B$104="kVA",IF(F$72,F$72,1),IF(B$104="MPAN",IF(E$72,E$72,1),IF(H$72,H$72,1)))</f>
        <v>0</v>
      </c>
      <c r="G206" s="17">
        <f>G$72/IF(B$104="kVA",IF(F$72,F$72,1),IF(B$104="MPAN",IF(E$72,E$72,1),IF(H$72,H$72,1)))</f>
        <v>0</v>
      </c>
      <c r="H206" s="29">
        <f>0.01*Input!F$14*(Adjust!$E$289*E206+Adjust!$F$289*F206)+10*(Adjust!$B$289*B206+Adjust!$C$289*C206+Adjust!$D$289*D206+Adjust!$G$289*G206)</f>
        <v>14.042810502005704</v>
      </c>
      <c r="I206" s="6"/>
    </row>
    <row r="207" spans="1:9" x14ac:dyDescent="0.2">
      <c r="A207" s="12" t="s">
        <v>61</v>
      </c>
      <c r="I207" s="6"/>
    </row>
    <row r="208" spans="1:9" x14ac:dyDescent="0.2">
      <c r="A208" s="5" t="s">
        <v>61</v>
      </c>
      <c r="B208" s="17">
        <f>B$73/IF(B$105="kVA",IF(F$73,F$73,1),IF(B$105="MPAN",IF(E$73,E$73,1),IF(H$73,H$73,1)))</f>
        <v>1</v>
      </c>
      <c r="C208" s="17">
        <f>C$73/IF(B$105="kVA",IF(F$73,F$73,1),IF(B$105="MPAN",IF(E$73,E$73,1),IF(H$73,H$73,1)))</f>
        <v>0</v>
      </c>
      <c r="D208" s="17">
        <f>D$73/IF(B$105="kVA",IF(F$73,F$73,1),IF(B$105="MPAN",IF(E$73,E$73,1),IF(H$73,H$73,1)))</f>
        <v>0</v>
      </c>
      <c r="E208" s="17">
        <f>E$73/IF(B$105="kVA",IF(F$73,F$73,1),IF(B$105="MPAN",IF(E$73,E$73,1),IF(H$73,H$73,1)))</f>
        <v>5.8022932824318169E-2</v>
      </c>
      <c r="F208" s="17">
        <f>F$73/IF(B$105="kVA",IF(F$73,F$73,1),IF(B$105="MPAN",IF(E$73,E$73,1),IF(H$73,H$73,1)))</f>
        <v>0</v>
      </c>
      <c r="G208" s="17">
        <f>G$73/IF(B$105="kVA",IF(F$73,F$73,1),IF(B$105="MPAN",IF(E$73,E$73,1),IF(H$73,H$73,1)))</f>
        <v>0</v>
      </c>
      <c r="H208" s="29">
        <f>0.01*Input!F$14*(Adjust!$E$291*E208+Adjust!$F$291*F208)+10*(Adjust!$B$291*B208+Adjust!$C$291*C208+Adjust!$D$291*D208+Adjust!$G$291*G208)</f>
        <v>-8.98</v>
      </c>
      <c r="I208" s="6"/>
    </row>
    <row r="209" spans="1:9" x14ac:dyDescent="0.2">
      <c r="A209" s="5" t="s">
        <v>158</v>
      </c>
      <c r="B209" s="17">
        <f>B$73/IF(B$105="kVA",IF(F$73,F$73,1),IF(B$105="MPAN",IF(E$73,E$73,1),IF(H$73,H$73,1)))</f>
        <v>1</v>
      </c>
      <c r="C209" s="17">
        <f>C$73/IF(B$105="kVA",IF(F$73,F$73,1),IF(B$105="MPAN",IF(E$73,E$73,1),IF(H$73,H$73,1)))</f>
        <v>0</v>
      </c>
      <c r="D209" s="17">
        <f>D$73/IF(B$105="kVA",IF(F$73,F$73,1),IF(B$105="MPAN",IF(E$73,E$73,1),IF(H$73,H$73,1)))</f>
        <v>0</v>
      </c>
      <c r="E209" s="17">
        <f>E$73/IF(B$105="kVA",IF(F$73,F$73,1),IF(B$105="MPAN",IF(E$73,E$73,1),IF(H$73,H$73,1)))</f>
        <v>5.8022932824318169E-2</v>
      </c>
      <c r="F209" s="17">
        <f>F$73/IF(B$105="kVA",IF(F$73,F$73,1),IF(B$105="MPAN",IF(E$73,E$73,1),IF(H$73,H$73,1)))</f>
        <v>0</v>
      </c>
      <c r="G209" s="17">
        <f>G$73/IF(B$105="kVA",IF(F$73,F$73,1),IF(B$105="MPAN",IF(E$73,E$73,1),IF(H$73,H$73,1)))</f>
        <v>0</v>
      </c>
      <c r="H209" s="29">
        <f>0.01*Input!F$14*(Adjust!$E$292*E209+Adjust!$F$292*F209)+10*(Adjust!$B$292*B209+Adjust!$C$292*C209+Adjust!$D$292*D209+Adjust!$G$292*G209)</f>
        <v>-8.98</v>
      </c>
      <c r="I209" s="6"/>
    </row>
    <row r="210" spans="1:9" x14ac:dyDescent="0.2">
      <c r="A210" s="5" t="s">
        <v>159</v>
      </c>
      <c r="B210" s="17">
        <f>B$73/IF(B$105="kVA",IF(F$73,F$73,1),IF(B$105="MPAN",IF(E$73,E$73,1),IF(H$73,H$73,1)))</f>
        <v>1</v>
      </c>
      <c r="C210" s="17">
        <f>C$73/IF(B$105="kVA",IF(F$73,F$73,1),IF(B$105="MPAN",IF(E$73,E$73,1),IF(H$73,H$73,1)))</f>
        <v>0</v>
      </c>
      <c r="D210" s="17">
        <f>D$73/IF(B$105="kVA",IF(F$73,F$73,1),IF(B$105="MPAN",IF(E$73,E$73,1),IF(H$73,H$73,1)))</f>
        <v>0</v>
      </c>
      <c r="E210" s="17">
        <f>E$73/IF(B$105="kVA",IF(F$73,F$73,1),IF(B$105="MPAN",IF(E$73,E$73,1),IF(H$73,H$73,1)))</f>
        <v>5.8022932824318169E-2</v>
      </c>
      <c r="F210" s="17">
        <f>F$73/IF(B$105="kVA",IF(F$73,F$73,1),IF(B$105="MPAN",IF(E$73,E$73,1),IF(H$73,H$73,1)))</f>
        <v>0</v>
      </c>
      <c r="G210" s="17">
        <f>G$73/IF(B$105="kVA",IF(F$73,F$73,1),IF(B$105="MPAN",IF(E$73,E$73,1),IF(H$73,H$73,1)))</f>
        <v>0</v>
      </c>
      <c r="H210" s="29">
        <f>0.01*Input!F$14*(Adjust!$E$293*E210+Adjust!$F$293*F210)+10*(Adjust!$B$293*B210+Adjust!$C$293*C210+Adjust!$D$293*D210+Adjust!$G$293*G210)</f>
        <v>-8.98</v>
      </c>
      <c r="I210" s="6"/>
    </row>
    <row r="211" spans="1:9" x14ac:dyDescent="0.2">
      <c r="A211" s="12" t="s">
        <v>62</v>
      </c>
      <c r="I211" s="6"/>
    </row>
    <row r="212" spans="1:9" x14ac:dyDescent="0.2">
      <c r="A212" s="5" t="s">
        <v>62</v>
      </c>
      <c r="B212" s="17">
        <f>B$74/IF(B$106="kVA",IF(F$74,F$74,1),IF(B$106="MPAN",IF(E$74,E$74,1),IF(H$74,H$74,1)))</f>
        <v>0</v>
      </c>
      <c r="C212" s="17">
        <f>C$74/IF(B$106="kVA",IF(F$74,F$74,1),IF(B$106="MPAN",IF(E$74,E$74,1),IF(H$74,H$74,1)))</f>
        <v>0</v>
      </c>
      <c r="D212" s="17">
        <f>D$74/IF(B$106="kVA",IF(F$74,F$74,1),IF(B$106="MPAN",IF(E$74,E$74,1),IF(H$74,H$74,1)))</f>
        <v>0</v>
      </c>
      <c r="E212" s="17">
        <f>E$74/IF(B$106="kVA",IF(F$74,F$74,1),IF(B$106="MPAN",IF(E$74,E$74,1),IF(H$74,H$74,1)))</f>
        <v>0</v>
      </c>
      <c r="F212" s="17">
        <f>F$74/IF(B$106="kVA",IF(F$74,F$74,1),IF(B$106="MPAN",IF(E$74,E$74,1),IF(H$74,H$74,1)))</f>
        <v>0</v>
      </c>
      <c r="G212" s="17">
        <f>G$74/IF(B$106="kVA",IF(F$74,F$74,1),IF(B$106="MPAN",IF(E$74,E$74,1),IF(H$74,H$74,1)))</f>
        <v>0</v>
      </c>
      <c r="H212" s="29">
        <f>0.01*Input!F$14*(Adjust!$E$295*E212+Adjust!$F$295*F212)+10*(Adjust!$B$295*B212+Adjust!$C$295*C212+Adjust!$D$295*D212+Adjust!$G$295*G212)</f>
        <v>0</v>
      </c>
      <c r="I212" s="6"/>
    </row>
    <row r="213" spans="1:9" x14ac:dyDescent="0.2">
      <c r="A213" s="5" t="s">
        <v>161</v>
      </c>
      <c r="B213" s="17">
        <f>B$74/IF(B$106="kVA",IF(F$74,F$74,1),IF(B$106="MPAN",IF(E$74,E$74,1),IF(H$74,H$74,1)))</f>
        <v>0</v>
      </c>
      <c r="C213" s="17">
        <f>C$74/IF(B$106="kVA",IF(F$74,F$74,1),IF(B$106="MPAN",IF(E$74,E$74,1),IF(H$74,H$74,1)))</f>
        <v>0</v>
      </c>
      <c r="D213" s="17">
        <f>D$74/IF(B$106="kVA",IF(F$74,F$74,1),IF(B$106="MPAN",IF(E$74,E$74,1),IF(H$74,H$74,1)))</f>
        <v>0</v>
      </c>
      <c r="E213" s="17">
        <f>E$74/IF(B$106="kVA",IF(F$74,F$74,1),IF(B$106="MPAN",IF(E$74,E$74,1),IF(H$74,H$74,1)))</f>
        <v>0</v>
      </c>
      <c r="F213" s="17">
        <f>F$74/IF(B$106="kVA",IF(F$74,F$74,1),IF(B$106="MPAN",IF(E$74,E$74,1),IF(H$74,H$74,1)))</f>
        <v>0</v>
      </c>
      <c r="G213" s="17">
        <f>G$74/IF(B$106="kVA",IF(F$74,F$74,1),IF(B$106="MPAN",IF(E$74,E$74,1),IF(H$74,H$74,1)))</f>
        <v>0</v>
      </c>
      <c r="H213" s="29">
        <f>0.01*Input!F$14*(Adjust!$E$296*E213+Adjust!$F$296*F213)+10*(Adjust!$B$296*B213+Adjust!$C$296*C213+Adjust!$D$296*D213+Adjust!$G$296*G213)</f>
        <v>0</v>
      </c>
      <c r="I213" s="6"/>
    </row>
    <row r="214" spans="1:9" x14ac:dyDescent="0.2">
      <c r="A214" s="12" t="s">
        <v>63</v>
      </c>
      <c r="I214" s="6"/>
    </row>
    <row r="215" spans="1:9" x14ac:dyDescent="0.2">
      <c r="A215" s="5" t="s">
        <v>63</v>
      </c>
      <c r="B215" s="17">
        <f>B$75/IF(B$107="kVA",IF(F$75,F$75,1),IF(B$107="MPAN",IF(E$75,E$75,1),IF(H$75,H$75,1)))</f>
        <v>1</v>
      </c>
      <c r="C215" s="17">
        <f>C$75/IF(B$107="kVA",IF(F$75,F$75,1),IF(B$107="MPAN",IF(E$75,E$75,1),IF(H$75,H$75,1)))</f>
        <v>0</v>
      </c>
      <c r="D215" s="17">
        <f>D$75/IF(B$107="kVA",IF(F$75,F$75,1),IF(B$107="MPAN",IF(E$75,E$75,1),IF(H$75,H$75,1)))</f>
        <v>0</v>
      </c>
      <c r="E215" s="17">
        <f>E$75/IF(B$107="kVA",IF(F$75,F$75,1),IF(B$107="MPAN",IF(E$75,E$75,1),IF(H$75,H$75,1)))</f>
        <v>9.9800273193369204E-3</v>
      </c>
      <c r="F215" s="17">
        <f>F$75/IF(B$107="kVA",IF(F$75,F$75,1),IF(B$107="MPAN",IF(E$75,E$75,1),IF(H$75,H$75,1)))</f>
        <v>0</v>
      </c>
      <c r="G215" s="17">
        <f>G$75/IF(B$107="kVA",IF(F$75,F$75,1),IF(B$107="MPAN",IF(E$75,E$75,1),IF(H$75,H$75,1)))</f>
        <v>0.362847384415173</v>
      </c>
      <c r="H215" s="29">
        <f>0.01*Input!F$14*(Adjust!$E$298*E215+Adjust!$F$298*F215)+10*(Adjust!$B$298*B215+Adjust!$C$298*C215+Adjust!$D$298*D215+Adjust!$G$298*G215)</f>
        <v>-8.1490794896892531</v>
      </c>
      <c r="I215" s="6"/>
    </row>
    <row r="216" spans="1:9" x14ac:dyDescent="0.2">
      <c r="A216" s="5" t="s">
        <v>163</v>
      </c>
      <c r="B216" s="17">
        <f>B$75/IF(B$107="kVA",IF(F$75,F$75,1),IF(B$107="MPAN",IF(E$75,E$75,1),IF(H$75,H$75,1)))</f>
        <v>1</v>
      </c>
      <c r="C216" s="17">
        <f>C$75/IF(B$107="kVA",IF(F$75,F$75,1),IF(B$107="MPAN",IF(E$75,E$75,1),IF(H$75,H$75,1)))</f>
        <v>0</v>
      </c>
      <c r="D216" s="17">
        <f>D$75/IF(B$107="kVA",IF(F$75,F$75,1),IF(B$107="MPAN",IF(E$75,E$75,1),IF(H$75,H$75,1)))</f>
        <v>0</v>
      </c>
      <c r="E216" s="17">
        <f>E$75/IF(B$107="kVA",IF(F$75,F$75,1),IF(B$107="MPAN",IF(E$75,E$75,1),IF(H$75,H$75,1)))</f>
        <v>9.9800273193369204E-3</v>
      </c>
      <c r="F216" s="17">
        <f>F$75/IF(B$107="kVA",IF(F$75,F$75,1),IF(B$107="MPAN",IF(E$75,E$75,1),IF(H$75,H$75,1)))</f>
        <v>0</v>
      </c>
      <c r="G216" s="17">
        <f>G$75/IF(B$107="kVA",IF(F$75,F$75,1),IF(B$107="MPAN",IF(E$75,E$75,1),IF(H$75,H$75,1)))</f>
        <v>0.362847384415173</v>
      </c>
      <c r="H216" s="29">
        <f>0.01*Input!F$14*(Adjust!$E$299*E216+Adjust!$F$299*F216)+10*(Adjust!$B$299*B216+Adjust!$C$299*C216+Adjust!$D$299*D216+Adjust!$G$299*G216)</f>
        <v>-8.1490794896892531</v>
      </c>
      <c r="I216" s="6"/>
    </row>
    <row r="217" spans="1:9" x14ac:dyDescent="0.2">
      <c r="A217" s="5" t="s">
        <v>164</v>
      </c>
      <c r="B217" s="17">
        <f>B$75/IF(B$107="kVA",IF(F$75,F$75,1),IF(B$107="MPAN",IF(E$75,E$75,1),IF(H$75,H$75,1)))</f>
        <v>1</v>
      </c>
      <c r="C217" s="17">
        <f>C$75/IF(B$107="kVA",IF(F$75,F$75,1),IF(B$107="MPAN",IF(E$75,E$75,1),IF(H$75,H$75,1)))</f>
        <v>0</v>
      </c>
      <c r="D217" s="17">
        <f>D$75/IF(B$107="kVA",IF(F$75,F$75,1),IF(B$107="MPAN",IF(E$75,E$75,1),IF(H$75,H$75,1)))</f>
        <v>0</v>
      </c>
      <c r="E217" s="17">
        <f>E$75/IF(B$107="kVA",IF(F$75,F$75,1),IF(B$107="MPAN",IF(E$75,E$75,1),IF(H$75,H$75,1)))</f>
        <v>9.9800273193369204E-3</v>
      </c>
      <c r="F217" s="17">
        <f>F$75/IF(B$107="kVA",IF(F$75,F$75,1),IF(B$107="MPAN",IF(E$75,E$75,1),IF(H$75,H$75,1)))</f>
        <v>0</v>
      </c>
      <c r="G217" s="17">
        <f>G$75/IF(B$107="kVA",IF(F$75,F$75,1),IF(B$107="MPAN",IF(E$75,E$75,1),IF(H$75,H$75,1)))</f>
        <v>0.362847384415173</v>
      </c>
      <c r="H217" s="29">
        <f>0.01*Input!F$14*(Adjust!$E$300*E217+Adjust!$F$300*F217)+10*(Adjust!$B$300*B217+Adjust!$C$300*C217+Adjust!$D$300*D217+Adjust!$G$300*G217)</f>
        <v>-8.1490794896892531</v>
      </c>
      <c r="I217" s="6"/>
    </row>
    <row r="218" spans="1:9" x14ac:dyDescent="0.2">
      <c r="A218" s="12" t="s">
        <v>64</v>
      </c>
      <c r="I218" s="6"/>
    </row>
    <row r="219" spans="1:9" x14ac:dyDescent="0.2">
      <c r="A219" s="5" t="s">
        <v>64</v>
      </c>
      <c r="B219" s="17">
        <f>B$76/IF(B$108="kVA",IF(F$76,F$76,1),IF(B$108="MPAN",IF(E$76,E$76,1),IF(H$76,H$76,1)))</f>
        <v>0.16535464967599522</v>
      </c>
      <c r="C219" s="17">
        <f>C$76/IF(B$108="kVA",IF(F$76,F$76,1),IF(B$108="MPAN",IF(E$76,E$76,1),IF(H$76,H$76,1)))</f>
        <v>0.33634217751997514</v>
      </c>
      <c r="D219" s="17">
        <f>D$76/IF(B$108="kVA",IF(F$76,F$76,1),IF(B$108="MPAN",IF(E$76,E$76,1),IF(H$76,H$76,1)))</f>
        <v>0.49830317280402953</v>
      </c>
      <c r="E219" s="17">
        <f>E$76/IF(B$108="kVA",IF(F$76,F$76,1),IF(B$108="MPAN",IF(E$76,E$76,1),IF(H$76,H$76,1)))</f>
        <v>2.5980764842176325E-2</v>
      </c>
      <c r="F219" s="17">
        <f>F$76/IF(B$108="kVA",IF(F$76,F$76,1),IF(B$108="MPAN",IF(E$76,E$76,1),IF(H$76,H$76,1)))</f>
        <v>0</v>
      </c>
      <c r="G219" s="17">
        <f>G$76/IF(B$108="kVA",IF(F$76,F$76,1),IF(B$108="MPAN",IF(E$76,E$76,1),IF(H$76,H$76,1)))</f>
        <v>0.11334691972031816</v>
      </c>
      <c r="H219" s="29">
        <f>0.01*Input!F$14*(Adjust!$E$302*E219+Adjust!$F$302*F219)+10*(Adjust!$B$302*B219+Adjust!$C$302*C219+Adjust!$D$302*D219+Adjust!$G$302*G219)</f>
        <v>-18.24273096610953</v>
      </c>
      <c r="I219" s="6"/>
    </row>
    <row r="220" spans="1:9" x14ac:dyDescent="0.2">
      <c r="A220" s="5" t="s">
        <v>166</v>
      </c>
      <c r="B220" s="17">
        <f>B$76/IF(B$108="kVA",IF(F$76,F$76,1),IF(B$108="MPAN",IF(E$76,E$76,1),IF(H$76,H$76,1)))</f>
        <v>0.16535464967599522</v>
      </c>
      <c r="C220" s="17">
        <f>C$76/IF(B$108="kVA",IF(F$76,F$76,1),IF(B$108="MPAN",IF(E$76,E$76,1),IF(H$76,H$76,1)))</f>
        <v>0.33634217751997514</v>
      </c>
      <c r="D220" s="17">
        <f>D$76/IF(B$108="kVA",IF(F$76,F$76,1),IF(B$108="MPAN",IF(E$76,E$76,1),IF(H$76,H$76,1)))</f>
        <v>0.49830317280402953</v>
      </c>
      <c r="E220" s="17">
        <f>E$76/IF(B$108="kVA",IF(F$76,F$76,1),IF(B$108="MPAN",IF(E$76,E$76,1),IF(H$76,H$76,1)))</f>
        <v>2.5980764842176325E-2</v>
      </c>
      <c r="F220" s="17">
        <f>F$76/IF(B$108="kVA",IF(F$76,F$76,1),IF(B$108="MPAN",IF(E$76,E$76,1),IF(H$76,H$76,1)))</f>
        <v>0</v>
      </c>
      <c r="G220" s="17">
        <f>G$76/IF(B$108="kVA",IF(F$76,F$76,1),IF(B$108="MPAN",IF(E$76,E$76,1),IF(H$76,H$76,1)))</f>
        <v>0.11334691972031816</v>
      </c>
      <c r="H220" s="29">
        <f>0.01*Input!F$14*(Adjust!$E$303*E220+Adjust!$F$303*F220)+10*(Adjust!$B$303*B220+Adjust!$C$303*C220+Adjust!$D$303*D220+Adjust!$G$303*G220)</f>
        <v>-18.24273096610953</v>
      </c>
      <c r="I220" s="6"/>
    </row>
    <row r="221" spans="1:9" x14ac:dyDescent="0.2">
      <c r="A221" s="5" t="s">
        <v>167</v>
      </c>
      <c r="B221" s="17">
        <f>B$76/IF(B$108="kVA",IF(F$76,F$76,1),IF(B$108="MPAN",IF(E$76,E$76,1),IF(H$76,H$76,1)))</f>
        <v>0.16535464967599522</v>
      </c>
      <c r="C221" s="17">
        <f>C$76/IF(B$108="kVA",IF(F$76,F$76,1),IF(B$108="MPAN",IF(E$76,E$76,1),IF(H$76,H$76,1)))</f>
        <v>0.33634217751997514</v>
      </c>
      <c r="D221" s="17">
        <f>D$76/IF(B$108="kVA",IF(F$76,F$76,1),IF(B$108="MPAN",IF(E$76,E$76,1),IF(H$76,H$76,1)))</f>
        <v>0.49830317280402953</v>
      </c>
      <c r="E221" s="17">
        <f>E$76/IF(B$108="kVA",IF(F$76,F$76,1),IF(B$108="MPAN",IF(E$76,E$76,1),IF(H$76,H$76,1)))</f>
        <v>2.5980764842176325E-2</v>
      </c>
      <c r="F221" s="17">
        <f>F$76/IF(B$108="kVA",IF(F$76,F$76,1),IF(B$108="MPAN",IF(E$76,E$76,1),IF(H$76,H$76,1)))</f>
        <v>0</v>
      </c>
      <c r="G221" s="17">
        <f>G$76/IF(B$108="kVA",IF(F$76,F$76,1),IF(B$108="MPAN",IF(E$76,E$76,1),IF(H$76,H$76,1)))</f>
        <v>0.11334691972031816</v>
      </c>
      <c r="H221" s="29">
        <f>0.01*Input!F$14*(Adjust!$E$304*E221+Adjust!$F$304*F221)+10*(Adjust!$B$304*B221+Adjust!$C$304*C221+Adjust!$D$304*D221+Adjust!$G$304*G221)</f>
        <v>-18.24273096610953</v>
      </c>
      <c r="I221" s="6"/>
    </row>
    <row r="222" spans="1:9" x14ac:dyDescent="0.2">
      <c r="A222" s="12" t="s">
        <v>65</v>
      </c>
      <c r="I222" s="6"/>
    </row>
    <row r="223" spans="1:9" x14ac:dyDescent="0.2">
      <c r="A223" s="5" t="s">
        <v>65</v>
      </c>
      <c r="B223" s="17">
        <f>B$77/IF(B$109="kVA",IF(F$77,F$77,1),IF(B$109="MPAN",IF(E$77,E$77,1),IF(H$77,H$77,1)))</f>
        <v>1</v>
      </c>
      <c r="C223" s="17">
        <f>C$77/IF(B$109="kVA",IF(F$77,F$77,1),IF(B$109="MPAN",IF(E$77,E$77,1),IF(H$77,H$77,1)))</f>
        <v>0</v>
      </c>
      <c r="D223" s="17">
        <f>D$77/IF(B$109="kVA",IF(F$77,F$77,1),IF(B$109="MPAN",IF(E$77,E$77,1),IF(H$77,H$77,1)))</f>
        <v>0</v>
      </c>
      <c r="E223" s="17">
        <f>E$77/IF(B$109="kVA",IF(F$77,F$77,1),IF(B$109="MPAN",IF(E$77,E$77,1),IF(H$77,H$77,1)))</f>
        <v>1.8427234238928263E-2</v>
      </c>
      <c r="F223" s="17">
        <f>F$77/IF(B$109="kVA",IF(F$77,F$77,1),IF(B$109="MPAN",IF(E$77,E$77,1),IF(H$77,H$77,1)))</f>
        <v>0</v>
      </c>
      <c r="G223" s="17">
        <f>G$77/IF(B$109="kVA",IF(F$77,F$77,1),IF(B$109="MPAN",IF(E$77,E$77,1),IF(H$77,H$77,1)))</f>
        <v>5.7186569590982277E-2</v>
      </c>
      <c r="H223" s="29">
        <f>0.01*Input!F$14*(Adjust!$E$306*E223+Adjust!$F$306*F223)+10*(Adjust!$B$306*B223+Adjust!$C$306*C223+Adjust!$D$306*D223+Adjust!$G$306*G223)</f>
        <v>-6.8942048462566818</v>
      </c>
      <c r="I223" s="6"/>
    </row>
    <row r="224" spans="1:9" x14ac:dyDescent="0.2">
      <c r="A224" s="5" t="s">
        <v>169</v>
      </c>
      <c r="B224" s="17">
        <f>B$77/IF(B$109="kVA",IF(F$77,F$77,1),IF(B$109="MPAN",IF(E$77,E$77,1),IF(H$77,H$77,1)))</f>
        <v>1</v>
      </c>
      <c r="C224" s="17">
        <f>C$77/IF(B$109="kVA",IF(F$77,F$77,1),IF(B$109="MPAN",IF(E$77,E$77,1),IF(H$77,H$77,1)))</f>
        <v>0</v>
      </c>
      <c r="D224" s="17">
        <f>D$77/IF(B$109="kVA",IF(F$77,F$77,1),IF(B$109="MPAN",IF(E$77,E$77,1),IF(H$77,H$77,1)))</f>
        <v>0</v>
      </c>
      <c r="E224" s="17">
        <f>E$77/IF(B$109="kVA",IF(F$77,F$77,1),IF(B$109="MPAN",IF(E$77,E$77,1),IF(H$77,H$77,1)))</f>
        <v>1.8427234238928263E-2</v>
      </c>
      <c r="F224" s="17">
        <f>F$77/IF(B$109="kVA",IF(F$77,F$77,1),IF(B$109="MPAN",IF(E$77,E$77,1),IF(H$77,H$77,1)))</f>
        <v>0</v>
      </c>
      <c r="G224" s="17">
        <f>G$77/IF(B$109="kVA",IF(F$77,F$77,1),IF(B$109="MPAN",IF(E$77,E$77,1),IF(H$77,H$77,1)))</f>
        <v>5.7186569590982277E-2</v>
      </c>
      <c r="H224" s="29">
        <f>0.01*Input!F$14*(Adjust!$E$307*E224+Adjust!$F$307*F224)+10*(Adjust!$B$307*B224+Adjust!$C$307*C224+Adjust!$D$307*D224+Adjust!$G$307*G224)</f>
        <v>-6.8942048462566818</v>
      </c>
      <c r="I224" s="6"/>
    </row>
    <row r="225" spans="1:9" x14ac:dyDescent="0.2">
      <c r="A225" s="12" t="s">
        <v>66</v>
      </c>
      <c r="I225" s="6"/>
    </row>
    <row r="226" spans="1:9" x14ac:dyDescent="0.2">
      <c r="A226" s="5" t="s">
        <v>66</v>
      </c>
      <c r="B226" s="17">
        <f>B$78/IF(B$110="kVA",IF(F$78,F$78,1),IF(B$110="MPAN",IF(E$78,E$78,1),IF(H$78,H$78,1)))</f>
        <v>0.40726821892888765</v>
      </c>
      <c r="C226" s="17">
        <f>C$78/IF(B$110="kVA",IF(F$78,F$78,1),IF(B$110="MPAN",IF(E$78,E$78,1),IF(H$78,H$78,1)))</f>
        <v>0.31641901438109332</v>
      </c>
      <c r="D226" s="17">
        <f>D$78/IF(B$110="kVA",IF(F$78,F$78,1),IF(B$110="MPAN",IF(E$78,E$78,1),IF(H$78,H$78,1)))</f>
        <v>0.27631276669001914</v>
      </c>
      <c r="E226" s="17">
        <f>E$78/IF(B$110="kVA",IF(F$78,F$78,1),IF(B$110="MPAN",IF(E$78,E$78,1),IF(H$78,H$78,1)))</f>
        <v>1.9131776783882653E-2</v>
      </c>
      <c r="F226" s="17">
        <f>F$78/IF(B$110="kVA",IF(F$78,F$78,1),IF(B$110="MPAN",IF(E$78,E$78,1),IF(H$78,H$78,1)))</f>
        <v>0</v>
      </c>
      <c r="G226" s="17">
        <f>G$78/IF(B$110="kVA",IF(F$78,F$78,1),IF(B$110="MPAN",IF(E$78,E$78,1),IF(H$78,H$78,1)))</f>
        <v>1.6263930707030438</v>
      </c>
      <c r="H226" s="29">
        <f>0.01*Input!F$14*(Adjust!$E$309*E226+Adjust!$F$309*F226)+10*(Adjust!$B$309*B226+Adjust!$C$309*C226+Adjust!$D$309*D226+Adjust!$G$309*G226)</f>
        <v>-28.045893736069441</v>
      </c>
      <c r="I226" s="6"/>
    </row>
    <row r="227" spans="1:9" x14ac:dyDescent="0.2">
      <c r="A227" s="5" t="s">
        <v>171</v>
      </c>
      <c r="B227" s="17">
        <f>B$78/IF(B$110="kVA",IF(F$78,F$78,1),IF(B$110="MPAN",IF(E$78,E$78,1),IF(H$78,H$78,1)))</f>
        <v>0.40726821892888765</v>
      </c>
      <c r="C227" s="17">
        <f>C$78/IF(B$110="kVA",IF(F$78,F$78,1),IF(B$110="MPAN",IF(E$78,E$78,1),IF(H$78,H$78,1)))</f>
        <v>0.31641901438109332</v>
      </c>
      <c r="D227" s="17">
        <f>D$78/IF(B$110="kVA",IF(F$78,F$78,1),IF(B$110="MPAN",IF(E$78,E$78,1),IF(H$78,H$78,1)))</f>
        <v>0.27631276669001914</v>
      </c>
      <c r="E227" s="17">
        <f>E$78/IF(B$110="kVA",IF(F$78,F$78,1),IF(B$110="MPAN",IF(E$78,E$78,1),IF(H$78,H$78,1)))</f>
        <v>1.9131776783882653E-2</v>
      </c>
      <c r="F227" s="17">
        <f>F$78/IF(B$110="kVA",IF(F$78,F$78,1),IF(B$110="MPAN",IF(E$78,E$78,1),IF(H$78,H$78,1)))</f>
        <v>0</v>
      </c>
      <c r="G227" s="17">
        <f>G$78/IF(B$110="kVA",IF(F$78,F$78,1),IF(B$110="MPAN",IF(E$78,E$78,1),IF(H$78,H$78,1)))</f>
        <v>1.6263930707030438</v>
      </c>
      <c r="H227" s="29">
        <f>0.01*Input!F$14*(Adjust!$E$310*E227+Adjust!$F$310*F227)+10*(Adjust!$B$310*B227+Adjust!$C$310*C227+Adjust!$D$310*D227+Adjust!$G$310*G227)</f>
        <v>-28.045893736069441</v>
      </c>
      <c r="I227" s="6"/>
    </row>
    <row r="228" spans="1:9" x14ac:dyDescent="0.2">
      <c r="A228" s="12" t="s">
        <v>75</v>
      </c>
      <c r="I228" s="6"/>
    </row>
    <row r="229" spans="1:9" x14ac:dyDescent="0.2">
      <c r="A229" s="5" t="s">
        <v>75</v>
      </c>
      <c r="B229" s="17">
        <f>B$79/IF(B$111="kVA",IF(F$79,F$79,1),IF(B$111="MPAN",IF(E$79,E$79,1),IF(H$79,H$79,1)))</f>
        <v>1</v>
      </c>
      <c r="C229" s="17">
        <f>C$79/IF(B$111="kVA",IF(F$79,F$79,1),IF(B$111="MPAN",IF(E$79,E$79,1),IF(H$79,H$79,1)))</f>
        <v>0</v>
      </c>
      <c r="D229" s="17">
        <f>D$79/IF(B$111="kVA",IF(F$79,F$79,1),IF(B$111="MPAN",IF(E$79,E$79,1),IF(H$79,H$79,1)))</f>
        <v>0</v>
      </c>
      <c r="E229" s="17">
        <f>E$79/IF(B$111="kVA",IF(F$79,F$79,1),IF(B$111="MPAN",IF(E$79,E$79,1),IF(H$79,H$79,1)))</f>
        <v>2.8982362463357E-4</v>
      </c>
      <c r="F229" s="17">
        <f>F$79/IF(B$111="kVA",IF(F$79,F$79,1),IF(B$111="MPAN",IF(E$79,E$79,1),IF(H$79,H$79,1)))</f>
        <v>0</v>
      </c>
      <c r="G229" s="17">
        <f>G$79/IF(B$111="kVA",IF(F$79,F$79,1),IF(B$111="MPAN",IF(E$79,E$79,1),IF(H$79,H$79,1)))</f>
        <v>6.6801436495145305E-2</v>
      </c>
      <c r="H229" s="29">
        <f>0.01*Input!F$14*(Adjust!$E$312*E229+Adjust!$F$312*F229)+10*(Adjust!$B$312*B229+Adjust!$C$312*C229+Adjust!$D$312*D229+Adjust!$G$312*G229)</f>
        <v>-4.3497702387588246</v>
      </c>
      <c r="I229" s="6"/>
    </row>
    <row r="230" spans="1:9" x14ac:dyDescent="0.2">
      <c r="A230" s="5" t="s">
        <v>173</v>
      </c>
      <c r="B230" s="17">
        <f>B$79/IF(B$111="kVA",IF(F$79,F$79,1),IF(B$111="MPAN",IF(E$79,E$79,1),IF(H$79,H$79,1)))</f>
        <v>1</v>
      </c>
      <c r="C230" s="17">
        <f>C$79/IF(B$111="kVA",IF(F$79,F$79,1),IF(B$111="MPAN",IF(E$79,E$79,1),IF(H$79,H$79,1)))</f>
        <v>0</v>
      </c>
      <c r="D230" s="17">
        <f>D$79/IF(B$111="kVA",IF(F$79,F$79,1),IF(B$111="MPAN",IF(E$79,E$79,1),IF(H$79,H$79,1)))</f>
        <v>0</v>
      </c>
      <c r="E230" s="17">
        <f>E$79/IF(B$111="kVA",IF(F$79,F$79,1),IF(B$111="MPAN",IF(E$79,E$79,1),IF(H$79,H$79,1)))</f>
        <v>2.8982362463357E-4</v>
      </c>
      <c r="F230" s="17">
        <f>F$79/IF(B$111="kVA",IF(F$79,F$79,1),IF(B$111="MPAN",IF(E$79,E$79,1),IF(H$79,H$79,1)))</f>
        <v>0</v>
      </c>
      <c r="G230" s="17">
        <f>G$79/IF(B$111="kVA",IF(F$79,F$79,1),IF(B$111="MPAN",IF(E$79,E$79,1),IF(H$79,H$79,1)))</f>
        <v>6.6801436495145305E-2</v>
      </c>
      <c r="H230" s="29">
        <f>0.01*Input!F$14*(Adjust!$E$313*E230+Adjust!$F$313*F230)+10*(Adjust!$B$313*B230+Adjust!$C$313*C230+Adjust!$D$313*D230+Adjust!$G$313*G230)</f>
        <v>-4.3564982043810687</v>
      </c>
      <c r="I230" s="6"/>
    </row>
    <row r="231" spans="1:9" x14ac:dyDescent="0.2">
      <c r="A231" s="12" t="s">
        <v>76</v>
      </c>
      <c r="I231" s="6"/>
    </row>
    <row r="232" spans="1:9" x14ac:dyDescent="0.2">
      <c r="A232" s="5" t="s">
        <v>76</v>
      </c>
      <c r="B232" s="17">
        <f>B$80/IF(B$112="kVA",IF(F$80,F$80,1),IF(B$112="MPAN",IF(E$80,E$80,1),IF(H$80,H$80,1)))</f>
        <v>5.5017199501924463E-2</v>
      </c>
      <c r="C232" s="17">
        <f>C$80/IF(B$112="kVA",IF(F$80,F$80,1),IF(B$112="MPAN",IF(E$80,E$80,1),IF(H$80,H$80,1)))</f>
        <v>0.27041566494519265</v>
      </c>
      <c r="D232" s="17">
        <f>D$80/IF(B$112="kVA",IF(F$80,F$80,1),IF(B$112="MPAN",IF(E$80,E$80,1),IF(H$80,H$80,1)))</f>
        <v>0.67456713555288306</v>
      </c>
      <c r="E232" s="17">
        <f>E$80/IF(B$112="kVA",IF(F$80,F$80,1),IF(B$112="MPAN",IF(E$80,E$80,1),IF(H$80,H$80,1)))</f>
        <v>1.7719270880208623E-4</v>
      </c>
      <c r="F232" s="17">
        <f>F$80/IF(B$112="kVA",IF(F$80,F$80,1),IF(B$112="MPAN",IF(E$80,E$80,1),IF(H$80,H$80,1)))</f>
        <v>0</v>
      </c>
      <c r="G232" s="17">
        <f>G$80/IF(B$112="kVA",IF(F$80,F$80,1),IF(B$112="MPAN",IF(E$80,E$80,1),IF(H$80,H$80,1)))</f>
        <v>2.2441456156183228E-2</v>
      </c>
      <c r="H232" s="29">
        <f>0.01*Input!F$14*(Adjust!$E$315*E232+Adjust!$F$315*F232)+10*(Adjust!$B$315*B232+Adjust!$C$315*C232+Adjust!$D$315*D232+Adjust!$G$315*G232)</f>
        <v>-4.0634564841745009</v>
      </c>
      <c r="I232" s="6"/>
    </row>
    <row r="233" spans="1:9" x14ac:dyDescent="0.2">
      <c r="A233" s="5" t="s">
        <v>175</v>
      </c>
      <c r="B233" s="17">
        <f>B$80/IF(B$112="kVA",IF(F$80,F$80,1),IF(B$112="MPAN",IF(E$80,E$80,1),IF(H$80,H$80,1)))</f>
        <v>5.5017199501924463E-2</v>
      </c>
      <c r="C233" s="17">
        <f>C$80/IF(B$112="kVA",IF(F$80,F$80,1),IF(B$112="MPAN",IF(E$80,E$80,1),IF(H$80,H$80,1)))</f>
        <v>0.27041566494519265</v>
      </c>
      <c r="D233" s="17">
        <f>D$80/IF(B$112="kVA",IF(F$80,F$80,1),IF(B$112="MPAN",IF(E$80,E$80,1),IF(H$80,H$80,1)))</f>
        <v>0.67456713555288306</v>
      </c>
      <c r="E233" s="17">
        <f>E$80/IF(B$112="kVA",IF(F$80,F$80,1),IF(B$112="MPAN",IF(E$80,E$80,1),IF(H$80,H$80,1)))</f>
        <v>1.7719270880208623E-4</v>
      </c>
      <c r="F233" s="17">
        <f>F$80/IF(B$112="kVA",IF(F$80,F$80,1),IF(B$112="MPAN",IF(E$80,E$80,1),IF(H$80,H$80,1)))</f>
        <v>0</v>
      </c>
      <c r="G233" s="17">
        <f>G$80/IF(B$112="kVA",IF(F$80,F$80,1),IF(B$112="MPAN",IF(E$80,E$80,1),IF(H$80,H$80,1)))</f>
        <v>2.2441456156183228E-2</v>
      </c>
      <c r="H233" s="29">
        <f>0.01*Input!F$14*(Adjust!$E$316*E233+Adjust!$F$316*F233)+10*(Adjust!$B$316*B233+Adjust!$C$316*C233+Adjust!$D$316*D233+Adjust!$G$316*G233)</f>
        <v>-4.0675698357166326</v>
      </c>
      <c r="I233" s="6"/>
    </row>
    <row r="234" spans="1:9" x14ac:dyDescent="0.2">
      <c r="A234" s="12" t="s">
        <v>77</v>
      </c>
      <c r="I234" s="6"/>
    </row>
    <row r="235" spans="1:9" x14ac:dyDescent="0.2">
      <c r="A235" s="5" t="s">
        <v>77</v>
      </c>
      <c r="B235" s="17">
        <f>B$81/IF(B$113="kVA",IF(F$81,F$81,1),IF(B$113="MPAN",IF(E$81,E$81,1),IF(H$81,H$81,1)))</f>
        <v>0</v>
      </c>
      <c r="C235" s="17">
        <f>C$81/IF(B$113="kVA",IF(F$81,F$81,1),IF(B$113="MPAN",IF(E$81,E$81,1),IF(H$81,H$81,1)))</f>
        <v>0</v>
      </c>
      <c r="D235" s="17">
        <f>D$81/IF(B$113="kVA",IF(F$81,F$81,1),IF(B$113="MPAN",IF(E$81,E$81,1),IF(H$81,H$81,1)))</f>
        <v>0</v>
      </c>
      <c r="E235" s="17">
        <f>E$81/IF(B$113="kVA",IF(F$81,F$81,1),IF(B$113="MPAN",IF(E$81,E$81,1),IF(H$81,H$81,1)))</f>
        <v>0</v>
      </c>
      <c r="F235" s="17">
        <f>F$81/IF(B$113="kVA",IF(F$81,F$81,1),IF(B$113="MPAN",IF(E$81,E$81,1),IF(H$81,H$81,1)))</f>
        <v>0</v>
      </c>
      <c r="G235" s="17">
        <f>G$81/IF(B$113="kVA",IF(F$81,F$81,1),IF(B$113="MPAN",IF(E$81,E$81,1),IF(H$81,H$81,1)))</f>
        <v>0</v>
      </c>
      <c r="H235" s="29">
        <f>0.01*Input!F$14*(Adjust!$E$318*E235+Adjust!$F$318*F235)+10*(Adjust!$B$318*B235+Adjust!$C$318*C235+Adjust!$D$318*D235+Adjust!$G$318*G235)</f>
        <v>0</v>
      </c>
      <c r="I235" s="6"/>
    </row>
    <row r="236" spans="1:9" x14ac:dyDescent="0.2">
      <c r="A236" s="12" t="s">
        <v>78</v>
      </c>
      <c r="I236" s="6"/>
    </row>
    <row r="237" spans="1:9" x14ac:dyDescent="0.2">
      <c r="A237" s="5" t="s">
        <v>78</v>
      </c>
      <c r="B237" s="17">
        <f>B$82/IF(B$114="kVA",IF(F$82,F$82,1),IF(B$114="MPAN",IF(E$82,E$82,1),IF(H$82,H$82,1)))</f>
        <v>0</v>
      </c>
      <c r="C237" s="17">
        <f>C$82/IF(B$114="kVA",IF(F$82,F$82,1),IF(B$114="MPAN",IF(E$82,E$82,1),IF(H$82,H$82,1)))</f>
        <v>0</v>
      </c>
      <c r="D237" s="17">
        <f>D$82/IF(B$114="kVA",IF(F$82,F$82,1),IF(B$114="MPAN",IF(E$82,E$82,1),IF(H$82,H$82,1)))</f>
        <v>0</v>
      </c>
      <c r="E237" s="17">
        <f>E$82/IF(B$114="kVA",IF(F$82,F$82,1),IF(B$114="MPAN",IF(E$82,E$82,1),IF(H$82,H$82,1)))</f>
        <v>0</v>
      </c>
      <c r="F237" s="17">
        <f>F$82/IF(B$114="kVA",IF(F$82,F$82,1),IF(B$114="MPAN",IF(E$82,E$82,1),IF(H$82,H$82,1)))</f>
        <v>0</v>
      </c>
      <c r="G237" s="17">
        <f>G$82/IF(B$114="kVA",IF(F$82,F$82,1),IF(B$114="MPAN",IF(E$82,E$82,1),IF(H$82,H$82,1)))</f>
        <v>0</v>
      </c>
      <c r="H237" s="29">
        <f>0.01*Input!F$14*(Adjust!$E$320*E237+Adjust!$F$320*F237)+10*(Adjust!$B$320*B237+Adjust!$C$320*C237+Adjust!$D$320*D237+Adjust!$G$320*G237)</f>
        <v>0</v>
      </c>
      <c r="I237" s="6"/>
    </row>
    <row r="239" spans="1:9" ht="16.5" x14ac:dyDescent="0.25">
      <c r="A239" s="3" t="s">
        <v>1579</v>
      </c>
    </row>
    <row r="240" spans="1:9" x14ac:dyDescent="0.2">
      <c r="A240" s="10" t="s">
        <v>238</v>
      </c>
    </row>
    <row r="241" spans="1:3" x14ac:dyDescent="0.2">
      <c r="A241" s="11" t="s">
        <v>1580</v>
      </c>
    </row>
    <row r="242" spans="1:3" x14ac:dyDescent="0.2">
      <c r="A242" s="10" t="s">
        <v>716</v>
      </c>
    </row>
    <row r="244" spans="1:3" ht="25.5" x14ac:dyDescent="0.2">
      <c r="B244" s="4" t="s">
        <v>1581</v>
      </c>
    </row>
    <row r="245" spans="1:3" x14ac:dyDescent="0.2">
      <c r="A245" s="5" t="s">
        <v>112</v>
      </c>
      <c r="B245" s="30">
        <f>H$145</f>
        <v>81.702137186775943</v>
      </c>
      <c r="C245" s="6"/>
    </row>
    <row r="246" spans="1:3" x14ac:dyDescent="0.2">
      <c r="A246" s="5" t="s">
        <v>115</v>
      </c>
      <c r="B246" s="30">
        <f>H$149</f>
        <v>84.254424022626409</v>
      </c>
      <c r="C246" s="6"/>
    </row>
    <row r="247" spans="1:3" x14ac:dyDescent="0.2">
      <c r="A247" s="5" t="s">
        <v>118</v>
      </c>
      <c r="B247" s="30">
        <f>H$153</f>
        <v>7.6327840014966508</v>
      </c>
      <c r="C247" s="6"/>
    </row>
    <row r="248" spans="1:3" x14ac:dyDescent="0.2">
      <c r="A248" s="5" t="s">
        <v>121</v>
      </c>
      <c r="B248" s="30">
        <f>H$157</f>
        <v>250.40175038015624</v>
      </c>
      <c r="C248" s="6"/>
    </row>
    <row r="249" spans="1:3" x14ac:dyDescent="0.2">
      <c r="A249" s="5" t="s">
        <v>124</v>
      </c>
      <c r="B249" s="30">
        <f>H$161</f>
        <v>344.98818267826744</v>
      </c>
      <c r="C249" s="6"/>
    </row>
    <row r="250" spans="1:3" ht="25.5" x14ac:dyDescent="0.2">
      <c r="A250" s="5" t="s">
        <v>127</v>
      </c>
      <c r="B250" s="30">
        <f>H$165</f>
        <v>11.150699584379165</v>
      </c>
      <c r="C250" s="6"/>
    </row>
    <row r="251" spans="1:3" x14ac:dyDescent="0.2">
      <c r="A251" s="5" t="s">
        <v>130</v>
      </c>
      <c r="B251" s="30">
        <f>H$169</f>
        <v>1607.9696694821969</v>
      </c>
      <c r="C251" s="6"/>
    </row>
    <row r="252" spans="1:3" x14ac:dyDescent="0.2">
      <c r="A252" s="5" t="s">
        <v>135</v>
      </c>
      <c r="B252" s="30">
        <f>H$177</f>
        <v>27.354007714469315</v>
      </c>
      <c r="C252" s="6"/>
    </row>
    <row r="253" spans="1:3" x14ac:dyDescent="0.2">
      <c r="A253" s="5" t="s">
        <v>1582</v>
      </c>
      <c r="B253" s="21"/>
      <c r="C253" s="6"/>
    </row>
    <row r="254" spans="1:3" x14ac:dyDescent="0.2">
      <c r="A254" s="5" t="s">
        <v>1582</v>
      </c>
      <c r="B254" s="21"/>
      <c r="C254" s="6"/>
    </row>
    <row r="255" spans="1:3" x14ac:dyDescent="0.2">
      <c r="A255" s="5" t="s">
        <v>143</v>
      </c>
      <c r="B255" s="30">
        <f>H$189</f>
        <v>18.34</v>
      </c>
      <c r="C255" s="6"/>
    </row>
    <row r="256" spans="1:3" x14ac:dyDescent="0.2">
      <c r="A256" s="5" t="s">
        <v>146</v>
      </c>
      <c r="B256" s="30">
        <f>H$193</f>
        <v>21.47</v>
      </c>
      <c r="C256" s="6"/>
    </row>
    <row r="257" spans="1:3" x14ac:dyDescent="0.2">
      <c r="A257" s="5" t="s">
        <v>149</v>
      </c>
      <c r="B257" s="30">
        <f>H$197</f>
        <v>30.939999999999998</v>
      </c>
      <c r="C257" s="6"/>
    </row>
    <row r="258" spans="1:3" x14ac:dyDescent="0.2">
      <c r="A258" s="5" t="s">
        <v>152</v>
      </c>
      <c r="B258" s="30">
        <f>H$201</f>
        <v>0</v>
      </c>
      <c r="C258" s="6"/>
    </row>
    <row r="259" spans="1:3" x14ac:dyDescent="0.2">
      <c r="A259" s="5" t="s">
        <v>155</v>
      </c>
      <c r="B259" s="30">
        <f>H$205</f>
        <v>20.939408433253544</v>
      </c>
      <c r="C259" s="6"/>
    </row>
    <row r="260" spans="1:3" x14ac:dyDescent="0.2">
      <c r="A260" s="5" t="s">
        <v>158</v>
      </c>
      <c r="B260" s="30">
        <f>H$209</f>
        <v>-8.98</v>
      </c>
      <c r="C260" s="6"/>
    </row>
    <row r="261" spans="1:3" x14ac:dyDescent="0.2">
      <c r="A261" s="5" t="s">
        <v>1582</v>
      </c>
      <c r="B261" s="21"/>
      <c r="C261" s="6"/>
    </row>
    <row r="262" spans="1:3" x14ac:dyDescent="0.2">
      <c r="A262" s="5" t="s">
        <v>163</v>
      </c>
      <c r="B262" s="30">
        <f>H$216</f>
        <v>-8.1490794896892531</v>
      </c>
      <c r="C262" s="6"/>
    </row>
    <row r="263" spans="1:3" x14ac:dyDescent="0.2">
      <c r="A263" s="5" t="s">
        <v>166</v>
      </c>
      <c r="B263" s="30">
        <f>H$220</f>
        <v>-18.24273096610953</v>
      </c>
      <c r="C263" s="6"/>
    </row>
    <row r="264" spans="1:3" x14ac:dyDescent="0.2">
      <c r="A264" s="5" t="s">
        <v>1582</v>
      </c>
      <c r="B264" s="21"/>
      <c r="C264" s="6"/>
    </row>
    <row r="265" spans="1:3" x14ac:dyDescent="0.2">
      <c r="A265" s="5" t="s">
        <v>1582</v>
      </c>
      <c r="B265" s="21"/>
      <c r="C265" s="6"/>
    </row>
    <row r="266" spans="1:3" x14ac:dyDescent="0.2">
      <c r="A266" s="5" t="s">
        <v>1582</v>
      </c>
      <c r="B266" s="21"/>
      <c r="C266" s="6"/>
    </row>
    <row r="267" spans="1:3" x14ac:dyDescent="0.2">
      <c r="A267" s="5" t="s">
        <v>1582</v>
      </c>
      <c r="B267" s="21"/>
      <c r="C267" s="6"/>
    </row>
    <row r="269" spans="1:3" ht="16.5" x14ac:dyDescent="0.25">
      <c r="A269" s="3" t="s">
        <v>1583</v>
      </c>
    </row>
    <row r="270" spans="1:3" x14ac:dyDescent="0.2">
      <c r="A270" s="10" t="s">
        <v>238</v>
      </c>
    </row>
    <row r="271" spans="1:3" x14ac:dyDescent="0.2">
      <c r="A271" s="11" t="s">
        <v>1580</v>
      </c>
    </row>
    <row r="272" spans="1:3" x14ac:dyDescent="0.2">
      <c r="A272" s="10" t="s">
        <v>716</v>
      </c>
    </row>
    <row r="274" spans="1:3" ht="25.5" x14ac:dyDescent="0.2">
      <c r="B274" s="4" t="s">
        <v>1584</v>
      </c>
    </row>
    <row r="275" spans="1:3" x14ac:dyDescent="0.2">
      <c r="A275" s="5" t="s">
        <v>113</v>
      </c>
      <c r="B275" s="30">
        <f>H$146</f>
        <v>54.805652113985296</v>
      </c>
      <c r="C275" s="6"/>
    </row>
    <row r="276" spans="1:3" x14ac:dyDescent="0.2">
      <c r="A276" s="5" t="s">
        <v>116</v>
      </c>
      <c r="B276" s="30">
        <f>H$150</f>
        <v>56.510959184639162</v>
      </c>
      <c r="C276" s="6"/>
    </row>
    <row r="277" spans="1:3" x14ac:dyDescent="0.2">
      <c r="A277" s="5" t="s">
        <v>119</v>
      </c>
      <c r="B277" s="30">
        <f>H$154</f>
        <v>5.1009336985611773</v>
      </c>
      <c r="C277" s="6"/>
    </row>
    <row r="278" spans="1:3" x14ac:dyDescent="0.2">
      <c r="A278" s="5" t="s">
        <v>122</v>
      </c>
      <c r="B278" s="30">
        <f>H$158</f>
        <v>167.91290452658296</v>
      </c>
      <c r="C278" s="6"/>
    </row>
    <row r="279" spans="1:3" x14ac:dyDescent="0.2">
      <c r="A279" s="5" t="s">
        <v>125</v>
      </c>
      <c r="B279" s="30">
        <f>H$162</f>
        <v>231.44410622903254</v>
      </c>
      <c r="C279" s="6"/>
    </row>
    <row r="280" spans="1:3" ht="25.5" x14ac:dyDescent="0.2">
      <c r="A280" s="5" t="s">
        <v>128</v>
      </c>
      <c r="B280" s="30">
        <f>H$166</f>
        <v>7.4775279565836748</v>
      </c>
      <c r="C280" s="6"/>
    </row>
    <row r="281" spans="1:3" x14ac:dyDescent="0.2">
      <c r="A281" s="5" t="s">
        <v>131</v>
      </c>
      <c r="B281" s="30">
        <f>H$170</f>
        <v>1078.1574455806658</v>
      </c>
      <c r="C281" s="6"/>
    </row>
    <row r="282" spans="1:3" x14ac:dyDescent="0.2">
      <c r="A282" s="5" t="s">
        <v>136</v>
      </c>
      <c r="B282" s="30">
        <f>H$178</f>
        <v>18.356601086215367</v>
      </c>
      <c r="C282" s="6"/>
    </row>
    <row r="283" spans="1:3" x14ac:dyDescent="0.2">
      <c r="A283" s="5" t="s">
        <v>138</v>
      </c>
      <c r="B283" s="30">
        <f>H$181</f>
        <v>26.971031743081021</v>
      </c>
      <c r="C283" s="6"/>
    </row>
    <row r="284" spans="1:3" x14ac:dyDescent="0.2">
      <c r="A284" s="5" t="s">
        <v>140</v>
      </c>
      <c r="B284" s="30">
        <f>H$184</f>
        <v>29.88552719474653</v>
      </c>
      <c r="C284" s="6"/>
    </row>
    <row r="285" spans="1:3" x14ac:dyDescent="0.2">
      <c r="A285" s="5" t="s">
        <v>144</v>
      </c>
      <c r="B285" s="30">
        <f>H$190</f>
        <v>12.3</v>
      </c>
      <c r="C285" s="6"/>
    </row>
    <row r="286" spans="1:3" x14ac:dyDescent="0.2">
      <c r="A286" s="5" t="s">
        <v>147</v>
      </c>
      <c r="B286" s="30">
        <f>H$194</f>
        <v>14.39</v>
      </c>
      <c r="C286" s="6"/>
    </row>
    <row r="287" spans="1:3" x14ac:dyDescent="0.2">
      <c r="A287" s="5" t="s">
        <v>150</v>
      </c>
      <c r="B287" s="30">
        <f>H$198</f>
        <v>20.74</v>
      </c>
      <c r="C287" s="6"/>
    </row>
    <row r="288" spans="1:3" x14ac:dyDescent="0.2">
      <c r="A288" s="5" t="s">
        <v>153</v>
      </c>
      <c r="B288" s="30">
        <f>H$202</f>
        <v>0</v>
      </c>
      <c r="C288" s="6"/>
    </row>
    <row r="289" spans="1:3" x14ac:dyDescent="0.2">
      <c r="A289" s="5" t="s">
        <v>156</v>
      </c>
      <c r="B289" s="30">
        <f>H$206</f>
        <v>14.042810502005704</v>
      </c>
      <c r="C289" s="6"/>
    </row>
    <row r="290" spans="1:3" x14ac:dyDescent="0.2">
      <c r="A290" s="5" t="s">
        <v>159</v>
      </c>
      <c r="B290" s="30">
        <f>H$210</f>
        <v>-8.98</v>
      </c>
      <c r="C290" s="6"/>
    </row>
    <row r="291" spans="1:3" x14ac:dyDescent="0.2">
      <c r="A291" s="5" t="s">
        <v>161</v>
      </c>
      <c r="B291" s="30">
        <f>H$213</f>
        <v>0</v>
      </c>
      <c r="C291" s="6"/>
    </row>
    <row r="292" spans="1:3" x14ac:dyDescent="0.2">
      <c r="A292" s="5" t="s">
        <v>164</v>
      </c>
      <c r="B292" s="30">
        <f>H$217</f>
        <v>-8.1490794896892531</v>
      </c>
      <c r="C292" s="6"/>
    </row>
    <row r="293" spans="1:3" x14ac:dyDescent="0.2">
      <c r="A293" s="5" t="s">
        <v>167</v>
      </c>
      <c r="B293" s="30">
        <f>H$221</f>
        <v>-18.24273096610953</v>
      </c>
      <c r="C293" s="6"/>
    </row>
    <row r="294" spans="1:3" x14ac:dyDescent="0.2">
      <c r="A294" s="5" t="s">
        <v>169</v>
      </c>
      <c r="B294" s="30">
        <f>H$224</f>
        <v>-6.8942048462566818</v>
      </c>
      <c r="C294" s="6"/>
    </row>
    <row r="295" spans="1:3" x14ac:dyDescent="0.2">
      <c r="A295" s="5" t="s">
        <v>171</v>
      </c>
      <c r="B295" s="30">
        <f>H$227</f>
        <v>-28.045893736069441</v>
      </c>
      <c r="C295" s="6"/>
    </row>
    <row r="296" spans="1:3" x14ac:dyDescent="0.2">
      <c r="A296" s="5" t="s">
        <v>173</v>
      </c>
      <c r="B296" s="30">
        <f>H$230</f>
        <v>-4.3564982043810687</v>
      </c>
      <c r="C296" s="6"/>
    </row>
    <row r="297" spans="1:3" x14ac:dyDescent="0.2">
      <c r="A297" s="5" t="s">
        <v>175</v>
      </c>
      <c r="B297" s="30">
        <f>H$233</f>
        <v>-4.0675698357166326</v>
      </c>
      <c r="C297" s="6"/>
    </row>
  </sheetData>
  <sheetProtection sheet="1" objects="1"/>
  <hyperlinks>
    <hyperlink ref="A6" location="'Input'!B333" display="'Input'!B333"/>
    <hyperlink ref="A7" location="'Input'!F14" display="'Input'!F14"/>
    <hyperlink ref="A8" location="'Input'!F333" display="'Input'!F333"/>
    <hyperlink ref="A9" location="'Input'!E142" display="'Input'!E142"/>
    <hyperlink ref="A10" location="'Input'!G333" display="'Input'!G333"/>
    <hyperlink ref="A11" location="'Input'!F142" display="'Input'!F142"/>
    <hyperlink ref="A12" location="'Input'!C333" display="'Input'!C333"/>
    <hyperlink ref="A13" location="'Input'!B142" display="'Input'!B142"/>
    <hyperlink ref="A14" location="'Input'!D333" display="'Input'!D333"/>
    <hyperlink ref="A15" location="'Input'!C142" display="'Input'!C142"/>
    <hyperlink ref="A16" location="'Input'!E333" display="'Input'!E333"/>
    <hyperlink ref="A17" location="'Input'!D142" display="'Input'!D142"/>
    <hyperlink ref="A18" location="'Input'!H333" display="'Input'!H333"/>
    <hyperlink ref="A19" location="'Input'!G142" display="'Input'!G142"/>
    <hyperlink ref="A44" location="'Input'!B142" display="'Input'!B142"/>
    <hyperlink ref="A45" location="'Input'!C142" display="'Input'!C142"/>
    <hyperlink ref="A46" location="'Input'!D142" display="'Input'!D142"/>
    <hyperlink ref="A47" location="'Input'!E142" display="'Input'!E142"/>
    <hyperlink ref="A48" location="'Input'!F142" display="'Input'!F142"/>
    <hyperlink ref="A49" location="'Input'!G142" display="'Input'!G142"/>
    <hyperlink ref="A50" location="'Summary'!B56" display="'Summary'!B56"/>
    <hyperlink ref="A118" location="'CData'!B55" display="'CData'!B55"/>
    <hyperlink ref="A119" location="'CData'!B87" display="'CData'!B87"/>
    <hyperlink ref="A120" location="'CData'!F55" display="'CData'!F55"/>
    <hyperlink ref="A121" location="'CData'!E55" display="'CData'!E55"/>
    <hyperlink ref="A122" location="'CData'!H55" display="'CData'!H55"/>
    <hyperlink ref="A123" location="'CData'!C55" display="'CData'!C55"/>
    <hyperlink ref="A124" location="'CData'!D55" display="'CData'!D55"/>
    <hyperlink ref="A125" location="'CData'!G55" display="'CData'!G55"/>
    <hyperlink ref="A126" location="'Input'!F14" display="'Input'!F14"/>
    <hyperlink ref="A127" location="'Adjust'!E228" display="'Adjust'!E228"/>
    <hyperlink ref="A128" location="'CData'!E143" display="'CData'!E143"/>
    <hyperlink ref="A129" location="'Adjust'!F228" display="'Adjust'!F228"/>
    <hyperlink ref="A130" location="'CData'!F143" display="'CData'!F143"/>
    <hyperlink ref="A131" location="'Adjust'!B228" display="'Adjust'!B228"/>
    <hyperlink ref="A132" location="'CData'!B143" display="'CData'!B143"/>
    <hyperlink ref="A133" location="'Adjust'!C228" display="'Adjust'!C228"/>
    <hyperlink ref="A134" location="'CData'!C143" display="'CData'!C143"/>
    <hyperlink ref="A135" location="'Adjust'!D228" display="'Adjust'!D228"/>
    <hyperlink ref="A136" location="'CData'!D143" display="'CData'!D143"/>
    <hyperlink ref="A137" location="'Adjust'!G228" display="'Adjust'!G228"/>
    <hyperlink ref="A138" location="'CData'!G143" display="'CData'!G143"/>
    <hyperlink ref="A241" location="'CData'!H143" display="'CData'!H143"/>
    <hyperlink ref="A271" location="'CData'!H143" display="'CData'!H143"/>
  </hyperlinks>
  <pageMargins left="0.75" right="0.75" top="1" bottom="1" header="0.5" footer="0.5"/>
  <pageSetup paperSize="9" scale="40" fitToHeight="0" orientation="portrait" blackAndWhite="1" r:id="rId1"/>
  <headerFooter alignWithMargins="0">
    <oddHeader>&amp;L&amp;A&amp;Cr6140&amp;R&amp;P of &amp;N</oddHeader>
    <oddFooter>&amp;F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A1:F66"/>
  <sheetViews>
    <sheetView showGridLines="0" workbookViewId="0">
      <pane ySplit="1" topLeftCell="A10" activePane="bottomLeft" state="frozen"/>
      <selection pane="bottomLeft" activeCell="A2" sqref="A2"/>
    </sheetView>
  </sheetViews>
  <sheetFormatPr defaultRowHeight="12.75" x14ac:dyDescent="0.2"/>
  <cols>
    <col min="1" max="1" width="50.7109375" customWidth="1"/>
    <col min="2" max="251" width="16.7109375" customWidth="1"/>
  </cols>
  <sheetData>
    <row r="1" spans="1:5" ht="19.5" x14ac:dyDescent="0.3">
      <c r="A1" s="15" t="str">
        <f>"r6140: Tariff comparisons"&amp;" for "&amp;Input!B7&amp;" in "&amp;Input!C7&amp;" ("&amp;Input!D7&amp;")"</f>
        <v>r6140: Tariff comparisons for Electricity North West  in 2013/14 (April 2013 Indicative)</v>
      </c>
    </row>
    <row r="2" spans="1:5" x14ac:dyDescent="0.2">
      <c r="A2" s="10" t="s">
        <v>1396</v>
      </c>
    </row>
    <row r="4" spans="1:5" ht="16.5" x14ac:dyDescent="0.25">
      <c r="A4" s="3" t="s">
        <v>1585</v>
      </c>
    </row>
    <row r="5" spans="1:5" x14ac:dyDescent="0.2">
      <c r="A5" s="10" t="s">
        <v>238</v>
      </c>
    </row>
    <row r="6" spans="1:5" x14ac:dyDescent="0.2">
      <c r="A6" s="11" t="s">
        <v>1586</v>
      </c>
    </row>
    <row r="7" spans="1:5" x14ac:dyDescent="0.2">
      <c r="A7" s="11" t="s">
        <v>1587</v>
      </c>
    </row>
    <row r="8" spans="1:5" x14ac:dyDescent="0.2">
      <c r="A8" s="11" t="s">
        <v>1588</v>
      </c>
    </row>
    <row r="9" spans="1:5" x14ac:dyDescent="0.2">
      <c r="A9" s="11" t="s">
        <v>1419</v>
      </c>
    </row>
    <row r="10" spans="1:5" x14ac:dyDescent="0.2">
      <c r="A10" s="18" t="s">
        <v>241</v>
      </c>
      <c r="B10" s="18" t="s">
        <v>371</v>
      </c>
      <c r="C10" s="18" t="s">
        <v>371</v>
      </c>
      <c r="D10" s="18" t="s">
        <v>300</v>
      </c>
    </row>
    <row r="11" spans="1:5" ht="25.5" x14ac:dyDescent="0.2">
      <c r="A11" s="18" t="s">
        <v>244</v>
      </c>
      <c r="B11" s="18" t="s">
        <v>1589</v>
      </c>
      <c r="C11" s="18" t="s">
        <v>1590</v>
      </c>
      <c r="D11" s="18" t="s">
        <v>1390</v>
      </c>
    </row>
    <row r="13" spans="1:5" ht="25.5" x14ac:dyDescent="0.2">
      <c r="B13" s="4" t="s">
        <v>1591</v>
      </c>
      <c r="C13" s="4" t="s">
        <v>1592</v>
      </c>
      <c r="D13" s="4" t="s">
        <v>108</v>
      </c>
    </row>
    <row r="14" spans="1:5" x14ac:dyDescent="0.2">
      <c r="A14" s="5" t="s">
        <v>53</v>
      </c>
      <c r="B14" s="31">
        <f>IF(CData!B23,Summary!D$57/CData!B23-1,"")</f>
        <v>0.12463243192668649</v>
      </c>
      <c r="C14" s="32">
        <f>(Summary!D$57-CData!B23)/IF(Summary!B$57,Summary!B$57,1)/10</f>
        <v>0.35669904217140169</v>
      </c>
      <c r="D14" s="27">
        <f>Input!E$143</f>
        <v>1966268.3959221658</v>
      </c>
      <c r="E14" s="6"/>
    </row>
    <row r="15" spans="1:5" x14ac:dyDescent="0.2">
      <c r="A15" s="5" t="s">
        <v>54</v>
      </c>
      <c r="B15" s="31">
        <f>IF(CData!B24,Summary!D$61/CData!B24-1,"")</f>
        <v>4.4989231510377925E-2</v>
      </c>
      <c r="C15" s="32">
        <f>(Summary!D$61-CData!B24)/IF(Summary!B$61,Summary!B$61,1)/10</f>
        <v>8.4944219334596088E-2</v>
      </c>
      <c r="D15" s="27">
        <f>Input!E$147</f>
        <v>193198.50471492525</v>
      </c>
      <c r="E15" s="6"/>
    </row>
    <row r="16" spans="1:5" x14ac:dyDescent="0.2">
      <c r="A16" s="5" t="s">
        <v>94</v>
      </c>
      <c r="B16" s="31">
        <f>IF(CData!B25,Summary!D$65/CData!B25-1,"")</f>
        <v>0.21115537848605581</v>
      </c>
      <c r="C16" s="32">
        <f>(Summary!D$65-CData!B25)/IF(Summary!B$65,Summary!B$65,1)/10</f>
        <v>5.2999999999999978E-2</v>
      </c>
      <c r="D16" s="27">
        <f>Input!E$151</f>
        <v>7812.8718610241485</v>
      </c>
      <c r="E16" s="6"/>
    </row>
    <row r="17" spans="1:5" x14ac:dyDescent="0.2">
      <c r="A17" s="5" t="s">
        <v>55</v>
      </c>
      <c r="B17" s="31">
        <f>IF(CData!B26,Summary!D$69/CData!B26-1,"")</f>
        <v>0.16769938185320443</v>
      </c>
      <c r="C17" s="32">
        <f>(Summary!D$69-CData!B26)/IF(Summary!B$69,Summary!B$69,1)/10</f>
        <v>0.35845424798737452</v>
      </c>
      <c r="D17" s="27">
        <f>Input!E$155</f>
        <v>119240.62499606305</v>
      </c>
      <c r="E17" s="6"/>
    </row>
    <row r="18" spans="1:5" x14ac:dyDescent="0.2">
      <c r="A18" s="5" t="s">
        <v>56</v>
      </c>
      <c r="B18" s="31">
        <f>IF(CData!B27,Summary!D$73/CData!B27-1,"")</f>
        <v>0.11880142429942464</v>
      </c>
      <c r="C18" s="32">
        <f>(Summary!D$73-CData!B27)/IF(Summary!B$73,Summary!B$73,1)/10</f>
        <v>0.20766682354733462</v>
      </c>
      <c r="D18" s="27">
        <f>Input!E$159</f>
        <v>30821.313864052241</v>
      </c>
      <c r="E18" s="6"/>
    </row>
    <row r="19" spans="1:5" x14ac:dyDescent="0.2">
      <c r="A19" s="5" t="s">
        <v>95</v>
      </c>
      <c r="B19" s="31">
        <f>IF(CData!B28,Summary!D$77/CData!B28-1,"")</f>
        <v>0.125</v>
      </c>
      <c r="C19" s="32">
        <f>(Summary!D$77-CData!B28)/IF(Summary!B$77,Summary!B$77,1)/10</f>
        <v>2.8000000000000025E-2</v>
      </c>
      <c r="D19" s="27">
        <f>Input!E$163</f>
        <v>4537.443879090979</v>
      </c>
      <c r="E19" s="6"/>
    </row>
    <row r="20" spans="1:5" x14ac:dyDescent="0.2">
      <c r="A20" s="5" t="s">
        <v>57</v>
      </c>
      <c r="B20" s="31">
        <f>IF(CData!B29,Summary!D$81/CData!B29-1,"")</f>
        <v>0.2300682997662209</v>
      </c>
      <c r="C20" s="32">
        <f>(Summary!D$81-CData!B29)/IF(Summary!B$81,Summary!B$81,1)/10</f>
        <v>0.39005541317904496</v>
      </c>
      <c r="D20" s="27">
        <f>Input!E$167</f>
        <v>11223.982793627194</v>
      </c>
      <c r="E20" s="6"/>
    </row>
    <row r="21" spans="1:5" x14ac:dyDescent="0.2">
      <c r="A21" s="5" t="s">
        <v>58</v>
      </c>
      <c r="B21" s="31">
        <f>IF(CData!B30,Summary!D$85/CData!B30-1,"")</f>
        <v>0.23470040148295368</v>
      </c>
      <c r="C21" s="32">
        <f>(Summary!D$85-CData!B30)/IF(Summary!B$85,Summary!B$85,1)/10</f>
        <v>0.34819429507625049</v>
      </c>
      <c r="D21" s="27">
        <f>Input!E$171</f>
        <v>348.75333450159138</v>
      </c>
      <c r="E21" s="6"/>
    </row>
    <row r="22" spans="1:5" x14ac:dyDescent="0.2">
      <c r="A22" s="5" t="s">
        <v>72</v>
      </c>
      <c r="B22" s="31">
        <f>IF(CData!B31,Summary!D$87/CData!B31-1,"")</f>
        <v>0.27053376068298562</v>
      </c>
      <c r="C22" s="32">
        <f>(Summary!D$87-CData!B31)/IF(Summary!B$87,Summary!B$87,1)/10</f>
        <v>0.36350187229868097</v>
      </c>
      <c r="D22" s="27">
        <f>Input!E$173</f>
        <v>68.555558952026317</v>
      </c>
      <c r="E22" s="6"/>
    </row>
    <row r="23" spans="1:5" x14ac:dyDescent="0.2">
      <c r="A23" s="5" t="s">
        <v>59</v>
      </c>
      <c r="B23" s="31">
        <f>IF(CData!B32,Summary!D$89/CData!B32-1,"")</f>
        <v>0.22150292099272062</v>
      </c>
      <c r="C23" s="32">
        <f>(Summary!D$89-CData!B32)/IF(Summary!B$89,Summary!B$89,1)/10</f>
        <v>0.34897658145593063</v>
      </c>
      <c r="D23" s="27">
        <f>Input!E$175</f>
        <v>4948.4112120990931</v>
      </c>
      <c r="E23" s="6"/>
    </row>
    <row r="24" spans="1:5" x14ac:dyDescent="0.2">
      <c r="A24" s="5" t="s">
        <v>60</v>
      </c>
      <c r="B24" s="31">
        <f>IF(CData!B33,Summary!D$93/CData!B33-1,"")</f>
        <v>0.17088421752007732</v>
      </c>
      <c r="C24" s="32">
        <f>(Summary!D$93-CData!B33)/IF(Summary!B$93,Summary!B$93,1)/10</f>
        <v>0.27115136262603856</v>
      </c>
      <c r="D24" s="27">
        <f>Input!E$179</f>
        <v>1830.2774665284201</v>
      </c>
      <c r="E24" s="6"/>
    </row>
    <row r="25" spans="1:5" x14ac:dyDescent="0.2">
      <c r="A25" s="5" t="s">
        <v>73</v>
      </c>
      <c r="B25" s="31">
        <f>IF(CData!B34,Summary!D$96/CData!B34-1,"")</f>
        <v>0.18908532454649341</v>
      </c>
      <c r="C25" s="32">
        <f>(Summary!D$96-CData!B34)/IF(Summary!B$96,Summary!B$96,1)/10</f>
        <v>0.20641324677159698</v>
      </c>
      <c r="D25" s="27">
        <f>Input!E$182</f>
        <v>1964.4374527396105</v>
      </c>
      <c r="E25" s="6"/>
    </row>
    <row r="26" spans="1:5" x14ac:dyDescent="0.2">
      <c r="A26" s="5" t="s">
        <v>74</v>
      </c>
      <c r="B26" s="31" t="str">
        <f>IF(CData!B35,Summary!D$99/CData!B35-1,"")</f>
        <v/>
      </c>
      <c r="C26" s="32">
        <f>(Summary!D$99-CData!B35)/IF(Summary!B$99,Summary!B$99,1)/10</f>
        <v>0</v>
      </c>
      <c r="D26" s="27">
        <f>Input!E$185</f>
        <v>0</v>
      </c>
      <c r="E26" s="6"/>
    </row>
    <row r="27" spans="1:5" x14ac:dyDescent="0.2">
      <c r="A27" s="5" t="s">
        <v>96</v>
      </c>
      <c r="B27" s="31">
        <f>IF(CData!B36,Summary!D$101/CData!B36-1,"")</f>
        <v>-0.11114743380189629</v>
      </c>
      <c r="C27" s="32">
        <f>(Summary!D$101-CData!B36)/IF(Summary!B$101,Summary!B$101,1)/10</f>
        <v>-0.34000000000000075</v>
      </c>
      <c r="D27" s="27">
        <f>Input!E$187</f>
        <v>248</v>
      </c>
      <c r="E27" s="6"/>
    </row>
    <row r="28" spans="1:5" x14ac:dyDescent="0.2">
      <c r="A28" s="5" t="s">
        <v>97</v>
      </c>
      <c r="B28" s="31">
        <f>IF(CData!B37,Summary!D$105/CData!B37-1,"")</f>
        <v>4.0536122915985517E-2</v>
      </c>
      <c r="C28" s="32">
        <f>(Summary!D$105-CData!B37)/IF(Summary!B$105,Summary!B$105,1)/10</f>
        <v>0.12399999999999947</v>
      </c>
      <c r="D28" s="27">
        <f>Input!E$191</f>
        <v>401</v>
      </c>
      <c r="E28" s="6"/>
    </row>
    <row r="29" spans="1:5" x14ac:dyDescent="0.2">
      <c r="A29" s="5" t="s">
        <v>98</v>
      </c>
      <c r="B29" s="31">
        <f>IF(CData!B38,Summary!D$109/CData!B38-1,"")</f>
        <v>0.49950964367440331</v>
      </c>
      <c r="C29" s="32">
        <f>(Summary!D$109-CData!B38)/IF(Summary!B$109,Summary!B$109,1)/10</f>
        <v>1.5279999999999998</v>
      </c>
      <c r="D29" s="27">
        <f>Input!E$195</f>
        <v>1</v>
      </c>
      <c r="E29" s="6"/>
    </row>
    <row r="30" spans="1:5" x14ac:dyDescent="0.2">
      <c r="A30" s="5" t="s">
        <v>99</v>
      </c>
      <c r="B30" s="31" t="str">
        <f>IF(CData!B39,Summary!D$113/CData!B39-1,"")</f>
        <v/>
      </c>
      <c r="C30" s="32">
        <f>(Summary!D$113-CData!B39)/IF(Summary!B$113,Summary!B$113,1)/10</f>
        <v>0</v>
      </c>
      <c r="D30" s="27">
        <f>Input!E$199</f>
        <v>0</v>
      </c>
      <c r="E30" s="6"/>
    </row>
    <row r="31" spans="1:5" x14ac:dyDescent="0.2">
      <c r="A31" s="5" t="s">
        <v>100</v>
      </c>
      <c r="B31" s="31">
        <f>IF(CData!B40,Summary!D$117/CData!B40-1,"")</f>
        <v>5.3631723422135069E-2</v>
      </c>
      <c r="C31" s="32">
        <f>(Summary!D$117-CData!B40)/IF(Summary!B$117,Summary!B$117,1)/10</f>
        <v>0.15801997534261419</v>
      </c>
      <c r="D31" s="27">
        <f>Input!E$203</f>
        <v>23</v>
      </c>
      <c r="E31" s="6"/>
    </row>
    <row r="33" spans="1:6" ht="16.5" x14ac:dyDescent="0.25">
      <c r="A33" s="3" t="s">
        <v>1593</v>
      </c>
    </row>
    <row r="34" spans="1:6" x14ac:dyDescent="0.2">
      <c r="A34" s="10" t="s">
        <v>238</v>
      </c>
    </row>
    <row r="35" spans="1:6" x14ac:dyDescent="0.2">
      <c r="A35" s="11" t="s">
        <v>1594</v>
      </c>
    </row>
    <row r="36" spans="1:6" x14ac:dyDescent="0.2">
      <c r="A36" s="11" t="s">
        <v>1595</v>
      </c>
    </row>
    <row r="37" spans="1:6" x14ac:dyDescent="0.2">
      <c r="A37" s="11" t="s">
        <v>1596</v>
      </c>
    </row>
    <row r="38" spans="1:6" x14ac:dyDescent="0.2">
      <c r="A38" s="11" t="s">
        <v>1597</v>
      </c>
    </row>
    <row r="39" spans="1:6" x14ac:dyDescent="0.2">
      <c r="A39" s="11" t="s">
        <v>1598</v>
      </c>
    </row>
    <row r="40" spans="1:6" x14ac:dyDescent="0.2">
      <c r="A40" s="18" t="s">
        <v>241</v>
      </c>
      <c r="B40" s="18" t="s">
        <v>300</v>
      </c>
      <c r="C40" s="18" t="s">
        <v>300</v>
      </c>
      <c r="D40" s="18" t="s">
        <v>371</v>
      </c>
      <c r="E40" s="18" t="s">
        <v>371</v>
      </c>
    </row>
    <row r="41" spans="1:6" x14ac:dyDescent="0.2">
      <c r="A41" s="18" t="s">
        <v>244</v>
      </c>
      <c r="B41" s="18" t="s">
        <v>865</v>
      </c>
      <c r="C41" s="18" t="s">
        <v>303</v>
      </c>
      <c r="D41" s="18" t="s">
        <v>1599</v>
      </c>
      <c r="E41" s="18" t="s">
        <v>1600</v>
      </c>
    </row>
    <row r="43" spans="1:6" ht="38.25" x14ac:dyDescent="0.2">
      <c r="B43" s="4" t="s">
        <v>1540</v>
      </c>
      <c r="C43" s="4" t="s">
        <v>1601</v>
      </c>
      <c r="D43" s="4" t="s">
        <v>1602</v>
      </c>
      <c r="E43" s="4" t="s">
        <v>1603</v>
      </c>
    </row>
    <row r="44" spans="1:6" x14ac:dyDescent="0.2">
      <c r="A44" s="5" t="s">
        <v>53</v>
      </c>
      <c r="B44" s="8" t="str">
        <f>CData!B$87</f>
        <v>MPAN</v>
      </c>
      <c r="C44" s="29">
        <f>CData!H$144</f>
        <v>121.12826428259996</v>
      </c>
      <c r="D44" s="29">
        <f>IF(CData!B245,C44-CData!B245,"")</f>
        <v>39.426127095824015</v>
      </c>
      <c r="E44" s="29">
        <f>IF(CData!B275,C44-CData!B275,"")</f>
        <v>66.322612168614654</v>
      </c>
      <c r="F44" s="6"/>
    </row>
    <row r="45" spans="1:6" x14ac:dyDescent="0.2">
      <c r="A45" s="5" t="s">
        <v>54</v>
      </c>
      <c r="B45" s="8" t="str">
        <f>CData!B$88</f>
        <v>MPAN</v>
      </c>
      <c r="C45" s="29">
        <f>CData!H$148</f>
        <v>124.91370566872561</v>
      </c>
      <c r="D45" s="29">
        <f>IF(CData!B246,C45-CData!B246,"")</f>
        <v>40.659281646099203</v>
      </c>
      <c r="E45" s="29">
        <f>IF(CData!B276,C45-CData!B276,"")</f>
        <v>68.40274648408645</v>
      </c>
      <c r="F45" s="6"/>
    </row>
    <row r="46" spans="1:6" x14ac:dyDescent="0.2">
      <c r="A46" s="5" t="s">
        <v>94</v>
      </c>
      <c r="B46" s="8" t="str">
        <f>CData!B$89</f>
        <v>MPAN</v>
      </c>
      <c r="C46" s="29">
        <f>CData!H$152</f>
        <v>11.31886017782918</v>
      </c>
      <c r="D46" s="29">
        <f>IF(CData!B247,C46-CData!B247,"")</f>
        <v>3.6860761763325289</v>
      </c>
      <c r="E46" s="29">
        <f>IF(CData!B277,C46-CData!B277,"")</f>
        <v>6.2179264792680025</v>
      </c>
      <c r="F46" s="6"/>
    </row>
    <row r="47" spans="1:6" x14ac:dyDescent="0.2">
      <c r="A47" s="5" t="s">
        <v>55</v>
      </c>
      <c r="B47" s="8" t="str">
        <f>CData!B$90</f>
        <v>MPAN</v>
      </c>
      <c r="C47" s="29">
        <f>CData!H$156</f>
        <v>371.19980634107981</v>
      </c>
      <c r="D47" s="29">
        <f>IF(CData!B248,C47-CData!B248,"")</f>
        <v>120.79805596092356</v>
      </c>
      <c r="E47" s="29">
        <f>IF(CData!B278,C47-CData!B278,"")</f>
        <v>203.28690181449684</v>
      </c>
      <c r="F47" s="6"/>
    </row>
    <row r="48" spans="1:6" x14ac:dyDescent="0.2">
      <c r="A48" s="5" t="s">
        <v>56</v>
      </c>
      <c r="B48" s="8" t="str">
        <f>CData!B$91</f>
        <v>MPAN</v>
      </c>
      <c r="C48" s="29">
        <f>CData!H$160</f>
        <v>511.48722459155437</v>
      </c>
      <c r="D48" s="29">
        <f>IF(CData!B249,C48-CData!B249,"")</f>
        <v>166.49904191328693</v>
      </c>
      <c r="E48" s="29">
        <f>IF(CData!B279,C48-CData!B279,"")</f>
        <v>280.0431183625218</v>
      </c>
      <c r="F48" s="6"/>
    </row>
    <row r="49" spans="1:6" x14ac:dyDescent="0.2">
      <c r="A49" s="5" t="s">
        <v>95</v>
      </c>
      <c r="B49" s="8" t="str">
        <f>CData!B$92</f>
        <v>MPAN</v>
      </c>
      <c r="C49" s="29">
        <f>CData!H$164</f>
        <v>16.529272325079702</v>
      </c>
      <c r="D49" s="29">
        <f>IF(CData!B250,C49-CData!B250,"")</f>
        <v>5.3785727407005375</v>
      </c>
      <c r="E49" s="29">
        <f>IF(CData!B280,C49-CData!B280,"")</f>
        <v>9.0517443684960277</v>
      </c>
      <c r="F49" s="6"/>
    </row>
    <row r="50" spans="1:6" x14ac:dyDescent="0.2">
      <c r="A50" s="5" t="s">
        <v>57</v>
      </c>
      <c r="B50" s="8" t="str">
        <f>CData!B$93</f>
        <v>MPAN</v>
      </c>
      <c r="C50" s="29">
        <f>CData!H$168</f>
        <v>2384.1185075568892</v>
      </c>
      <c r="D50" s="29">
        <f>IF(CData!B251,C50-CData!B251,"")</f>
        <v>776.14883807469232</v>
      </c>
      <c r="E50" s="29">
        <f>IF(CData!B281,C50-CData!B281,"")</f>
        <v>1305.9610619762234</v>
      </c>
      <c r="F50" s="6"/>
    </row>
    <row r="51" spans="1:6" x14ac:dyDescent="0.2">
      <c r="A51" s="5" t="s">
        <v>59</v>
      </c>
      <c r="B51" s="8" t="str">
        <f>CData!B$96</f>
        <v>kVA</v>
      </c>
      <c r="C51" s="29">
        <f>CData!H$176</f>
        <v>40.544368778826893</v>
      </c>
      <c r="D51" s="29">
        <f>IF(CData!B252,C51-CData!B252,"")</f>
        <v>13.190361064357578</v>
      </c>
      <c r="E51" s="29">
        <f>IF(CData!B282,C51-CData!B282,"")</f>
        <v>22.187767692611526</v>
      </c>
      <c r="F51" s="6"/>
    </row>
    <row r="52" spans="1:6" x14ac:dyDescent="0.2">
      <c r="A52" s="5" t="s">
        <v>60</v>
      </c>
      <c r="B52" s="8" t="str">
        <f>CData!B$97</f>
        <v>kVA</v>
      </c>
      <c r="C52" s="29">
        <f>CData!H$180</f>
        <v>39.055754317473834</v>
      </c>
      <c r="D52" s="29" t="str">
        <f>IF(CData!B253,C52-CData!B253,"")</f>
        <v/>
      </c>
      <c r="E52" s="29">
        <f>IF(CData!B283,C52-CData!B283,"")</f>
        <v>12.084722574392813</v>
      </c>
      <c r="F52" s="6"/>
    </row>
    <row r="53" spans="1:6" x14ac:dyDescent="0.2">
      <c r="A53" s="5" t="s">
        <v>73</v>
      </c>
      <c r="B53" s="8" t="str">
        <f>CData!B$98</f>
        <v>kVA</v>
      </c>
      <c r="C53" s="29">
        <f>CData!H$183</f>
        <v>37.055417389659425</v>
      </c>
      <c r="D53" s="29" t="str">
        <f>IF(CData!B254,C53-CData!B254,"")</f>
        <v/>
      </c>
      <c r="E53" s="29">
        <f>IF(CData!B284,C53-CData!B284,"")</f>
        <v>7.1698901949128953</v>
      </c>
      <c r="F53" s="6"/>
    </row>
    <row r="54" spans="1:6" x14ac:dyDescent="0.2">
      <c r="A54" s="5" t="s">
        <v>96</v>
      </c>
      <c r="B54" s="8" t="str">
        <f>CData!B$100</f>
        <v>MWh</v>
      </c>
      <c r="C54" s="29">
        <f>CData!H$188</f>
        <v>27.189999999999998</v>
      </c>
      <c r="D54" s="29">
        <f>IF(CData!B255,C54-CData!B255,"")</f>
        <v>8.8499999999999979</v>
      </c>
      <c r="E54" s="29">
        <f>IF(CData!B285,C54-CData!B285,"")</f>
        <v>14.889999999999997</v>
      </c>
      <c r="F54" s="6"/>
    </row>
    <row r="55" spans="1:6" x14ac:dyDescent="0.2">
      <c r="A55" s="5" t="s">
        <v>97</v>
      </c>
      <c r="B55" s="8" t="str">
        <f>CData!B$101</f>
        <v>MWh</v>
      </c>
      <c r="C55" s="29">
        <f>CData!H$192</f>
        <v>31.83</v>
      </c>
      <c r="D55" s="29">
        <f>IF(CData!B256,C55-CData!B256,"")</f>
        <v>10.36</v>
      </c>
      <c r="E55" s="29">
        <f>IF(CData!B286,C55-CData!B286,"")</f>
        <v>17.439999999999998</v>
      </c>
      <c r="F55" s="6"/>
    </row>
    <row r="56" spans="1:6" x14ac:dyDescent="0.2">
      <c r="A56" s="5" t="s">
        <v>98</v>
      </c>
      <c r="B56" s="8" t="str">
        <f>CData!B$102</f>
        <v>MWh</v>
      </c>
      <c r="C56" s="29">
        <f>CData!H$196</f>
        <v>45.87</v>
      </c>
      <c r="D56" s="29">
        <f>IF(CData!B257,C56-CData!B257,"")</f>
        <v>14.93</v>
      </c>
      <c r="E56" s="29">
        <f>IF(CData!B287,C56-CData!B287,"")</f>
        <v>25.13</v>
      </c>
      <c r="F56" s="6"/>
    </row>
    <row r="57" spans="1:6" x14ac:dyDescent="0.2">
      <c r="A57" s="5" t="s">
        <v>99</v>
      </c>
      <c r="B57" s="8" t="str">
        <f>CData!B$103</f>
        <v>MWh</v>
      </c>
      <c r="C57" s="29">
        <f>CData!H$200</f>
        <v>0</v>
      </c>
      <c r="D57" s="29" t="str">
        <f>IF(CData!B258,C57-CData!B258,"")</f>
        <v/>
      </c>
      <c r="E57" s="29" t="str">
        <f>IF(CData!B288,C57-CData!B288,"")</f>
        <v/>
      </c>
      <c r="F57" s="6"/>
    </row>
    <row r="58" spans="1:6" x14ac:dyDescent="0.2">
      <c r="A58" s="5" t="s">
        <v>100</v>
      </c>
      <c r="B58" s="8" t="str">
        <f>CData!B$104</f>
        <v>MWh</v>
      </c>
      <c r="C58" s="29">
        <f>CData!H$204</f>
        <v>31.044100083244004</v>
      </c>
      <c r="D58" s="29">
        <f>IF(CData!B259,C58-CData!B259,"")</f>
        <v>10.10469164999046</v>
      </c>
      <c r="E58" s="29">
        <f>IF(CData!B289,C58-CData!B289,"")</f>
        <v>17.0012895812383</v>
      </c>
      <c r="F58" s="6"/>
    </row>
    <row r="59" spans="1:6" x14ac:dyDescent="0.2">
      <c r="A59" s="5" t="s">
        <v>61</v>
      </c>
      <c r="B59" s="8" t="str">
        <f>CData!B$105</f>
        <v>MWh</v>
      </c>
      <c r="C59" s="29">
        <f>CData!H$208</f>
        <v>-8.98</v>
      </c>
      <c r="D59" s="29">
        <f>IF(CData!B260,C59-CData!B260,"")</f>
        <v>0</v>
      </c>
      <c r="E59" s="29">
        <f>IF(CData!B290,C59-CData!B290,"")</f>
        <v>0</v>
      </c>
      <c r="F59" s="6"/>
    </row>
    <row r="60" spans="1:6" x14ac:dyDescent="0.2">
      <c r="A60" s="5" t="s">
        <v>62</v>
      </c>
      <c r="B60" s="8" t="str">
        <f>CData!B$106</f>
        <v>MWh</v>
      </c>
      <c r="C60" s="29">
        <f>CData!H$212</f>
        <v>0</v>
      </c>
      <c r="D60" s="29" t="str">
        <f>IF(CData!B261,C60-CData!B261,"")</f>
        <v/>
      </c>
      <c r="E60" s="29" t="str">
        <f>IF(CData!B291,C60-CData!B291,"")</f>
        <v/>
      </c>
      <c r="F60" s="6"/>
    </row>
    <row r="61" spans="1:6" x14ac:dyDescent="0.2">
      <c r="A61" s="5" t="s">
        <v>63</v>
      </c>
      <c r="B61" s="8" t="str">
        <f>CData!B$107</f>
        <v>MWh</v>
      </c>
      <c r="C61" s="29">
        <f>CData!H$215</f>
        <v>-8.1490794896892531</v>
      </c>
      <c r="D61" s="29">
        <f>IF(CData!B262,C61-CData!B262,"")</f>
        <v>0</v>
      </c>
      <c r="E61" s="29">
        <f>IF(CData!B292,C61-CData!B292,"")</f>
        <v>0</v>
      </c>
      <c r="F61" s="6"/>
    </row>
    <row r="62" spans="1:6" x14ac:dyDescent="0.2">
      <c r="A62" s="5" t="s">
        <v>64</v>
      </c>
      <c r="B62" s="8" t="str">
        <f>CData!B$108</f>
        <v>MWh</v>
      </c>
      <c r="C62" s="29">
        <f>CData!H$219</f>
        <v>-18.24273096610953</v>
      </c>
      <c r="D62" s="29">
        <f>IF(CData!B263,C62-CData!B263,"")</f>
        <v>0</v>
      </c>
      <c r="E62" s="29">
        <f>IF(CData!B293,C62-CData!B293,"")</f>
        <v>0</v>
      </c>
      <c r="F62" s="6"/>
    </row>
    <row r="63" spans="1:6" x14ac:dyDescent="0.2">
      <c r="A63" s="5" t="s">
        <v>65</v>
      </c>
      <c r="B63" s="8" t="str">
        <f>CData!B$109</f>
        <v>MWh</v>
      </c>
      <c r="C63" s="29">
        <f>CData!H$223</f>
        <v>-6.8942048462566818</v>
      </c>
      <c r="D63" s="29" t="str">
        <f>IF(CData!B264,C63-CData!B264,"")</f>
        <v/>
      </c>
      <c r="E63" s="29">
        <f>IF(CData!B294,C63-CData!B294,"")</f>
        <v>0</v>
      </c>
      <c r="F63" s="6"/>
    </row>
    <row r="64" spans="1:6" x14ac:dyDescent="0.2">
      <c r="A64" s="5" t="s">
        <v>66</v>
      </c>
      <c r="B64" s="8" t="str">
        <f>CData!B$110</f>
        <v>MWh</v>
      </c>
      <c r="C64" s="29">
        <f>CData!H$226</f>
        <v>-28.045893736069441</v>
      </c>
      <c r="D64" s="29" t="str">
        <f>IF(CData!B265,C64-CData!B265,"")</f>
        <v/>
      </c>
      <c r="E64" s="29">
        <f>IF(CData!B295,C64-CData!B295,"")</f>
        <v>0</v>
      </c>
      <c r="F64" s="6"/>
    </row>
    <row r="65" spans="1:6" x14ac:dyDescent="0.2">
      <c r="A65" s="5" t="s">
        <v>75</v>
      </c>
      <c r="B65" s="8" t="str">
        <f>CData!B$111</f>
        <v>MWh</v>
      </c>
      <c r="C65" s="29">
        <f>CData!H$229</f>
        <v>-4.3497702387588246</v>
      </c>
      <c r="D65" s="29" t="str">
        <f>IF(CData!B266,C65-CData!B266,"")</f>
        <v/>
      </c>
      <c r="E65" s="29">
        <f>IF(CData!B296,C65-CData!B296,"")</f>
        <v>6.727965622244092E-3</v>
      </c>
      <c r="F65" s="6"/>
    </row>
    <row r="66" spans="1:6" x14ac:dyDescent="0.2">
      <c r="A66" s="5" t="s">
        <v>76</v>
      </c>
      <c r="B66" s="8" t="str">
        <f>CData!B$112</f>
        <v>MWh</v>
      </c>
      <c r="C66" s="29">
        <f>CData!H$232</f>
        <v>-4.0634564841745009</v>
      </c>
      <c r="D66" s="29" t="str">
        <f>IF(CData!B267,C66-CData!B267,"")</f>
        <v/>
      </c>
      <c r="E66" s="29">
        <f>IF(CData!B297,C66-CData!B297,"")</f>
        <v>4.1133515421316602E-3</v>
      </c>
      <c r="F66" s="6"/>
    </row>
  </sheetData>
  <sheetProtection sheet="1" objects="1"/>
  <hyperlinks>
    <hyperlink ref="A6" location="'CData'!B23" display="'CData'!B23"/>
    <hyperlink ref="A7" location="'Summary'!D56" display="'Summary'!D56"/>
    <hyperlink ref="A8" location="'Summary'!B56" display="'Summary'!B56"/>
    <hyperlink ref="A9" location="'Input'!E142" display="'Input'!E142"/>
    <hyperlink ref="A35" location="'CData'!B87" display="'CData'!B87"/>
    <hyperlink ref="A36" location="'CData'!H143" display="'CData'!H143"/>
    <hyperlink ref="A37" location="'CData'!B245" display="'CData'!B245"/>
    <hyperlink ref="A38" location="'CTables'!C44" display="'CTables'!C44"/>
    <hyperlink ref="A39" location="'CData'!B275" display="'CData'!B275"/>
  </hyperlinks>
  <pageMargins left="0.75" right="0.75" top="1" bottom="1" header="0.5" footer="0.5"/>
  <pageSetup paperSize="9" scale="65" fitToHeight="0" orientation="portrait" r:id="rId1"/>
  <headerFooter alignWithMargins="0">
    <oddHeader>&amp;L&amp;A&amp;Cr6140&amp;R&amp;P of &amp;N</oddHeader>
    <oddFooter>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  <pageSetUpPr fitToPage="1"/>
  </sheetPr>
  <dimension ref="A1:K350"/>
  <sheetViews>
    <sheetView showGridLines="0" zoomScale="70" zoomScaleNormal="70" workbookViewId="0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2.75" x14ac:dyDescent="0.2"/>
  <cols>
    <col min="1" max="1" width="50.7109375" customWidth="1"/>
    <col min="2" max="251" width="20.7109375" customWidth="1"/>
  </cols>
  <sheetData>
    <row r="1" spans="1:7" ht="19.5" x14ac:dyDescent="0.3">
      <c r="A1" s="15" t="str">
        <f>"r6140: Input data"&amp;" for "&amp;Input!B7&amp;" in "&amp;Input!C7&amp;" ("&amp;Input!D7&amp;")"</f>
        <v>r6140: Input data for Electricity North West  in 2013/14 (April 2013 Indicative)</v>
      </c>
    </row>
    <row r="2" spans="1:7" x14ac:dyDescent="0.2">
      <c r="A2" s="10" t="s">
        <v>234</v>
      </c>
    </row>
    <row r="4" spans="1:7" ht="16.5" x14ac:dyDescent="0.25">
      <c r="A4" s="3" t="s">
        <v>0</v>
      </c>
    </row>
    <row r="6" spans="1:7" x14ac:dyDescent="0.2">
      <c r="B6" s="4" t="s">
        <v>1</v>
      </c>
      <c r="C6" s="4" t="s">
        <v>2</v>
      </c>
      <c r="D6" s="4" t="s">
        <v>3</v>
      </c>
    </row>
    <row r="7" spans="1:7" ht="28.5" x14ac:dyDescent="0.2">
      <c r="A7" s="5" t="s">
        <v>4</v>
      </c>
      <c r="B7" s="83" t="s">
        <v>1833</v>
      </c>
      <c r="C7" s="83" t="s">
        <v>1834</v>
      </c>
      <c r="D7" s="83" t="s">
        <v>1835</v>
      </c>
      <c r="E7" s="111"/>
    </row>
    <row r="9" spans="1:7" ht="16.5" x14ac:dyDescent="0.25">
      <c r="A9" s="3" t="s">
        <v>5</v>
      </c>
    </row>
    <row r="10" spans="1:7" x14ac:dyDescent="0.2">
      <c r="A10" s="10" t="s">
        <v>6</v>
      </c>
    </row>
    <row r="11" spans="1:7" x14ac:dyDescent="0.2">
      <c r="A11" s="10" t="s">
        <v>7</v>
      </c>
    </row>
    <row r="13" spans="1:7" ht="38.25" x14ac:dyDescent="0.2">
      <c r="B13" s="4" t="s">
        <v>8</v>
      </c>
      <c r="C13" s="4" t="s">
        <v>9</v>
      </c>
      <c r="D13" s="4" t="s">
        <v>10</v>
      </c>
      <c r="E13" s="4" t="s">
        <v>11</v>
      </c>
      <c r="F13" s="4" t="s">
        <v>12</v>
      </c>
    </row>
    <row r="14" spans="1:7" ht="14.25" x14ac:dyDescent="0.2">
      <c r="A14" s="5" t="s">
        <v>13</v>
      </c>
      <c r="B14" s="84">
        <v>5.6000000000000001E-2</v>
      </c>
      <c r="C14" s="85">
        <v>40</v>
      </c>
      <c r="D14" s="86">
        <v>0</v>
      </c>
      <c r="E14" s="87">
        <v>0.95</v>
      </c>
      <c r="F14" s="85">
        <v>365</v>
      </c>
      <c r="G14" s="111"/>
    </row>
    <row r="16" spans="1:7" ht="16.5" x14ac:dyDescent="0.25">
      <c r="A16" s="3" t="s">
        <v>14</v>
      </c>
    </row>
    <row r="17" spans="1:3" x14ac:dyDescent="0.2">
      <c r="A17" s="10" t="s">
        <v>15</v>
      </c>
    </row>
    <row r="18" spans="1:3" x14ac:dyDescent="0.2">
      <c r="A18" s="10" t="s">
        <v>16</v>
      </c>
    </row>
    <row r="19" spans="1:3" x14ac:dyDescent="0.2">
      <c r="A19" s="10" t="s">
        <v>17</v>
      </c>
    </row>
    <row r="20" spans="1:3" x14ac:dyDescent="0.2">
      <c r="A20" s="10" t="s">
        <v>18</v>
      </c>
    </row>
    <row r="21" spans="1:3" x14ac:dyDescent="0.2">
      <c r="A21" s="10" t="s">
        <v>19</v>
      </c>
    </row>
    <row r="23" spans="1:3" ht="51" x14ac:dyDescent="0.2">
      <c r="B23" s="4" t="s">
        <v>20</v>
      </c>
    </row>
    <row r="24" spans="1:3" ht="14.25" x14ac:dyDescent="0.2">
      <c r="A24" s="5" t="s">
        <v>21</v>
      </c>
      <c r="B24" s="84">
        <v>8.4783734729200089E-2</v>
      </c>
      <c r="C24" s="111"/>
    </row>
    <row r="25" spans="1:3" x14ac:dyDescent="0.2">
      <c r="A25" s="5" t="s">
        <v>22</v>
      </c>
      <c r="B25" s="84">
        <v>4.3081995601501721E-2</v>
      </c>
      <c r="C25" s="6"/>
    </row>
    <row r="26" spans="1:3" x14ac:dyDescent="0.2">
      <c r="A26" s="5" t="s">
        <v>23</v>
      </c>
      <c r="B26" s="88"/>
      <c r="C26" s="6"/>
    </row>
    <row r="27" spans="1:3" x14ac:dyDescent="0.2">
      <c r="A27" s="5" t="s">
        <v>24</v>
      </c>
      <c r="B27" s="84">
        <v>8.5011041300979917E-2</v>
      </c>
      <c r="C27" s="6"/>
    </row>
    <row r="28" spans="1:3" x14ac:dyDescent="0.2">
      <c r="A28" s="5" t="s">
        <v>25</v>
      </c>
      <c r="B28" s="88"/>
      <c r="C28" s="6"/>
    </row>
    <row r="29" spans="1:3" x14ac:dyDescent="0.2">
      <c r="A29" s="5" t="s">
        <v>26</v>
      </c>
      <c r="B29" s="84">
        <v>0.33411000000000002</v>
      </c>
      <c r="C29" s="6"/>
    </row>
    <row r="30" spans="1:3" x14ac:dyDescent="0.2">
      <c r="A30" s="5" t="s">
        <v>27</v>
      </c>
      <c r="B30" s="88"/>
      <c r="C30" s="6"/>
    </row>
    <row r="31" spans="1:3" x14ac:dyDescent="0.2">
      <c r="A31" s="5" t="s">
        <v>28</v>
      </c>
      <c r="B31" s="88"/>
      <c r="C31" s="6"/>
    </row>
    <row r="33" spans="1:3" ht="16.5" x14ac:dyDescent="0.25">
      <c r="A33" s="3" t="s">
        <v>29</v>
      </c>
    </row>
    <row r="35" spans="1:3" x14ac:dyDescent="0.2">
      <c r="B35" s="4" t="s">
        <v>30</v>
      </c>
    </row>
    <row r="36" spans="1:3" ht="14.25" x14ac:dyDescent="0.2">
      <c r="A36" s="5" t="s">
        <v>25</v>
      </c>
      <c r="B36" s="89">
        <v>0</v>
      </c>
      <c r="C36" s="111"/>
    </row>
    <row r="38" spans="1:3" ht="16.5" x14ac:dyDescent="0.25">
      <c r="A38" s="3" t="s">
        <v>31</v>
      </c>
    </row>
    <row r="40" spans="1:3" ht="25.5" x14ac:dyDescent="0.2">
      <c r="B40" s="4" t="s">
        <v>32</v>
      </c>
    </row>
    <row r="41" spans="1:3" ht="14.25" x14ac:dyDescent="0.2">
      <c r="A41" s="5" t="s">
        <v>32</v>
      </c>
      <c r="B41" s="90">
        <v>500</v>
      </c>
      <c r="C41" s="111"/>
    </row>
    <row r="43" spans="1:3" ht="16.5" x14ac:dyDescent="0.25">
      <c r="A43" s="3" t="s">
        <v>33</v>
      </c>
    </row>
    <row r="45" spans="1:3" ht="14.25" x14ac:dyDescent="0.2">
      <c r="B45" s="4" t="s">
        <v>34</v>
      </c>
      <c r="C45" s="111"/>
    </row>
    <row r="46" spans="1:3" x14ac:dyDescent="0.2">
      <c r="A46" s="5" t="s">
        <v>22</v>
      </c>
      <c r="B46" s="85">
        <v>42397008</v>
      </c>
      <c r="C46" s="6"/>
    </row>
    <row r="47" spans="1:3" x14ac:dyDescent="0.2">
      <c r="A47" s="5" t="s">
        <v>23</v>
      </c>
      <c r="B47" s="85">
        <v>39106356</v>
      </c>
      <c r="C47" s="6"/>
    </row>
    <row r="48" spans="1:3" x14ac:dyDescent="0.2">
      <c r="A48" s="5" t="s">
        <v>24</v>
      </c>
      <c r="B48" s="85">
        <v>59607696</v>
      </c>
      <c r="C48" s="6"/>
    </row>
    <row r="49" spans="1:10" x14ac:dyDescent="0.2">
      <c r="A49" s="5" t="s">
        <v>25</v>
      </c>
      <c r="B49" s="85">
        <v>73812370</v>
      </c>
      <c r="C49" s="6"/>
    </row>
    <row r="50" spans="1:10" x14ac:dyDescent="0.2">
      <c r="A50" s="5" t="s">
        <v>30</v>
      </c>
      <c r="B50" s="85"/>
      <c r="C50" s="6"/>
    </row>
    <row r="51" spans="1:10" x14ac:dyDescent="0.2">
      <c r="A51" s="5" t="s">
        <v>26</v>
      </c>
      <c r="B51" s="91">
        <v>107231851</v>
      </c>
      <c r="C51" s="6"/>
    </row>
    <row r="52" spans="1:10" x14ac:dyDescent="0.2">
      <c r="A52" s="5" t="s">
        <v>27</v>
      </c>
      <c r="B52" s="91">
        <v>92686127</v>
      </c>
      <c r="C52" s="6"/>
    </row>
    <row r="53" spans="1:10" x14ac:dyDescent="0.2">
      <c r="A53" s="5" t="s">
        <v>28</v>
      </c>
      <c r="B53" s="91">
        <v>55106404</v>
      </c>
      <c r="C53" s="6"/>
    </row>
    <row r="55" spans="1:10" ht="16.5" x14ac:dyDescent="0.25">
      <c r="A55" s="3" t="s">
        <v>35</v>
      </c>
    </row>
    <row r="57" spans="1:10" x14ac:dyDescent="0.2">
      <c r="B57" s="4" t="s">
        <v>36</v>
      </c>
      <c r="C57" s="4" t="s">
        <v>37</v>
      </c>
      <c r="D57" s="4" t="s">
        <v>38</v>
      </c>
      <c r="E57" s="4" t="s">
        <v>39</v>
      </c>
      <c r="F57" s="4" t="s">
        <v>40</v>
      </c>
      <c r="G57" s="4" t="s">
        <v>41</v>
      </c>
      <c r="H57" s="4" t="s">
        <v>42</v>
      </c>
      <c r="I57" s="4" t="s">
        <v>43</v>
      </c>
    </row>
    <row r="58" spans="1:10" ht="14.25" x14ac:dyDescent="0.2">
      <c r="A58" s="5" t="s">
        <v>44</v>
      </c>
      <c r="B58" s="91">
        <v>9108</v>
      </c>
      <c r="C58" s="85">
        <v>455</v>
      </c>
      <c r="D58" s="85">
        <v>2089</v>
      </c>
      <c r="E58" s="85">
        <v>6118</v>
      </c>
      <c r="F58" s="85">
        <v>242</v>
      </c>
      <c r="G58" s="85"/>
      <c r="H58" s="85">
        <v>0</v>
      </c>
      <c r="I58" s="85">
        <v>0</v>
      </c>
      <c r="J58" s="111"/>
    </row>
    <row r="60" spans="1:10" ht="16.5" x14ac:dyDescent="0.25">
      <c r="A60" s="3" t="s">
        <v>45</v>
      </c>
    </row>
    <row r="62" spans="1:10" x14ac:dyDescent="0.2">
      <c r="B62" s="4" t="s">
        <v>46</v>
      </c>
      <c r="C62" s="4" t="s">
        <v>47</v>
      </c>
      <c r="D62" s="4" t="s">
        <v>48</v>
      </c>
      <c r="E62" s="4" t="s">
        <v>49</v>
      </c>
      <c r="F62" s="4" t="s">
        <v>50</v>
      </c>
    </row>
    <row r="63" spans="1:10" ht="14.25" x14ac:dyDescent="0.2">
      <c r="A63" s="5" t="s">
        <v>51</v>
      </c>
      <c r="B63" s="91">
        <v>23578</v>
      </c>
      <c r="C63" s="85">
        <v>17965</v>
      </c>
      <c r="D63" s="85">
        <v>1114</v>
      </c>
      <c r="E63" s="85">
        <v>0</v>
      </c>
      <c r="F63" s="85">
        <v>0</v>
      </c>
      <c r="G63" s="111"/>
    </row>
    <row r="65" spans="1:10" ht="16.5" x14ac:dyDescent="0.25">
      <c r="A65" s="3" t="s">
        <v>52</v>
      </c>
    </row>
    <row r="67" spans="1:10" x14ac:dyDescent="0.2">
      <c r="B67" s="4" t="s">
        <v>36</v>
      </c>
      <c r="C67" s="4" t="s">
        <v>37</v>
      </c>
      <c r="D67" s="4" t="s">
        <v>38</v>
      </c>
      <c r="E67" s="4" t="s">
        <v>39</v>
      </c>
      <c r="F67" s="4" t="s">
        <v>40</v>
      </c>
      <c r="G67" s="4" t="s">
        <v>41</v>
      </c>
      <c r="H67" s="4" t="s">
        <v>42</v>
      </c>
      <c r="I67" s="4" t="s">
        <v>43</v>
      </c>
    </row>
    <row r="68" spans="1:10" ht="14.25" x14ac:dyDescent="0.2">
      <c r="A68" s="5" t="s">
        <v>53</v>
      </c>
      <c r="B68" s="89">
        <v>0.05</v>
      </c>
      <c r="C68" s="89">
        <v>0</v>
      </c>
      <c r="D68" s="89">
        <v>0</v>
      </c>
      <c r="E68" s="89">
        <v>0</v>
      </c>
      <c r="F68" s="89"/>
      <c r="G68" s="89"/>
      <c r="H68" s="89">
        <v>0</v>
      </c>
      <c r="I68" s="89">
        <v>0</v>
      </c>
      <c r="J68" s="111"/>
    </row>
    <row r="69" spans="1:10" x14ac:dyDescent="0.2">
      <c r="A69" s="5" t="s">
        <v>54</v>
      </c>
      <c r="B69" s="89">
        <v>0.05</v>
      </c>
      <c r="C69" s="89">
        <v>0</v>
      </c>
      <c r="D69" s="89">
        <v>0</v>
      </c>
      <c r="E69" s="89">
        <v>0</v>
      </c>
      <c r="F69" s="89"/>
      <c r="G69" s="89"/>
      <c r="H69" s="89">
        <v>0</v>
      </c>
      <c r="I69" s="89">
        <v>0</v>
      </c>
      <c r="J69" s="6"/>
    </row>
    <row r="70" spans="1:10" x14ac:dyDescent="0.2">
      <c r="A70" s="5" t="s">
        <v>55</v>
      </c>
      <c r="B70" s="89">
        <v>0</v>
      </c>
      <c r="C70" s="89">
        <v>1</v>
      </c>
      <c r="D70" s="89">
        <v>0</v>
      </c>
      <c r="E70" s="89">
        <v>0</v>
      </c>
      <c r="F70" s="89"/>
      <c r="G70" s="89"/>
      <c r="H70" s="89">
        <v>0</v>
      </c>
      <c r="I70" s="89">
        <v>0</v>
      </c>
      <c r="J70" s="6"/>
    </row>
    <row r="71" spans="1:10" x14ac:dyDescent="0.2">
      <c r="A71" s="5" t="s">
        <v>56</v>
      </c>
      <c r="B71" s="89">
        <v>0</v>
      </c>
      <c r="C71" s="89">
        <v>1</v>
      </c>
      <c r="D71" s="89">
        <v>0</v>
      </c>
      <c r="E71" s="89">
        <v>0</v>
      </c>
      <c r="F71" s="89"/>
      <c r="G71" s="89"/>
      <c r="H71" s="89">
        <v>0</v>
      </c>
      <c r="I71" s="89">
        <v>0</v>
      </c>
      <c r="J71" s="6"/>
    </row>
    <row r="72" spans="1:10" x14ac:dyDescent="0.2">
      <c r="A72" s="5" t="s">
        <v>57</v>
      </c>
      <c r="B72" s="89"/>
      <c r="C72" s="89">
        <v>0.14133507284192215</v>
      </c>
      <c r="D72" s="89">
        <v>0.85866492715807785</v>
      </c>
      <c r="E72" s="89">
        <v>0</v>
      </c>
      <c r="F72" s="89"/>
      <c r="G72" s="89"/>
      <c r="H72" s="89">
        <v>0</v>
      </c>
      <c r="I72" s="89">
        <v>0</v>
      </c>
      <c r="J72" s="6"/>
    </row>
    <row r="73" spans="1:10" x14ac:dyDescent="0.2">
      <c r="A73" s="5" t="s">
        <v>58</v>
      </c>
      <c r="B73" s="89">
        <v>0</v>
      </c>
      <c r="C73" s="89"/>
      <c r="D73" s="89"/>
      <c r="E73" s="89">
        <v>1</v>
      </c>
      <c r="F73" s="89"/>
      <c r="G73" s="89"/>
      <c r="H73" s="89">
        <v>0</v>
      </c>
      <c r="I73" s="89">
        <v>0</v>
      </c>
      <c r="J73" s="6"/>
    </row>
    <row r="74" spans="1:10" x14ac:dyDescent="0.2">
      <c r="A74" s="5" t="s">
        <v>59</v>
      </c>
      <c r="B74" s="89">
        <v>0</v>
      </c>
      <c r="C74" s="89"/>
      <c r="D74" s="89">
        <v>1</v>
      </c>
      <c r="E74" s="89">
        <v>0</v>
      </c>
      <c r="F74" s="89"/>
      <c r="G74" s="89"/>
      <c r="H74" s="89">
        <v>0</v>
      </c>
      <c r="I74" s="89">
        <v>0</v>
      </c>
      <c r="J74" s="6"/>
    </row>
    <row r="75" spans="1:10" x14ac:dyDescent="0.2">
      <c r="A75" s="5" t="s">
        <v>60</v>
      </c>
      <c r="B75" s="89">
        <v>0</v>
      </c>
      <c r="C75" s="89"/>
      <c r="D75" s="89"/>
      <c r="E75" s="89">
        <v>1</v>
      </c>
      <c r="F75" s="89"/>
      <c r="G75" s="89"/>
      <c r="H75" s="89">
        <v>0</v>
      </c>
      <c r="I75" s="89">
        <v>0</v>
      </c>
      <c r="J75" s="6"/>
    </row>
    <row r="76" spans="1:10" x14ac:dyDescent="0.2">
      <c r="A76" s="5" t="s">
        <v>61</v>
      </c>
      <c r="B76" s="89">
        <v>0</v>
      </c>
      <c r="C76" s="89">
        <v>0</v>
      </c>
      <c r="D76" s="89">
        <v>0</v>
      </c>
      <c r="E76" s="89"/>
      <c r="F76" s="89"/>
      <c r="G76" s="89"/>
      <c r="H76" s="89">
        <v>0</v>
      </c>
      <c r="I76" s="89">
        <v>0</v>
      </c>
      <c r="J76" s="6"/>
    </row>
    <row r="77" spans="1:10" x14ac:dyDescent="0.2">
      <c r="A77" s="5" t="s">
        <v>62</v>
      </c>
      <c r="B77" s="89">
        <v>0</v>
      </c>
      <c r="C77" s="89">
        <v>0</v>
      </c>
      <c r="D77" s="89">
        <v>0</v>
      </c>
      <c r="E77" s="89"/>
      <c r="F77" s="89"/>
      <c r="G77" s="89"/>
      <c r="H77" s="89">
        <v>0</v>
      </c>
      <c r="I77" s="89">
        <v>0</v>
      </c>
      <c r="J77" s="6"/>
    </row>
    <row r="78" spans="1:10" x14ac:dyDescent="0.2">
      <c r="A78" s="5" t="s">
        <v>63</v>
      </c>
      <c r="B78" s="89">
        <v>0</v>
      </c>
      <c r="C78" s="89">
        <v>0</v>
      </c>
      <c r="D78" s="89">
        <v>0</v>
      </c>
      <c r="E78" s="89"/>
      <c r="F78" s="89"/>
      <c r="G78" s="89"/>
      <c r="H78" s="89">
        <v>0</v>
      </c>
      <c r="I78" s="89">
        <v>0</v>
      </c>
      <c r="J78" s="6"/>
    </row>
    <row r="79" spans="1:10" x14ac:dyDescent="0.2">
      <c r="A79" s="5" t="s">
        <v>64</v>
      </c>
      <c r="B79" s="89"/>
      <c r="C79" s="89"/>
      <c r="D79" s="89"/>
      <c r="E79" s="89"/>
      <c r="F79" s="89"/>
      <c r="G79" s="89"/>
      <c r="H79" s="89"/>
      <c r="I79" s="89"/>
      <c r="J79" s="6"/>
    </row>
    <row r="80" spans="1:10" x14ac:dyDescent="0.2">
      <c r="A80" s="5" t="s">
        <v>65</v>
      </c>
      <c r="B80" s="89"/>
      <c r="C80" s="89"/>
      <c r="D80" s="89"/>
      <c r="E80" s="89"/>
      <c r="F80" s="89"/>
      <c r="G80" s="89"/>
      <c r="H80" s="89"/>
      <c r="I80" s="89"/>
      <c r="J80" s="6"/>
    </row>
    <row r="81" spans="1:10" x14ac:dyDescent="0.2">
      <c r="A81" s="5" t="s">
        <v>66</v>
      </c>
      <c r="B81" s="89">
        <v>0</v>
      </c>
      <c r="C81" s="89">
        <v>0</v>
      </c>
      <c r="D81" s="89">
        <v>0</v>
      </c>
      <c r="E81" s="89">
        <v>0</v>
      </c>
      <c r="F81" s="89">
        <v>0</v>
      </c>
      <c r="G81" s="89">
        <v>0</v>
      </c>
      <c r="H81" s="89">
        <v>0</v>
      </c>
      <c r="I81" s="89">
        <v>0</v>
      </c>
      <c r="J81" s="6"/>
    </row>
    <row r="83" spans="1:10" ht="16.5" x14ac:dyDescent="0.25">
      <c r="A83" s="3" t="s">
        <v>67</v>
      </c>
    </row>
    <row r="84" spans="1:10" x14ac:dyDescent="0.2">
      <c r="A84" s="10" t="s">
        <v>68</v>
      </c>
    </row>
    <row r="85" spans="1:10" x14ac:dyDescent="0.2">
      <c r="A85" s="10" t="s">
        <v>69</v>
      </c>
    </row>
    <row r="87" spans="1:10" x14ac:dyDescent="0.2">
      <c r="B87" s="4" t="s">
        <v>36</v>
      </c>
      <c r="C87" s="4" t="s">
        <v>37</v>
      </c>
      <c r="D87" s="4" t="s">
        <v>38</v>
      </c>
      <c r="E87" s="4" t="s">
        <v>39</v>
      </c>
      <c r="F87" s="4" t="s">
        <v>40</v>
      </c>
      <c r="G87" s="4" t="s">
        <v>41</v>
      </c>
      <c r="H87" s="4" t="s">
        <v>42</v>
      </c>
      <c r="I87" s="4" t="s">
        <v>43</v>
      </c>
    </row>
    <row r="88" spans="1:10" ht="14.25" x14ac:dyDescent="0.2">
      <c r="A88" s="5" t="s">
        <v>70</v>
      </c>
      <c r="B88" s="87">
        <v>0</v>
      </c>
      <c r="C88" s="87">
        <v>0</v>
      </c>
      <c r="D88" s="87">
        <v>0</v>
      </c>
      <c r="E88" s="87">
        <v>0</v>
      </c>
      <c r="F88" s="87">
        <v>2.8740000000000001</v>
      </c>
      <c r="G88" s="87"/>
      <c r="H88" s="87">
        <v>0</v>
      </c>
      <c r="I88" s="87">
        <v>0</v>
      </c>
      <c r="J88" s="111"/>
    </row>
    <row r="90" spans="1:10" ht="16.5" x14ac:dyDescent="0.25">
      <c r="A90" s="3" t="s">
        <v>71</v>
      </c>
    </row>
    <row r="92" spans="1:10" x14ac:dyDescent="0.2">
      <c r="B92" s="4" t="s">
        <v>46</v>
      </c>
      <c r="C92" s="4" t="s">
        <v>47</v>
      </c>
      <c r="D92" s="4" t="s">
        <v>48</v>
      </c>
      <c r="E92" s="4" t="s">
        <v>49</v>
      </c>
      <c r="F92" s="4" t="s">
        <v>50</v>
      </c>
    </row>
    <row r="93" spans="1:10" ht="14.25" x14ac:dyDescent="0.2">
      <c r="A93" s="5" t="s">
        <v>72</v>
      </c>
      <c r="B93" s="89"/>
      <c r="C93" s="89">
        <v>1</v>
      </c>
      <c r="D93" s="89">
        <v>0</v>
      </c>
      <c r="E93" s="89">
        <v>0</v>
      </c>
      <c r="F93" s="89">
        <v>0</v>
      </c>
      <c r="G93" s="111"/>
    </row>
    <row r="94" spans="1:10" x14ac:dyDescent="0.2">
      <c r="A94" s="5" t="s">
        <v>73</v>
      </c>
      <c r="B94" s="89"/>
      <c r="C94" s="89">
        <v>1</v>
      </c>
      <c r="D94" s="89">
        <v>0</v>
      </c>
      <c r="E94" s="89">
        <v>0</v>
      </c>
      <c r="F94" s="89">
        <v>0</v>
      </c>
      <c r="G94" s="6"/>
    </row>
    <row r="95" spans="1:10" x14ac:dyDescent="0.2">
      <c r="A95" s="5" t="s">
        <v>74</v>
      </c>
      <c r="B95" s="89">
        <v>1</v>
      </c>
      <c r="C95" s="89"/>
      <c r="D95" s="89">
        <v>0</v>
      </c>
      <c r="E95" s="89">
        <v>0</v>
      </c>
      <c r="F95" s="89">
        <v>0</v>
      </c>
      <c r="G95" s="6"/>
    </row>
    <row r="96" spans="1:10" x14ac:dyDescent="0.2">
      <c r="A96" s="5" t="s">
        <v>75</v>
      </c>
      <c r="B96" s="89">
        <v>0</v>
      </c>
      <c r="C96" s="89">
        <v>0</v>
      </c>
      <c r="D96" s="89">
        <v>1</v>
      </c>
      <c r="E96" s="89">
        <v>0</v>
      </c>
      <c r="F96" s="89">
        <v>0</v>
      </c>
      <c r="G96" s="6"/>
    </row>
    <row r="97" spans="1:9" x14ac:dyDescent="0.2">
      <c r="A97" s="5" t="s">
        <v>76</v>
      </c>
      <c r="B97" s="89">
        <v>0</v>
      </c>
      <c r="C97" s="89">
        <v>0</v>
      </c>
      <c r="D97" s="89">
        <v>1</v>
      </c>
      <c r="E97" s="89">
        <v>0</v>
      </c>
      <c r="F97" s="89">
        <v>0</v>
      </c>
      <c r="G97" s="6"/>
    </row>
    <row r="98" spans="1:9" x14ac:dyDescent="0.2">
      <c r="A98" s="5" t="s">
        <v>77</v>
      </c>
      <c r="B98" s="89"/>
      <c r="C98" s="89"/>
      <c r="D98" s="89">
        <v>1</v>
      </c>
      <c r="E98" s="89"/>
      <c r="F98" s="89"/>
      <c r="G98" s="6"/>
    </row>
    <row r="99" spans="1:9" x14ac:dyDescent="0.2">
      <c r="A99" s="5" t="s">
        <v>78</v>
      </c>
      <c r="B99" s="89"/>
      <c r="C99" s="89"/>
      <c r="D99" s="89">
        <v>1</v>
      </c>
      <c r="E99" s="89"/>
      <c r="F99" s="89"/>
      <c r="G99" s="6"/>
    </row>
    <row r="101" spans="1:9" ht="16.5" x14ac:dyDescent="0.25">
      <c r="A101" s="3" t="s">
        <v>79</v>
      </c>
    </row>
    <row r="102" spans="1:9" x14ac:dyDescent="0.2">
      <c r="A102" s="10" t="s">
        <v>80</v>
      </c>
    </row>
    <row r="104" spans="1:9" x14ac:dyDescent="0.2">
      <c r="B104" s="4" t="s">
        <v>22</v>
      </c>
      <c r="C104" s="4" t="s">
        <v>23</v>
      </c>
      <c r="D104" s="4" t="s">
        <v>24</v>
      </c>
      <c r="E104" s="4" t="s">
        <v>25</v>
      </c>
      <c r="F104" s="4" t="s">
        <v>26</v>
      </c>
      <c r="G104" s="4" t="s">
        <v>27</v>
      </c>
      <c r="H104" s="4" t="s">
        <v>28</v>
      </c>
    </row>
    <row r="105" spans="1:9" ht="14.25" x14ac:dyDescent="0.2">
      <c r="A105" s="5" t="s">
        <v>81</v>
      </c>
      <c r="B105" s="92">
        <v>1.01</v>
      </c>
      <c r="C105" s="92">
        <v>1.0149999999999999</v>
      </c>
      <c r="D105" s="92">
        <v>1.0209999999999999</v>
      </c>
      <c r="E105" s="92">
        <v>1.0269999999999999</v>
      </c>
      <c r="F105" s="92">
        <v>1.0389999999999999</v>
      </c>
      <c r="G105" s="92">
        <v>1.052</v>
      </c>
      <c r="H105" s="92">
        <v>1.1020000000000001</v>
      </c>
      <c r="I105" s="111"/>
    </row>
    <row r="107" spans="1:9" ht="16.5" x14ac:dyDescent="0.25">
      <c r="A107" s="3" t="s">
        <v>82</v>
      </c>
    </row>
    <row r="108" spans="1:9" x14ac:dyDescent="0.2">
      <c r="A108" s="10" t="s">
        <v>83</v>
      </c>
    </row>
    <row r="110" spans="1:9" ht="25.5" x14ac:dyDescent="0.2">
      <c r="B110" s="4" t="s">
        <v>84</v>
      </c>
      <c r="C110" s="4" t="s">
        <v>85</v>
      </c>
      <c r="D110" s="4" t="s">
        <v>86</v>
      </c>
      <c r="E110" s="4" t="s">
        <v>87</v>
      </c>
      <c r="F110" s="4" t="s">
        <v>88</v>
      </c>
    </row>
    <row r="111" spans="1:9" ht="14.25" x14ac:dyDescent="0.2">
      <c r="A111" s="5" t="s">
        <v>89</v>
      </c>
      <c r="B111" s="88"/>
      <c r="C111" s="89">
        <v>0.32548614019019362</v>
      </c>
      <c r="D111" s="89">
        <v>0.5477577362844599</v>
      </c>
      <c r="E111" s="89">
        <v>0.30947311684265033</v>
      </c>
      <c r="F111" s="89">
        <v>0.19320657979543002</v>
      </c>
      <c r="G111" s="111"/>
    </row>
    <row r="113" spans="1:4" ht="16.5" x14ac:dyDescent="0.25">
      <c r="A113" s="3" t="s">
        <v>90</v>
      </c>
    </row>
    <row r="114" spans="1:4" x14ac:dyDescent="0.2">
      <c r="A114" s="10" t="s">
        <v>91</v>
      </c>
    </row>
    <row r="116" spans="1:4" x14ac:dyDescent="0.2">
      <c r="B116" s="4" t="s">
        <v>92</v>
      </c>
      <c r="C116" s="4" t="s">
        <v>93</v>
      </c>
    </row>
    <row r="117" spans="1:4" ht="14.25" x14ac:dyDescent="0.2">
      <c r="A117" s="5" t="s">
        <v>53</v>
      </c>
      <c r="B117" s="87">
        <v>0.90795510769860233</v>
      </c>
      <c r="C117" s="87">
        <v>0.41564444518241378</v>
      </c>
      <c r="D117" s="111"/>
    </row>
    <row r="118" spans="1:4" x14ac:dyDescent="0.2">
      <c r="A118" s="5" t="s">
        <v>54</v>
      </c>
      <c r="B118" s="87">
        <v>0.30344531798166591</v>
      </c>
      <c r="C118" s="87">
        <v>0.2180675977243661</v>
      </c>
      <c r="D118" s="6"/>
    </row>
    <row r="119" spans="1:4" x14ac:dyDescent="0.2">
      <c r="A119" s="5" t="s">
        <v>94</v>
      </c>
      <c r="B119" s="88"/>
      <c r="C119" s="87">
        <v>0.14767227102482347</v>
      </c>
      <c r="D119" s="6"/>
    </row>
    <row r="120" spans="1:4" x14ac:dyDescent="0.2">
      <c r="A120" s="5" t="s">
        <v>55</v>
      </c>
      <c r="B120" s="87">
        <v>0.64968442372856339</v>
      </c>
      <c r="C120" s="87">
        <v>0.35600943677917285</v>
      </c>
      <c r="D120" s="6"/>
    </row>
    <row r="121" spans="1:4" x14ac:dyDescent="0.2">
      <c r="A121" s="5" t="s">
        <v>56</v>
      </c>
      <c r="B121" s="87">
        <v>0.68782875425857626</v>
      </c>
      <c r="C121" s="87">
        <v>0.49387842362469964</v>
      </c>
      <c r="D121" s="6"/>
    </row>
    <row r="122" spans="1:4" x14ac:dyDescent="0.2">
      <c r="A122" s="5" t="s">
        <v>95</v>
      </c>
      <c r="B122" s="88"/>
      <c r="C122" s="87">
        <v>0.14845688136048796</v>
      </c>
      <c r="D122" s="6"/>
    </row>
    <row r="123" spans="1:4" x14ac:dyDescent="0.2">
      <c r="A123" s="5" t="s">
        <v>57</v>
      </c>
      <c r="B123" s="87">
        <v>0.80216729942661791</v>
      </c>
      <c r="C123" s="87">
        <v>0.53025574850369839</v>
      </c>
      <c r="D123" s="6"/>
    </row>
    <row r="124" spans="1:4" x14ac:dyDescent="0.2">
      <c r="A124" s="5" t="s">
        <v>58</v>
      </c>
      <c r="B124" s="87">
        <v>0.78051671658890165</v>
      </c>
      <c r="C124" s="87">
        <v>0.52208905525916149</v>
      </c>
      <c r="D124" s="6"/>
    </row>
    <row r="125" spans="1:4" x14ac:dyDescent="0.2">
      <c r="A125" s="5" t="s">
        <v>72</v>
      </c>
      <c r="B125" s="87">
        <v>0.63472008699108917</v>
      </c>
      <c r="C125" s="87">
        <v>0.41215062455333928</v>
      </c>
      <c r="D125" s="6"/>
    </row>
    <row r="126" spans="1:4" x14ac:dyDescent="0.2">
      <c r="A126" s="5" t="s">
        <v>59</v>
      </c>
      <c r="B126" s="87">
        <v>0.58710236184029496</v>
      </c>
      <c r="C126" s="87">
        <v>0.50298742394330564</v>
      </c>
      <c r="D126" s="6"/>
    </row>
    <row r="127" spans="1:4" x14ac:dyDescent="0.2">
      <c r="A127" s="5" t="s">
        <v>60</v>
      </c>
      <c r="B127" s="87">
        <v>0.66800165468366046</v>
      </c>
      <c r="C127" s="87">
        <v>0.49998715370842656</v>
      </c>
      <c r="D127" s="6"/>
    </row>
    <row r="128" spans="1:4" x14ac:dyDescent="0.2">
      <c r="A128" s="5" t="s">
        <v>73</v>
      </c>
      <c r="B128" s="87">
        <v>0.79758825504949493</v>
      </c>
      <c r="C128" s="87">
        <v>0.67090208765507298</v>
      </c>
      <c r="D128" s="6"/>
    </row>
    <row r="129" spans="1:8" x14ac:dyDescent="0.2">
      <c r="A129" s="5" t="s">
        <v>74</v>
      </c>
      <c r="B129" s="92">
        <v>0.79758825504949493</v>
      </c>
      <c r="C129" s="92">
        <v>0.67090208765507298</v>
      </c>
      <c r="D129" s="6"/>
    </row>
    <row r="130" spans="1:8" ht="14.25" x14ac:dyDescent="0.2">
      <c r="A130" s="5" t="s">
        <v>96</v>
      </c>
      <c r="B130" s="97">
        <v>1</v>
      </c>
      <c r="C130" s="97">
        <v>1</v>
      </c>
      <c r="D130" s="111"/>
    </row>
    <row r="131" spans="1:8" ht="14.25" x14ac:dyDescent="0.2">
      <c r="A131" s="5" t="s">
        <v>97</v>
      </c>
      <c r="B131" s="97">
        <v>1</v>
      </c>
      <c r="C131" s="97">
        <v>0.47433663242009205</v>
      </c>
      <c r="D131" s="111"/>
    </row>
    <row r="132" spans="1:8" ht="14.25" x14ac:dyDescent="0.2">
      <c r="A132" s="5" t="s">
        <v>98</v>
      </c>
      <c r="B132" s="97">
        <v>1</v>
      </c>
      <c r="C132" s="97">
        <v>0.25802015981735177</v>
      </c>
      <c r="D132" s="111"/>
    </row>
    <row r="133" spans="1:8" ht="14.25" x14ac:dyDescent="0.2">
      <c r="A133" s="5" t="s">
        <v>99</v>
      </c>
      <c r="B133" s="97">
        <v>0</v>
      </c>
      <c r="C133" s="97">
        <v>0.55379487442922315</v>
      </c>
      <c r="D133" s="111"/>
    </row>
    <row r="134" spans="1:8" x14ac:dyDescent="0.2">
      <c r="A134" s="5" t="s">
        <v>100</v>
      </c>
      <c r="B134" s="106">
        <v>0.78479194236750105</v>
      </c>
      <c r="C134" s="106">
        <v>0.49633031466118399</v>
      </c>
      <c r="D134" s="105"/>
    </row>
    <row r="136" spans="1:8" ht="16.5" x14ac:dyDescent="0.25">
      <c r="A136" s="3" t="s">
        <v>101</v>
      </c>
    </row>
    <row r="137" spans="1:8" x14ac:dyDescent="0.2">
      <c r="A137" s="10" t="s">
        <v>102</v>
      </c>
    </row>
    <row r="138" spans="1:8" x14ac:dyDescent="0.2">
      <c r="A138" s="10" t="s">
        <v>103</v>
      </c>
    </row>
    <row r="139" spans="1:8" x14ac:dyDescent="0.2">
      <c r="A139" s="10" t="s">
        <v>104</v>
      </c>
    </row>
    <row r="141" spans="1:8" ht="25.5" x14ac:dyDescent="0.2">
      <c r="B141" s="4" t="s">
        <v>105</v>
      </c>
      <c r="C141" s="4" t="s">
        <v>106</v>
      </c>
      <c r="D141" s="4" t="s">
        <v>107</v>
      </c>
      <c r="E141" s="4" t="s">
        <v>108</v>
      </c>
      <c r="F141" s="4" t="s">
        <v>109</v>
      </c>
      <c r="G141" s="4" t="s">
        <v>110</v>
      </c>
    </row>
    <row r="142" spans="1:8" ht="14.25" x14ac:dyDescent="0.2">
      <c r="A142" s="12" t="s">
        <v>111</v>
      </c>
      <c r="B142" s="13"/>
      <c r="C142" s="13"/>
      <c r="D142" s="13"/>
      <c r="E142" s="13"/>
      <c r="F142" s="13"/>
      <c r="G142" s="13"/>
      <c r="H142" s="111"/>
    </row>
    <row r="143" spans="1:8" x14ac:dyDescent="0.2">
      <c r="A143" s="5" t="s">
        <v>53</v>
      </c>
      <c r="B143" s="97">
        <v>7399575.6676649665</v>
      </c>
      <c r="C143" s="98"/>
      <c r="D143" s="98"/>
      <c r="E143" s="99">
        <v>1966268.3959221658</v>
      </c>
      <c r="F143" s="98"/>
      <c r="G143" s="98"/>
      <c r="H143" s="6"/>
    </row>
    <row r="144" spans="1:8" x14ac:dyDescent="0.2">
      <c r="A144" s="5" t="s">
        <v>112</v>
      </c>
      <c r="B144" s="97">
        <v>26689.582930579902</v>
      </c>
      <c r="C144" s="98"/>
      <c r="D144" s="98"/>
      <c r="E144" s="99">
        <v>9397.7910538748765</v>
      </c>
      <c r="F144" s="98"/>
      <c r="G144" s="98"/>
      <c r="H144" s="6"/>
    </row>
    <row r="145" spans="1:8" x14ac:dyDescent="0.2">
      <c r="A145" s="5" t="s">
        <v>113</v>
      </c>
      <c r="B145" s="97">
        <v>15619.829070486929</v>
      </c>
      <c r="C145" s="98"/>
      <c r="D145" s="98"/>
      <c r="E145" s="99">
        <v>5268.2942924636136</v>
      </c>
      <c r="F145" s="98"/>
      <c r="G145" s="98"/>
      <c r="H145" s="6"/>
    </row>
    <row r="146" spans="1:8" x14ac:dyDescent="0.2">
      <c r="A146" s="12" t="s">
        <v>114</v>
      </c>
      <c r="B146" s="13"/>
      <c r="C146" s="13"/>
      <c r="D146" s="13"/>
      <c r="E146" s="13"/>
      <c r="F146" s="13"/>
      <c r="G146" s="13"/>
      <c r="H146" s="6"/>
    </row>
    <row r="147" spans="1:8" x14ac:dyDescent="0.2">
      <c r="A147" s="5" t="s">
        <v>54</v>
      </c>
      <c r="B147" s="97">
        <v>672421.39150304359</v>
      </c>
      <c r="C147" s="97">
        <v>550720.33864968794</v>
      </c>
      <c r="D147" s="98"/>
      <c r="E147" s="99">
        <v>193198.50471492525</v>
      </c>
      <c r="F147" s="98"/>
      <c r="G147" s="98"/>
      <c r="H147" s="6"/>
    </row>
    <row r="148" spans="1:8" x14ac:dyDescent="0.2">
      <c r="A148" s="5" t="s">
        <v>115</v>
      </c>
      <c r="B148" s="97">
        <v>205.20163087708605</v>
      </c>
      <c r="C148" s="97">
        <v>90.060441667301689</v>
      </c>
      <c r="D148" s="98"/>
      <c r="E148" s="99">
        <v>101.67835098681704</v>
      </c>
      <c r="F148" s="98"/>
      <c r="G148" s="98"/>
      <c r="H148" s="6"/>
    </row>
    <row r="149" spans="1:8" x14ac:dyDescent="0.2">
      <c r="A149" s="5" t="s">
        <v>116</v>
      </c>
      <c r="B149" s="97">
        <v>1719.0919989331705</v>
      </c>
      <c r="C149" s="97">
        <v>977.93535106301908</v>
      </c>
      <c r="D149" s="98"/>
      <c r="E149" s="99">
        <v>692.76849805684674</v>
      </c>
      <c r="F149" s="98"/>
      <c r="G149" s="98"/>
      <c r="H149" s="6"/>
    </row>
    <row r="150" spans="1:8" x14ac:dyDescent="0.2">
      <c r="A150" s="12" t="s">
        <v>117</v>
      </c>
      <c r="B150" s="13"/>
      <c r="C150" s="13"/>
      <c r="D150" s="13"/>
      <c r="E150" s="13"/>
      <c r="F150" s="13"/>
      <c r="G150" s="13"/>
      <c r="H150" s="6"/>
    </row>
    <row r="151" spans="1:8" x14ac:dyDescent="0.2">
      <c r="A151" s="5" t="s">
        <v>94</v>
      </c>
      <c r="B151" s="97">
        <v>29089.73821783829</v>
      </c>
      <c r="C151" s="98"/>
      <c r="D151" s="98"/>
      <c r="E151" s="99">
        <v>7812.8718610241485</v>
      </c>
      <c r="F151" s="98"/>
      <c r="G151" s="98"/>
      <c r="H151" s="6"/>
    </row>
    <row r="152" spans="1:8" x14ac:dyDescent="0.2">
      <c r="A152" s="5" t="s">
        <v>118</v>
      </c>
      <c r="B152" s="97">
        <v>0</v>
      </c>
      <c r="C152" s="98"/>
      <c r="D152" s="98"/>
      <c r="E152" s="99">
        <v>0</v>
      </c>
      <c r="F152" s="98"/>
      <c r="G152" s="98"/>
      <c r="H152" s="6"/>
    </row>
    <row r="153" spans="1:8" x14ac:dyDescent="0.2">
      <c r="A153" s="5" t="s">
        <v>119</v>
      </c>
      <c r="B153" s="97">
        <v>0</v>
      </c>
      <c r="C153" s="98"/>
      <c r="D153" s="98"/>
      <c r="E153" s="99">
        <v>0</v>
      </c>
      <c r="F153" s="98"/>
      <c r="G153" s="98"/>
      <c r="H153" s="6"/>
    </row>
    <row r="154" spans="1:8" x14ac:dyDescent="0.2">
      <c r="A154" s="12" t="s">
        <v>120</v>
      </c>
      <c r="B154" s="13"/>
      <c r="C154" s="13"/>
      <c r="D154" s="13"/>
      <c r="E154" s="13"/>
      <c r="F154" s="13"/>
      <c r="G154" s="13"/>
      <c r="H154" s="6"/>
    </row>
    <row r="155" spans="1:8" x14ac:dyDescent="0.2">
      <c r="A155" s="5" t="s">
        <v>55</v>
      </c>
      <c r="B155" s="97">
        <v>1773367.1718367361</v>
      </c>
      <c r="C155" s="98"/>
      <c r="D155" s="98"/>
      <c r="E155" s="99">
        <v>119240.62499606305</v>
      </c>
      <c r="F155" s="98"/>
      <c r="G155" s="98"/>
      <c r="H155" s="6"/>
    </row>
    <row r="156" spans="1:8" x14ac:dyDescent="0.2">
      <c r="A156" s="5" t="s">
        <v>121</v>
      </c>
      <c r="B156" s="97">
        <v>2067.9857552388939</v>
      </c>
      <c r="C156" s="98"/>
      <c r="D156" s="98"/>
      <c r="E156" s="99">
        <v>280.63224872361502</v>
      </c>
      <c r="F156" s="98"/>
      <c r="G156" s="98"/>
      <c r="H156" s="6"/>
    </row>
    <row r="157" spans="1:8" x14ac:dyDescent="0.2">
      <c r="A157" s="5" t="s">
        <v>122</v>
      </c>
      <c r="B157" s="97">
        <v>2138.639454545455</v>
      </c>
      <c r="C157" s="98"/>
      <c r="D157" s="98"/>
      <c r="E157" s="99">
        <v>231.82664024994284</v>
      </c>
      <c r="F157" s="98"/>
      <c r="G157" s="98"/>
      <c r="H157" s="6"/>
    </row>
    <row r="158" spans="1:8" x14ac:dyDescent="0.2">
      <c r="A158" s="12" t="s">
        <v>123</v>
      </c>
      <c r="B158" s="13"/>
      <c r="C158" s="13"/>
      <c r="D158" s="13"/>
      <c r="E158" s="13"/>
      <c r="F158" s="13"/>
      <c r="G158" s="13"/>
      <c r="H158" s="6"/>
    </row>
    <row r="159" spans="1:8" x14ac:dyDescent="0.2">
      <c r="A159" s="5" t="s">
        <v>56</v>
      </c>
      <c r="B159" s="97">
        <v>580219.88067205786</v>
      </c>
      <c r="C159" s="97">
        <v>225877.39922975076</v>
      </c>
      <c r="D159" s="98"/>
      <c r="E159" s="99">
        <v>30821.313864052241</v>
      </c>
      <c r="F159" s="98"/>
      <c r="G159" s="98"/>
      <c r="H159" s="6"/>
    </row>
    <row r="160" spans="1:8" x14ac:dyDescent="0.2">
      <c r="A160" s="5" t="s">
        <v>124</v>
      </c>
      <c r="B160" s="97">
        <v>22.219075363864963</v>
      </c>
      <c r="C160" s="97">
        <v>7.4831082831669606</v>
      </c>
      <c r="D160" s="98"/>
      <c r="E160" s="99">
        <v>4.0671340394726814</v>
      </c>
      <c r="F160" s="98"/>
      <c r="G160" s="98"/>
      <c r="H160" s="6"/>
    </row>
    <row r="161" spans="1:8" x14ac:dyDescent="0.2">
      <c r="A161" s="5" t="s">
        <v>125</v>
      </c>
      <c r="B161" s="97">
        <v>364.64939967995127</v>
      </c>
      <c r="C161" s="97">
        <v>110.70066341537758</v>
      </c>
      <c r="D161" s="98"/>
      <c r="E161" s="99">
        <v>10.845690771927151</v>
      </c>
      <c r="F161" s="98"/>
      <c r="G161" s="98"/>
      <c r="H161" s="6"/>
    </row>
    <row r="162" spans="1:8" x14ac:dyDescent="0.2">
      <c r="A162" s="12" t="s">
        <v>126</v>
      </c>
      <c r="B162" s="13"/>
      <c r="C162" s="13"/>
      <c r="D162" s="13"/>
      <c r="E162" s="13"/>
      <c r="F162" s="13"/>
      <c r="G162" s="13"/>
      <c r="H162" s="6"/>
    </row>
    <row r="163" spans="1:8" x14ac:dyDescent="0.2">
      <c r="A163" s="5" t="s">
        <v>95</v>
      </c>
      <c r="B163" s="97">
        <v>29762.160927484445</v>
      </c>
      <c r="C163" s="98"/>
      <c r="D163" s="98"/>
      <c r="E163" s="99">
        <v>4537.443879090979</v>
      </c>
      <c r="F163" s="98"/>
      <c r="G163" s="98"/>
      <c r="H163" s="6"/>
    </row>
    <row r="164" spans="1:8" ht="25.5" x14ac:dyDescent="0.2">
      <c r="A164" s="5" t="s">
        <v>127</v>
      </c>
      <c r="B164" s="97">
        <v>0</v>
      </c>
      <c r="C164" s="98"/>
      <c r="D164" s="98"/>
      <c r="E164" s="99">
        <v>0</v>
      </c>
      <c r="F164" s="98"/>
      <c r="G164" s="98"/>
      <c r="H164" s="6"/>
    </row>
    <row r="165" spans="1:8" ht="25.5" x14ac:dyDescent="0.2">
      <c r="A165" s="5" t="s">
        <v>128</v>
      </c>
      <c r="B165" s="97">
        <v>0</v>
      </c>
      <c r="C165" s="98"/>
      <c r="D165" s="98"/>
      <c r="E165" s="99">
        <v>0</v>
      </c>
      <c r="F165" s="98"/>
      <c r="G165" s="98"/>
      <c r="H165" s="6"/>
    </row>
    <row r="166" spans="1:8" x14ac:dyDescent="0.2">
      <c r="A166" s="12" t="s">
        <v>129</v>
      </c>
      <c r="B166" s="13"/>
      <c r="C166" s="13"/>
      <c r="D166" s="13"/>
      <c r="E166" s="13"/>
      <c r="F166" s="13"/>
      <c r="G166" s="13"/>
      <c r="H166" s="6"/>
    </row>
    <row r="167" spans="1:8" x14ac:dyDescent="0.2">
      <c r="A167" s="5" t="s">
        <v>57</v>
      </c>
      <c r="B167" s="97">
        <v>1029276.3013581143</v>
      </c>
      <c r="C167" s="97">
        <v>253869.7108350849</v>
      </c>
      <c r="D167" s="98"/>
      <c r="E167" s="99">
        <v>11223.982793627194</v>
      </c>
      <c r="F167" s="98"/>
      <c r="G167" s="98"/>
      <c r="H167" s="6"/>
    </row>
    <row r="168" spans="1:8" x14ac:dyDescent="0.2">
      <c r="A168" s="5" t="s">
        <v>130</v>
      </c>
      <c r="B168" s="97">
        <v>0</v>
      </c>
      <c r="C168" s="97">
        <v>0</v>
      </c>
      <c r="D168" s="98"/>
      <c r="E168" s="99">
        <v>1.3557113464908939</v>
      </c>
      <c r="F168" s="98"/>
      <c r="G168" s="98"/>
      <c r="H168" s="6"/>
    </row>
    <row r="169" spans="1:8" x14ac:dyDescent="0.2">
      <c r="A169" s="5" t="s">
        <v>131</v>
      </c>
      <c r="B169" s="97">
        <v>379.38536676064933</v>
      </c>
      <c r="C169" s="97">
        <v>85.471898346414719</v>
      </c>
      <c r="D169" s="98"/>
      <c r="E169" s="99">
        <v>12.201402118418045</v>
      </c>
      <c r="F169" s="98"/>
      <c r="G169" s="98"/>
      <c r="H169" s="6"/>
    </row>
    <row r="170" spans="1:8" x14ac:dyDescent="0.2">
      <c r="A170" s="12" t="s">
        <v>132</v>
      </c>
      <c r="B170" s="13"/>
      <c r="C170" s="13"/>
      <c r="D170" s="13"/>
      <c r="E170" s="13"/>
      <c r="F170" s="13"/>
      <c r="G170" s="13"/>
      <c r="H170" s="6"/>
    </row>
    <row r="171" spans="1:8" x14ac:dyDescent="0.2">
      <c r="A171" s="5" t="s">
        <v>58</v>
      </c>
      <c r="B171" s="97">
        <v>34485.961825356251</v>
      </c>
      <c r="C171" s="97">
        <v>9407.0686626999159</v>
      </c>
      <c r="D171" s="98"/>
      <c r="E171" s="99">
        <v>348.75333450159138</v>
      </c>
      <c r="F171" s="98"/>
      <c r="G171" s="98"/>
      <c r="H171" s="6"/>
    </row>
    <row r="172" spans="1:8" x14ac:dyDescent="0.2">
      <c r="A172" s="12" t="s">
        <v>133</v>
      </c>
      <c r="B172" s="13"/>
      <c r="C172" s="13"/>
      <c r="D172" s="13"/>
      <c r="E172" s="13"/>
      <c r="F172" s="13"/>
      <c r="G172" s="13"/>
      <c r="H172" s="6"/>
    </row>
    <row r="173" spans="1:8" x14ac:dyDescent="0.2">
      <c r="A173" s="5" t="s">
        <v>72</v>
      </c>
      <c r="B173" s="97">
        <v>8641.9161673928411</v>
      </c>
      <c r="C173" s="97">
        <v>2565.3353644297385</v>
      </c>
      <c r="D173" s="98"/>
      <c r="E173" s="99">
        <v>68.555558952026317</v>
      </c>
      <c r="F173" s="98"/>
      <c r="G173" s="98"/>
      <c r="H173" s="6"/>
    </row>
    <row r="174" spans="1:8" x14ac:dyDescent="0.2">
      <c r="A174" s="12" t="s">
        <v>134</v>
      </c>
      <c r="B174" s="13"/>
      <c r="C174" s="13"/>
      <c r="D174" s="13"/>
      <c r="E174" s="13"/>
      <c r="F174" s="13"/>
      <c r="G174" s="13"/>
      <c r="H174" s="6"/>
    </row>
    <row r="175" spans="1:8" x14ac:dyDescent="0.2">
      <c r="A175" s="5" t="s">
        <v>59</v>
      </c>
      <c r="B175" s="97">
        <v>115710.04138381009</v>
      </c>
      <c r="C175" s="97">
        <v>661020.25327785639</v>
      </c>
      <c r="D175" s="97">
        <v>808010.335403773</v>
      </c>
      <c r="E175" s="99">
        <v>4948.4112120990931</v>
      </c>
      <c r="F175" s="99">
        <v>752209.79678130196</v>
      </c>
      <c r="G175" s="97">
        <v>116363.06440213854</v>
      </c>
      <c r="H175" s="6"/>
    </row>
    <row r="176" spans="1:8" x14ac:dyDescent="0.2">
      <c r="A176" s="5" t="s">
        <v>135</v>
      </c>
      <c r="B176" s="97">
        <v>0</v>
      </c>
      <c r="C176" s="97">
        <v>0</v>
      </c>
      <c r="D176" s="97">
        <v>0</v>
      </c>
      <c r="E176" s="99">
        <v>0</v>
      </c>
      <c r="F176" s="99">
        <v>0</v>
      </c>
      <c r="G176" s="97">
        <v>0</v>
      </c>
      <c r="H176" s="6"/>
    </row>
    <row r="177" spans="1:8" x14ac:dyDescent="0.2">
      <c r="A177" s="5" t="s">
        <v>136</v>
      </c>
      <c r="B177" s="97">
        <v>0</v>
      </c>
      <c r="C177" s="97">
        <v>0</v>
      </c>
      <c r="D177" s="97">
        <v>0</v>
      </c>
      <c r="E177" s="99">
        <v>0</v>
      </c>
      <c r="F177" s="99">
        <v>0</v>
      </c>
      <c r="G177" s="97">
        <v>0</v>
      </c>
      <c r="H177" s="6"/>
    </row>
    <row r="178" spans="1:8" x14ac:dyDescent="0.2">
      <c r="A178" s="12" t="s">
        <v>137</v>
      </c>
      <c r="B178" s="13"/>
      <c r="C178" s="13"/>
      <c r="D178" s="13"/>
      <c r="E178" s="13"/>
      <c r="F178" s="13"/>
      <c r="G178" s="13"/>
      <c r="H178" s="6"/>
    </row>
    <row r="179" spans="1:8" x14ac:dyDescent="0.2">
      <c r="A179" s="5" t="s">
        <v>60</v>
      </c>
      <c r="B179" s="97">
        <v>93144.042828731064</v>
      </c>
      <c r="C179" s="97">
        <v>545943.1064019521</v>
      </c>
      <c r="D179" s="97">
        <v>688947.02480521007</v>
      </c>
      <c r="E179" s="99">
        <v>1830.2774665284201</v>
      </c>
      <c r="F179" s="99">
        <v>631754.01391039649</v>
      </c>
      <c r="G179" s="97">
        <v>99562.514593088417</v>
      </c>
      <c r="H179" s="6"/>
    </row>
    <row r="180" spans="1:8" x14ac:dyDescent="0.2">
      <c r="A180" s="5" t="s">
        <v>138</v>
      </c>
      <c r="B180" s="97">
        <v>0</v>
      </c>
      <c r="C180" s="97">
        <v>0</v>
      </c>
      <c r="D180" s="97">
        <v>0</v>
      </c>
      <c r="E180" s="99">
        <v>0</v>
      </c>
      <c r="F180" s="99">
        <v>0</v>
      </c>
      <c r="G180" s="97">
        <v>0</v>
      </c>
      <c r="H180" s="6"/>
    </row>
    <row r="181" spans="1:8" x14ac:dyDescent="0.2">
      <c r="A181" s="12" t="s">
        <v>139</v>
      </c>
      <c r="B181" s="13"/>
      <c r="C181" s="13"/>
      <c r="D181" s="13"/>
      <c r="E181" s="13"/>
      <c r="F181" s="13"/>
      <c r="G181" s="13"/>
      <c r="H181" s="6"/>
    </row>
    <row r="182" spans="1:8" x14ac:dyDescent="0.2">
      <c r="A182" s="5" t="s">
        <v>73</v>
      </c>
      <c r="B182" s="97">
        <v>348070.46558944526</v>
      </c>
      <c r="C182" s="97">
        <v>1911997.1742103195</v>
      </c>
      <c r="D182" s="97">
        <v>2977880.4572311277</v>
      </c>
      <c r="E182" s="99">
        <v>1964.4374527396105</v>
      </c>
      <c r="F182" s="99">
        <v>1834857.0806551576</v>
      </c>
      <c r="G182" s="97">
        <v>309733.7512243017</v>
      </c>
      <c r="H182" s="6"/>
    </row>
    <row r="183" spans="1:8" x14ac:dyDescent="0.2">
      <c r="A183" s="5" t="s">
        <v>140</v>
      </c>
      <c r="B183" s="97">
        <v>0</v>
      </c>
      <c r="C183" s="97">
        <v>0</v>
      </c>
      <c r="D183" s="97">
        <v>0</v>
      </c>
      <c r="E183" s="99">
        <v>0</v>
      </c>
      <c r="F183" s="99">
        <v>0</v>
      </c>
      <c r="G183" s="97">
        <v>0</v>
      </c>
      <c r="H183" s="6"/>
    </row>
    <row r="184" spans="1:8" x14ac:dyDescent="0.2">
      <c r="A184" s="12" t="s">
        <v>141</v>
      </c>
      <c r="B184" s="13"/>
      <c r="C184" s="13"/>
      <c r="D184" s="13"/>
      <c r="E184" s="13"/>
      <c r="F184" s="13"/>
      <c r="G184" s="13"/>
      <c r="H184" s="6"/>
    </row>
    <row r="185" spans="1:8" x14ac:dyDescent="0.2">
      <c r="A185" s="5" t="s">
        <v>74</v>
      </c>
      <c r="B185" s="97">
        <v>0</v>
      </c>
      <c r="C185" s="97">
        <v>0</v>
      </c>
      <c r="D185" s="97">
        <v>0</v>
      </c>
      <c r="E185" s="99">
        <v>0</v>
      </c>
      <c r="F185" s="99">
        <v>0</v>
      </c>
      <c r="G185" s="97">
        <v>0</v>
      </c>
      <c r="H185" s="6"/>
    </row>
    <row r="186" spans="1:8" x14ac:dyDescent="0.2">
      <c r="A186" s="12" t="s">
        <v>142</v>
      </c>
      <c r="B186" s="13"/>
      <c r="C186" s="13"/>
      <c r="D186" s="13"/>
      <c r="E186" s="13"/>
      <c r="F186" s="13"/>
      <c r="G186" s="13"/>
      <c r="H186" s="6"/>
    </row>
    <row r="187" spans="1:8" x14ac:dyDescent="0.2">
      <c r="A187" s="5" t="s">
        <v>96</v>
      </c>
      <c r="B187" s="97">
        <v>43147.28153507517</v>
      </c>
      <c r="C187" s="98"/>
      <c r="D187" s="98"/>
      <c r="E187" s="99">
        <v>248</v>
      </c>
      <c r="F187" s="98"/>
      <c r="G187" s="98"/>
      <c r="H187" s="6"/>
    </row>
    <row r="188" spans="1:8" x14ac:dyDescent="0.2">
      <c r="A188" s="5" t="s">
        <v>143</v>
      </c>
      <c r="B188" s="97"/>
      <c r="C188" s="98"/>
      <c r="D188" s="98"/>
      <c r="E188" s="99"/>
      <c r="F188" s="98"/>
      <c r="G188" s="98"/>
      <c r="H188" s="6"/>
    </row>
    <row r="189" spans="1:8" x14ac:dyDescent="0.2">
      <c r="A189" s="5" t="s">
        <v>144</v>
      </c>
      <c r="B189" s="97"/>
      <c r="C189" s="98"/>
      <c r="D189" s="98"/>
      <c r="E189" s="99"/>
      <c r="F189" s="98"/>
      <c r="G189" s="98"/>
      <c r="H189" s="6"/>
    </row>
    <row r="190" spans="1:8" x14ac:dyDescent="0.2">
      <c r="A190" s="12" t="s">
        <v>145</v>
      </c>
      <c r="B190" s="13"/>
      <c r="C190" s="13"/>
      <c r="D190" s="13"/>
      <c r="E190" s="13"/>
      <c r="F190" s="13"/>
      <c r="G190" s="13"/>
      <c r="H190" s="6"/>
    </row>
    <row r="191" spans="1:8" x14ac:dyDescent="0.2">
      <c r="A191" s="5" t="s">
        <v>97</v>
      </c>
      <c r="B191" s="97">
        <v>13421.547791167388</v>
      </c>
      <c r="C191" s="98"/>
      <c r="D191" s="98"/>
      <c r="E191" s="99">
        <v>401</v>
      </c>
      <c r="F191" s="98"/>
      <c r="G191" s="98"/>
      <c r="H191" s="6"/>
    </row>
    <row r="192" spans="1:8" x14ac:dyDescent="0.2">
      <c r="A192" s="5" t="s">
        <v>146</v>
      </c>
      <c r="B192" s="97">
        <v>38.155200812820823</v>
      </c>
      <c r="C192" s="98"/>
      <c r="D192" s="98"/>
      <c r="E192" s="99">
        <v>19</v>
      </c>
      <c r="F192" s="98"/>
      <c r="G192" s="98"/>
      <c r="H192" s="6"/>
    </row>
    <row r="193" spans="1:8" x14ac:dyDescent="0.2">
      <c r="A193" s="5" t="s">
        <v>147</v>
      </c>
      <c r="B193" s="97">
        <v>72.35815852629824</v>
      </c>
      <c r="C193" s="98"/>
      <c r="D193" s="98"/>
      <c r="E193" s="99">
        <v>10</v>
      </c>
      <c r="F193" s="98"/>
      <c r="G193" s="98"/>
      <c r="H193" s="6"/>
    </row>
    <row r="194" spans="1:8" x14ac:dyDescent="0.2">
      <c r="A194" s="12" t="s">
        <v>148</v>
      </c>
      <c r="B194" s="13"/>
      <c r="C194" s="13"/>
      <c r="D194" s="13"/>
      <c r="E194" s="13"/>
      <c r="F194" s="13"/>
      <c r="G194" s="13"/>
      <c r="H194" s="6"/>
    </row>
    <row r="195" spans="1:8" x14ac:dyDescent="0.2">
      <c r="A195" s="5" t="s">
        <v>98</v>
      </c>
      <c r="B195" s="97">
        <v>1.3947031837786772</v>
      </c>
      <c r="C195" s="98"/>
      <c r="D195" s="98"/>
      <c r="E195" s="99">
        <v>1</v>
      </c>
      <c r="F195" s="98"/>
      <c r="G195" s="98"/>
      <c r="H195" s="6"/>
    </row>
    <row r="196" spans="1:8" x14ac:dyDescent="0.2">
      <c r="A196" s="5" t="s">
        <v>149</v>
      </c>
      <c r="B196" s="97"/>
      <c r="C196" s="98"/>
      <c r="D196" s="98"/>
      <c r="E196" s="99"/>
      <c r="F196" s="98"/>
      <c r="G196" s="98"/>
      <c r="H196" s="6"/>
    </row>
    <row r="197" spans="1:8" x14ac:dyDescent="0.2">
      <c r="A197" s="5" t="s">
        <v>150</v>
      </c>
      <c r="B197" s="97"/>
      <c r="C197" s="98"/>
      <c r="D197" s="98"/>
      <c r="E197" s="99"/>
      <c r="F197" s="98"/>
      <c r="G197" s="98"/>
      <c r="H197" s="6"/>
    </row>
    <row r="198" spans="1:8" x14ac:dyDescent="0.2">
      <c r="A198" s="12" t="s">
        <v>151</v>
      </c>
      <c r="B198" s="13"/>
      <c r="C198" s="13"/>
      <c r="D198" s="13"/>
      <c r="E198" s="13"/>
      <c r="F198" s="13"/>
      <c r="G198" s="13"/>
      <c r="H198" s="6"/>
    </row>
    <row r="199" spans="1:8" x14ac:dyDescent="0.2">
      <c r="A199" s="5" t="s">
        <v>99</v>
      </c>
      <c r="B199" s="97"/>
      <c r="C199" s="98"/>
      <c r="D199" s="98"/>
      <c r="E199" s="99"/>
      <c r="F199" s="98"/>
      <c r="G199" s="98"/>
      <c r="H199" s="6"/>
    </row>
    <row r="200" spans="1:8" x14ac:dyDescent="0.2">
      <c r="A200" s="5" t="s">
        <v>152</v>
      </c>
      <c r="B200" s="97"/>
      <c r="C200" s="98"/>
      <c r="D200" s="98"/>
      <c r="E200" s="99"/>
      <c r="F200" s="98"/>
      <c r="G200" s="98"/>
      <c r="H200" s="6"/>
    </row>
    <row r="201" spans="1:8" x14ac:dyDescent="0.2">
      <c r="A201" s="5" t="s">
        <v>153</v>
      </c>
      <c r="B201" s="97"/>
      <c r="C201" s="98"/>
      <c r="D201" s="98"/>
      <c r="E201" s="99"/>
      <c r="F201" s="98"/>
      <c r="G201" s="98"/>
      <c r="H201" s="6"/>
    </row>
    <row r="202" spans="1:8" x14ac:dyDescent="0.2">
      <c r="A202" s="12" t="s">
        <v>154</v>
      </c>
      <c r="B202" s="13"/>
      <c r="C202" s="13"/>
      <c r="D202" s="13"/>
      <c r="E202" s="13"/>
      <c r="F202" s="13"/>
      <c r="G202" s="13"/>
      <c r="H202" s="6"/>
    </row>
    <row r="203" spans="1:8" x14ac:dyDescent="0.2">
      <c r="A203" s="5" t="s">
        <v>100</v>
      </c>
      <c r="B203" s="97">
        <v>9424.2315778324828</v>
      </c>
      <c r="C203" s="97">
        <v>33565.973169766723</v>
      </c>
      <c r="D203" s="97">
        <v>236161.06999327819</v>
      </c>
      <c r="E203" s="99">
        <v>23</v>
      </c>
      <c r="F203" s="98"/>
      <c r="G203" s="98"/>
      <c r="H203" s="6"/>
    </row>
    <row r="204" spans="1:8" x14ac:dyDescent="0.2">
      <c r="A204" s="5" t="s">
        <v>155</v>
      </c>
      <c r="B204" s="97">
        <v>0</v>
      </c>
      <c r="C204" s="97">
        <v>0</v>
      </c>
      <c r="D204" s="97">
        <v>0</v>
      </c>
      <c r="E204" s="99">
        <v>0</v>
      </c>
      <c r="F204" s="98"/>
      <c r="G204" s="98"/>
      <c r="H204" s="6"/>
    </row>
    <row r="205" spans="1:8" x14ac:dyDescent="0.2">
      <c r="A205" s="5" t="s">
        <v>156</v>
      </c>
      <c r="B205" s="97">
        <v>0</v>
      </c>
      <c r="C205" s="97">
        <v>0</v>
      </c>
      <c r="D205" s="97">
        <v>0</v>
      </c>
      <c r="E205" s="99">
        <v>0</v>
      </c>
      <c r="F205" s="98"/>
      <c r="G205" s="98"/>
      <c r="H205" s="6"/>
    </row>
    <row r="206" spans="1:8" x14ac:dyDescent="0.2">
      <c r="A206" s="12" t="s">
        <v>157</v>
      </c>
      <c r="B206" s="13"/>
      <c r="C206" s="13"/>
      <c r="D206" s="13"/>
      <c r="E206" s="13"/>
      <c r="F206" s="13"/>
      <c r="G206" s="13"/>
      <c r="H206" s="6"/>
    </row>
    <row r="207" spans="1:8" x14ac:dyDescent="0.2">
      <c r="A207" s="5" t="s">
        <v>61</v>
      </c>
      <c r="B207" s="97">
        <v>878.96280862633739</v>
      </c>
      <c r="C207" s="98"/>
      <c r="D207" s="98"/>
      <c r="E207" s="99">
        <v>51</v>
      </c>
      <c r="F207" s="98"/>
      <c r="G207" s="98"/>
      <c r="H207" s="6"/>
    </row>
    <row r="208" spans="1:8" x14ac:dyDescent="0.2">
      <c r="A208" s="5" t="s">
        <v>158</v>
      </c>
      <c r="B208" s="97">
        <v>0</v>
      </c>
      <c r="C208" s="98"/>
      <c r="D208" s="98"/>
      <c r="E208" s="99">
        <v>0</v>
      </c>
      <c r="F208" s="98"/>
      <c r="G208" s="98"/>
      <c r="H208" s="6"/>
    </row>
    <row r="209" spans="1:8" x14ac:dyDescent="0.2">
      <c r="A209" s="5" t="s">
        <v>159</v>
      </c>
      <c r="B209" s="97">
        <v>0</v>
      </c>
      <c r="C209" s="98"/>
      <c r="D209" s="98"/>
      <c r="E209" s="99">
        <v>0</v>
      </c>
      <c r="F209" s="98"/>
      <c r="G209" s="98"/>
      <c r="H209" s="6"/>
    </row>
    <row r="210" spans="1:8" x14ac:dyDescent="0.2">
      <c r="A210" s="12" t="s">
        <v>160</v>
      </c>
      <c r="B210" s="13"/>
      <c r="C210" s="13"/>
      <c r="D210" s="13"/>
      <c r="E210" s="13"/>
      <c r="F210" s="13"/>
      <c r="G210" s="13"/>
      <c r="H210" s="6"/>
    </row>
    <row r="211" spans="1:8" x14ac:dyDescent="0.2">
      <c r="A211" s="5" t="s">
        <v>62</v>
      </c>
      <c r="B211" s="97">
        <v>0</v>
      </c>
      <c r="C211" s="98"/>
      <c r="D211" s="98"/>
      <c r="E211" s="99">
        <v>0</v>
      </c>
      <c r="F211" s="98"/>
      <c r="G211" s="98"/>
      <c r="H211" s="6"/>
    </row>
    <row r="212" spans="1:8" x14ac:dyDescent="0.2">
      <c r="A212" s="5" t="s">
        <v>161</v>
      </c>
      <c r="B212" s="97">
        <v>0</v>
      </c>
      <c r="C212" s="98"/>
      <c r="D212" s="98"/>
      <c r="E212" s="99">
        <v>0</v>
      </c>
      <c r="F212" s="98"/>
      <c r="G212" s="98"/>
      <c r="H212" s="6"/>
    </row>
    <row r="213" spans="1:8" x14ac:dyDescent="0.2">
      <c r="A213" s="12" t="s">
        <v>162</v>
      </c>
      <c r="B213" s="13"/>
      <c r="C213" s="13"/>
      <c r="D213" s="13"/>
      <c r="E213" s="13"/>
      <c r="F213" s="13"/>
      <c r="G213" s="13"/>
      <c r="H213" s="6"/>
    </row>
    <row r="214" spans="1:8" x14ac:dyDescent="0.2">
      <c r="A214" s="5" t="s">
        <v>63</v>
      </c>
      <c r="B214" s="97">
        <v>3907.804934004047</v>
      </c>
      <c r="C214" s="98"/>
      <c r="D214" s="98"/>
      <c r="E214" s="99">
        <v>39</v>
      </c>
      <c r="F214" s="98"/>
      <c r="G214" s="97">
        <v>1417.9367991080762</v>
      </c>
      <c r="H214" s="6"/>
    </row>
    <row r="215" spans="1:8" x14ac:dyDescent="0.2">
      <c r="A215" s="5" t="s">
        <v>163</v>
      </c>
      <c r="B215" s="97">
        <v>0</v>
      </c>
      <c r="C215" s="98"/>
      <c r="D215" s="98"/>
      <c r="E215" s="99">
        <v>0</v>
      </c>
      <c r="F215" s="98"/>
      <c r="G215" s="97">
        <v>0</v>
      </c>
      <c r="H215" s="6"/>
    </row>
    <row r="216" spans="1:8" x14ac:dyDescent="0.2">
      <c r="A216" s="5" t="s">
        <v>164</v>
      </c>
      <c r="B216" s="97">
        <v>0</v>
      </c>
      <c r="C216" s="98"/>
      <c r="D216" s="98"/>
      <c r="E216" s="99">
        <v>0</v>
      </c>
      <c r="F216" s="98"/>
      <c r="G216" s="97">
        <v>0</v>
      </c>
      <c r="H216" s="6"/>
    </row>
    <row r="217" spans="1:8" x14ac:dyDescent="0.2">
      <c r="A217" s="12" t="s">
        <v>165</v>
      </c>
      <c r="B217" s="13"/>
      <c r="C217" s="13"/>
      <c r="D217" s="13"/>
      <c r="E217" s="13"/>
      <c r="F217" s="13"/>
      <c r="G217" s="13"/>
      <c r="H217" s="6"/>
    </row>
    <row r="218" spans="1:8" x14ac:dyDescent="0.2">
      <c r="A218" s="5" t="s">
        <v>64</v>
      </c>
      <c r="B218" s="97">
        <v>38.187016590265401</v>
      </c>
      <c r="C218" s="97">
        <v>77.674890534546904</v>
      </c>
      <c r="D218" s="97">
        <v>115.07817629643461</v>
      </c>
      <c r="E218" s="99">
        <v>6</v>
      </c>
      <c r="F218" s="98"/>
      <c r="G218" s="97">
        <v>26.176347095751652</v>
      </c>
      <c r="H218" s="6"/>
    </row>
    <row r="219" spans="1:8" x14ac:dyDescent="0.2">
      <c r="A219" s="5" t="s">
        <v>166</v>
      </c>
      <c r="B219" s="97">
        <v>0</v>
      </c>
      <c r="C219" s="97">
        <v>0</v>
      </c>
      <c r="D219" s="97">
        <v>0</v>
      </c>
      <c r="E219" s="99">
        <v>0</v>
      </c>
      <c r="F219" s="98"/>
      <c r="G219" s="97">
        <v>0</v>
      </c>
      <c r="H219" s="6"/>
    </row>
    <row r="220" spans="1:8" x14ac:dyDescent="0.2">
      <c r="A220" s="5" t="s">
        <v>167</v>
      </c>
      <c r="B220" s="97">
        <v>0</v>
      </c>
      <c r="C220" s="97">
        <v>0</v>
      </c>
      <c r="D220" s="97">
        <v>0</v>
      </c>
      <c r="E220" s="99">
        <v>0</v>
      </c>
      <c r="F220" s="98"/>
      <c r="G220" s="97">
        <v>0</v>
      </c>
      <c r="H220" s="6"/>
    </row>
    <row r="221" spans="1:8" x14ac:dyDescent="0.2">
      <c r="A221" s="12" t="s">
        <v>168</v>
      </c>
      <c r="B221" s="13"/>
      <c r="C221" s="13"/>
      <c r="D221" s="13"/>
      <c r="E221" s="13"/>
      <c r="F221" s="13"/>
      <c r="G221" s="13"/>
      <c r="H221" s="6"/>
    </row>
    <row r="222" spans="1:8" x14ac:dyDescent="0.2">
      <c r="A222" s="5" t="s">
        <v>65</v>
      </c>
      <c r="B222" s="97">
        <v>162.80251073502833</v>
      </c>
      <c r="C222" s="98"/>
      <c r="D222" s="98"/>
      <c r="E222" s="99">
        <v>3</v>
      </c>
      <c r="F222" s="98"/>
      <c r="G222" s="97">
        <v>9.3101171097353372</v>
      </c>
      <c r="H222" s="6"/>
    </row>
    <row r="223" spans="1:8" x14ac:dyDescent="0.2">
      <c r="A223" s="5" t="s">
        <v>169</v>
      </c>
      <c r="B223" s="97">
        <v>0</v>
      </c>
      <c r="C223" s="98"/>
      <c r="D223" s="98"/>
      <c r="E223" s="99">
        <v>0</v>
      </c>
      <c r="F223" s="98"/>
      <c r="G223" s="97">
        <v>0</v>
      </c>
      <c r="H223" s="6"/>
    </row>
    <row r="224" spans="1:8" x14ac:dyDescent="0.2">
      <c r="A224" s="12" t="s">
        <v>170</v>
      </c>
      <c r="B224" s="13"/>
      <c r="C224" s="13"/>
      <c r="D224" s="13"/>
      <c r="E224" s="13"/>
      <c r="F224" s="13"/>
      <c r="G224" s="13"/>
      <c r="H224" s="6"/>
    </row>
    <row r="225" spans="1:8" x14ac:dyDescent="0.2">
      <c r="A225" s="5" t="s">
        <v>66</v>
      </c>
      <c r="B225" s="97">
        <v>191.58774492120747</v>
      </c>
      <c r="C225" s="97">
        <v>148.85032172385118</v>
      </c>
      <c r="D225" s="97">
        <v>129.98347870675352</v>
      </c>
      <c r="E225" s="99">
        <v>9</v>
      </c>
      <c r="F225" s="98"/>
      <c r="G225" s="97">
        <v>765.09034166960498</v>
      </c>
      <c r="H225" s="6"/>
    </row>
    <row r="226" spans="1:8" x14ac:dyDescent="0.2">
      <c r="A226" s="5" t="s">
        <v>171</v>
      </c>
      <c r="B226" s="97">
        <v>0</v>
      </c>
      <c r="C226" s="97">
        <v>0</v>
      </c>
      <c r="D226" s="97">
        <v>0</v>
      </c>
      <c r="E226" s="99">
        <v>0</v>
      </c>
      <c r="F226" s="98"/>
      <c r="G226" s="97">
        <v>0</v>
      </c>
      <c r="H226" s="6"/>
    </row>
    <row r="227" spans="1:8" x14ac:dyDescent="0.2">
      <c r="A227" s="12" t="s">
        <v>172</v>
      </c>
      <c r="B227" s="13"/>
      <c r="C227" s="13"/>
      <c r="D227" s="13"/>
      <c r="E227" s="13"/>
      <c r="F227" s="13"/>
      <c r="G227" s="13"/>
      <c r="H227" s="6"/>
    </row>
    <row r="228" spans="1:8" x14ac:dyDescent="0.2">
      <c r="A228" s="5" t="s">
        <v>75</v>
      </c>
      <c r="B228" s="97">
        <v>113862.35349765769</v>
      </c>
      <c r="C228" s="98"/>
      <c r="D228" s="98"/>
      <c r="E228" s="99">
        <v>33</v>
      </c>
      <c r="F228" s="98"/>
      <c r="G228" s="97">
        <v>7606.1687763615655</v>
      </c>
      <c r="H228" s="6"/>
    </row>
    <row r="229" spans="1:8" x14ac:dyDescent="0.2">
      <c r="A229" s="5" t="s">
        <v>173</v>
      </c>
      <c r="B229" s="97">
        <v>0</v>
      </c>
      <c r="C229" s="98"/>
      <c r="D229" s="98"/>
      <c r="E229" s="99">
        <v>0</v>
      </c>
      <c r="F229" s="98"/>
      <c r="G229" s="97">
        <v>0</v>
      </c>
      <c r="H229" s="6"/>
    </row>
    <row r="230" spans="1:8" x14ac:dyDescent="0.2">
      <c r="A230" s="12" t="s">
        <v>174</v>
      </c>
      <c r="B230" s="13"/>
      <c r="C230" s="13"/>
      <c r="D230" s="13"/>
      <c r="E230" s="13"/>
      <c r="F230" s="13"/>
      <c r="G230" s="13"/>
      <c r="H230" s="6"/>
    </row>
    <row r="231" spans="1:8" x14ac:dyDescent="0.2">
      <c r="A231" s="5" t="s">
        <v>76</v>
      </c>
      <c r="B231" s="97">
        <v>30117.877805273667</v>
      </c>
      <c r="C231" s="97">
        <v>148032.72480574468</v>
      </c>
      <c r="D231" s="97">
        <v>369275.98540024838</v>
      </c>
      <c r="E231" s="99">
        <v>97</v>
      </c>
      <c r="F231" s="98"/>
      <c r="G231" s="97">
        <v>12285.04977358382</v>
      </c>
      <c r="H231" s="6"/>
    </row>
    <row r="232" spans="1:8" x14ac:dyDescent="0.2">
      <c r="A232" s="5" t="s">
        <v>175</v>
      </c>
      <c r="B232" s="97">
        <v>0</v>
      </c>
      <c r="C232" s="97">
        <v>0</v>
      </c>
      <c r="D232" s="97">
        <v>0</v>
      </c>
      <c r="E232" s="99">
        <v>0</v>
      </c>
      <c r="F232" s="98"/>
      <c r="G232" s="97">
        <v>0</v>
      </c>
      <c r="H232" s="6"/>
    </row>
    <row r="233" spans="1:8" x14ac:dyDescent="0.2">
      <c r="A233" s="12" t="s">
        <v>176</v>
      </c>
      <c r="B233" s="13"/>
      <c r="C233" s="13"/>
      <c r="D233" s="13"/>
      <c r="E233" s="13"/>
      <c r="F233" s="13"/>
      <c r="G233" s="13"/>
      <c r="H233" s="6"/>
    </row>
    <row r="234" spans="1:8" x14ac:dyDescent="0.2">
      <c r="A234" s="5" t="s">
        <v>77</v>
      </c>
      <c r="B234" s="97">
        <v>0</v>
      </c>
      <c r="C234" s="98"/>
      <c r="D234" s="98"/>
      <c r="E234" s="99">
        <v>0</v>
      </c>
      <c r="F234" s="98"/>
      <c r="G234" s="97">
        <v>0</v>
      </c>
      <c r="H234" s="6"/>
    </row>
    <row r="235" spans="1:8" x14ac:dyDescent="0.2">
      <c r="A235" s="12" t="s">
        <v>177</v>
      </c>
      <c r="B235" s="13"/>
      <c r="C235" s="13"/>
      <c r="D235" s="13"/>
      <c r="E235" s="13"/>
      <c r="F235" s="13"/>
      <c r="G235" s="13"/>
      <c r="H235" s="6"/>
    </row>
    <row r="236" spans="1:8" x14ac:dyDescent="0.2">
      <c r="A236" s="5" t="s">
        <v>78</v>
      </c>
      <c r="B236" s="97">
        <v>0</v>
      </c>
      <c r="C236" s="97">
        <v>0</v>
      </c>
      <c r="D236" s="97">
        <v>0</v>
      </c>
      <c r="E236" s="99">
        <v>0</v>
      </c>
      <c r="F236" s="98"/>
      <c r="G236" s="97">
        <v>0</v>
      </c>
      <c r="H236" s="6"/>
    </row>
    <row r="238" spans="1:8" ht="16.5" x14ac:dyDescent="0.25">
      <c r="A238" s="3" t="s">
        <v>178</v>
      </c>
    </row>
    <row r="239" spans="1:8" x14ac:dyDescent="0.2">
      <c r="A239" s="10" t="s">
        <v>102</v>
      </c>
    </row>
    <row r="241" spans="1:10" ht="25.5" x14ac:dyDescent="0.2">
      <c r="B241" s="4" t="s">
        <v>179</v>
      </c>
    </row>
    <row r="242" spans="1:10" ht="14.25" x14ac:dyDescent="0.2">
      <c r="A242" s="5" t="s">
        <v>180</v>
      </c>
      <c r="B242" s="90">
        <v>16923397</v>
      </c>
      <c r="C242" s="111"/>
    </row>
    <row r="244" spans="1:10" ht="16.5" x14ac:dyDescent="0.25">
      <c r="A244" s="3" t="s">
        <v>181</v>
      </c>
    </row>
    <row r="246" spans="1:10" ht="25.5" x14ac:dyDescent="0.2">
      <c r="B246" s="4" t="s">
        <v>182</v>
      </c>
      <c r="C246" s="4" t="s">
        <v>183</v>
      </c>
      <c r="D246" s="4" t="s">
        <v>184</v>
      </c>
      <c r="E246" s="4" t="s">
        <v>185</v>
      </c>
    </row>
    <row r="247" spans="1:10" ht="14.25" x14ac:dyDescent="0.2">
      <c r="A247" s="5" t="s">
        <v>186</v>
      </c>
      <c r="B247" s="85">
        <v>28775497.336184219</v>
      </c>
      <c r="C247" s="85">
        <v>113122579.75715901</v>
      </c>
      <c r="D247" s="84">
        <v>0.6</v>
      </c>
      <c r="E247" s="91">
        <v>24417835.72089896</v>
      </c>
      <c r="F247" s="111"/>
    </row>
    <row r="249" spans="1:10" ht="16.5" x14ac:dyDescent="0.25">
      <c r="A249" s="3" t="s">
        <v>187</v>
      </c>
    </row>
    <row r="250" spans="1:10" x14ac:dyDescent="0.2">
      <c r="A250" s="10" t="s">
        <v>188</v>
      </c>
    </row>
    <row r="251" spans="1:10" x14ac:dyDescent="0.2">
      <c r="A251" s="10" t="s">
        <v>189</v>
      </c>
    </row>
    <row r="252" spans="1:10" x14ac:dyDescent="0.2">
      <c r="A252" s="10" t="s">
        <v>190</v>
      </c>
    </row>
    <row r="254" spans="1:10" ht="25.5" x14ac:dyDescent="0.2">
      <c r="B254" s="4" t="s">
        <v>191</v>
      </c>
      <c r="C254" s="4" t="s">
        <v>192</v>
      </c>
      <c r="D254" s="4" t="s">
        <v>193</v>
      </c>
      <c r="E254" s="4" t="s">
        <v>194</v>
      </c>
      <c r="F254" s="4" t="s">
        <v>195</v>
      </c>
      <c r="G254" s="4" t="s">
        <v>196</v>
      </c>
      <c r="H254" s="4" t="s">
        <v>197</v>
      </c>
      <c r="I254" s="4" t="s">
        <v>198</v>
      </c>
    </row>
    <row r="255" spans="1:10" ht="14.25" x14ac:dyDescent="0.2">
      <c r="A255" s="5" t="s">
        <v>199</v>
      </c>
      <c r="B255" s="84"/>
      <c r="C255" s="84"/>
      <c r="D255" s="84">
        <v>0</v>
      </c>
      <c r="E255" s="84">
        <v>0</v>
      </c>
      <c r="F255" s="84">
        <v>0</v>
      </c>
      <c r="G255" s="84">
        <v>0.3</v>
      </c>
      <c r="H255" s="84">
        <v>0.3</v>
      </c>
      <c r="I255" s="84">
        <v>0.97</v>
      </c>
      <c r="J255" s="111"/>
    </row>
    <row r="256" spans="1:10" ht="14.25" x14ac:dyDescent="0.2">
      <c r="A256" s="5" t="s">
        <v>200</v>
      </c>
      <c r="B256" s="84"/>
      <c r="C256" s="84"/>
      <c r="D256" s="84">
        <v>0</v>
      </c>
      <c r="E256" s="84">
        <v>0</v>
      </c>
      <c r="F256" s="84"/>
      <c r="G256" s="84">
        <v>0.3</v>
      </c>
      <c r="H256" s="84">
        <v>0.97</v>
      </c>
      <c r="I256" s="88"/>
      <c r="J256" s="93"/>
    </row>
    <row r="257" spans="1:10" ht="14.25" x14ac:dyDescent="0.2">
      <c r="A257" s="5" t="s">
        <v>201</v>
      </c>
      <c r="B257" s="84"/>
      <c r="C257" s="84"/>
      <c r="D257" s="84"/>
      <c r="E257" s="84">
        <v>0.56999999999999995</v>
      </c>
      <c r="F257" s="84"/>
      <c r="G257" s="84">
        <v>0.91</v>
      </c>
      <c r="H257" s="88"/>
      <c r="I257" s="88"/>
      <c r="J257" s="94" t="s">
        <v>245</v>
      </c>
    </row>
    <row r="258" spans="1:10" ht="14.25" x14ac:dyDescent="0.2">
      <c r="A258" s="5" t="s">
        <v>202</v>
      </c>
      <c r="B258" s="84"/>
      <c r="C258" s="84"/>
      <c r="D258" s="84">
        <v>0.56999999999999995</v>
      </c>
      <c r="E258" s="84">
        <v>0.92</v>
      </c>
      <c r="F258" s="88"/>
      <c r="G258" s="88"/>
      <c r="H258" s="88"/>
      <c r="I258" s="88"/>
      <c r="J258" s="94" t="s">
        <v>245</v>
      </c>
    </row>
    <row r="260" spans="1:10" ht="16.5" x14ac:dyDescent="0.25">
      <c r="A260" s="3" t="s">
        <v>203</v>
      </c>
    </row>
    <row r="262" spans="1:10" x14ac:dyDescent="0.2">
      <c r="B262" s="95" t="s">
        <v>204</v>
      </c>
      <c r="C262" s="95" t="s">
        <v>205</v>
      </c>
      <c r="D262" s="95" t="s">
        <v>206</v>
      </c>
    </row>
    <row r="263" spans="1:10" ht="14.25" x14ac:dyDescent="0.2">
      <c r="A263" s="5" t="s">
        <v>54</v>
      </c>
      <c r="B263" s="84">
        <v>9.2575560432465773E-2</v>
      </c>
      <c r="C263" s="84">
        <v>0.36276883951810396</v>
      </c>
      <c r="D263" s="84">
        <v>0.54465560004942992</v>
      </c>
      <c r="E263" s="111"/>
    </row>
    <row r="264" spans="1:10" ht="14.25" x14ac:dyDescent="0.2">
      <c r="A264" s="5" t="s">
        <v>94</v>
      </c>
      <c r="B264" s="84">
        <v>2.3745312951473645E-3</v>
      </c>
      <c r="C264" s="84">
        <v>8.9757905649897315E-2</v>
      </c>
      <c r="D264" s="84">
        <v>0.90786756305495209</v>
      </c>
      <c r="E264" s="93"/>
    </row>
    <row r="265" spans="1:10" ht="14.25" x14ac:dyDescent="0.2">
      <c r="A265" s="5" t="s">
        <v>56</v>
      </c>
      <c r="B265" s="84">
        <v>8.2056713906240988E-2</v>
      </c>
      <c r="C265" s="84">
        <v>0.48499709740087193</v>
      </c>
      <c r="D265" s="84">
        <v>0.43294618869289109</v>
      </c>
      <c r="E265" s="93"/>
    </row>
    <row r="266" spans="1:10" ht="14.25" x14ac:dyDescent="0.2">
      <c r="A266" s="5" t="s">
        <v>95</v>
      </c>
      <c r="B266" s="84">
        <v>1.0253327561345177E-3</v>
      </c>
      <c r="C266" s="84">
        <v>5.7017181650198201E-2</v>
      </c>
      <c r="D266" s="84">
        <v>0.94195748559366788</v>
      </c>
      <c r="E266" s="93"/>
    </row>
    <row r="267" spans="1:10" ht="14.25" x14ac:dyDescent="0.2">
      <c r="A267" s="5" t="s">
        <v>57</v>
      </c>
      <c r="B267" s="84">
        <v>8.9178740811194687E-2</v>
      </c>
      <c r="C267" s="84">
        <v>0.51063236502430465</v>
      </c>
      <c r="D267" s="84">
        <v>0.40018889416450226</v>
      </c>
      <c r="E267" s="93"/>
    </row>
    <row r="268" spans="1:10" ht="14.25" x14ac:dyDescent="0.2">
      <c r="A268" s="5" t="s">
        <v>58</v>
      </c>
      <c r="B268" s="84">
        <v>8.9796154722368668E-2</v>
      </c>
      <c r="C268" s="84">
        <v>0.52093747579668126</v>
      </c>
      <c r="D268" s="84">
        <v>0.38926636948095056</v>
      </c>
      <c r="E268" s="93"/>
    </row>
    <row r="269" spans="1:10" ht="14.25" x14ac:dyDescent="0.2">
      <c r="A269" s="5" t="s">
        <v>72</v>
      </c>
      <c r="B269" s="84">
        <v>8.8349830096270662E-2</v>
      </c>
      <c r="C269" s="84">
        <v>0.53146746732079186</v>
      </c>
      <c r="D269" s="84">
        <v>0.38018270258293624</v>
      </c>
      <c r="E269" s="93"/>
    </row>
    <row r="271" spans="1:10" ht="16.5" x14ac:dyDescent="0.25">
      <c r="A271" s="3" t="s">
        <v>207</v>
      </c>
    </row>
    <row r="273" spans="1:5" x14ac:dyDescent="0.2">
      <c r="B273" s="4" t="s">
        <v>204</v>
      </c>
      <c r="C273" s="4" t="s">
        <v>205</v>
      </c>
      <c r="D273" s="4" t="s">
        <v>206</v>
      </c>
    </row>
    <row r="274" spans="1:5" ht="14.25" x14ac:dyDescent="0.2">
      <c r="A274" s="5" t="s">
        <v>54</v>
      </c>
      <c r="B274" s="84">
        <v>0</v>
      </c>
      <c r="C274" s="84">
        <v>0</v>
      </c>
      <c r="D274" s="84">
        <v>1</v>
      </c>
      <c r="E274" s="111"/>
    </row>
    <row r="275" spans="1:5" x14ac:dyDescent="0.2">
      <c r="A275" s="5" t="s">
        <v>56</v>
      </c>
      <c r="B275" s="84">
        <v>0</v>
      </c>
      <c r="C275" s="84">
        <v>0</v>
      </c>
      <c r="D275" s="84">
        <v>1</v>
      </c>
      <c r="E275" s="6"/>
    </row>
    <row r="276" spans="1:5" x14ac:dyDescent="0.2">
      <c r="A276" s="5" t="s">
        <v>57</v>
      </c>
      <c r="B276" s="84">
        <v>0</v>
      </c>
      <c r="C276" s="84">
        <v>0</v>
      </c>
      <c r="D276" s="84">
        <v>1</v>
      </c>
      <c r="E276" s="6"/>
    </row>
    <row r="277" spans="1:5" x14ac:dyDescent="0.2">
      <c r="A277" s="5" t="s">
        <v>58</v>
      </c>
      <c r="B277" s="84">
        <v>0</v>
      </c>
      <c r="C277" s="84">
        <v>0</v>
      </c>
      <c r="D277" s="84">
        <v>1</v>
      </c>
      <c r="E277" s="6"/>
    </row>
    <row r="278" spans="1:5" x14ac:dyDescent="0.2">
      <c r="A278" s="5" t="s">
        <v>72</v>
      </c>
      <c r="B278" s="84">
        <v>0</v>
      </c>
      <c r="C278" s="84">
        <v>0</v>
      </c>
      <c r="D278" s="84">
        <v>1</v>
      </c>
      <c r="E278" s="6"/>
    </row>
    <row r="280" spans="1:5" ht="16.5" x14ac:dyDescent="0.25">
      <c r="A280" s="3" t="s">
        <v>208</v>
      </c>
    </row>
    <row r="282" spans="1:5" ht="14.25" x14ac:dyDescent="0.2">
      <c r="B282" s="4" t="s">
        <v>209</v>
      </c>
      <c r="C282" s="4" t="s">
        <v>210</v>
      </c>
      <c r="D282" s="4" t="s">
        <v>206</v>
      </c>
      <c r="E282" s="111"/>
    </row>
    <row r="283" spans="1:5" x14ac:dyDescent="0.2">
      <c r="A283" s="5" t="s">
        <v>96</v>
      </c>
      <c r="B283" s="100">
        <v>1.9634703196347001E-2</v>
      </c>
      <c r="C283" s="100">
        <v>0.346746575342466</v>
      </c>
      <c r="D283" s="100">
        <v>0.63361872146118703</v>
      </c>
      <c r="E283" s="6" t="s">
        <v>1836</v>
      </c>
    </row>
    <row r="284" spans="1:5" x14ac:dyDescent="0.2">
      <c r="A284" s="5" t="s">
        <v>97</v>
      </c>
      <c r="B284" s="100">
        <v>3.6316454937412292E-2</v>
      </c>
      <c r="C284" s="100">
        <v>8.968129708637522E-2</v>
      </c>
      <c r="D284" s="100">
        <v>0.87400224797621162</v>
      </c>
      <c r="E284" s="6" t="s">
        <v>1837</v>
      </c>
    </row>
    <row r="285" spans="1:5" x14ac:dyDescent="0.2">
      <c r="A285" s="5" t="s">
        <v>98</v>
      </c>
      <c r="B285" s="100">
        <v>6.8862889284340478E-2</v>
      </c>
      <c r="C285" s="100">
        <v>0.17592312306487673</v>
      </c>
      <c r="D285" s="100">
        <v>0.7552139876507824</v>
      </c>
      <c r="E285" s="6" t="s">
        <v>1839</v>
      </c>
    </row>
    <row r="286" spans="1:5" x14ac:dyDescent="0.2">
      <c r="A286" s="5" t="s">
        <v>99</v>
      </c>
      <c r="B286" s="100">
        <v>8.3824288253045963E-3</v>
      </c>
      <c r="C286" s="100">
        <v>0.55928811318484584</v>
      </c>
      <c r="D286" s="100">
        <v>0.43232945798985067</v>
      </c>
      <c r="E286" s="6" t="s">
        <v>1838</v>
      </c>
    </row>
    <row r="288" spans="1:5" ht="16.5" x14ac:dyDescent="0.25">
      <c r="A288" s="3" t="s">
        <v>211</v>
      </c>
    </row>
    <row r="289" spans="1:5" x14ac:dyDescent="0.2">
      <c r="A289" s="10" t="s">
        <v>212</v>
      </c>
    </row>
    <row r="290" spans="1:5" x14ac:dyDescent="0.2">
      <c r="A290" s="10" t="s">
        <v>213</v>
      </c>
    </row>
    <row r="292" spans="1:5" x14ac:dyDescent="0.2">
      <c r="B292" s="4" t="s">
        <v>209</v>
      </c>
      <c r="C292" s="4" t="s">
        <v>210</v>
      </c>
      <c r="D292" s="4" t="s">
        <v>206</v>
      </c>
    </row>
    <row r="293" spans="1:5" ht="14.25" x14ac:dyDescent="0.2">
      <c r="A293" s="5" t="s">
        <v>214</v>
      </c>
      <c r="B293" s="101">
        <v>172</v>
      </c>
      <c r="C293" s="101">
        <v>3037.5</v>
      </c>
      <c r="D293" s="101">
        <v>5550.5</v>
      </c>
      <c r="E293" s="111"/>
    </row>
    <row r="295" spans="1:5" ht="16.5" x14ac:dyDescent="0.25">
      <c r="A295" s="3" t="s">
        <v>215</v>
      </c>
    </row>
    <row r="296" spans="1:5" x14ac:dyDescent="0.2">
      <c r="A296" s="10" t="s">
        <v>212</v>
      </c>
    </row>
    <row r="297" spans="1:5" x14ac:dyDescent="0.2">
      <c r="A297" s="10" t="s">
        <v>213</v>
      </c>
    </row>
    <row r="299" spans="1:5" x14ac:dyDescent="0.2">
      <c r="B299" s="4" t="s">
        <v>204</v>
      </c>
      <c r="C299" s="4" t="s">
        <v>205</v>
      </c>
      <c r="D299" s="4" t="s">
        <v>206</v>
      </c>
    </row>
    <row r="300" spans="1:5" ht="14.25" x14ac:dyDescent="0.2">
      <c r="A300" s="5" t="s">
        <v>214</v>
      </c>
      <c r="B300" s="108">
        <v>522</v>
      </c>
      <c r="C300" s="108">
        <v>2687.5</v>
      </c>
      <c r="D300" s="108">
        <v>5550.5</v>
      </c>
      <c r="E300" s="111"/>
    </row>
    <row r="302" spans="1:5" ht="16.5" x14ac:dyDescent="0.25">
      <c r="A302" s="3" t="s">
        <v>216</v>
      </c>
    </row>
    <row r="303" spans="1:5" x14ac:dyDescent="0.2">
      <c r="A303" s="10" t="s">
        <v>217</v>
      </c>
    </row>
    <row r="305" spans="1:6" x14ac:dyDescent="0.2">
      <c r="B305" s="14" t="s">
        <v>218</v>
      </c>
      <c r="C305" s="14"/>
      <c r="D305" s="14"/>
    </row>
    <row r="306" spans="1:6" ht="25.5" x14ac:dyDescent="0.2">
      <c r="B306" s="4" t="s">
        <v>204</v>
      </c>
      <c r="C306" s="4" t="s">
        <v>205</v>
      </c>
      <c r="D306" s="4" t="s">
        <v>206</v>
      </c>
      <c r="E306" s="4" t="s">
        <v>219</v>
      </c>
      <c r="F306" s="111"/>
    </row>
    <row r="307" spans="1:6" x14ac:dyDescent="0.2">
      <c r="A307" s="5" t="s">
        <v>21</v>
      </c>
      <c r="B307" s="84">
        <v>0.72297037037037037</v>
      </c>
      <c r="C307" s="84">
        <v>0.20292592592592595</v>
      </c>
      <c r="D307" s="84">
        <v>7.407037037037037E-2</v>
      </c>
      <c r="E307" s="84">
        <v>0.72293333333333332</v>
      </c>
      <c r="F307" s="6"/>
    </row>
    <row r="308" spans="1:6" x14ac:dyDescent="0.2">
      <c r="A308" s="5" t="s">
        <v>22</v>
      </c>
      <c r="B308" s="84">
        <v>0.63381428571428566</v>
      </c>
      <c r="C308" s="84">
        <v>0.28237142857142855</v>
      </c>
      <c r="D308" s="84">
        <v>8.7147619047619043E-2</v>
      </c>
      <c r="E308" s="84">
        <v>0.62340000000000007</v>
      </c>
      <c r="F308" s="6"/>
    </row>
    <row r="309" spans="1:6" x14ac:dyDescent="0.2">
      <c r="A309" s="5" t="s">
        <v>23</v>
      </c>
      <c r="B309" s="84">
        <v>0.63381428571428566</v>
      </c>
      <c r="C309" s="84">
        <v>0.28237142857142855</v>
      </c>
      <c r="D309" s="84">
        <v>8.7147619047619043E-2</v>
      </c>
      <c r="E309" s="84">
        <v>0.62340000000000007</v>
      </c>
      <c r="F309" s="6"/>
    </row>
    <row r="310" spans="1:6" x14ac:dyDescent="0.2">
      <c r="A310" s="5" t="s">
        <v>24</v>
      </c>
      <c r="B310" s="84">
        <v>0.56945495495495491</v>
      </c>
      <c r="C310" s="84">
        <v>0.3370504504504504</v>
      </c>
      <c r="D310" s="84">
        <v>9.3494594594594596E-2</v>
      </c>
      <c r="E310" s="84">
        <v>0.57860000000000011</v>
      </c>
      <c r="F310" s="6"/>
    </row>
    <row r="311" spans="1:6" x14ac:dyDescent="0.2">
      <c r="A311" s="5" t="s">
        <v>25</v>
      </c>
      <c r="B311" s="84">
        <v>0.56945495495495491</v>
      </c>
      <c r="C311" s="84">
        <v>0.3370504504504504</v>
      </c>
      <c r="D311" s="84">
        <v>9.3494594594594596E-2</v>
      </c>
      <c r="E311" s="84">
        <v>0.57860000000000011</v>
      </c>
      <c r="F311" s="6"/>
    </row>
    <row r="312" spans="1:6" x14ac:dyDescent="0.2">
      <c r="A312" s="5" t="s">
        <v>30</v>
      </c>
      <c r="B312" s="84"/>
      <c r="C312" s="84"/>
      <c r="D312" s="84">
        <v>0</v>
      </c>
      <c r="E312" s="84"/>
      <c r="F312" s="6"/>
    </row>
    <row r="313" spans="1:6" x14ac:dyDescent="0.2">
      <c r="A313" s="5" t="s">
        <v>26</v>
      </c>
      <c r="B313" s="84">
        <v>0.56945495495495491</v>
      </c>
      <c r="C313" s="84">
        <v>0.3370504504504504</v>
      </c>
      <c r="D313" s="84">
        <v>9.3494594594594596E-2</v>
      </c>
      <c r="E313" s="84">
        <v>0.57860000000000011</v>
      </c>
      <c r="F313" s="6"/>
    </row>
    <row r="314" spans="1:6" x14ac:dyDescent="0.2">
      <c r="A314" s="5" t="s">
        <v>27</v>
      </c>
      <c r="B314" s="84">
        <v>0.56945495495495491</v>
      </c>
      <c r="C314" s="84">
        <v>0.3370504504504504</v>
      </c>
      <c r="D314" s="84">
        <v>9.3494594594594596E-2</v>
      </c>
      <c r="E314" s="84">
        <v>0.57860000000000011</v>
      </c>
      <c r="F314" s="6"/>
    </row>
    <row r="315" spans="1:6" x14ac:dyDescent="0.2">
      <c r="A315" s="5" t="s">
        <v>28</v>
      </c>
      <c r="B315" s="84">
        <v>0.56945495495495491</v>
      </c>
      <c r="C315" s="84">
        <v>0.3370504504504504</v>
      </c>
      <c r="D315" s="84">
        <v>9.3494594594594596E-2</v>
      </c>
      <c r="E315" s="84">
        <v>0.57860000000000011</v>
      </c>
      <c r="F315" s="6"/>
    </row>
    <row r="317" spans="1:6" ht="16.5" x14ac:dyDescent="0.25">
      <c r="A317" s="3" t="s">
        <v>220</v>
      </c>
    </row>
    <row r="318" spans="1:6" x14ac:dyDescent="0.2">
      <c r="A318" s="10"/>
    </row>
    <row r="319" spans="1:6" x14ac:dyDescent="0.2">
      <c r="A319" t="s">
        <v>1811</v>
      </c>
    </row>
    <row r="320" spans="1:6" ht="33" customHeight="1" x14ac:dyDescent="0.2">
      <c r="B320" s="62" t="s">
        <v>1810</v>
      </c>
    </row>
    <row r="321" spans="1:11" ht="14.25" x14ac:dyDescent="0.2">
      <c r="A321" s="5" t="s">
        <v>221</v>
      </c>
      <c r="B321" s="63">
        <f>+'CDCM Revenues'!D44*1000000</f>
        <v>481832687.99368787</v>
      </c>
      <c r="C321" s="111"/>
    </row>
    <row r="323" spans="1:11" ht="16.5" x14ac:dyDescent="0.25">
      <c r="A323" s="3" t="s">
        <v>222</v>
      </c>
    </row>
    <row r="324" spans="1:11" x14ac:dyDescent="0.2">
      <c r="A324" s="10" t="s">
        <v>223</v>
      </c>
    </row>
    <row r="325" spans="1:11" x14ac:dyDescent="0.2">
      <c r="A325" s="10" t="s">
        <v>224</v>
      </c>
    </row>
    <row r="327" spans="1:11" x14ac:dyDescent="0.2">
      <c r="B327" s="4" t="s">
        <v>21</v>
      </c>
      <c r="C327" s="4" t="s">
        <v>22</v>
      </c>
      <c r="D327" s="4" t="s">
        <v>23</v>
      </c>
      <c r="E327" s="4" t="s">
        <v>24</v>
      </c>
      <c r="F327" s="4" t="s">
        <v>25</v>
      </c>
      <c r="G327" s="4" t="s">
        <v>30</v>
      </c>
      <c r="H327" s="4" t="s">
        <v>26</v>
      </c>
      <c r="I327" s="4" t="s">
        <v>27</v>
      </c>
      <c r="J327" s="4" t="s">
        <v>28</v>
      </c>
    </row>
    <row r="328" spans="1:11" ht="14.25" x14ac:dyDescent="0.2">
      <c r="A328" s="5" t="s">
        <v>225</v>
      </c>
      <c r="B328" s="87">
        <v>0.25181647895269343</v>
      </c>
      <c r="C328" s="87">
        <v>0.25181647895269343</v>
      </c>
      <c r="D328" s="87">
        <v>0.2502007523133376</v>
      </c>
      <c r="E328" s="87">
        <v>0.2502007523133376</v>
      </c>
      <c r="F328" s="87">
        <v>0.2629606793978973</v>
      </c>
      <c r="G328" s="87"/>
      <c r="H328" s="87">
        <v>0.2629606793978973</v>
      </c>
      <c r="I328" s="87">
        <v>0.2629606793978973</v>
      </c>
      <c r="J328" s="87">
        <v>0.2629606793978973</v>
      </c>
      <c r="K328" s="111"/>
    </row>
    <row r="330" spans="1:11" ht="16.5" x14ac:dyDescent="0.25">
      <c r="A330" s="3" t="s">
        <v>226</v>
      </c>
    </row>
    <row r="332" spans="1:11" ht="38.25" x14ac:dyDescent="0.2">
      <c r="B332" s="4" t="s">
        <v>227</v>
      </c>
      <c r="C332" s="4" t="s">
        <v>228</v>
      </c>
      <c r="D332" s="4" t="s">
        <v>229</v>
      </c>
      <c r="E332" s="4" t="s">
        <v>230</v>
      </c>
      <c r="F332" s="4" t="s">
        <v>231</v>
      </c>
      <c r="G332" s="4" t="s">
        <v>232</v>
      </c>
      <c r="H332" s="4" t="s">
        <v>233</v>
      </c>
    </row>
    <row r="333" spans="1:11" ht="14.25" x14ac:dyDescent="0.2">
      <c r="A333" s="5" t="s">
        <v>53</v>
      </c>
      <c r="B333" s="7"/>
      <c r="C333" s="96">
        <v>2.54</v>
      </c>
      <c r="D333" s="88">
        <v>0</v>
      </c>
      <c r="E333" s="88">
        <v>0</v>
      </c>
      <c r="F333" s="96">
        <v>3.32</v>
      </c>
      <c r="G333" s="88">
        <v>0</v>
      </c>
      <c r="H333" s="88">
        <v>0</v>
      </c>
      <c r="I333" s="111"/>
    </row>
    <row r="334" spans="1:11" x14ac:dyDescent="0.2">
      <c r="A334" s="5" t="s">
        <v>54</v>
      </c>
      <c r="B334" s="7"/>
      <c r="C334" s="96">
        <v>2.875</v>
      </c>
      <c r="D334" s="96">
        <v>0.25800000000000001</v>
      </c>
      <c r="E334" s="88">
        <v>0</v>
      </c>
      <c r="F334" s="96">
        <v>3.32</v>
      </c>
      <c r="G334" s="88">
        <v>0</v>
      </c>
      <c r="H334" s="88">
        <v>0</v>
      </c>
      <c r="I334" s="6"/>
    </row>
    <row r="335" spans="1:11" x14ac:dyDescent="0.2">
      <c r="A335" s="5" t="s">
        <v>94</v>
      </c>
      <c r="B335" s="7"/>
      <c r="C335" s="96">
        <v>0.251</v>
      </c>
      <c r="D335" s="88">
        <v>0</v>
      </c>
      <c r="E335" s="88">
        <v>0</v>
      </c>
      <c r="F335" s="88">
        <v>0</v>
      </c>
      <c r="G335" s="88">
        <v>0</v>
      </c>
      <c r="H335" s="88">
        <v>0</v>
      </c>
      <c r="I335" s="6"/>
    </row>
    <row r="336" spans="1:11" x14ac:dyDescent="0.2">
      <c r="A336" s="5" t="s">
        <v>55</v>
      </c>
      <c r="B336" s="7"/>
      <c r="C336" s="96">
        <v>2.056</v>
      </c>
      <c r="D336" s="88">
        <v>0</v>
      </c>
      <c r="E336" s="88">
        <v>0</v>
      </c>
      <c r="F336" s="96">
        <v>3.32</v>
      </c>
      <c r="G336" s="88">
        <v>0</v>
      </c>
      <c r="H336" s="88">
        <v>0</v>
      </c>
      <c r="I336" s="6"/>
    </row>
    <row r="337" spans="1:9" x14ac:dyDescent="0.2">
      <c r="A337" s="5" t="s">
        <v>56</v>
      </c>
      <c r="B337" s="7"/>
      <c r="C337" s="96">
        <v>2.282</v>
      </c>
      <c r="D337" s="96">
        <v>0.21099999999999999</v>
      </c>
      <c r="E337" s="88">
        <v>0</v>
      </c>
      <c r="F337" s="96">
        <v>3.32</v>
      </c>
      <c r="G337" s="88">
        <v>0</v>
      </c>
      <c r="H337" s="88">
        <v>0</v>
      </c>
      <c r="I337" s="6"/>
    </row>
    <row r="338" spans="1:9" x14ac:dyDescent="0.2">
      <c r="A338" s="5" t="s">
        <v>95</v>
      </c>
      <c r="B338" s="7"/>
      <c r="C338" s="96">
        <v>0.224</v>
      </c>
      <c r="D338" s="88">
        <v>0</v>
      </c>
      <c r="E338" s="88">
        <v>0</v>
      </c>
      <c r="F338" s="88">
        <v>0</v>
      </c>
      <c r="G338" s="88">
        <v>0</v>
      </c>
      <c r="H338" s="88">
        <v>0</v>
      </c>
      <c r="I338" s="6"/>
    </row>
    <row r="339" spans="1:9" x14ac:dyDescent="0.2">
      <c r="A339" s="5" t="s">
        <v>57</v>
      </c>
      <c r="B339" s="7"/>
      <c r="C339" s="96">
        <v>1.972</v>
      </c>
      <c r="D339" s="96">
        <v>0.17</v>
      </c>
      <c r="E339" s="88">
        <v>0</v>
      </c>
      <c r="F339" s="96">
        <v>25.03</v>
      </c>
      <c r="G339" s="88">
        <v>0</v>
      </c>
      <c r="H339" s="88">
        <v>0</v>
      </c>
      <c r="I339" s="6"/>
    </row>
    <row r="340" spans="1:9" x14ac:dyDescent="0.2">
      <c r="A340" s="5" t="s">
        <v>58</v>
      </c>
      <c r="B340" s="7"/>
      <c r="C340" s="96">
        <v>1.633</v>
      </c>
      <c r="D340" s="96">
        <v>0.13400000000000001</v>
      </c>
      <c r="E340" s="88">
        <v>0</v>
      </c>
      <c r="F340" s="96">
        <v>59.25</v>
      </c>
      <c r="G340" s="88">
        <v>0</v>
      </c>
      <c r="H340" s="88">
        <v>0</v>
      </c>
      <c r="I340" s="6"/>
    </row>
    <row r="341" spans="1:9" x14ac:dyDescent="0.2">
      <c r="A341" s="5" t="s">
        <v>72</v>
      </c>
      <c r="B341" s="7"/>
      <c r="C341" s="96">
        <v>1.026</v>
      </c>
      <c r="D341" s="96">
        <v>6.9000000000000006E-2</v>
      </c>
      <c r="E341" s="88">
        <v>0</v>
      </c>
      <c r="F341" s="96">
        <v>240.38</v>
      </c>
      <c r="G341" s="88">
        <v>0</v>
      </c>
      <c r="H341" s="88">
        <v>0</v>
      </c>
      <c r="I341" s="6"/>
    </row>
    <row r="342" spans="1:9" x14ac:dyDescent="0.2">
      <c r="A342" s="5" t="s">
        <v>59</v>
      </c>
      <c r="B342" s="7"/>
      <c r="C342" s="96">
        <v>8.9179999999999993</v>
      </c>
      <c r="D342" s="96">
        <v>0.622</v>
      </c>
      <c r="E342" s="96">
        <v>9.5000000000000001E-2</v>
      </c>
      <c r="F342" s="96">
        <v>11.5</v>
      </c>
      <c r="G342" s="96">
        <v>3.38</v>
      </c>
      <c r="H342" s="96">
        <v>0.24199999999999999</v>
      </c>
      <c r="I342" s="6"/>
    </row>
    <row r="343" spans="1:9" x14ac:dyDescent="0.2">
      <c r="A343" s="5" t="s">
        <v>60</v>
      </c>
      <c r="B343" s="7"/>
      <c r="C343" s="96">
        <v>9.6929999999999996</v>
      </c>
      <c r="D343" s="96">
        <v>0.61199999999999999</v>
      </c>
      <c r="E343" s="96">
        <v>9.4E-2</v>
      </c>
      <c r="F343" s="96">
        <v>33.69</v>
      </c>
      <c r="G343" s="96">
        <v>3.29</v>
      </c>
      <c r="H343" s="96">
        <v>0.245</v>
      </c>
      <c r="I343" s="6"/>
    </row>
    <row r="344" spans="1:9" x14ac:dyDescent="0.2">
      <c r="A344" s="5" t="s">
        <v>73</v>
      </c>
      <c r="B344" s="7"/>
      <c r="C344" s="96">
        <v>7.4420000000000002</v>
      </c>
      <c r="D344" s="96">
        <v>0.378</v>
      </c>
      <c r="E344" s="96">
        <v>0.06</v>
      </c>
      <c r="F344" s="96">
        <v>98.93</v>
      </c>
      <c r="G344" s="96">
        <v>3.14</v>
      </c>
      <c r="H344" s="96">
        <v>0.16900000000000001</v>
      </c>
      <c r="I344" s="6"/>
    </row>
    <row r="345" spans="1:9" x14ac:dyDescent="0.2">
      <c r="A345" s="5" t="s">
        <v>74</v>
      </c>
      <c r="B345" s="7"/>
      <c r="C345" s="96">
        <v>5.79</v>
      </c>
      <c r="D345" s="96">
        <v>0.23599999999999999</v>
      </c>
      <c r="E345" s="96">
        <v>3.9E-2</v>
      </c>
      <c r="F345" s="96">
        <v>129.84</v>
      </c>
      <c r="G345" s="96">
        <v>2.2000000000000002</v>
      </c>
      <c r="H345" s="96">
        <v>0.14000000000000001</v>
      </c>
      <c r="I345" s="6"/>
    </row>
    <row r="346" spans="1:9" x14ac:dyDescent="0.2">
      <c r="A346" s="5" t="s">
        <v>96</v>
      </c>
      <c r="B346" s="7"/>
      <c r="C346" s="96">
        <v>3.0590000000000002</v>
      </c>
      <c r="D346" s="2"/>
      <c r="E346" s="2"/>
      <c r="F346" s="2"/>
      <c r="G346" s="2"/>
      <c r="H346" s="2"/>
      <c r="I346" s="6"/>
    </row>
    <row r="347" spans="1:9" x14ac:dyDescent="0.2">
      <c r="A347" s="5" t="s">
        <v>97</v>
      </c>
      <c r="B347" s="7"/>
      <c r="C347" s="96">
        <v>3.0590000000000002</v>
      </c>
      <c r="D347" s="2"/>
      <c r="E347" s="2"/>
      <c r="F347" s="2"/>
      <c r="G347" s="2"/>
      <c r="H347" s="2"/>
      <c r="I347" s="6"/>
    </row>
    <row r="348" spans="1:9" x14ac:dyDescent="0.2">
      <c r="A348" s="5" t="s">
        <v>98</v>
      </c>
      <c r="B348" s="7"/>
      <c r="C348" s="96">
        <v>3.0590000000000002</v>
      </c>
      <c r="D348" s="2"/>
      <c r="E348" s="2"/>
      <c r="F348" s="2"/>
      <c r="G348" s="2"/>
      <c r="H348" s="2"/>
      <c r="I348" s="6"/>
    </row>
    <row r="349" spans="1:9" x14ac:dyDescent="0.2">
      <c r="A349" s="5" t="s">
        <v>99</v>
      </c>
      <c r="B349" s="7"/>
      <c r="C349" s="96">
        <v>3.0590000000000002</v>
      </c>
      <c r="D349" s="2"/>
      <c r="E349" s="2"/>
      <c r="F349" s="2"/>
      <c r="G349" s="2"/>
      <c r="H349" s="2"/>
      <c r="I349" s="6"/>
    </row>
    <row r="350" spans="1:9" x14ac:dyDescent="0.2">
      <c r="A350" s="5" t="s">
        <v>100</v>
      </c>
      <c r="B350" s="7"/>
      <c r="C350" s="96">
        <v>27.498000000000001</v>
      </c>
      <c r="D350" s="96">
        <v>3.57</v>
      </c>
      <c r="E350" s="96">
        <v>1.8779999999999999</v>
      </c>
      <c r="F350" s="2"/>
      <c r="G350" s="2"/>
      <c r="H350" s="2"/>
      <c r="I350" s="6"/>
    </row>
  </sheetData>
  <dataValidations count="17">
    <dataValidation type="decimal" allowBlank="1" showInputMessage="1" showErrorMessage="1" error="The rate of return must be a non-negative percentage value." sqref="B14">
      <formula1>0</formula1>
      <formula2>4</formula2>
    </dataValidation>
    <dataValidation type="decimal" allowBlank="1" showInputMessage="1" showErrorMessage="1" sqref="C14">
      <formula1>0</formula1>
      <formula2>999999</formula2>
    </dataValidation>
    <dataValidation type="decimal" allowBlank="1" showInputMessage="1" showErrorMessage="1" sqref="E14">
      <formula1>0.001</formula1>
      <formula2>1</formula2>
    </dataValidation>
    <dataValidation type="decimal" allowBlank="1" showInputMessage="1" showErrorMessage="1" error="Must be a non-negative percentage value." sqref="B24:B31">
      <formula1>0</formula1>
      <formula2>4</formula2>
    </dataValidation>
    <dataValidation type="decimal" allowBlank="1" showInputMessage="1" showErrorMessage="1" error="The proportion of load going through 132kV/HV must be between 0% and 100%." sqref="B36">
      <formula1>0</formula1>
      <formula2>1</formula2>
    </dataValidation>
    <dataValidation type="decimal" allowBlank="1" showInputMessage="1" showErrorMessage="1" sqref="B41">
      <formula1>0.001</formula1>
      <formula2>999999.999</formula2>
    </dataValidation>
    <dataValidation type="decimal" operator="greaterThanOrEqual" allowBlank="1" showInputMessage="1" showErrorMessage="1" sqref="B242 B247:C247 E247 B300:D300 B293:D293 B58:I58 B88:I88 B321 B46:B53 B63:F63">
      <formula1>0</formula1>
    </dataValidation>
    <dataValidation type="decimal" allowBlank="1" showInputMessage="1" showErrorMessage="1" error="The number in this cell must be between 0% and 100%." sqref="B68:I81 B93:F99">
      <formula1>0</formula1>
      <formula2>1</formula2>
    </dataValidation>
    <dataValidation type="decimal" operator="greaterThan" allowBlank="1" showInputMessage="1" showErrorMessage="1" sqref="B105:H105">
      <formula1>0</formula1>
    </dataValidation>
    <dataValidation type="decimal" allowBlank="1" showInputMessage="1" showErrorMessage="1" error="The LDNO discount must be between 0% and 100%." sqref="B111:F111">
      <formula1>0</formula1>
      <formula2>1</formula2>
    </dataValidation>
    <dataValidation type="decimal" allowBlank="1" showInputMessage="1" showErrorMessage="1" error="The coincidence factor must be between 0% and 100%." sqref="B117:B134">
      <formula1>0</formula1>
      <formula2>1</formula2>
    </dataValidation>
    <dataValidation type="decimal" allowBlank="1" showInputMessage="1" showErrorMessage="1" error="The load factor must be between 0% and 100%." sqref="C117:C134">
      <formula1>0</formula1>
      <formula2>1</formula2>
    </dataValidation>
    <dataValidation type="textLength" operator="equal" allowBlank="1" showInputMessage="1" showErrorMessage="1" error="This cell should remain blank." sqref="B142:G142 B235:G235 B233:G233 B230:G230 B227:G227 B224:G224 B221:G221 B217:G217 B213:G213 B210:G210 B206:G206 B202:G202 B198:G198 B194:G194 B190:G190 B186:G186 B184:G184 B181:G181 B178:G178 B174:G174 B172:G172 B170:G170 B166:G166 B162:G162 B158:G158 B154:G154 B150:G150 B146:G146">
      <formula1>0</formula1>
    </dataValidation>
    <dataValidation type="decimal" operator="greaterThanOrEqual" allowBlank="1" showInputMessage="1" showErrorMessage="1" errorTitle="Volume data error" error="The volume must be a non-negative number." sqref="B236:G236 B234:G234 B231:G232 B228:G229 B225:G226 B222:G223 B218:G220 B214:G216 B211:G212 B207:G209 B203:G205 B199:G201 B195:G197 B191:G193 B187:G189 B185:G185 B182:G183 B179:G180 B175:G177 B173:G173 B171:G171 B167:G169 B163:G165 B159:G161 B155:G157 B151:G153 B147:G149 B143:G145">
      <formula1>0</formula1>
    </dataValidation>
    <dataValidation type="decimal" allowBlank="1" showInputMessage="1" showErrorMessage="1" sqref="B307:E315 B263:D269 B274:D278 B328:J328 D247 B283:D286">
      <formula1>0</formula1>
      <formula2>1</formula2>
    </dataValidation>
    <dataValidation type="decimal" allowBlank="1" showInputMessage="1" showErrorMessage="1" errorTitle="Invalid customer contribution" error="The customer contribution must be a non-negative percentage value." sqref="B255:I258">
      <formula1>0</formula1>
      <formula2>4</formula2>
    </dataValidation>
    <dataValidation type="decimal" allowBlank="1" showInputMessage="1" showErrorMessage="1" sqref="F14">
      <formula1>1</formula1>
      <formula2>999999</formula2>
    </dataValidation>
  </dataValidations>
  <pageMargins left="0.74803149606299213" right="0.74803149606299213" top="0.98425196850393704" bottom="0.98425196850393704" header="0.51181102362204722" footer="0.51181102362204722"/>
  <pageSetup paperSize="8" scale="51" fitToHeight="0" orientation="portrait" r:id="rId1"/>
  <headerFooter alignWithMargins="0">
    <oddHeader>&amp;L&amp;A&amp;Cr6140&amp;R&amp;P of &amp;N</oddHeader>
    <oddFooter>&amp;F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A1:K81"/>
  <sheetViews>
    <sheetView showGridLines="0" tabSelected="1" zoomScale="80" zoomScaleNormal="80" workbookViewId="0">
      <pane xSplit="1" ySplit="1" topLeftCell="B14" activePane="bottomRight" state="frozen"/>
      <selection pane="topRight"/>
      <selection pane="bottomLeft"/>
      <selection pane="bottomRight" activeCell="B23" sqref="B23"/>
    </sheetView>
  </sheetViews>
  <sheetFormatPr defaultRowHeight="12.75" x14ac:dyDescent="0.2"/>
  <cols>
    <col min="1" max="1" width="50.7109375" customWidth="1"/>
    <col min="2" max="2" width="20.7109375" customWidth="1"/>
    <col min="3" max="3" width="8.42578125" style="104" customWidth="1"/>
    <col min="4" max="251" width="20.7109375" customWidth="1"/>
  </cols>
  <sheetData>
    <row r="1" spans="1:11" ht="19.5" x14ac:dyDescent="0.3">
      <c r="A1" s="15" t="str">
        <f>"r6140: Tariffs"&amp;" for "&amp;Input!B7&amp;" in "&amp;Input!C7&amp;" ("&amp;Input!D7&amp;")"</f>
        <v>r6140: Tariffs for Electricity North West  in 2013/14 (April 2013 Indicative)</v>
      </c>
    </row>
    <row r="3" spans="1:11" ht="16.5" x14ac:dyDescent="0.25">
      <c r="A3" s="3" t="s">
        <v>1381</v>
      </c>
    </row>
    <row r="4" spans="1:11" x14ac:dyDescent="0.2">
      <c r="A4" s="10" t="s">
        <v>238</v>
      </c>
    </row>
    <row r="5" spans="1:11" x14ac:dyDescent="0.2">
      <c r="A5" s="11" t="s">
        <v>1382</v>
      </c>
    </row>
    <row r="6" spans="1:11" x14ac:dyDescent="0.2">
      <c r="A6" s="11" t="s">
        <v>1383</v>
      </c>
    </row>
    <row r="7" spans="1:11" x14ac:dyDescent="0.2">
      <c r="A7" s="11" t="s">
        <v>1384</v>
      </c>
    </row>
    <row r="8" spans="1:11" x14ac:dyDescent="0.2">
      <c r="A8" s="11" t="s">
        <v>1385</v>
      </c>
    </row>
    <row r="9" spans="1:11" x14ac:dyDescent="0.2">
      <c r="A9" s="11" t="s">
        <v>1386</v>
      </c>
    </row>
    <row r="10" spans="1:11" x14ac:dyDescent="0.2">
      <c r="A10" s="11" t="s">
        <v>1387</v>
      </c>
    </row>
    <row r="11" spans="1:11" ht="25.5" x14ac:dyDescent="0.2">
      <c r="A11" s="18" t="s">
        <v>241</v>
      </c>
      <c r="B11" s="18" t="s">
        <v>1388</v>
      </c>
      <c r="C11" s="102" t="s">
        <v>242</v>
      </c>
      <c r="D11" s="18" t="s">
        <v>300</v>
      </c>
      <c r="E11" s="18" t="s">
        <v>300</v>
      </c>
      <c r="F11" s="18" t="s">
        <v>300</v>
      </c>
      <c r="G11" s="18" t="s">
        <v>300</v>
      </c>
      <c r="H11" s="18" t="s">
        <v>300</v>
      </c>
      <c r="I11" s="18" t="s">
        <v>300</v>
      </c>
      <c r="J11" s="18" t="s">
        <v>1388</v>
      </c>
    </row>
    <row r="12" spans="1:11" x14ac:dyDescent="0.2">
      <c r="A12" s="18" t="s">
        <v>244</v>
      </c>
      <c r="B12" s="18" t="s">
        <v>245</v>
      </c>
      <c r="C12" s="102" t="s">
        <v>245</v>
      </c>
      <c r="D12" s="18" t="s">
        <v>865</v>
      </c>
      <c r="E12" s="18" t="s">
        <v>303</v>
      </c>
      <c r="F12" s="18" t="s">
        <v>1389</v>
      </c>
      <c r="G12" s="18" t="s">
        <v>1390</v>
      </c>
      <c r="H12" s="18" t="s">
        <v>730</v>
      </c>
      <c r="I12" s="18" t="s">
        <v>1391</v>
      </c>
      <c r="J12" s="18" t="s">
        <v>245</v>
      </c>
    </row>
    <row r="14" spans="1:11" ht="25.5" x14ac:dyDescent="0.2">
      <c r="B14" s="4" t="s">
        <v>1392</v>
      </c>
      <c r="C14" s="4" t="s">
        <v>1393</v>
      </c>
      <c r="D14" s="4" t="s">
        <v>1319</v>
      </c>
      <c r="E14" s="4" t="s">
        <v>1320</v>
      </c>
      <c r="F14" s="4" t="s">
        <v>1321</v>
      </c>
      <c r="G14" s="4" t="s">
        <v>1322</v>
      </c>
      <c r="H14" s="4" t="s">
        <v>1323</v>
      </c>
      <c r="I14" s="4" t="s">
        <v>957</v>
      </c>
      <c r="J14" s="4" t="s">
        <v>1394</v>
      </c>
    </row>
    <row r="15" spans="1:11" x14ac:dyDescent="0.2">
      <c r="A15" s="5" t="s">
        <v>53</v>
      </c>
      <c r="B15" s="109" t="s">
        <v>1840</v>
      </c>
      <c r="C15" s="103">
        <v>1</v>
      </c>
      <c r="D15" s="20">
        <f>Adjust!B$227</f>
        <v>2.887</v>
      </c>
      <c r="E15" s="20">
        <f>Adjust!C$227</f>
        <v>0</v>
      </c>
      <c r="F15" s="20">
        <f>Adjust!D$227</f>
        <v>0</v>
      </c>
      <c r="G15" s="29">
        <f>Adjust!E$227</f>
        <v>3.42</v>
      </c>
      <c r="H15" s="29">
        <f>Adjust!F$227</f>
        <v>0</v>
      </c>
      <c r="I15" s="20">
        <f>Adjust!G$227</f>
        <v>0</v>
      </c>
      <c r="J15" s="1"/>
      <c r="K15" s="6"/>
    </row>
    <row r="16" spans="1:11" ht="25.5" x14ac:dyDescent="0.2">
      <c r="A16" s="5" t="s">
        <v>54</v>
      </c>
      <c r="B16" s="109" t="s">
        <v>1841</v>
      </c>
      <c r="C16" s="103">
        <v>2</v>
      </c>
      <c r="D16" s="20">
        <f>Adjust!B$231</f>
        <v>2.992</v>
      </c>
      <c r="E16" s="20">
        <f>Adjust!C$231</f>
        <v>0.29099999999999998</v>
      </c>
      <c r="F16" s="20">
        <f>Adjust!D$231</f>
        <v>0</v>
      </c>
      <c r="G16" s="29">
        <f>Adjust!E$231</f>
        <v>3.42</v>
      </c>
      <c r="H16" s="29">
        <f>Adjust!F$231</f>
        <v>0</v>
      </c>
      <c r="I16" s="20">
        <f>Adjust!G$231</f>
        <v>0</v>
      </c>
      <c r="J16" s="1"/>
      <c r="K16" s="6"/>
    </row>
    <row r="17" spans="1:11" x14ac:dyDescent="0.2">
      <c r="A17" s="5" t="s">
        <v>94</v>
      </c>
      <c r="B17" s="109" t="s">
        <v>1842</v>
      </c>
      <c r="C17" s="103">
        <v>2</v>
      </c>
      <c r="D17" s="20">
        <f>Adjust!B$235</f>
        <v>0.30399999999999999</v>
      </c>
      <c r="E17" s="20">
        <f>Adjust!C$235</f>
        <v>0</v>
      </c>
      <c r="F17" s="20">
        <f>Adjust!D$235</f>
        <v>0</v>
      </c>
      <c r="G17" s="29">
        <f>Adjust!E$235</f>
        <v>0</v>
      </c>
      <c r="H17" s="29">
        <f>Adjust!F$235</f>
        <v>0</v>
      </c>
      <c r="I17" s="20">
        <f>Adjust!G$235</f>
        <v>0</v>
      </c>
      <c r="J17" s="1"/>
      <c r="K17" s="6"/>
    </row>
    <row r="18" spans="1:11" x14ac:dyDescent="0.2">
      <c r="A18" s="5" t="s">
        <v>55</v>
      </c>
      <c r="B18" s="109" t="s">
        <v>1843</v>
      </c>
      <c r="C18" s="103">
        <v>3</v>
      </c>
      <c r="D18" s="20">
        <f>Adjust!B$239</f>
        <v>2.4119999999999999</v>
      </c>
      <c r="E18" s="20">
        <f>Adjust!C$239</f>
        <v>0</v>
      </c>
      <c r="F18" s="20">
        <f>Adjust!D$239</f>
        <v>0</v>
      </c>
      <c r="G18" s="29">
        <f>Adjust!E$239</f>
        <v>3.42</v>
      </c>
      <c r="H18" s="29">
        <f>Adjust!F$239</f>
        <v>0</v>
      </c>
      <c r="I18" s="20">
        <f>Adjust!G$239</f>
        <v>0</v>
      </c>
      <c r="J18" s="1"/>
      <c r="K18" s="6"/>
    </row>
    <row r="19" spans="1:11" x14ac:dyDescent="0.2">
      <c r="A19" s="5" t="s">
        <v>56</v>
      </c>
      <c r="B19" s="109" t="s">
        <v>1844</v>
      </c>
      <c r="C19" s="103">
        <v>4</v>
      </c>
      <c r="D19" s="20">
        <f>Adjust!B$243</f>
        <v>2.5529999999999999</v>
      </c>
      <c r="E19" s="20">
        <f>Adjust!C$243</f>
        <v>0.251</v>
      </c>
      <c r="F19" s="20">
        <f>Adjust!D$243</f>
        <v>0</v>
      </c>
      <c r="G19" s="29">
        <f>Adjust!E$243</f>
        <v>3.42</v>
      </c>
      <c r="H19" s="29">
        <f>Adjust!F$243</f>
        <v>0</v>
      </c>
      <c r="I19" s="20">
        <f>Adjust!G$243</f>
        <v>0</v>
      </c>
      <c r="J19" s="1"/>
      <c r="K19" s="6"/>
    </row>
    <row r="20" spans="1:11" x14ac:dyDescent="0.2">
      <c r="A20" s="5" t="s">
        <v>95</v>
      </c>
      <c r="B20" s="109" t="s">
        <v>1845</v>
      </c>
      <c r="C20" s="103">
        <v>4</v>
      </c>
      <c r="D20" s="20">
        <f>Adjust!B$247</f>
        <v>0.252</v>
      </c>
      <c r="E20" s="20">
        <f>Adjust!C$247</f>
        <v>0</v>
      </c>
      <c r="F20" s="20">
        <f>Adjust!D$247</f>
        <v>0</v>
      </c>
      <c r="G20" s="29">
        <f>Adjust!E$247</f>
        <v>0</v>
      </c>
      <c r="H20" s="29">
        <f>Adjust!F$247</f>
        <v>0</v>
      </c>
      <c r="I20" s="20">
        <f>Adjust!G$247</f>
        <v>0</v>
      </c>
      <c r="J20" s="1"/>
      <c r="K20" s="6"/>
    </row>
    <row r="21" spans="1:11" x14ac:dyDescent="0.2">
      <c r="A21" s="5" t="s">
        <v>57</v>
      </c>
      <c r="B21" s="109" t="s">
        <v>1846</v>
      </c>
      <c r="C21" s="103" t="s">
        <v>1395</v>
      </c>
      <c r="D21" s="20">
        <f>Adjust!B$251</f>
        <v>2.448</v>
      </c>
      <c r="E21" s="20">
        <f>Adjust!C$251</f>
        <v>0.22500000000000001</v>
      </c>
      <c r="F21" s="20">
        <f>Adjust!D$251</f>
        <v>0</v>
      </c>
      <c r="G21" s="29">
        <f>Adjust!E$251</f>
        <v>24.2</v>
      </c>
      <c r="H21" s="29">
        <f>Adjust!F$251</f>
        <v>0</v>
      </c>
      <c r="I21" s="20">
        <f>Adjust!G$251</f>
        <v>0</v>
      </c>
      <c r="J21" s="1"/>
      <c r="K21" s="6"/>
    </row>
    <row r="22" spans="1:11" x14ac:dyDescent="0.2">
      <c r="A22" s="5" t="s">
        <v>58</v>
      </c>
      <c r="B22" s="109" t="s">
        <v>1847</v>
      </c>
      <c r="C22" s="103" t="s">
        <v>1395</v>
      </c>
      <c r="D22" s="20">
        <f>Adjust!B$255</f>
        <v>2.0699999999999998</v>
      </c>
      <c r="E22" s="20">
        <f>Adjust!C$255</f>
        <v>0.186</v>
      </c>
      <c r="F22" s="20">
        <f>Adjust!D$255</f>
        <v>0</v>
      </c>
      <c r="G22" s="29">
        <f>Adjust!E$255</f>
        <v>57.08</v>
      </c>
      <c r="H22" s="29">
        <f>Adjust!F$255</f>
        <v>0</v>
      </c>
      <c r="I22" s="20">
        <f>Adjust!G$255</f>
        <v>0</v>
      </c>
      <c r="J22" s="1"/>
      <c r="K22" s="6"/>
    </row>
    <row r="23" spans="1:11" x14ac:dyDescent="0.2">
      <c r="A23" s="5" t="s">
        <v>72</v>
      </c>
      <c r="B23" s="109"/>
      <c r="C23" s="103" t="s">
        <v>1395</v>
      </c>
      <c r="D23" s="20">
        <f>Adjust!B$257</f>
        <v>1.44</v>
      </c>
      <c r="E23" s="20">
        <f>Adjust!C$257</f>
        <v>0.123</v>
      </c>
      <c r="F23" s="20">
        <f>Adjust!D$257</f>
        <v>0</v>
      </c>
      <c r="G23" s="29">
        <f>Adjust!E$257</f>
        <v>254.67</v>
      </c>
      <c r="H23" s="29">
        <f>Adjust!F$257</f>
        <v>0</v>
      </c>
      <c r="I23" s="20">
        <f>Adjust!G$257</f>
        <v>0</v>
      </c>
      <c r="J23" s="109" t="s">
        <v>1848</v>
      </c>
      <c r="K23" s="6"/>
    </row>
    <row r="24" spans="1:11" x14ac:dyDescent="0.2">
      <c r="A24" s="5" t="s">
        <v>59</v>
      </c>
      <c r="B24" s="109">
        <v>801</v>
      </c>
      <c r="C24" s="112">
        <v>0</v>
      </c>
      <c r="D24" s="20">
        <f>Adjust!B$259</f>
        <v>11.537000000000001</v>
      </c>
      <c r="E24" s="20">
        <f>Adjust!C$259</f>
        <v>0.94099999999999995</v>
      </c>
      <c r="F24" s="20">
        <f>Adjust!D$259</f>
        <v>0.14199999999999999</v>
      </c>
      <c r="G24" s="29">
        <f>Adjust!E$259</f>
        <v>11.93</v>
      </c>
      <c r="H24" s="29">
        <f>Adjust!F$259</f>
        <v>3.35</v>
      </c>
      <c r="I24" s="20">
        <f>Adjust!G$259</f>
        <v>0.316</v>
      </c>
      <c r="J24" s="1"/>
      <c r="K24" s="6"/>
    </row>
    <row r="25" spans="1:11" x14ac:dyDescent="0.2">
      <c r="A25" s="5" t="s">
        <v>60</v>
      </c>
      <c r="B25" s="109">
        <v>802</v>
      </c>
      <c r="C25" s="112">
        <v>0</v>
      </c>
      <c r="D25" s="20">
        <f>Adjust!B$263</f>
        <v>11.547000000000001</v>
      </c>
      <c r="E25" s="20">
        <f>Adjust!C$263</f>
        <v>0.89</v>
      </c>
      <c r="F25" s="20">
        <f>Adjust!D$263</f>
        <v>0.13700000000000001</v>
      </c>
      <c r="G25" s="29">
        <f>Adjust!E$263</f>
        <v>34.94</v>
      </c>
      <c r="H25" s="29">
        <f>Adjust!F$263</f>
        <v>3.29</v>
      </c>
      <c r="I25" s="20">
        <f>Adjust!G$263</f>
        <v>0.29699999999999999</v>
      </c>
      <c r="J25" s="1"/>
      <c r="K25" s="6"/>
    </row>
    <row r="26" spans="1:11" x14ac:dyDescent="0.2">
      <c r="A26" s="5" t="s">
        <v>73</v>
      </c>
      <c r="B26" s="109">
        <v>803</v>
      </c>
      <c r="C26" s="112">
        <v>0</v>
      </c>
      <c r="D26" s="20">
        <f>Adjust!B$266</f>
        <v>8.8230000000000004</v>
      </c>
      <c r="E26" s="20">
        <f>Adjust!C$266</f>
        <v>0.60799999999999998</v>
      </c>
      <c r="F26" s="20">
        <f>Adjust!D$266</f>
        <v>9.8000000000000004E-2</v>
      </c>
      <c r="G26" s="29">
        <f>Adjust!E$266</f>
        <v>102.6</v>
      </c>
      <c r="H26" s="29">
        <f>Adjust!F$266</f>
        <v>3.19</v>
      </c>
      <c r="I26" s="20">
        <f>Adjust!G$266</f>
        <v>0.20599999999999999</v>
      </c>
      <c r="J26" s="1"/>
      <c r="K26" s="6"/>
    </row>
    <row r="27" spans="1:11" x14ac:dyDescent="0.2">
      <c r="A27" s="5" t="s">
        <v>74</v>
      </c>
      <c r="B27" s="109"/>
      <c r="C27" s="112">
        <v>0</v>
      </c>
      <c r="D27" s="20">
        <f>Adjust!B$269</f>
        <v>7.2069999999999999</v>
      </c>
      <c r="E27" s="20">
        <f>Adjust!C$269</f>
        <v>0.45200000000000001</v>
      </c>
      <c r="F27" s="20">
        <f>Adjust!D$269</f>
        <v>7.5999999999999998E-2</v>
      </c>
      <c r="G27" s="29">
        <f>Adjust!E$269</f>
        <v>134.66</v>
      </c>
      <c r="H27" s="29">
        <f>Adjust!F$269</f>
        <v>2.25</v>
      </c>
      <c r="I27" s="20">
        <f>Adjust!G$269</f>
        <v>0.17499999999999999</v>
      </c>
      <c r="J27" s="110">
        <v>804</v>
      </c>
      <c r="K27" s="6"/>
    </row>
    <row r="28" spans="1:11" x14ac:dyDescent="0.2">
      <c r="A28" s="5" t="s">
        <v>96</v>
      </c>
      <c r="B28" s="110">
        <v>761</v>
      </c>
      <c r="C28" s="103">
        <v>8</v>
      </c>
      <c r="D28" s="20">
        <f>Adjust!B$271</f>
        <v>2.7189999999999999</v>
      </c>
      <c r="E28" s="20">
        <f>Adjust!C$271</f>
        <v>0</v>
      </c>
      <c r="F28" s="20">
        <f>Adjust!D$271</f>
        <v>0</v>
      </c>
      <c r="G28" s="29">
        <f>Adjust!E$271</f>
        <v>0</v>
      </c>
      <c r="H28" s="29">
        <f>Adjust!F$271</f>
        <v>0</v>
      </c>
      <c r="I28" s="20">
        <f>Adjust!G$271</f>
        <v>0</v>
      </c>
      <c r="J28" s="1"/>
      <c r="K28" s="6"/>
    </row>
    <row r="29" spans="1:11" x14ac:dyDescent="0.2">
      <c r="A29" s="5" t="s">
        <v>97</v>
      </c>
      <c r="B29" s="110">
        <v>771</v>
      </c>
      <c r="C29" s="103">
        <v>1</v>
      </c>
      <c r="D29" s="20">
        <f>Adjust!B$275</f>
        <v>3.1829999999999998</v>
      </c>
      <c r="E29" s="20">
        <f>Adjust!C$275</f>
        <v>0</v>
      </c>
      <c r="F29" s="20">
        <f>Adjust!D$275</f>
        <v>0</v>
      </c>
      <c r="G29" s="29">
        <f>Adjust!E$275</f>
        <v>0</v>
      </c>
      <c r="H29" s="29">
        <f>Adjust!F$275</f>
        <v>0</v>
      </c>
      <c r="I29" s="20">
        <f>Adjust!G$275</f>
        <v>0</v>
      </c>
      <c r="J29" s="1"/>
      <c r="K29" s="6"/>
    </row>
    <row r="30" spans="1:11" x14ac:dyDescent="0.2">
      <c r="A30" s="5" t="s">
        <v>98</v>
      </c>
      <c r="B30" s="110">
        <v>781</v>
      </c>
      <c r="C30" s="103">
        <v>1</v>
      </c>
      <c r="D30" s="20">
        <f>Adjust!B$279</f>
        <v>4.5869999999999997</v>
      </c>
      <c r="E30" s="20">
        <f>Adjust!C$279</f>
        <v>0</v>
      </c>
      <c r="F30" s="20">
        <f>Adjust!D$279</f>
        <v>0</v>
      </c>
      <c r="G30" s="29">
        <f>Adjust!E$279</f>
        <v>0</v>
      </c>
      <c r="H30" s="29">
        <f>Adjust!F$279</f>
        <v>0</v>
      </c>
      <c r="I30" s="20">
        <f>Adjust!G$279</f>
        <v>0</v>
      </c>
      <c r="J30" s="1"/>
      <c r="K30" s="6"/>
    </row>
    <row r="31" spans="1:11" x14ac:dyDescent="0.2">
      <c r="A31" s="5" t="s">
        <v>99</v>
      </c>
      <c r="B31" s="110">
        <v>791</v>
      </c>
      <c r="C31" s="103">
        <v>1</v>
      </c>
      <c r="D31" s="20">
        <f>Adjust!B$283</f>
        <v>2.4390000000000001</v>
      </c>
      <c r="E31" s="20">
        <f>Adjust!C$283</f>
        <v>0</v>
      </c>
      <c r="F31" s="20">
        <f>Adjust!D$283</f>
        <v>0</v>
      </c>
      <c r="G31" s="29">
        <f>Adjust!E$283</f>
        <v>0</v>
      </c>
      <c r="H31" s="29">
        <f>Adjust!F$283</f>
        <v>0</v>
      </c>
      <c r="I31" s="20">
        <f>Adjust!G$283</f>
        <v>0</v>
      </c>
      <c r="J31" s="1"/>
      <c r="K31" s="6"/>
    </row>
    <row r="32" spans="1:11" x14ac:dyDescent="0.2">
      <c r="A32" s="5" t="s">
        <v>100</v>
      </c>
      <c r="B32" s="109">
        <v>811</v>
      </c>
      <c r="C32" s="112">
        <v>0</v>
      </c>
      <c r="D32" s="20">
        <f>Adjust!B$287</f>
        <v>42.508000000000003</v>
      </c>
      <c r="E32" s="20">
        <f>Adjust!C$287</f>
        <v>2.4710000000000001</v>
      </c>
      <c r="F32" s="20">
        <f>Adjust!D$287</f>
        <v>1.6220000000000001</v>
      </c>
      <c r="G32" s="29">
        <f>Adjust!E$287</f>
        <v>0</v>
      </c>
      <c r="H32" s="29">
        <f>Adjust!F$287</f>
        <v>0</v>
      </c>
      <c r="I32" s="20">
        <f>Adjust!G$287</f>
        <v>0</v>
      </c>
      <c r="J32" s="1"/>
      <c r="K32" s="6"/>
    </row>
    <row r="33" spans="1:11" x14ac:dyDescent="0.2">
      <c r="A33" s="5" t="s">
        <v>61</v>
      </c>
      <c r="B33" s="109">
        <v>961</v>
      </c>
      <c r="C33" s="103">
        <v>8</v>
      </c>
      <c r="D33" s="20">
        <f>Adjust!B$291</f>
        <v>-0.89800000000000002</v>
      </c>
      <c r="E33" s="20">
        <f>Adjust!C$291</f>
        <v>0</v>
      </c>
      <c r="F33" s="20">
        <f>Adjust!D$291</f>
        <v>0</v>
      </c>
      <c r="G33" s="29">
        <f>Adjust!E$291</f>
        <v>0</v>
      </c>
      <c r="H33" s="29">
        <f>Adjust!F$291</f>
        <v>0</v>
      </c>
      <c r="I33" s="20">
        <f>Adjust!G$291</f>
        <v>0</v>
      </c>
      <c r="J33" s="1"/>
      <c r="K33" s="6"/>
    </row>
    <row r="34" spans="1:11" x14ac:dyDescent="0.2">
      <c r="A34" s="5" t="s">
        <v>62</v>
      </c>
      <c r="B34" s="109">
        <v>962</v>
      </c>
      <c r="C34" s="103">
        <v>8</v>
      </c>
      <c r="D34" s="20">
        <f>Adjust!B$295</f>
        <v>-0.7</v>
      </c>
      <c r="E34" s="20">
        <f>Adjust!C$295</f>
        <v>0</v>
      </c>
      <c r="F34" s="20">
        <f>Adjust!D$295</f>
        <v>0</v>
      </c>
      <c r="G34" s="29">
        <f>Adjust!E$295</f>
        <v>0</v>
      </c>
      <c r="H34" s="29">
        <f>Adjust!F$295</f>
        <v>0</v>
      </c>
      <c r="I34" s="20">
        <f>Adjust!G$295</f>
        <v>0</v>
      </c>
      <c r="J34" s="1"/>
      <c r="K34" s="6"/>
    </row>
    <row r="35" spans="1:11" x14ac:dyDescent="0.2">
      <c r="A35" s="5" t="s">
        <v>63</v>
      </c>
      <c r="B35" s="109">
        <v>971</v>
      </c>
      <c r="C35" s="112">
        <v>0</v>
      </c>
      <c r="D35" s="20">
        <f>Adjust!B$298</f>
        <v>-0.89800000000000002</v>
      </c>
      <c r="E35" s="20">
        <f>Adjust!C$298</f>
        <v>0</v>
      </c>
      <c r="F35" s="20">
        <f>Adjust!D$298</f>
        <v>0</v>
      </c>
      <c r="G35" s="29">
        <f>Adjust!E$298</f>
        <v>0</v>
      </c>
      <c r="H35" s="29">
        <f>Adjust!F$298</f>
        <v>0</v>
      </c>
      <c r="I35" s="20">
        <f>Adjust!G$298</f>
        <v>0.22900000000000001</v>
      </c>
      <c r="J35" s="1"/>
      <c r="K35" s="6"/>
    </row>
    <row r="36" spans="1:11" x14ac:dyDescent="0.2">
      <c r="A36" s="5" t="s">
        <v>64</v>
      </c>
      <c r="B36" s="109">
        <v>981</v>
      </c>
      <c r="C36" s="112">
        <v>0</v>
      </c>
      <c r="D36" s="20">
        <f>Adjust!B$302</f>
        <v>-8.907</v>
      </c>
      <c r="E36" s="20">
        <f>Adjust!C$302</f>
        <v>-0.93100000000000005</v>
      </c>
      <c r="F36" s="20">
        <f>Adjust!D$302</f>
        <v>-0.129</v>
      </c>
      <c r="G36" s="29">
        <f>Adjust!E$302</f>
        <v>0</v>
      </c>
      <c r="H36" s="29">
        <f>Adjust!F$302</f>
        <v>0</v>
      </c>
      <c r="I36" s="20">
        <f>Adjust!G$302</f>
        <v>0.22900000000000001</v>
      </c>
      <c r="J36" s="1"/>
      <c r="K36" s="6"/>
    </row>
    <row r="37" spans="1:11" x14ac:dyDescent="0.2">
      <c r="A37" s="5" t="s">
        <v>65</v>
      </c>
      <c r="B37" s="109">
        <v>972</v>
      </c>
      <c r="C37" s="112">
        <v>0</v>
      </c>
      <c r="D37" s="20">
        <f>Adjust!B$306</f>
        <v>-0.7</v>
      </c>
      <c r="E37" s="20">
        <f>Adjust!C$306</f>
        <v>0</v>
      </c>
      <c r="F37" s="20">
        <f>Adjust!D$306</f>
        <v>0</v>
      </c>
      <c r="G37" s="29">
        <f>Adjust!E$306</f>
        <v>0</v>
      </c>
      <c r="H37" s="29">
        <f>Adjust!F$306</f>
        <v>0</v>
      </c>
      <c r="I37" s="20">
        <f>Adjust!G$306</f>
        <v>0.185</v>
      </c>
      <c r="J37" s="1"/>
      <c r="K37" s="6"/>
    </row>
    <row r="38" spans="1:11" x14ac:dyDescent="0.2">
      <c r="A38" s="5" t="s">
        <v>66</v>
      </c>
      <c r="B38" s="109">
        <v>982</v>
      </c>
      <c r="C38" s="112">
        <v>0</v>
      </c>
      <c r="D38" s="20">
        <f>Adjust!B$309</f>
        <v>-7.0010000000000003</v>
      </c>
      <c r="E38" s="20">
        <f>Adjust!C$309</f>
        <v>-0.71599999999999997</v>
      </c>
      <c r="F38" s="20">
        <f>Adjust!D$309</f>
        <v>-0.1</v>
      </c>
      <c r="G38" s="29">
        <f>Adjust!E$309</f>
        <v>0</v>
      </c>
      <c r="H38" s="29">
        <f>Adjust!F$309</f>
        <v>0</v>
      </c>
      <c r="I38" s="20">
        <f>Adjust!G$309</f>
        <v>0.185</v>
      </c>
      <c r="J38" s="1"/>
      <c r="K38" s="6"/>
    </row>
    <row r="39" spans="1:11" x14ac:dyDescent="0.2">
      <c r="A39" s="5" t="s">
        <v>75</v>
      </c>
      <c r="B39" s="109">
        <v>973</v>
      </c>
      <c r="C39" s="112">
        <v>0</v>
      </c>
      <c r="D39" s="20">
        <f>Adjust!B$312</f>
        <v>-0.44400000000000001</v>
      </c>
      <c r="E39" s="20">
        <f>Adjust!C$312</f>
        <v>0</v>
      </c>
      <c r="F39" s="20">
        <f>Adjust!D$312</f>
        <v>0</v>
      </c>
      <c r="G39" s="29">
        <f>Adjust!E$312</f>
        <v>6.36</v>
      </c>
      <c r="H39" s="29">
        <f>Adjust!F$312</f>
        <v>0</v>
      </c>
      <c r="I39" s="20">
        <f>Adjust!G$312</f>
        <v>0.125</v>
      </c>
      <c r="J39" s="1"/>
      <c r="K39" s="6"/>
    </row>
    <row r="40" spans="1:11" x14ac:dyDescent="0.2">
      <c r="A40" s="5" t="s">
        <v>76</v>
      </c>
      <c r="B40" s="109">
        <v>983</v>
      </c>
      <c r="C40" s="112">
        <v>0</v>
      </c>
      <c r="D40" s="20">
        <f>Adjust!B$315</f>
        <v>-4.5460000000000003</v>
      </c>
      <c r="E40" s="20">
        <f>Adjust!C$315</f>
        <v>-0.435</v>
      </c>
      <c r="F40" s="20">
        <f>Adjust!D$315</f>
        <v>-6.2E-2</v>
      </c>
      <c r="G40" s="29">
        <f>Adjust!E$315</f>
        <v>6.36</v>
      </c>
      <c r="H40" s="29">
        <f>Adjust!F$315</f>
        <v>0</v>
      </c>
      <c r="I40" s="20">
        <f>Adjust!G$315</f>
        <v>0.125</v>
      </c>
      <c r="J40" s="1"/>
      <c r="K40" s="6"/>
    </row>
    <row r="41" spans="1:11" x14ac:dyDescent="0.2">
      <c r="A41" s="5" t="s">
        <v>77</v>
      </c>
      <c r="B41" s="109"/>
      <c r="C41" s="112">
        <v>0</v>
      </c>
      <c r="D41" s="20">
        <f>Adjust!B$318</f>
        <v>-0.29399999999999998</v>
      </c>
      <c r="E41" s="20">
        <f>Adjust!C$318</f>
        <v>0</v>
      </c>
      <c r="F41" s="20">
        <f>Adjust!D$318</f>
        <v>0</v>
      </c>
      <c r="G41" s="29">
        <f>Adjust!E$318</f>
        <v>6.36</v>
      </c>
      <c r="H41" s="29">
        <f>Adjust!F$318</f>
        <v>0</v>
      </c>
      <c r="I41" s="20">
        <f>Adjust!G$318</f>
        <v>7.0000000000000007E-2</v>
      </c>
      <c r="J41" s="109" t="s">
        <v>1850</v>
      </c>
      <c r="K41" s="6"/>
    </row>
    <row r="42" spans="1:11" x14ac:dyDescent="0.2">
      <c r="A42" s="5" t="s">
        <v>78</v>
      </c>
      <c r="B42" s="109"/>
      <c r="C42" s="112">
        <v>0</v>
      </c>
      <c r="D42" s="20">
        <f>Adjust!B$320</f>
        <v>-3.1110000000000002</v>
      </c>
      <c r="E42" s="20">
        <f>Adjust!C$320</f>
        <v>-0.27100000000000002</v>
      </c>
      <c r="F42" s="20">
        <f>Adjust!D$320</f>
        <v>-0.04</v>
      </c>
      <c r="G42" s="29">
        <f>Adjust!E$320</f>
        <v>6.36</v>
      </c>
      <c r="H42" s="29">
        <f>Adjust!F$320</f>
        <v>0</v>
      </c>
      <c r="I42" s="20">
        <f>Adjust!G$320</f>
        <v>7.0000000000000007E-2</v>
      </c>
      <c r="J42" s="109" t="s">
        <v>1849</v>
      </c>
      <c r="K42" s="6"/>
    </row>
    <row r="43" spans="1:11" x14ac:dyDescent="0.2">
      <c r="A43" s="5" t="s">
        <v>112</v>
      </c>
      <c r="B43" s="1"/>
      <c r="C43" s="103">
        <v>1</v>
      </c>
      <c r="D43" s="20">
        <f>Adjust!B$228</f>
        <v>1.9470000000000001</v>
      </c>
      <c r="E43" s="20">
        <f>Adjust!C$228</f>
        <v>0</v>
      </c>
      <c r="F43" s="20">
        <f>Adjust!D$228</f>
        <v>0</v>
      </c>
      <c r="G43" s="29">
        <f>Adjust!E$228</f>
        <v>2.31</v>
      </c>
      <c r="H43" s="29">
        <f>Adjust!F$228</f>
        <v>0</v>
      </c>
      <c r="I43" s="20">
        <f>Adjust!G$228</f>
        <v>0</v>
      </c>
      <c r="J43" s="1"/>
      <c r="K43" s="6"/>
    </row>
    <row r="44" spans="1:11" x14ac:dyDescent="0.2">
      <c r="A44" s="5" t="s">
        <v>115</v>
      </c>
      <c r="B44" s="1"/>
      <c r="C44" s="103">
        <v>2</v>
      </c>
      <c r="D44" s="20">
        <f>Adjust!B$232</f>
        <v>2.0179999999999998</v>
      </c>
      <c r="E44" s="20">
        <f>Adjust!C$232</f>
        <v>0.19600000000000001</v>
      </c>
      <c r="F44" s="20">
        <f>Adjust!D$232</f>
        <v>0</v>
      </c>
      <c r="G44" s="29">
        <f>Adjust!E$232</f>
        <v>2.31</v>
      </c>
      <c r="H44" s="29">
        <f>Adjust!F$232</f>
        <v>0</v>
      </c>
      <c r="I44" s="20">
        <f>Adjust!G$232</f>
        <v>0</v>
      </c>
      <c r="J44" s="1"/>
      <c r="K44" s="6"/>
    </row>
    <row r="45" spans="1:11" x14ac:dyDescent="0.2">
      <c r="A45" s="5" t="s">
        <v>118</v>
      </c>
      <c r="B45" s="1"/>
      <c r="C45" s="103">
        <v>2</v>
      </c>
      <c r="D45" s="20">
        <f>Adjust!B$236</f>
        <v>0.20499999999999999</v>
      </c>
      <c r="E45" s="20">
        <f>Adjust!C$236</f>
        <v>0</v>
      </c>
      <c r="F45" s="20">
        <f>Adjust!D$236</f>
        <v>0</v>
      </c>
      <c r="G45" s="29">
        <f>Adjust!E$236</f>
        <v>0</v>
      </c>
      <c r="H45" s="29">
        <f>Adjust!F$236</f>
        <v>0</v>
      </c>
      <c r="I45" s="20">
        <f>Adjust!G$236</f>
        <v>0</v>
      </c>
      <c r="J45" s="1"/>
      <c r="K45" s="6"/>
    </row>
    <row r="46" spans="1:11" x14ac:dyDescent="0.2">
      <c r="A46" s="5" t="s">
        <v>121</v>
      </c>
      <c r="B46" s="1"/>
      <c r="C46" s="103">
        <v>3</v>
      </c>
      <c r="D46" s="20">
        <f>Adjust!B$240</f>
        <v>1.627</v>
      </c>
      <c r="E46" s="20">
        <f>Adjust!C$240</f>
        <v>0</v>
      </c>
      <c r="F46" s="20">
        <f>Adjust!D$240</f>
        <v>0</v>
      </c>
      <c r="G46" s="29">
        <f>Adjust!E$240</f>
        <v>2.31</v>
      </c>
      <c r="H46" s="29">
        <f>Adjust!F$240</f>
        <v>0</v>
      </c>
      <c r="I46" s="20">
        <f>Adjust!G$240</f>
        <v>0</v>
      </c>
      <c r="J46" s="1"/>
      <c r="K46" s="6"/>
    </row>
    <row r="47" spans="1:11" x14ac:dyDescent="0.2">
      <c r="A47" s="5" t="s">
        <v>124</v>
      </c>
      <c r="B47" s="1"/>
      <c r="C47" s="103">
        <v>4</v>
      </c>
      <c r="D47" s="20">
        <f>Adjust!B$244</f>
        <v>1.722</v>
      </c>
      <c r="E47" s="20">
        <f>Adjust!C$244</f>
        <v>0.16900000000000001</v>
      </c>
      <c r="F47" s="20">
        <f>Adjust!D$244</f>
        <v>0</v>
      </c>
      <c r="G47" s="29">
        <f>Adjust!E$244</f>
        <v>2.31</v>
      </c>
      <c r="H47" s="29">
        <f>Adjust!F$244</f>
        <v>0</v>
      </c>
      <c r="I47" s="20">
        <f>Adjust!G$244</f>
        <v>0</v>
      </c>
      <c r="J47" s="1"/>
      <c r="K47" s="6"/>
    </row>
    <row r="48" spans="1:11" ht="25.5" x14ac:dyDescent="0.2">
      <c r="A48" s="5" t="s">
        <v>127</v>
      </c>
      <c r="B48" s="1"/>
      <c r="C48" s="103">
        <v>4</v>
      </c>
      <c r="D48" s="20">
        <f>Adjust!B$248</f>
        <v>0.17</v>
      </c>
      <c r="E48" s="20">
        <f>Adjust!C$248</f>
        <v>0</v>
      </c>
      <c r="F48" s="20">
        <f>Adjust!D$248</f>
        <v>0</v>
      </c>
      <c r="G48" s="29">
        <f>Adjust!E$248</f>
        <v>0</v>
      </c>
      <c r="H48" s="29">
        <f>Adjust!F$248</f>
        <v>0</v>
      </c>
      <c r="I48" s="20">
        <f>Adjust!G$248</f>
        <v>0</v>
      </c>
      <c r="J48" s="1"/>
      <c r="K48" s="6"/>
    </row>
    <row r="49" spans="1:11" x14ac:dyDescent="0.2">
      <c r="A49" s="5" t="s">
        <v>130</v>
      </c>
      <c r="B49" s="1"/>
      <c r="C49" s="103" t="s">
        <v>1395</v>
      </c>
      <c r="D49" s="20">
        <f>Adjust!B$252</f>
        <v>1.651</v>
      </c>
      <c r="E49" s="20">
        <f>Adjust!C$252</f>
        <v>0.152</v>
      </c>
      <c r="F49" s="20">
        <f>Adjust!D$252</f>
        <v>0</v>
      </c>
      <c r="G49" s="29">
        <f>Adjust!E$252</f>
        <v>16.32</v>
      </c>
      <c r="H49" s="29">
        <f>Adjust!F$252</f>
        <v>0</v>
      </c>
      <c r="I49" s="20">
        <f>Adjust!G$252</f>
        <v>0</v>
      </c>
      <c r="J49" s="1"/>
      <c r="K49" s="6"/>
    </row>
    <row r="50" spans="1:11" x14ac:dyDescent="0.2">
      <c r="A50" s="5" t="s">
        <v>135</v>
      </c>
      <c r="B50" s="1"/>
      <c r="C50" s="112">
        <v>0</v>
      </c>
      <c r="D50" s="20">
        <f>Adjust!B$260</f>
        <v>7.782</v>
      </c>
      <c r="E50" s="20">
        <f>Adjust!C$260</f>
        <v>0.63500000000000001</v>
      </c>
      <c r="F50" s="20">
        <f>Adjust!D$260</f>
        <v>9.6000000000000002E-2</v>
      </c>
      <c r="G50" s="29">
        <f>Adjust!E$260</f>
        <v>8.0500000000000007</v>
      </c>
      <c r="H50" s="29">
        <f>Adjust!F$260</f>
        <v>2.2599999999999998</v>
      </c>
      <c r="I50" s="20">
        <f>Adjust!G$260</f>
        <v>0.21299999999999999</v>
      </c>
      <c r="J50" s="1"/>
      <c r="K50" s="6"/>
    </row>
    <row r="51" spans="1:11" x14ac:dyDescent="0.2">
      <c r="A51" s="5" t="s">
        <v>143</v>
      </c>
      <c r="B51" s="1"/>
      <c r="C51" s="103">
        <v>8</v>
      </c>
      <c r="D51" s="20">
        <f>Adjust!B$272</f>
        <v>1.8340000000000001</v>
      </c>
      <c r="E51" s="20">
        <f>Adjust!C$272</f>
        <v>0</v>
      </c>
      <c r="F51" s="20">
        <f>Adjust!D$272</f>
        <v>0</v>
      </c>
      <c r="G51" s="29">
        <f>Adjust!E$272</f>
        <v>0</v>
      </c>
      <c r="H51" s="29">
        <f>Adjust!F$272</f>
        <v>0</v>
      </c>
      <c r="I51" s="20">
        <f>Adjust!G$272</f>
        <v>0</v>
      </c>
      <c r="J51" s="1"/>
      <c r="K51" s="6"/>
    </row>
    <row r="52" spans="1:11" x14ac:dyDescent="0.2">
      <c r="A52" s="5" t="s">
        <v>146</v>
      </c>
      <c r="B52" s="1"/>
      <c r="C52" s="103">
        <v>1</v>
      </c>
      <c r="D52" s="20">
        <f>Adjust!B$276</f>
        <v>2.1469999999999998</v>
      </c>
      <c r="E52" s="20">
        <f>Adjust!C$276</f>
        <v>0</v>
      </c>
      <c r="F52" s="20">
        <f>Adjust!D$276</f>
        <v>0</v>
      </c>
      <c r="G52" s="29">
        <f>Adjust!E$276</f>
        <v>0</v>
      </c>
      <c r="H52" s="29">
        <f>Adjust!F$276</f>
        <v>0</v>
      </c>
      <c r="I52" s="20">
        <f>Adjust!G$276</f>
        <v>0</v>
      </c>
      <c r="J52" s="1"/>
      <c r="K52" s="6"/>
    </row>
    <row r="53" spans="1:11" x14ac:dyDescent="0.2">
      <c r="A53" s="5" t="s">
        <v>149</v>
      </c>
      <c r="B53" s="1"/>
      <c r="C53" s="103">
        <v>1</v>
      </c>
      <c r="D53" s="20">
        <f>Adjust!B$280</f>
        <v>3.0939999999999999</v>
      </c>
      <c r="E53" s="20">
        <f>Adjust!C$280</f>
        <v>0</v>
      </c>
      <c r="F53" s="20">
        <f>Adjust!D$280</f>
        <v>0</v>
      </c>
      <c r="G53" s="29">
        <f>Adjust!E$280</f>
        <v>0</v>
      </c>
      <c r="H53" s="29">
        <f>Adjust!F$280</f>
        <v>0</v>
      </c>
      <c r="I53" s="20">
        <f>Adjust!G$280</f>
        <v>0</v>
      </c>
      <c r="J53" s="1"/>
      <c r="K53" s="6"/>
    </row>
    <row r="54" spans="1:11" x14ac:dyDescent="0.2">
      <c r="A54" s="5" t="s">
        <v>152</v>
      </c>
      <c r="B54" s="1"/>
      <c r="C54" s="103">
        <v>1</v>
      </c>
      <c r="D54" s="20">
        <f>Adjust!B$284</f>
        <v>1.645</v>
      </c>
      <c r="E54" s="20">
        <f>Adjust!C$284</f>
        <v>0</v>
      </c>
      <c r="F54" s="20">
        <f>Adjust!D$284</f>
        <v>0</v>
      </c>
      <c r="G54" s="29">
        <f>Adjust!E$284</f>
        <v>0</v>
      </c>
      <c r="H54" s="29">
        <f>Adjust!F$284</f>
        <v>0</v>
      </c>
      <c r="I54" s="20">
        <f>Adjust!G$284</f>
        <v>0</v>
      </c>
      <c r="J54" s="1"/>
      <c r="K54" s="6"/>
    </row>
    <row r="55" spans="1:11" x14ac:dyDescent="0.2">
      <c r="A55" s="5" t="s">
        <v>155</v>
      </c>
      <c r="B55" s="1"/>
      <c r="C55" s="112">
        <v>0</v>
      </c>
      <c r="D55" s="20">
        <f>Adjust!B$288</f>
        <v>28.672000000000001</v>
      </c>
      <c r="E55" s="20">
        <f>Adjust!C$288</f>
        <v>1.667</v>
      </c>
      <c r="F55" s="20">
        <f>Adjust!D$288</f>
        <v>1.0940000000000001</v>
      </c>
      <c r="G55" s="29">
        <f>Adjust!E$288</f>
        <v>0</v>
      </c>
      <c r="H55" s="29">
        <f>Adjust!F$288</f>
        <v>0</v>
      </c>
      <c r="I55" s="20">
        <f>Adjust!G$288</f>
        <v>0</v>
      </c>
      <c r="J55" s="1"/>
      <c r="K55" s="6"/>
    </row>
    <row r="56" spans="1:11" x14ac:dyDescent="0.2">
      <c r="A56" s="5" t="s">
        <v>158</v>
      </c>
      <c r="B56" s="1"/>
      <c r="C56" s="103">
        <v>8</v>
      </c>
      <c r="D56" s="20">
        <f>Adjust!B$292</f>
        <v>-0.89800000000000002</v>
      </c>
      <c r="E56" s="20">
        <f>Adjust!C$292</f>
        <v>0</v>
      </c>
      <c r="F56" s="20">
        <f>Adjust!D$292</f>
        <v>0</v>
      </c>
      <c r="G56" s="29">
        <f>Adjust!E$292</f>
        <v>0</v>
      </c>
      <c r="H56" s="29">
        <f>Adjust!F$292</f>
        <v>0</v>
      </c>
      <c r="I56" s="20">
        <f>Adjust!G$292</f>
        <v>0</v>
      </c>
      <c r="J56" s="1"/>
      <c r="K56" s="6"/>
    </row>
    <row r="57" spans="1:11" x14ac:dyDescent="0.2">
      <c r="A57" s="5" t="s">
        <v>163</v>
      </c>
      <c r="B57" s="1"/>
      <c r="C57" s="112">
        <v>0</v>
      </c>
      <c r="D57" s="20">
        <f>Adjust!B$299</f>
        <v>-0.89800000000000002</v>
      </c>
      <c r="E57" s="20">
        <f>Adjust!C$299</f>
        <v>0</v>
      </c>
      <c r="F57" s="20">
        <f>Adjust!D$299</f>
        <v>0</v>
      </c>
      <c r="G57" s="29">
        <f>Adjust!E$299</f>
        <v>0</v>
      </c>
      <c r="H57" s="29">
        <f>Adjust!F$299</f>
        <v>0</v>
      </c>
      <c r="I57" s="20">
        <f>Adjust!G$299</f>
        <v>0.22900000000000001</v>
      </c>
      <c r="J57" s="1"/>
      <c r="K57" s="6"/>
    </row>
    <row r="58" spans="1:11" x14ac:dyDescent="0.2">
      <c r="A58" s="5" t="s">
        <v>166</v>
      </c>
      <c r="B58" s="1"/>
      <c r="C58" s="112">
        <v>0</v>
      </c>
      <c r="D58" s="20">
        <f>Adjust!B$303</f>
        <v>-8.907</v>
      </c>
      <c r="E58" s="20">
        <f>Adjust!C$303</f>
        <v>-0.93100000000000005</v>
      </c>
      <c r="F58" s="20">
        <f>Adjust!D$303</f>
        <v>-0.129</v>
      </c>
      <c r="G58" s="29">
        <f>Adjust!E$303</f>
        <v>0</v>
      </c>
      <c r="H58" s="29">
        <f>Adjust!F$303</f>
        <v>0</v>
      </c>
      <c r="I58" s="20">
        <f>Adjust!G$303</f>
        <v>0.22900000000000001</v>
      </c>
      <c r="J58" s="1"/>
      <c r="K58" s="6"/>
    </row>
    <row r="59" spans="1:11" x14ac:dyDescent="0.2">
      <c r="A59" s="5" t="s">
        <v>113</v>
      </c>
      <c r="B59" s="1"/>
      <c r="C59" s="103">
        <v>1</v>
      </c>
      <c r="D59" s="20">
        <f>Adjust!B$229</f>
        <v>1.306</v>
      </c>
      <c r="E59" s="20">
        <f>Adjust!C$229</f>
        <v>0</v>
      </c>
      <c r="F59" s="20">
        <f>Adjust!D$229</f>
        <v>0</v>
      </c>
      <c r="G59" s="29">
        <f>Adjust!E$229</f>
        <v>1.55</v>
      </c>
      <c r="H59" s="29">
        <f>Adjust!F$229</f>
        <v>0</v>
      </c>
      <c r="I59" s="20">
        <f>Adjust!G$229</f>
        <v>0</v>
      </c>
      <c r="J59" s="1"/>
      <c r="K59" s="6"/>
    </row>
    <row r="60" spans="1:11" x14ac:dyDescent="0.2">
      <c r="A60" s="5" t="s">
        <v>116</v>
      </c>
      <c r="B60" s="1"/>
      <c r="C60" s="103">
        <v>2</v>
      </c>
      <c r="D60" s="20">
        <f>Adjust!B$233</f>
        <v>1.353</v>
      </c>
      <c r="E60" s="20">
        <f>Adjust!C$233</f>
        <v>0.13200000000000001</v>
      </c>
      <c r="F60" s="20">
        <f>Adjust!D$233</f>
        <v>0</v>
      </c>
      <c r="G60" s="29">
        <f>Adjust!E$233</f>
        <v>1.55</v>
      </c>
      <c r="H60" s="29">
        <f>Adjust!F$233</f>
        <v>0</v>
      </c>
      <c r="I60" s="20">
        <f>Adjust!G$233</f>
        <v>0</v>
      </c>
      <c r="J60" s="1"/>
      <c r="K60" s="6"/>
    </row>
    <row r="61" spans="1:11" x14ac:dyDescent="0.2">
      <c r="A61" s="5" t="s">
        <v>119</v>
      </c>
      <c r="B61" s="1"/>
      <c r="C61" s="103">
        <v>2</v>
      </c>
      <c r="D61" s="20">
        <f>Adjust!B$237</f>
        <v>0.13700000000000001</v>
      </c>
      <c r="E61" s="20">
        <f>Adjust!C$237</f>
        <v>0</v>
      </c>
      <c r="F61" s="20">
        <f>Adjust!D$237</f>
        <v>0</v>
      </c>
      <c r="G61" s="29">
        <f>Adjust!E$237</f>
        <v>0</v>
      </c>
      <c r="H61" s="29">
        <f>Adjust!F$237</f>
        <v>0</v>
      </c>
      <c r="I61" s="20">
        <f>Adjust!G$237</f>
        <v>0</v>
      </c>
      <c r="J61" s="1"/>
      <c r="K61" s="6"/>
    </row>
    <row r="62" spans="1:11" x14ac:dyDescent="0.2">
      <c r="A62" s="5" t="s">
        <v>122</v>
      </c>
      <c r="B62" s="1"/>
      <c r="C62" s="103">
        <v>3</v>
      </c>
      <c r="D62" s="20">
        <f>Adjust!B$241</f>
        <v>1.091</v>
      </c>
      <c r="E62" s="20">
        <f>Adjust!C$241</f>
        <v>0</v>
      </c>
      <c r="F62" s="20">
        <f>Adjust!D$241</f>
        <v>0</v>
      </c>
      <c r="G62" s="29">
        <f>Adjust!E$241</f>
        <v>1.55</v>
      </c>
      <c r="H62" s="29">
        <f>Adjust!F$241</f>
        <v>0</v>
      </c>
      <c r="I62" s="20">
        <f>Adjust!G$241</f>
        <v>0</v>
      </c>
      <c r="J62" s="1"/>
      <c r="K62" s="6"/>
    </row>
    <row r="63" spans="1:11" x14ac:dyDescent="0.2">
      <c r="A63" s="5" t="s">
        <v>125</v>
      </c>
      <c r="B63" s="1"/>
      <c r="C63" s="103">
        <v>4</v>
      </c>
      <c r="D63" s="20">
        <f>Adjust!B$245</f>
        <v>1.155</v>
      </c>
      <c r="E63" s="20">
        <f>Adjust!C$245</f>
        <v>0.114</v>
      </c>
      <c r="F63" s="20">
        <f>Adjust!D$245</f>
        <v>0</v>
      </c>
      <c r="G63" s="29">
        <f>Adjust!E$245</f>
        <v>1.55</v>
      </c>
      <c r="H63" s="29">
        <f>Adjust!F$245</f>
        <v>0</v>
      </c>
      <c r="I63" s="20">
        <f>Adjust!G$245</f>
        <v>0</v>
      </c>
      <c r="J63" s="1"/>
      <c r="K63" s="6"/>
    </row>
    <row r="64" spans="1:11" ht="25.5" x14ac:dyDescent="0.2">
      <c r="A64" s="5" t="s">
        <v>128</v>
      </c>
      <c r="B64" s="1"/>
      <c r="C64" s="103">
        <v>4</v>
      </c>
      <c r="D64" s="20">
        <f>Adjust!B$249</f>
        <v>0.114</v>
      </c>
      <c r="E64" s="20">
        <f>Adjust!C$249</f>
        <v>0</v>
      </c>
      <c r="F64" s="20">
        <f>Adjust!D$249</f>
        <v>0</v>
      </c>
      <c r="G64" s="29">
        <f>Adjust!E$249</f>
        <v>0</v>
      </c>
      <c r="H64" s="29">
        <f>Adjust!F$249</f>
        <v>0</v>
      </c>
      <c r="I64" s="20">
        <f>Adjust!G$249</f>
        <v>0</v>
      </c>
      <c r="J64" s="1"/>
      <c r="K64" s="6"/>
    </row>
    <row r="65" spans="1:11" x14ac:dyDescent="0.2">
      <c r="A65" s="5" t="s">
        <v>131</v>
      </c>
      <c r="B65" s="1"/>
      <c r="C65" s="103" t="s">
        <v>1395</v>
      </c>
      <c r="D65" s="20">
        <f>Adjust!B$253</f>
        <v>1.107</v>
      </c>
      <c r="E65" s="20">
        <f>Adjust!C$253</f>
        <v>0.10199999999999999</v>
      </c>
      <c r="F65" s="20">
        <f>Adjust!D$253</f>
        <v>0</v>
      </c>
      <c r="G65" s="29">
        <f>Adjust!E$253</f>
        <v>10.94</v>
      </c>
      <c r="H65" s="29">
        <f>Adjust!F$253</f>
        <v>0</v>
      </c>
      <c r="I65" s="20">
        <f>Adjust!G$253</f>
        <v>0</v>
      </c>
      <c r="J65" s="1"/>
      <c r="K65" s="6"/>
    </row>
    <row r="66" spans="1:11" x14ac:dyDescent="0.2">
      <c r="A66" s="5" t="s">
        <v>136</v>
      </c>
      <c r="B66" s="1"/>
      <c r="C66" s="112">
        <v>0</v>
      </c>
      <c r="D66" s="20">
        <f>Adjust!B$261</f>
        <v>5.218</v>
      </c>
      <c r="E66" s="20">
        <f>Adjust!C$261</f>
        <v>0.42599999999999999</v>
      </c>
      <c r="F66" s="20">
        <f>Adjust!D$261</f>
        <v>6.4000000000000001E-2</v>
      </c>
      <c r="G66" s="29">
        <f>Adjust!E$261</f>
        <v>5.4</v>
      </c>
      <c r="H66" s="29">
        <f>Adjust!F$261</f>
        <v>1.52</v>
      </c>
      <c r="I66" s="20">
        <f>Adjust!G$261</f>
        <v>0.14299999999999999</v>
      </c>
      <c r="J66" s="1"/>
      <c r="K66" s="6"/>
    </row>
    <row r="67" spans="1:11" x14ac:dyDescent="0.2">
      <c r="A67" s="5" t="s">
        <v>138</v>
      </c>
      <c r="B67" s="1"/>
      <c r="C67" s="112">
        <v>0</v>
      </c>
      <c r="D67" s="20">
        <f>Adjust!B$264</f>
        <v>7.9740000000000002</v>
      </c>
      <c r="E67" s="20">
        <f>Adjust!C$264</f>
        <v>0.61499999999999999</v>
      </c>
      <c r="F67" s="20">
        <f>Adjust!D$264</f>
        <v>9.5000000000000001E-2</v>
      </c>
      <c r="G67" s="29">
        <f>Adjust!E$264</f>
        <v>24.13</v>
      </c>
      <c r="H67" s="29">
        <f>Adjust!F$264</f>
        <v>2.27</v>
      </c>
      <c r="I67" s="20">
        <f>Adjust!G$264</f>
        <v>0.20499999999999999</v>
      </c>
      <c r="J67" s="1"/>
      <c r="K67" s="6"/>
    </row>
    <row r="68" spans="1:11" x14ac:dyDescent="0.2">
      <c r="A68" s="5" t="s">
        <v>140</v>
      </c>
      <c r="B68" s="1"/>
      <c r="C68" s="112">
        <v>0</v>
      </c>
      <c r="D68" s="20">
        <f>Adjust!B$267</f>
        <v>7.1180000000000003</v>
      </c>
      <c r="E68" s="20">
        <f>Adjust!C$267</f>
        <v>0.49099999999999999</v>
      </c>
      <c r="F68" s="20">
        <f>Adjust!D$267</f>
        <v>7.9000000000000001E-2</v>
      </c>
      <c r="G68" s="29">
        <f>Adjust!E$267</f>
        <v>82.78</v>
      </c>
      <c r="H68" s="29">
        <f>Adjust!F$267</f>
        <v>2.57</v>
      </c>
      <c r="I68" s="20">
        <f>Adjust!G$267</f>
        <v>0.16600000000000001</v>
      </c>
      <c r="J68" s="1"/>
      <c r="K68" s="6"/>
    </row>
    <row r="69" spans="1:11" x14ac:dyDescent="0.2">
      <c r="A69" s="5" t="s">
        <v>144</v>
      </c>
      <c r="B69" s="1"/>
      <c r="C69" s="103">
        <v>8</v>
      </c>
      <c r="D69" s="20">
        <f>Adjust!B$273</f>
        <v>1.23</v>
      </c>
      <c r="E69" s="20">
        <f>Adjust!C$273</f>
        <v>0</v>
      </c>
      <c r="F69" s="20">
        <f>Adjust!D$273</f>
        <v>0</v>
      </c>
      <c r="G69" s="29">
        <f>Adjust!E$273</f>
        <v>0</v>
      </c>
      <c r="H69" s="29">
        <f>Adjust!F$273</f>
        <v>0</v>
      </c>
      <c r="I69" s="20">
        <f>Adjust!G$273</f>
        <v>0</v>
      </c>
      <c r="J69" s="1"/>
      <c r="K69" s="6"/>
    </row>
    <row r="70" spans="1:11" x14ac:dyDescent="0.2">
      <c r="A70" s="5" t="s">
        <v>147</v>
      </c>
      <c r="B70" s="1"/>
      <c r="C70" s="103">
        <v>1</v>
      </c>
      <c r="D70" s="20">
        <f>Adjust!B$277</f>
        <v>1.4390000000000001</v>
      </c>
      <c r="E70" s="20">
        <f>Adjust!C$277</f>
        <v>0</v>
      </c>
      <c r="F70" s="20">
        <f>Adjust!D$277</f>
        <v>0</v>
      </c>
      <c r="G70" s="29">
        <f>Adjust!E$277</f>
        <v>0</v>
      </c>
      <c r="H70" s="29">
        <f>Adjust!F$277</f>
        <v>0</v>
      </c>
      <c r="I70" s="20">
        <f>Adjust!G$277</f>
        <v>0</v>
      </c>
      <c r="J70" s="1"/>
      <c r="K70" s="6"/>
    </row>
    <row r="71" spans="1:11" x14ac:dyDescent="0.2">
      <c r="A71" s="5" t="s">
        <v>150</v>
      </c>
      <c r="B71" s="1"/>
      <c r="C71" s="103">
        <v>1</v>
      </c>
      <c r="D71" s="20">
        <f>Adjust!B$281</f>
        <v>2.0739999999999998</v>
      </c>
      <c r="E71" s="20">
        <f>Adjust!C$281</f>
        <v>0</v>
      </c>
      <c r="F71" s="20">
        <f>Adjust!D$281</f>
        <v>0</v>
      </c>
      <c r="G71" s="29">
        <f>Adjust!E$281</f>
        <v>0</v>
      </c>
      <c r="H71" s="29">
        <f>Adjust!F$281</f>
        <v>0</v>
      </c>
      <c r="I71" s="20">
        <f>Adjust!G$281</f>
        <v>0</v>
      </c>
      <c r="J71" s="1"/>
      <c r="K71" s="6"/>
    </row>
    <row r="72" spans="1:11" x14ac:dyDescent="0.2">
      <c r="A72" s="5" t="s">
        <v>153</v>
      </c>
      <c r="B72" s="1"/>
      <c r="C72" s="103">
        <v>1</v>
      </c>
      <c r="D72" s="20">
        <f>Adjust!B$285</f>
        <v>1.103</v>
      </c>
      <c r="E72" s="20">
        <f>Adjust!C$285</f>
        <v>0</v>
      </c>
      <c r="F72" s="20">
        <f>Adjust!D$285</f>
        <v>0</v>
      </c>
      <c r="G72" s="29">
        <f>Adjust!E$285</f>
        <v>0</v>
      </c>
      <c r="H72" s="29">
        <f>Adjust!F$285</f>
        <v>0</v>
      </c>
      <c r="I72" s="20">
        <f>Adjust!G$285</f>
        <v>0</v>
      </c>
      <c r="J72" s="1"/>
      <c r="K72" s="6"/>
    </row>
    <row r="73" spans="1:11" x14ac:dyDescent="0.2">
      <c r="A73" s="5" t="s">
        <v>156</v>
      </c>
      <c r="B73" s="1"/>
      <c r="C73" s="112">
        <v>0</v>
      </c>
      <c r="D73" s="20">
        <f>Adjust!B$289</f>
        <v>19.224</v>
      </c>
      <c r="E73" s="20">
        <f>Adjust!C$289</f>
        <v>1.117</v>
      </c>
      <c r="F73" s="20">
        <f>Adjust!D$289</f>
        <v>0.73399999999999999</v>
      </c>
      <c r="G73" s="29">
        <f>Adjust!E$289</f>
        <v>0</v>
      </c>
      <c r="H73" s="29">
        <f>Adjust!F$289</f>
        <v>0</v>
      </c>
      <c r="I73" s="20">
        <f>Adjust!G$289</f>
        <v>0</v>
      </c>
      <c r="J73" s="1"/>
      <c r="K73" s="6"/>
    </row>
    <row r="74" spans="1:11" x14ac:dyDescent="0.2">
      <c r="A74" s="5" t="s">
        <v>159</v>
      </c>
      <c r="B74" s="1"/>
      <c r="C74" s="103">
        <v>8</v>
      </c>
      <c r="D74" s="20">
        <f>Adjust!B$293</f>
        <v>-0.89800000000000002</v>
      </c>
      <c r="E74" s="20">
        <f>Adjust!C$293</f>
        <v>0</v>
      </c>
      <c r="F74" s="20">
        <f>Adjust!D$293</f>
        <v>0</v>
      </c>
      <c r="G74" s="29">
        <f>Adjust!E$293</f>
        <v>0</v>
      </c>
      <c r="H74" s="29">
        <f>Adjust!F$293</f>
        <v>0</v>
      </c>
      <c r="I74" s="20">
        <f>Adjust!G$293</f>
        <v>0</v>
      </c>
      <c r="J74" s="1"/>
      <c r="K74" s="6"/>
    </row>
    <row r="75" spans="1:11" x14ac:dyDescent="0.2">
      <c r="A75" s="5" t="s">
        <v>161</v>
      </c>
      <c r="B75" s="1"/>
      <c r="C75" s="103">
        <v>8</v>
      </c>
      <c r="D75" s="20">
        <f>Adjust!B$296</f>
        <v>-0.7</v>
      </c>
      <c r="E75" s="20">
        <f>Adjust!C$296</f>
        <v>0</v>
      </c>
      <c r="F75" s="20">
        <f>Adjust!D$296</f>
        <v>0</v>
      </c>
      <c r="G75" s="29">
        <f>Adjust!E$296</f>
        <v>0</v>
      </c>
      <c r="H75" s="29">
        <f>Adjust!F$296</f>
        <v>0</v>
      </c>
      <c r="I75" s="20">
        <f>Adjust!G$296</f>
        <v>0</v>
      </c>
      <c r="J75" s="1"/>
      <c r="K75" s="6"/>
    </row>
    <row r="76" spans="1:11" x14ac:dyDescent="0.2">
      <c r="A76" s="5" t="s">
        <v>164</v>
      </c>
      <c r="B76" s="1"/>
      <c r="C76" s="112">
        <v>0</v>
      </c>
      <c r="D76" s="20">
        <f>Adjust!B$300</f>
        <v>-0.89800000000000002</v>
      </c>
      <c r="E76" s="20">
        <f>Adjust!C$300</f>
        <v>0</v>
      </c>
      <c r="F76" s="20">
        <f>Adjust!D$300</f>
        <v>0</v>
      </c>
      <c r="G76" s="29">
        <f>Adjust!E$300</f>
        <v>0</v>
      </c>
      <c r="H76" s="29">
        <f>Adjust!F$300</f>
        <v>0</v>
      </c>
      <c r="I76" s="20">
        <f>Adjust!G$300</f>
        <v>0.22900000000000001</v>
      </c>
      <c r="J76" s="1"/>
      <c r="K76" s="6"/>
    </row>
    <row r="77" spans="1:11" x14ac:dyDescent="0.2">
      <c r="A77" s="5" t="s">
        <v>167</v>
      </c>
      <c r="B77" s="1"/>
      <c r="C77" s="112">
        <v>0</v>
      </c>
      <c r="D77" s="20">
        <f>Adjust!B$304</f>
        <v>-8.907</v>
      </c>
      <c r="E77" s="20">
        <f>Adjust!C$304</f>
        <v>-0.93100000000000005</v>
      </c>
      <c r="F77" s="20">
        <f>Adjust!D$304</f>
        <v>-0.129</v>
      </c>
      <c r="G77" s="29">
        <f>Adjust!E$304</f>
        <v>0</v>
      </c>
      <c r="H77" s="29">
        <f>Adjust!F$304</f>
        <v>0</v>
      </c>
      <c r="I77" s="20">
        <f>Adjust!G$304</f>
        <v>0.22900000000000001</v>
      </c>
      <c r="J77" s="1"/>
      <c r="K77" s="6"/>
    </row>
    <row r="78" spans="1:11" x14ac:dyDescent="0.2">
      <c r="A78" s="5" t="s">
        <v>169</v>
      </c>
      <c r="B78" s="1"/>
      <c r="C78" s="112">
        <v>0</v>
      </c>
      <c r="D78" s="20">
        <f>Adjust!B$307</f>
        <v>-0.7</v>
      </c>
      <c r="E78" s="20">
        <f>Adjust!C$307</f>
        <v>0</v>
      </c>
      <c r="F78" s="20">
        <f>Adjust!D$307</f>
        <v>0</v>
      </c>
      <c r="G78" s="29">
        <f>Adjust!E$307</f>
        <v>0</v>
      </c>
      <c r="H78" s="29">
        <f>Adjust!F$307</f>
        <v>0</v>
      </c>
      <c r="I78" s="20">
        <f>Adjust!G$307</f>
        <v>0.185</v>
      </c>
      <c r="J78" s="1"/>
      <c r="K78" s="6"/>
    </row>
    <row r="79" spans="1:11" x14ac:dyDescent="0.2">
      <c r="A79" s="5" t="s">
        <v>171</v>
      </c>
      <c r="B79" s="1"/>
      <c r="C79" s="112">
        <v>0</v>
      </c>
      <c r="D79" s="20">
        <f>Adjust!B$310</f>
        <v>-7.0010000000000003</v>
      </c>
      <c r="E79" s="20">
        <f>Adjust!C$310</f>
        <v>-0.71599999999999997</v>
      </c>
      <c r="F79" s="20">
        <f>Adjust!D$310</f>
        <v>-0.1</v>
      </c>
      <c r="G79" s="29">
        <f>Adjust!E$310</f>
        <v>0</v>
      </c>
      <c r="H79" s="29">
        <f>Adjust!F$310</f>
        <v>0</v>
      </c>
      <c r="I79" s="20">
        <f>Adjust!G$310</f>
        <v>0.185</v>
      </c>
      <c r="J79" s="1"/>
      <c r="K79" s="6"/>
    </row>
    <row r="80" spans="1:11" x14ac:dyDescent="0.2">
      <c r="A80" s="5" t="s">
        <v>173</v>
      </c>
      <c r="B80" s="1"/>
      <c r="C80" s="112">
        <v>0</v>
      </c>
      <c r="D80" s="20">
        <f>Adjust!B$313</f>
        <v>-0.44400000000000001</v>
      </c>
      <c r="E80" s="20">
        <f>Adjust!C$313</f>
        <v>0</v>
      </c>
      <c r="F80" s="20">
        <f>Adjust!D$313</f>
        <v>0</v>
      </c>
      <c r="G80" s="29">
        <f>Adjust!E$313</f>
        <v>0</v>
      </c>
      <c r="H80" s="29">
        <f>Adjust!F$313</f>
        <v>0</v>
      </c>
      <c r="I80" s="20">
        <f>Adjust!G$313</f>
        <v>0.125</v>
      </c>
      <c r="J80" s="1"/>
      <c r="K80" s="6"/>
    </row>
    <row r="81" spans="1:11" x14ac:dyDescent="0.2">
      <c r="A81" s="5" t="s">
        <v>175</v>
      </c>
      <c r="B81" s="1"/>
      <c r="C81" s="112">
        <v>0</v>
      </c>
      <c r="D81" s="20">
        <f>Adjust!B$316</f>
        <v>-4.5460000000000003</v>
      </c>
      <c r="E81" s="20">
        <f>Adjust!C$316</f>
        <v>-0.435</v>
      </c>
      <c r="F81" s="20">
        <f>Adjust!D$316</f>
        <v>-6.2E-2</v>
      </c>
      <c r="G81" s="29">
        <f>Adjust!E$316</f>
        <v>0</v>
      </c>
      <c r="H81" s="29">
        <f>Adjust!F$316</f>
        <v>0</v>
      </c>
      <c r="I81" s="20">
        <f>Adjust!G$316</f>
        <v>0.125</v>
      </c>
      <c r="J81" s="1"/>
      <c r="K81" s="6"/>
    </row>
  </sheetData>
  <hyperlinks>
    <hyperlink ref="A5" location="'Adjust'!B228" display="'Adjust'!B228"/>
    <hyperlink ref="A6" location="'Adjust'!C228" display="'Adjust'!C228"/>
    <hyperlink ref="A7" location="'Adjust'!D228" display="'Adjust'!D228"/>
    <hyperlink ref="A8" location="'Adjust'!E228" display="'Adjust'!E228"/>
    <hyperlink ref="A9" location="'Adjust'!F228" display="'Adjust'!F228"/>
    <hyperlink ref="A10" location="'Adjust'!G228" display="'Adjust'!G228"/>
  </hyperlinks>
  <pageMargins left="0.75" right="0.75" top="1" bottom="1" header="0.5" footer="0.5"/>
  <pageSetup paperSize="9" scale="35" orientation="portrait" r:id="rId1"/>
  <headerFooter alignWithMargins="0">
    <oddHeader>&amp;L&amp;A&amp;Cr6140&amp;R&amp;P of &amp;N</oddHeader>
    <oddFooter>&amp;F</oddFooter>
  </headerFooter>
  <ignoredErrors>
    <ignoredError sqref="J41:J42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A1:U165"/>
  <sheetViews>
    <sheetView showGridLines="0" zoomScale="70" zoomScaleNormal="70" workbookViewId="0">
      <pane xSplit="1" ySplit="1" topLeftCell="G43" activePane="bottomRight" state="frozen"/>
      <selection pane="topRight"/>
      <selection pane="bottomLeft"/>
      <selection pane="bottomRight" activeCell="J57" sqref="J57"/>
    </sheetView>
  </sheetViews>
  <sheetFormatPr defaultRowHeight="12.75" x14ac:dyDescent="0.2"/>
  <cols>
    <col min="1" max="1" width="50.7109375" customWidth="1"/>
    <col min="2" max="251" width="20.7109375" customWidth="1"/>
  </cols>
  <sheetData>
    <row r="1" spans="1:1" ht="19.5" x14ac:dyDescent="0.3">
      <c r="A1" s="15" t="str">
        <f>"r6140: Summary statistics"&amp;" for "&amp;Input!B7&amp;" in "&amp;Input!C7&amp;" ("&amp;Input!D7&amp;")"</f>
        <v>r6140: Summary statistics for Electricity North West  in 2013/14 (April 2013 Indicative)</v>
      </c>
    </row>
    <row r="2" spans="1:1" x14ac:dyDescent="0.2">
      <c r="A2" s="10" t="s">
        <v>1396</v>
      </c>
    </row>
    <row r="4" spans="1:1" ht="16.5" x14ac:dyDescent="0.25">
      <c r="A4" s="3" t="s">
        <v>1397</v>
      </c>
    </row>
    <row r="5" spans="1:1" x14ac:dyDescent="0.2">
      <c r="A5" s="10" t="s">
        <v>1398</v>
      </c>
    </row>
    <row r="6" spans="1:1" x14ac:dyDescent="0.2">
      <c r="A6" s="10" t="s">
        <v>1399</v>
      </c>
    </row>
    <row r="7" spans="1:1" x14ac:dyDescent="0.2">
      <c r="A7" s="10" t="s">
        <v>1400</v>
      </c>
    </row>
    <row r="8" spans="1:1" x14ac:dyDescent="0.2">
      <c r="A8" s="10" t="s">
        <v>1401</v>
      </c>
    </row>
    <row r="9" spans="1:1" x14ac:dyDescent="0.2">
      <c r="A9" s="10" t="s">
        <v>1402</v>
      </c>
    </row>
    <row r="10" spans="1:1" x14ac:dyDescent="0.2">
      <c r="A10" s="10" t="s">
        <v>1403</v>
      </c>
    </row>
    <row r="11" spans="1:1" x14ac:dyDescent="0.2">
      <c r="A11" s="10" t="s">
        <v>1404</v>
      </c>
    </row>
    <row r="12" spans="1:1" x14ac:dyDescent="0.2">
      <c r="A12" s="10" t="s">
        <v>1405</v>
      </c>
    </row>
    <row r="13" spans="1:1" x14ac:dyDescent="0.2">
      <c r="A13" s="10" t="s">
        <v>1406</v>
      </c>
    </row>
    <row r="14" spans="1:1" x14ac:dyDescent="0.2">
      <c r="A14" s="10" t="s">
        <v>1407</v>
      </c>
    </row>
    <row r="15" spans="1:1" x14ac:dyDescent="0.2">
      <c r="A15" s="10" t="s">
        <v>238</v>
      </c>
    </row>
    <row r="16" spans="1:1" x14ac:dyDescent="0.2">
      <c r="A16" s="11" t="s">
        <v>355</v>
      </c>
    </row>
    <row r="17" spans="1:6" x14ac:dyDescent="0.2">
      <c r="A17" s="11" t="s">
        <v>1408</v>
      </c>
    </row>
    <row r="18" spans="1:6" x14ac:dyDescent="0.2">
      <c r="A18" s="11" t="s">
        <v>1409</v>
      </c>
    </row>
    <row r="19" spans="1:6" x14ac:dyDescent="0.2">
      <c r="A19" s="11" t="s">
        <v>1410</v>
      </c>
    </row>
    <row r="20" spans="1:6" x14ac:dyDescent="0.2">
      <c r="A20" s="11" t="s">
        <v>1411</v>
      </c>
    </row>
    <row r="21" spans="1:6" x14ac:dyDescent="0.2">
      <c r="A21" s="18" t="s">
        <v>241</v>
      </c>
      <c r="B21" s="18" t="s">
        <v>300</v>
      </c>
      <c r="C21" s="18" t="s">
        <v>300</v>
      </c>
      <c r="D21" s="18" t="s">
        <v>300</v>
      </c>
      <c r="E21" s="18" t="s">
        <v>371</v>
      </c>
    </row>
    <row r="22" spans="1:6" x14ac:dyDescent="0.2">
      <c r="A22" s="18" t="s">
        <v>244</v>
      </c>
      <c r="B22" s="18" t="s">
        <v>865</v>
      </c>
      <c r="C22" s="18" t="s">
        <v>303</v>
      </c>
      <c r="D22" s="18" t="s">
        <v>1389</v>
      </c>
      <c r="E22" s="18" t="s">
        <v>1412</v>
      </c>
    </row>
    <row r="24" spans="1:6" ht="38.25" x14ac:dyDescent="0.2">
      <c r="B24" s="4" t="s">
        <v>10</v>
      </c>
      <c r="C24" s="4" t="s">
        <v>1361</v>
      </c>
      <c r="D24" s="4" t="s">
        <v>1364</v>
      </c>
      <c r="E24" s="4" t="s">
        <v>1413</v>
      </c>
    </row>
    <row r="25" spans="1:6" x14ac:dyDescent="0.2">
      <c r="A25" s="5" t="s">
        <v>1414</v>
      </c>
      <c r="B25" s="8">
        <f>Input!D14</f>
        <v>0</v>
      </c>
      <c r="C25" s="27">
        <f>Adjust!C210</f>
        <v>145322707.22053638</v>
      </c>
      <c r="D25" s="27">
        <f>Adjust!F210</f>
        <v>5731.2782652378082</v>
      </c>
      <c r="E25" s="22">
        <f>D25/Revenue!B56</f>
        <v>1.1894747716478899E-5</v>
      </c>
      <c r="F25" s="6"/>
    </row>
    <row r="27" spans="1:6" ht="16.5" x14ac:dyDescent="0.25">
      <c r="A27" s="3" t="s">
        <v>1415</v>
      </c>
    </row>
    <row r="28" spans="1:6" x14ac:dyDescent="0.2">
      <c r="A28" s="10" t="s">
        <v>238</v>
      </c>
    </row>
    <row r="29" spans="1:6" x14ac:dyDescent="0.2">
      <c r="A29" s="11" t="s">
        <v>1416</v>
      </c>
    </row>
    <row r="30" spans="1:6" x14ac:dyDescent="0.2">
      <c r="A30" s="11" t="s">
        <v>1417</v>
      </c>
    </row>
    <row r="31" spans="1:6" x14ac:dyDescent="0.2">
      <c r="A31" s="11" t="s">
        <v>1418</v>
      </c>
    </row>
    <row r="32" spans="1:6" x14ac:dyDescent="0.2">
      <c r="A32" s="11" t="s">
        <v>1419</v>
      </c>
    </row>
    <row r="33" spans="1:1" x14ac:dyDescent="0.2">
      <c r="A33" s="11" t="s">
        <v>552</v>
      </c>
    </row>
    <row r="34" spans="1:1" x14ac:dyDescent="0.2">
      <c r="A34" s="11" t="s">
        <v>1420</v>
      </c>
    </row>
    <row r="35" spans="1:1" x14ac:dyDescent="0.2">
      <c r="A35" s="11" t="s">
        <v>1421</v>
      </c>
    </row>
    <row r="36" spans="1:1" x14ac:dyDescent="0.2">
      <c r="A36" s="11" t="s">
        <v>1422</v>
      </c>
    </row>
    <row r="37" spans="1:1" x14ac:dyDescent="0.2">
      <c r="A37" s="11" t="s">
        <v>1423</v>
      </c>
    </row>
    <row r="38" spans="1:1" x14ac:dyDescent="0.2">
      <c r="A38" s="11" t="s">
        <v>1424</v>
      </c>
    </row>
    <row r="39" spans="1:1" x14ac:dyDescent="0.2">
      <c r="A39" s="11" t="s">
        <v>1425</v>
      </c>
    </row>
    <row r="40" spans="1:1" x14ac:dyDescent="0.2">
      <c r="A40" s="11" t="s">
        <v>1426</v>
      </c>
    </row>
    <row r="41" spans="1:1" x14ac:dyDescent="0.2">
      <c r="A41" s="11" t="s">
        <v>1427</v>
      </c>
    </row>
    <row r="42" spans="1:1" x14ac:dyDescent="0.2">
      <c r="A42" s="11" t="s">
        <v>1428</v>
      </c>
    </row>
    <row r="43" spans="1:1" x14ac:dyDescent="0.2">
      <c r="A43" s="11" t="s">
        <v>1429</v>
      </c>
    </row>
    <row r="44" spans="1:1" x14ac:dyDescent="0.2">
      <c r="A44" s="11" t="s">
        <v>1430</v>
      </c>
    </row>
    <row r="45" spans="1:1" x14ac:dyDescent="0.2">
      <c r="A45" s="11" t="s">
        <v>1431</v>
      </c>
    </row>
    <row r="46" spans="1:1" x14ac:dyDescent="0.2">
      <c r="A46" s="11" t="s">
        <v>1432</v>
      </c>
    </row>
    <row r="47" spans="1:1" x14ac:dyDescent="0.2">
      <c r="A47" s="11" t="s">
        <v>1433</v>
      </c>
    </row>
    <row r="48" spans="1:1" x14ac:dyDescent="0.2">
      <c r="A48" s="11" t="s">
        <v>1434</v>
      </c>
    </row>
    <row r="49" spans="1:21" x14ac:dyDescent="0.2">
      <c r="A49" s="11" t="s">
        <v>1435</v>
      </c>
    </row>
    <row r="50" spans="1:21" x14ac:dyDescent="0.2">
      <c r="A50" s="11" t="s">
        <v>1436</v>
      </c>
    </row>
    <row r="51" spans="1:21" x14ac:dyDescent="0.2">
      <c r="A51" s="11" t="s">
        <v>1437</v>
      </c>
    </row>
    <row r="52" spans="1:21" x14ac:dyDescent="0.2">
      <c r="A52" s="18" t="s">
        <v>241</v>
      </c>
      <c r="B52" s="18" t="s">
        <v>371</v>
      </c>
      <c r="C52" s="18" t="s">
        <v>300</v>
      </c>
      <c r="D52" s="18" t="s">
        <v>371</v>
      </c>
      <c r="E52" s="18" t="s">
        <v>371</v>
      </c>
      <c r="F52" s="18" t="s">
        <v>371</v>
      </c>
      <c r="G52" s="18" t="s">
        <v>371</v>
      </c>
      <c r="H52" s="18" t="s">
        <v>371</v>
      </c>
      <c r="I52" s="18" t="s">
        <v>371</v>
      </c>
      <c r="J52" s="18" t="s">
        <v>371</v>
      </c>
      <c r="K52" s="18" t="s">
        <v>371</v>
      </c>
      <c r="L52" s="18" t="s">
        <v>371</v>
      </c>
      <c r="M52" s="18" t="s">
        <v>371</v>
      </c>
      <c r="N52" s="18" t="s">
        <v>371</v>
      </c>
      <c r="O52" s="18" t="s">
        <v>371</v>
      </c>
      <c r="P52" s="18" t="s">
        <v>371</v>
      </c>
      <c r="Q52" s="18" t="s">
        <v>371</v>
      </c>
      <c r="R52" s="18" t="s">
        <v>371</v>
      </c>
      <c r="S52" s="18" t="s">
        <v>371</v>
      </c>
      <c r="T52" s="18" t="s">
        <v>371</v>
      </c>
    </row>
    <row r="53" spans="1:21" ht="38.25" x14ac:dyDescent="0.2">
      <c r="A53" s="18" t="s">
        <v>244</v>
      </c>
      <c r="B53" s="18" t="s">
        <v>1438</v>
      </c>
      <c r="C53" s="18" t="s">
        <v>1390</v>
      </c>
      <c r="D53" s="18" t="s">
        <v>1439</v>
      </c>
      <c r="E53" s="18" t="s">
        <v>1440</v>
      </c>
      <c r="F53" s="18" t="s">
        <v>1441</v>
      </c>
      <c r="G53" s="18" t="s">
        <v>1442</v>
      </c>
      <c r="H53" s="18" t="s">
        <v>1443</v>
      </c>
      <c r="I53" s="18" t="s">
        <v>1444</v>
      </c>
      <c r="J53" s="18" t="s">
        <v>1445</v>
      </c>
      <c r="K53" s="18" t="s">
        <v>1446</v>
      </c>
      <c r="L53" s="18" t="s">
        <v>1447</v>
      </c>
      <c r="M53" s="18" t="s">
        <v>1448</v>
      </c>
      <c r="N53" s="18" t="s">
        <v>1449</v>
      </c>
      <c r="O53" s="18" t="s">
        <v>1450</v>
      </c>
      <c r="P53" s="18" t="s">
        <v>1451</v>
      </c>
      <c r="Q53" s="18" t="s">
        <v>1452</v>
      </c>
      <c r="R53" s="18" t="s">
        <v>1453</v>
      </c>
      <c r="S53" s="18" t="s">
        <v>1454</v>
      </c>
      <c r="T53" s="18" t="s">
        <v>1455</v>
      </c>
    </row>
    <row r="55" spans="1:21" ht="38.25" x14ac:dyDescent="0.2">
      <c r="B55" s="4" t="s">
        <v>459</v>
      </c>
      <c r="C55" s="4" t="s">
        <v>108</v>
      </c>
      <c r="D55" s="4" t="s">
        <v>1456</v>
      </c>
      <c r="E55" s="4" t="s">
        <v>1457</v>
      </c>
      <c r="F55" s="4" t="s">
        <v>1458</v>
      </c>
      <c r="G55" s="4" t="s">
        <v>1459</v>
      </c>
      <c r="H55" s="4" t="s">
        <v>1460</v>
      </c>
      <c r="I55" s="4" t="s">
        <v>1461</v>
      </c>
      <c r="J55" s="4" t="s">
        <v>1462</v>
      </c>
      <c r="K55" s="4" t="s">
        <v>1463</v>
      </c>
      <c r="L55" s="4" t="s">
        <v>1464</v>
      </c>
      <c r="M55" s="4" t="s">
        <v>1465</v>
      </c>
      <c r="N55" s="4" t="s">
        <v>1466</v>
      </c>
      <c r="O55" s="4" t="s">
        <v>1467</v>
      </c>
      <c r="P55" s="4" t="s">
        <v>1468</v>
      </c>
      <c r="Q55" s="4" t="s">
        <v>1469</v>
      </c>
      <c r="R55" s="4" t="s">
        <v>1470</v>
      </c>
      <c r="S55" s="4" t="s">
        <v>1471</v>
      </c>
      <c r="T55" s="4" t="s">
        <v>1472</v>
      </c>
    </row>
    <row r="56" spans="1:21" x14ac:dyDescent="0.2">
      <c r="A56" s="12" t="s">
        <v>111</v>
      </c>
      <c r="U56" s="6"/>
    </row>
    <row r="57" spans="1:21" x14ac:dyDescent="0.2">
      <c r="A57" s="5" t="s">
        <v>53</v>
      </c>
      <c r="B57" s="25">
        <f>Input!B143+Input!C143+Input!D143</f>
        <v>7399575.6676649665</v>
      </c>
      <c r="C57" s="27">
        <f>Input!E143</f>
        <v>1966268.3959221658</v>
      </c>
      <c r="D57" s="25">
        <f>0.01*Input!F$14*(Adjust!$E227*Input!E143+Adjust!$F227*Input!F143)+10*(Adjust!$B227*Input!B143+Adjust!$C227*Input!C143+Adjust!$D227*Input!D143+Adjust!$G227*Input!G143)</f>
        <v>238170677.91178396</v>
      </c>
      <c r="E57" s="25">
        <f>10*(Adjust!$B227*Input!B143+Adjust!$C227*Input!C143+Adjust!$D227*Input!D143)</f>
        <v>213625749.52548757</v>
      </c>
      <c r="F57" s="25">
        <f>Adjust!E227*Input!$F$14*Input!$E143/100</f>
        <v>24544928.386296395</v>
      </c>
      <c r="G57" s="25">
        <f>Adjust!F227*Input!$F$14*Input!$F143/100</f>
        <v>0</v>
      </c>
      <c r="H57" s="25">
        <f>Adjust!G227*Input!$G143*10</f>
        <v>0</v>
      </c>
      <c r="I57" s="17">
        <f>IF(B57&lt;&gt;0,0.1*D57/B57,"")</f>
        <v>3.2187072422619321</v>
      </c>
      <c r="J57" s="29">
        <f>IF(C57&lt;&gt;0,D57/C57,"")</f>
        <v>121.12826428259994</v>
      </c>
      <c r="K57" s="17">
        <f>IF(B57&lt;&gt;0,0.1*E57/B57,0)</f>
        <v>2.887</v>
      </c>
      <c r="L57" s="25">
        <f>Adjust!B227*Input!$B143*10</f>
        <v>213625749.52548757</v>
      </c>
      <c r="M57" s="25">
        <f>Adjust!C227*Input!$C143*10</f>
        <v>0</v>
      </c>
      <c r="N57" s="25">
        <f>Adjust!D227*Input!$D143*10</f>
        <v>0</v>
      </c>
      <c r="O57" s="22">
        <f>IF(E57&lt;&gt;0,$L57/E57,"")</f>
        <v>1</v>
      </c>
      <c r="P57" s="22">
        <f>IF(E57&lt;&gt;0,$M57/E57,"")</f>
        <v>0</v>
      </c>
      <c r="Q57" s="22">
        <f>IF(E57&lt;&gt;0,$N57/E57,"")</f>
        <v>0</v>
      </c>
      <c r="R57" s="22">
        <f>IF(D57&lt;&gt;0,$F57/D57,"")</f>
        <v>0.10305604619972401</v>
      </c>
      <c r="S57" s="22">
        <f>IF(D57&lt;&gt;0,$G57/D57,"")</f>
        <v>0</v>
      </c>
      <c r="T57" s="22">
        <f>IF(D57&lt;&gt;0,$H57/D57,"")</f>
        <v>0</v>
      </c>
      <c r="U57" s="6"/>
    </row>
    <row r="58" spans="1:21" x14ac:dyDescent="0.2">
      <c r="A58" s="5" t="s">
        <v>112</v>
      </c>
      <c r="B58" s="25">
        <f>Input!B144+Input!C144+Input!D144</f>
        <v>26689.582930579902</v>
      </c>
      <c r="C58" s="27">
        <f>Input!E144</f>
        <v>9397.7910538748765</v>
      </c>
      <c r="D58" s="25">
        <f>0.01*Input!F$14*(Adjust!$E228*Input!E144+Adjust!$F228*Input!F144)+10*(Adjust!$B228*Input!B144+Adjust!$C228*Input!C144+Adjust!$D228*Input!D144+Adjust!$G228*Input!G144)</f>
        <v>598883.65492913674</v>
      </c>
      <c r="E58" s="25">
        <f>10*(Adjust!$B228*Input!B144+Adjust!$C228*Input!C144+Adjust!$D228*Input!D144)</f>
        <v>519646.1796583907</v>
      </c>
      <c r="F58" s="25">
        <f>Adjust!E228*Input!$F$14*Input!$E144/100</f>
        <v>79237.475270746014</v>
      </c>
      <c r="G58" s="25">
        <f>Adjust!F228*Input!$F$14*Input!$F144/100</f>
        <v>0</v>
      </c>
      <c r="H58" s="25">
        <f>Adjust!G228*Input!$G144*10</f>
        <v>0</v>
      </c>
      <c r="I58" s="17">
        <f>IF(B58&lt;&gt;0,0.1*D58/B58,"")</f>
        <v>2.243885400857871</v>
      </c>
      <c r="J58" s="29">
        <f>IF(C58&lt;&gt;0,D58/C58,"")</f>
        <v>63.72600236543952</v>
      </c>
      <c r="K58" s="17">
        <f>IF(B58&lt;&gt;0,0.1*E58/B58,0)</f>
        <v>1.9470000000000003</v>
      </c>
      <c r="L58" s="25">
        <f>Adjust!B228*Input!$B144*10</f>
        <v>519646.1796583907</v>
      </c>
      <c r="M58" s="25">
        <f>Adjust!C228*Input!$C144*10</f>
        <v>0</v>
      </c>
      <c r="N58" s="25">
        <f>Adjust!D228*Input!$D144*10</f>
        <v>0</v>
      </c>
      <c r="O58" s="22">
        <f>IF(E58&lt;&gt;0,$L58/E58,"")</f>
        <v>1</v>
      </c>
      <c r="P58" s="22">
        <f>IF(E58&lt;&gt;0,$M58/E58,"")</f>
        <v>0</v>
      </c>
      <c r="Q58" s="22">
        <f>IF(E58&lt;&gt;0,$N58/E58,"")</f>
        <v>0</v>
      </c>
      <c r="R58" s="22">
        <f>IF(D58&lt;&gt;0,$F58/D58,"")</f>
        <v>0.13230862892746978</v>
      </c>
      <c r="S58" s="22">
        <f>IF(D58&lt;&gt;0,$G58/D58,"")</f>
        <v>0</v>
      </c>
      <c r="T58" s="22">
        <f>IF(D58&lt;&gt;0,$H58/D58,"")</f>
        <v>0</v>
      </c>
      <c r="U58" s="6"/>
    </row>
    <row r="59" spans="1:21" x14ac:dyDescent="0.2">
      <c r="A59" s="5" t="s">
        <v>113</v>
      </c>
      <c r="B59" s="25">
        <f>Input!B145+Input!C145+Input!D145</f>
        <v>15619.829070486929</v>
      </c>
      <c r="C59" s="27">
        <f>Input!E145</f>
        <v>5268.2942924636136</v>
      </c>
      <c r="D59" s="25">
        <f>0.01*Input!F$14*(Adjust!$E229*Input!E145+Adjust!$F229*Input!F145)+10*(Adjust!$B229*Input!B145+Adjust!$C229*Input!C145+Adjust!$D229*Input!D145+Adjust!$G229*Input!G145)</f>
        <v>233800.34262017222</v>
      </c>
      <c r="E59" s="25">
        <f>10*(Adjust!$B229*Input!B145+Adjust!$C229*Input!C145+Adjust!$D229*Input!D145)</f>
        <v>203994.96766055931</v>
      </c>
      <c r="F59" s="25">
        <f>Adjust!E229*Input!$F$14*Input!$E145/100</f>
        <v>29805.374959612895</v>
      </c>
      <c r="G59" s="25">
        <f>Adjust!F229*Input!$F$14*Input!$F145/100</f>
        <v>0</v>
      </c>
      <c r="H59" s="25">
        <f>Adjust!G229*Input!$G145*10</f>
        <v>0</v>
      </c>
      <c r="I59" s="17">
        <f>IF(B59&lt;&gt;0,0.1*D59/B59,"")</f>
        <v>1.4968175488035849</v>
      </c>
      <c r="J59" s="29">
        <f>IF(C59&lt;&gt;0,D59/C59,"")</f>
        <v>44.378755179760489</v>
      </c>
      <c r="K59" s="17">
        <f>IF(B59&lt;&gt;0,0.1*E59/B59,0)</f>
        <v>1.3060000000000003</v>
      </c>
      <c r="L59" s="25">
        <f>Adjust!B229*Input!$B145*10</f>
        <v>203994.96766055931</v>
      </c>
      <c r="M59" s="25">
        <f>Adjust!C229*Input!$C145*10</f>
        <v>0</v>
      </c>
      <c r="N59" s="25">
        <f>Adjust!D229*Input!$D145*10</f>
        <v>0</v>
      </c>
      <c r="O59" s="22">
        <f>IF(E59&lt;&gt;0,$L59/E59,"")</f>
        <v>1</v>
      </c>
      <c r="P59" s="22">
        <f>IF(E59&lt;&gt;0,$M59/E59,"")</f>
        <v>0</v>
      </c>
      <c r="Q59" s="22">
        <f>IF(E59&lt;&gt;0,$N59/E59,"")</f>
        <v>0</v>
      </c>
      <c r="R59" s="22">
        <f>IF(D59&lt;&gt;0,$F59/D59,"")</f>
        <v>0.12748216972476453</v>
      </c>
      <c r="S59" s="22">
        <f>IF(D59&lt;&gt;0,$G59/D59,"")</f>
        <v>0</v>
      </c>
      <c r="T59" s="22">
        <f>IF(D59&lt;&gt;0,$H59/D59,"")</f>
        <v>0</v>
      </c>
      <c r="U59" s="6"/>
    </row>
    <row r="60" spans="1:21" x14ac:dyDescent="0.2">
      <c r="A60" s="12" t="s">
        <v>114</v>
      </c>
      <c r="U60" s="6"/>
    </row>
    <row r="61" spans="1:21" x14ac:dyDescent="0.2">
      <c r="A61" s="5" t="s">
        <v>54</v>
      </c>
      <c r="B61" s="25">
        <f>Input!B147+Input!C147+Input!D147</f>
        <v>1223141.7301527315</v>
      </c>
      <c r="C61" s="27">
        <f>Input!E147</f>
        <v>193198.50471492525</v>
      </c>
      <c r="D61" s="25">
        <f>0.01*Input!F$14*(Adjust!$E231*Input!E147+Adjust!$F231*Input!F147)+10*(Adjust!$B231*Input!B147+Adjust!$C231*Input!C147+Adjust!$D231*Input!D147+Adjust!$G231*Input!G147)</f>
        <v>24133141.15359807</v>
      </c>
      <c r="E61" s="25">
        <f>10*(Adjust!$B231*Input!B147+Adjust!$C231*Input!C147+Adjust!$D231*Input!D147)</f>
        <v>21721444.219241656</v>
      </c>
      <c r="F61" s="25">
        <f>Adjust!E231*Input!$F$14*Input!$E147/100</f>
        <v>2411696.9343564119</v>
      </c>
      <c r="G61" s="25">
        <f>Adjust!F231*Input!$F$14*Input!$F147/100</f>
        <v>0</v>
      </c>
      <c r="H61" s="25">
        <f>Adjust!G231*Input!$G147*10</f>
        <v>0</v>
      </c>
      <c r="I61" s="17">
        <f>IF(B61&lt;&gt;0,0.1*D61/B61,"")</f>
        <v>1.973045360048717</v>
      </c>
      <c r="J61" s="29">
        <f>IF(C61&lt;&gt;0,D61/C61,"")</f>
        <v>124.91370566872561</v>
      </c>
      <c r="K61" s="17">
        <f>IF(B61&lt;&gt;0,0.1*E61/B61,0)</f>
        <v>1.7758730393843518</v>
      </c>
      <c r="L61" s="25">
        <f>Adjust!B231*Input!$B147*10</f>
        <v>20118848.033771064</v>
      </c>
      <c r="M61" s="25">
        <f>Adjust!C231*Input!$C147*10</f>
        <v>1602596.1854705918</v>
      </c>
      <c r="N61" s="25">
        <f>Adjust!D231*Input!$D147*10</f>
        <v>0</v>
      </c>
      <c r="O61" s="22">
        <f>IF(E61&lt;&gt;0,$L61/E61,"")</f>
        <v>0.92622055102344647</v>
      </c>
      <c r="P61" s="22">
        <f>IF(E61&lt;&gt;0,$M61/E61,"")</f>
        <v>7.3779448976553461E-2</v>
      </c>
      <c r="Q61" s="22">
        <f>IF(E61&lt;&gt;0,$N61/E61,"")</f>
        <v>0</v>
      </c>
      <c r="R61" s="22">
        <f>IF(D61&lt;&gt;0,$F61/D61,"")</f>
        <v>9.9932989203804751E-2</v>
      </c>
      <c r="S61" s="22">
        <f>IF(D61&lt;&gt;0,$G61/D61,"")</f>
        <v>0</v>
      </c>
      <c r="T61" s="22">
        <f>IF(D61&lt;&gt;0,$H61/D61,"")</f>
        <v>0</v>
      </c>
      <c r="U61" s="6"/>
    </row>
    <row r="62" spans="1:21" x14ac:dyDescent="0.2">
      <c r="A62" s="5" t="s">
        <v>115</v>
      </c>
      <c r="B62" s="25">
        <f>Input!B148+Input!C148+Input!D148</f>
        <v>295.26207254438771</v>
      </c>
      <c r="C62" s="27">
        <f>Input!E148</f>
        <v>101.67835098681704</v>
      </c>
      <c r="D62" s="25">
        <f>0.01*Input!F$14*(Adjust!$E232*Input!E148+Adjust!$F232*Input!F148)+10*(Adjust!$B232*Input!B148+Adjust!$C232*Input!C148+Adjust!$D232*Input!D148+Adjust!$G232*Input!G148)</f>
        <v>5174.7883931128554</v>
      </c>
      <c r="E62" s="25">
        <f>10*(Adjust!$B232*Input!B148+Adjust!$C232*Input!C148+Adjust!$D232*Input!D148)</f>
        <v>4317.4873767675072</v>
      </c>
      <c r="F62" s="25">
        <f>Adjust!E232*Input!$F$14*Input!$E148/100</f>
        <v>857.30101634534788</v>
      </c>
      <c r="G62" s="25">
        <f>Adjust!F232*Input!$F$14*Input!$F148/100</f>
        <v>0</v>
      </c>
      <c r="H62" s="25">
        <f>Adjust!G232*Input!$G148*10</f>
        <v>0</v>
      </c>
      <c r="I62" s="17">
        <f>IF(B62&lt;&gt;0,0.1*D62/B62,"")</f>
        <v>1.7526085719441371</v>
      </c>
      <c r="J62" s="29">
        <f>IF(C62&lt;&gt;0,D62/C62,"")</f>
        <v>50.893708866145808</v>
      </c>
      <c r="K62" s="17">
        <f>IF(B62&lt;&gt;0,0.1*E62/B62,0)</f>
        <v>1.462256001782432</v>
      </c>
      <c r="L62" s="25">
        <f>Adjust!B232*Input!$B148*10</f>
        <v>4140.968911099596</v>
      </c>
      <c r="M62" s="25">
        <f>Adjust!C232*Input!$C148*10</f>
        <v>176.51846566791133</v>
      </c>
      <c r="N62" s="25">
        <f>Adjust!D232*Input!$D148*10</f>
        <v>0</v>
      </c>
      <c r="O62" s="22">
        <f>IF(E62&lt;&gt;0,$L62/E62,"")</f>
        <v>0.95911546455983621</v>
      </c>
      <c r="P62" s="22">
        <f>IF(E62&lt;&gt;0,$M62/E62,"")</f>
        <v>4.0884535440163877E-2</v>
      </c>
      <c r="Q62" s="22">
        <f>IF(E62&lt;&gt;0,$N62/E62,"")</f>
        <v>0</v>
      </c>
      <c r="R62" s="22">
        <f>IF(D62&lt;&gt;0,$F62/D62,"")</f>
        <v>0.16566880637792511</v>
      </c>
      <c r="S62" s="22">
        <f>IF(D62&lt;&gt;0,$G62/D62,"")</f>
        <v>0</v>
      </c>
      <c r="T62" s="22">
        <f>IF(D62&lt;&gt;0,$H62/D62,"")</f>
        <v>0</v>
      </c>
      <c r="U62" s="6"/>
    </row>
    <row r="63" spans="1:21" x14ac:dyDescent="0.2">
      <c r="A63" s="5" t="s">
        <v>116</v>
      </c>
      <c r="B63" s="25">
        <f>Input!B149+Input!C149+Input!D149</f>
        <v>2697.0273499961895</v>
      </c>
      <c r="C63" s="27">
        <f>Input!E149</f>
        <v>692.76849805684674</v>
      </c>
      <c r="D63" s="25">
        <f>0.01*Input!F$14*(Adjust!$E233*Input!E149+Adjust!$F233*Input!F149)+10*(Adjust!$B233*Input!B149+Adjust!$C233*Input!C149+Adjust!$D233*Input!D149+Adjust!$G233*Input!G149)</f>
        <v>28469.527186725591</v>
      </c>
      <c r="E63" s="25">
        <f>10*(Adjust!$B233*Input!B149+Adjust!$C233*Input!C149+Adjust!$D233*Input!D149)</f>
        <v>24550.189408968981</v>
      </c>
      <c r="F63" s="25">
        <f>Adjust!E233*Input!$F$14*Input!$E149/100</f>
        <v>3919.3377777566102</v>
      </c>
      <c r="G63" s="25">
        <f>Adjust!F233*Input!$F$14*Input!$F149/100</f>
        <v>0</v>
      </c>
      <c r="H63" s="25">
        <f>Adjust!G233*Input!$G149*10</f>
        <v>0</v>
      </c>
      <c r="I63" s="17">
        <f>IF(B63&lt;&gt;0,0.1*D63/B63,"")</f>
        <v>1.0555891169129528</v>
      </c>
      <c r="J63" s="29">
        <f>IF(C63&lt;&gt;0,D63/C63,"")</f>
        <v>41.095297009867004</v>
      </c>
      <c r="K63" s="17">
        <f>IF(B63&lt;&gt;0,0.1*E63/B63,0)</f>
        <v>0.91026846312862442</v>
      </c>
      <c r="L63" s="25">
        <f>Adjust!B233*Input!$B149*10</f>
        <v>23259.314745565796</v>
      </c>
      <c r="M63" s="25">
        <f>Adjust!C233*Input!$C149*10</f>
        <v>1290.8746634031852</v>
      </c>
      <c r="N63" s="25">
        <f>Adjust!D233*Input!$D149*10</f>
        <v>0</v>
      </c>
      <c r="O63" s="22">
        <f>IF(E63&lt;&gt;0,$L63/E63,"")</f>
        <v>0.9474189529905791</v>
      </c>
      <c r="P63" s="22">
        <f>IF(E63&lt;&gt;0,$M63/E63,"")</f>
        <v>5.25810470094209E-2</v>
      </c>
      <c r="Q63" s="22">
        <f>IF(E63&lt;&gt;0,$N63/E63,"")</f>
        <v>0</v>
      </c>
      <c r="R63" s="22">
        <f>IF(D63&lt;&gt;0,$F63/D63,"")</f>
        <v>0.13766782117772822</v>
      </c>
      <c r="S63" s="22">
        <f>IF(D63&lt;&gt;0,$G63/D63,"")</f>
        <v>0</v>
      </c>
      <c r="T63" s="22">
        <f>IF(D63&lt;&gt;0,$H63/D63,"")</f>
        <v>0</v>
      </c>
      <c r="U63" s="6"/>
    </row>
    <row r="64" spans="1:21" x14ac:dyDescent="0.2">
      <c r="A64" s="12" t="s">
        <v>117</v>
      </c>
      <c r="U64" s="6"/>
    </row>
    <row r="65" spans="1:21" x14ac:dyDescent="0.2">
      <c r="A65" s="5" t="s">
        <v>94</v>
      </c>
      <c r="B65" s="25">
        <f>Input!B151+Input!C151+Input!D151</f>
        <v>29089.73821783829</v>
      </c>
      <c r="C65" s="27">
        <f>Input!E151</f>
        <v>7812.8718610241485</v>
      </c>
      <c r="D65" s="25">
        <f>0.01*Input!F$14*(Adjust!$E235*Input!E151+Adjust!$F235*Input!F151)+10*(Adjust!$B235*Input!B151+Adjust!$C235*Input!C151+Adjust!$D235*Input!D151+Adjust!$G235*Input!G151)</f>
        <v>88432.804182228399</v>
      </c>
      <c r="E65" s="25">
        <f>10*(Adjust!$B235*Input!B151+Adjust!$C235*Input!C151+Adjust!$D235*Input!D151)</f>
        <v>88432.804182228399</v>
      </c>
      <c r="F65" s="25">
        <f>Adjust!E235*Input!$F$14*Input!$E151/100</f>
        <v>0</v>
      </c>
      <c r="G65" s="25">
        <f>Adjust!F235*Input!$F$14*Input!$F151/100</f>
        <v>0</v>
      </c>
      <c r="H65" s="25">
        <f>Adjust!G235*Input!$G151*10</f>
        <v>0</v>
      </c>
      <c r="I65" s="17">
        <f>IF(B65&lt;&gt;0,0.1*D65/B65,"")</f>
        <v>0.30400000000000005</v>
      </c>
      <c r="J65" s="29">
        <f>IF(C65&lt;&gt;0,D65/C65,"")</f>
        <v>11.318860177829182</v>
      </c>
      <c r="K65" s="17">
        <f>IF(B65&lt;&gt;0,0.1*E65/B65,0)</f>
        <v>0.30400000000000005</v>
      </c>
      <c r="L65" s="25">
        <f>Adjust!B235*Input!$B151*10</f>
        <v>88432.804182228399</v>
      </c>
      <c r="M65" s="25">
        <f>Adjust!C235*Input!$C151*10</f>
        <v>0</v>
      </c>
      <c r="N65" s="25">
        <f>Adjust!D235*Input!$D151*10</f>
        <v>0</v>
      </c>
      <c r="O65" s="22">
        <f>IF(E65&lt;&gt;0,$L65/E65,"")</f>
        <v>1</v>
      </c>
      <c r="P65" s="22">
        <f>IF(E65&lt;&gt;0,$M65/E65,"")</f>
        <v>0</v>
      </c>
      <c r="Q65" s="22">
        <f>IF(E65&lt;&gt;0,$N65/E65,"")</f>
        <v>0</v>
      </c>
      <c r="R65" s="22">
        <f>IF(D65&lt;&gt;0,$F65/D65,"")</f>
        <v>0</v>
      </c>
      <c r="S65" s="22">
        <f>IF(D65&lt;&gt;0,$G65/D65,"")</f>
        <v>0</v>
      </c>
      <c r="T65" s="22">
        <f>IF(D65&lt;&gt;0,$H65/D65,"")</f>
        <v>0</v>
      </c>
      <c r="U65" s="6"/>
    </row>
    <row r="66" spans="1:21" x14ac:dyDescent="0.2">
      <c r="A66" s="5" t="s">
        <v>118</v>
      </c>
      <c r="B66" s="25">
        <f>Input!B152+Input!C152+Input!D152</f>
        <v>0</v>
      </c>
      <c r="C66" s="27">
        <f>Input!E152</f>
        <v>0</v>
      </c>
      <c r="D66" s="25">
        <f>0.01*Input!F$14*(Adjust!$E236*Input!E152+Adjust!$F236*Input!F152)+10*(Adjust!$B236*Input!B152+Adjust!$C236*Input!C152+Adjust!$D236*Input!D152+Adjust!$G236*Input!G152)</f>
        <v>0</v>
      </c>
      <c r="E66" s="25">
        <f>10*(Adjust!$B236*Input!B152+Adjust!$C236*Input!C152+Adjust!$D236*Input!D152)</f>
        <v>0</v>
      </c>
      <c r="F66" s="25">
        <f>Adjust!E236*Input!$F$14*Input!$E152/100</f>
        <v>0</v>
      </c>
      <c r="G66" s="25">
        <f>Adjust!F236*Input!$F$14*Input!$F152/100</f>
        <v>0</v>
      </c>
      <c r="H66" s="25">
        <f>Adjust!G236*Input!$G152*10</f>
        <v>0</v>
      </c>
      <c r="I66" s="17" t="str">
        <f>IF(B66&lt;&gt;0,0.1*D66/B66,"")</f>
        <v/>
      </c>
      <c r="J66" s="29" t="str">
        <f>IF(C66&lt;&gt;0,D66/C66,"")</f>
        <v/>
      </c>
      <c r="K66" s="17">
        <f>IF(B66&lt;&gt;0,0.1*E66/B66,0)</f>
        <v>0</v>
      </c>
      <c r="L66" s="25">
        <f>Adjust!B236*Input!$B152*10</f>
        <v>0</v>
      </c>
      <c r="M66" s="25">
        <f>Adjust!C236*Input!$C152*10</f>
        <v>0</v>
      </c>
      <c r="N66" s="25">
        <f>Adjust!D236*Input!$D152*10</f>
        <v>0</v>
      </c>
      <c r="O66" s="22" t="str">
        <f>IF(E66&lt;&gt;0,$L66/E66,"")</f>
        <v/>
      </c>
      <c r="P66" s="22" t="str">
        <f>IF(E66&lt;&gt;0,$M66/E66,"")</f>
        <v/>
      </c>
      <c r="Q66" s="22" t="str">
        <f>IF(E66&lt;&gt;0,$N66/E66,"")</f>
        <v/>
      </c>
      <c r="R66" s="22" t="str">
        <f>IF(D66&lt;&gt;0,$F66/D66,"")</f>
        <v/>
      </c>
      <c r="S66" s="22" t="str">
        <f>IF(D66&lt;&gt;0,$G66/D66,"")</f>
        <v/>
      </c>
      <c r="T66" s="22" t="str">
        <f>IF(D66&lt;&gt;0,$H66/D66,"")</f>
        <v/>
      </c>
      <c r="U66" s="6"/>
    </row>
    <row r="67" spans="1:21" x14ac:dyDescent="0.2">
      <c r="A67" s="5" t="s">
        <v>119</v>
      </c>
      <c r="B67" s="25">
        <f>Input!B153+Input!C153+Input!D153</f>
        <v>0</v>
      </c>
      <c r="C67" s="27">
        <f>Input!E153</f>
        <v>0</v>
      </c>
      <c r="D67" s="25">
        <f>0.01*Input!F$14*(Adjust!$E237*Input!E153+Adjust!$F237*Input!F153)+10*(Adjust!$B237*Input!B153+Adjust!$C237*Input!C153+Adjust!$D237*Input!D153+Adjust!$G237*Input!G153)</f>
        <v>0</v>
      </c>
      <c r="E67" s="25">
        <f>10*(Adjust!$B237*Input!B153+Adjust!$C237*Input!C153+Adjust!$D237*Input!D153)</f>
        <v>0</v>
      </c>
      <c r="F67" s="25">
        <f>Adjust!E237*Input!$F$14*Input!$E153/100</f>
        <v>0</v>
      </c>
      <c r="G67" s="25">
        <f>Adjust!F237*Input!$F$14*Input!$F153/100</f>
        <v>0</v>
      </c>
      <c r="H67" s="25">
        <f>Adjust!G237*Input!$G153*10</f>
        <v>0</v>
      </c>
      <c r="I67" s="17" t="str">
        <f>IF(B67&lt;&gt;0,0.1*D67/B67,"")</f>
        <v/>
      </c>
      <c r="J67" s="29" t="str">
        <f>IF(C67&lt;&gt;0,D67/C67,"")</f>
        <v/>
      </c>
      <c r="K67" s="17">
        <f>IF(B67&lt;&gt;0,0.1*E67/B67,0)</f>
        <v>0</v>
      </c>
      <c r="L67" s="25">
        <f>Adjust!B237*Input!$B153*10</f>
        <v>0</v>
      </c>
      <c r="M67" s="25">
        <f>Adjust!C237*Input!$C153*10</f>
        <v>0</v>
      </c>
      <c r="N67" s="25">
        <f>Adjust!D237*Input!$D153*10</f>
        <v>0</v>
      </c>
      <c r="O67" s="22" t="str">
        <f>IF(E67&lt;&gt;0,$L67/E67,"")</f>
        <v/>
      </c>
      <c r="P67" s="22" t="str">
        <f>IF(E67&lt;&gt;0,$M67/E67,"")</f>
        <v/>
      </c>
      <c r="Q67" s="22" t="str">
        <f>IF(E67&lt;&gt;0,$N67/E67,"")</f>
        <v/>
      </c>
      <c r="R67" s="22" t="str">
        <f>IF(D67&lt;&gt;0,$F67/D67,"")</f>
        <v/>
      </c>
      <c r="S67" s="22" t="str">
        <f>IF(D67&lt;&gt;0,$G67/D67,"")</f>
        <v/>
      </c>
      <c r="T67" s="22" t="str">
        <f>IF(D67&lt;&gt;0,$H67/D67,"")</f>
        <v/>
      </c>
      <c r="U67" s="6"/>
    </row>
    <row r="68" spans="1:21" x14ac:dyDescent="0.2">
      <c r="A68" s="12" t="s">
        <v>120</v>
      </c>
      <c r="U68" s="6"/>
    </row>
    <row r="69" spans="1:21" x14ac:dyDescent="0.2">
      <c r="A69" s="5" t="s">
        <v>55</v>
      </c>
      <c r="B69" s="25">
        <f>Input!B155+Input!C155+Input!D155</f>
        <v>1773367.1718367361</v>
      </c>
      <c r="C69" s="27">
        <f>Input!E155</f>
        <v>119240.62499606305</v>
      </c>
      <c r="D69" s="25">
        <f>0.01*Input!F$14*(Adjust!$E239*Input!E155+Adjust!$F239*Input!F155)+10*(Adjust!$B239*Input!B155+Adjust!$C239*Input!C155+Adjust!$D239*Input!D155+Adjust!$G239*Input!G155)</f>
        <v>44262096.906527929</v>
      </c>
      <c r="E69" s="25">
        <f>10*(Adjust!$B239*Input!B155+Adjust!$C239*Input!C155+Adjust!$D239*Input!D155)</f>
        <v>42773616.184702076</v>
      </c>
      <c r="F69" s="25">
        <f>Adjust!E239*Input!$F$14*Input!$E155/100</f>
        <v>1488480.7218258551</v>
      </c>
      <c r="G69" s="25">
        <f>Adjust!F239*Input!$F$14*Input!$F155/100</f>
        <v>0</v>
      </c>
      <c r="H69" s="25">
        <f>Adjust!G239*Input!$G155*10</f>
        <v>0</v>
      </c>
      <c r="I69" s="17">
        <f>IF(B69&lt;&gt;0,0.1*D69/B69,"")</f>
        <v>2.4959352811682076</v>
      </c>
      <c r="J69" s="29">
        <f>IF(C69&lt;&gt;0,D69/C69,"")</f>
        <v>371.19980634107986</v>
      </c>
      <c r="K69" s="17">
        <f>IF(B69&lt;&gt;0,0.1*E69/B69,0)</f>
        <v>2.4119999999999999</v>
      </c>
      <c r="L69" s="25">
        <f>Adjust!B239*Input!$B155*10</f>
        <v>42773616.184702076</v>
      </c>
      <c r="M69" s="25">
        <f>Adjust!C239*Input!$C155*10</f>
        <v>0</v>
      </c>
      <c r="N69" s="25">
        <f>Adjust!D239*Input!$D155*10</f>
        <v>0</v>
      </c>
      <c r="O69" s="22">
        <f>IF(E69&lt;&gt;0,$L69/E69,"")</f>
        <v>1</v>
      </c>
      <c r="P69" s="22">
        <f>IF(E69&lt;&gt;0,$M69/E69,"")</f>
        <v>0</v>
      </c>
      <c r="Q69" s="22">
        <f>IF(E69&lt;&gt;0,$N69/E69,"")</f>
        <v>0</v>
      </c>
      <c r="R69" s="22">
        <f>IF(D69&lt;&gt;0,$F69/D69,"")</f>
        <v>3.3628789096214931E-2</v>
      </c>
      <c r="S69" s="22">
        <f>IF(D69&lt;&gt;0,$G69/D69,"")</f>
        <v>0</v>
      </c>
      <c r="T69" s="22">
        <f>IF(D69&lt;&gt;0,$H69/D69,"")</f>
        <v>0</v>
      </c>
      <c r="U69" s="6"/>
    </row>
    <row r="70" spans="1:21" x14ac:dyDescent="0.2">
      <c r="A70" s="5" t="s">
        <v>121</v>
      </c>
      <c r="B70" s="25">
        <f>Input!B156+Input!C156+Input!D156</f>
        <v>2067.9857552388939</v>
      </c>
      <c r="C70" s="27">
        <f>Input!E156</f>
        <v>280.63224872361502</v>
      </c>
      <c r="D70" s="25">
        <f>0.01*Input!F$14*(Adjust!$E240*Input!E156+Adjust!$F240*Input!F156)+10*(Adjust!$B240*Input!B156+Adjust!$C240*Input!C156+Adjust!$D240*Input!D156+Adjust!$G240*Input!G156)</f>
        <v>36012.279042849965</v>
      </c>
      <c r="E70" s="25">
        <f>10*(Adjust!$B240*Input!B156+Adjust!$C240*Input!C156+Adjust!$D240*Input!D156)</f>
        <v>33646.128237736804</v>
      </c>
      <c r="F70" s="25">
        <f>Adjust!E240*Input!$F$14*Input!$E156/100</f>
        <v>2366.15080511316</v>
      </c>
      <c r="G70" s="25">
        <f>Adjust!F240*Input!$F$14*Input!$F156/100</f>
        <v>0</v>
      </c>
      <c r="H70" s="25">
        <f>Adjust!G240*Input!$G156*10</f>
        <v>0</v>
      </c>
      <c r="I70" s="17">
        <f>IF(B70&lt;&gt;0,0.1*D70/B70,"")</f>
        <v>1.7414181384769658</v>
      </c>
      <c r="J70" s="29">
        <f>IF(C70&lt;&gt;0,D70/C70,"")</f>
        <v>128.32551927528903</v>
      </c>
      <c r="K70" s="17">
        <f>IF(B70&lt;&gt;0,0.1*E70/B70,0)</f>
        <v>1.6270000000000002</v>
      </c>
      <c r="L70" s="25">
        <f>Adjust!B240*Input!$B156*10</f>
        <v>33646.128237736804</v>
      </c>
      <c r="M70" s="25">
        <f>Adjust!C240*Input!$C156*10</f>
        <v>0</v>
      </c>
      <c r="N70" s="25">
        <f>Adjust!D240*Input!$D156*10</f>
        <v>0</v>
      </c>
      <c r="O70" s="22">
        <f>IF(E70&lt;&gt;0,$L70/E70,"")</f>
        <v>1</v>
      </c>
      <c r="P70" s="22">
        <f>IF(E70&lt;&gt;0,$M70/E70,"")</f>
        <v>0</v>
      </c>
      <c r="Q70" s="22">
        <f>IF(E70&lt;&gt;0,$N70/E70,"")</f>
        <v>0</v>
      </c>
      <c r="R70" s="22">
        <f>IF(D70&lt;&gt;0,$F70/D70,"")</f>
        <v>6.5704000635387338E-2</v>
      </c>
      <c r="S70" s="22">
        <f>IF(D70&lt;&gt;0,$G70/D70,"")</f>
        <v>0</v>
      </c>
      <c r="T70" s="22">
        <f>IF(D70&lt;&gt;0,$H70/D70,"")</f>
        <v>0</v>
      </c>
      <c r="U70" s="6"/>
    </row>
    <row r="71" spans="1:21" x14ac:dyDescent="0.2">
      <c r="A71" s="5" t="s">
        <v>122</v>
      </c>
      <c r="B71" s="25">
        <f>Input!B157+Input!C157+Input!D157</f>
        <v>2138.639454545455</v>
      </c>
      <c r="C71" s="27">
        <f>Input!E157</f>
        <v>231.82664024994284</v>
      </c>
      <c r="D71" s="25">
        <f>0.01*Input!F$14*(Adjust!$E241*Input!E157+Adjust!$F241*Input!F157)+10*(Adjust!$B241*Input!B157+Adjust!$C241*Input!C157+Adjust!$D241*Input!D157+Adjust!$G241*Input!G157)</f>
        <v>24644.115666304966</v>
      </c>
      <c r="E71" s="25">
        <f>10*(Adjust!$B241*Input!B157+Adjust!$C241*Input!C157+Adjust!$D241*Input!D157)</f>
        <v>23332.556449090913</v>
      </c>
      <c r="F71" s="25">
        <f>Adjust!E241*Input!$F$14*Input!$E157/100</f>
        <v>1311.5592172140518</v>
      </c>
      <c r="G71" s="25">
        <f>Adjust!F241*Input!$F$14*Input!$F157/100</f>
        <v>0</v>
      </c>
      <c r="H71" s="25">
        <f>Adjust!G241*Input!$G157*10</f>
        <v>0</v>
      </c>
      <c r="I71" s="17">
        <f>IF(B71&lt;&gt;0,0.1*D71/B71,"")</f>
        <v>1.1523268035631939</v>
      </c>
      <c r="J71" s="29">
        <f>IF(C71&lt;&gt;0,D71/C71,"")</f>
        <v>106.30407117894227</v>
      </c>
      <c r="K71" s="17">
        <f>IF(B71&lt;&gt;0,0.1*E71/B71,0)</f>
        <v>1.091</v>
      </c>
      <c r="L71" s="25">
        <f>Adjust!B241*Input!$B157*10</f>
        <v>23332.556449090913</v>
      </c>
      <c r="M71" s="25">
        <f>Adjust!C241*Input!$C157*10</f>
        <v>0</v>
      </c>
      <c r="N71" s="25">
        <f>Adjust!D241*Input!$D157*10</f>
        <v>0</v>
      </c>
      <c r="O71" s="22">
        <f>IF(E71&lt;&gt;0,$L71/E71,"")</f>
        <v>1</v>
      </c>
      <c r="P71" s="22">
        <f>IF(E71&lt;&gt;0,$M71/E71,"")</f>
        <v>0</v>
      </c>
      <c r="Q71" s="22">
        <f>IF(E71&lt;&gt;0,$N71/E71,"")</f>
        <v>0</v>
      </c>
      <c r="R71" s="22">
        <f>IF(D71&lt;&gt;0,$F71/D71,"")</f>
        <v>5.3219974900836096E-2</v>
      </c>
      <c r="S71" s="22">
        <f>IF(D71&lt;&gt;0,$G71/D71,"")</f>
        <v>0</v>
      </c>
      <c r="T71" s="22">
        <f>IF(D71&lt;&gt;0,$H71/D71,"")</f>
        <v>0</v>
      </c>
      <c r="U71" s="6"/>
    </row>
    <row r="72" spans="1:21" x14ac:dyDescent="0.2">
      <c r="A72" s="12" t="s">
        <v>123</v>
      </c>
      <c r="U72" s="6"/>
    </row>
    <row r="73" spans="1:21" x14ac:dyDescent="0.2">
      <c r="A73" s="5" t="s">
        <v>56</v>
      </c>
      <c r="B73" s="25">
        <f>Input!B159+Input!C159+Input!D159</f>
        <v>806097.27990180859</v>
      </c>
      <c r="C73" s="27">
        <f>Input!E159</f>
        <v>30821.313864052241</v>
      </c>
      <c r="D73" s="25">
        <f>0.01*Input!F$14*(Adjust!$E243*Input!E159+Adjust!$F243*Input!F159)+10*(Adjust!$B243*Input!B159+Adjust!$C243*Input!C159+Adjust!$D243*Input!D159+Adjust!$G243*Input!G159)</f>
        <v>15764708.286589274</v>
      </c>
      <c r="E73" s="25">
        <f>10*(Adjust!$B243*Input!B159+Adjust!$C243*Input!C159+Adjust!$D243*Input!D159)</f>
        <v>15379965.825624309</v>
      </c>
      <c r="F73" s="25">
        <f>Adjust!E243*Input!$F$14*Input!$E159/100</f>
        <v>384742.46096496412</v>
      </c>
      <c r="G73" s="25">
        <f>Adjust!F243*Input!$F$14*Input!$F159/100</f>
        <v>0</v>
      </c>
      <c r="H73" s="25">
        <f>Adjust!G243*Input!$G159*10</f>
        <v>0</v>
      </c>
      <c r="I73" s="17">
        <f>IF(B73&lt;&gt;0,0.1*D73/B73,"")</f>
        <v>1.955683101735511</v>
      </c>
      <c r="J73" s="29">
        <f>IF(C73&lt;&gt;0,D73/C73,"")</f>
        <v>511.48722459155425</v>
      </c>
      <c r="K73" s="17">
        <f>IF(B73&lt;&gt;0,0.1*E73/B73,0)</f>
        <v>1.907954065729853</v>
      </c>
      <c r="L73" s="25">
        <f>Adjust!B243*Input!$B159*10</f>
        <v>14813013.553557636</v>
      </c>
      <c r="M73" s="25">
        <f>Adjust!C243*Input!$C159*10</f>
        <v>566952.27206667443</v>
      </c>
      <c r="N73" s="25">
        <f>Adjust!D243*Input!$D159*10</f>
        <v>0</v>
      </c>
      <c r="O73" s="22">
        <f>IF(E73&lt;&gt;0,$L73/E73,"")</f>
        <v>0.96313696151898576</v>
      </c>
      <c r="P73" s="22">
        <f>IF(E73&lt;&gt;0,$M73/E73,"")</f>
        <v>3.686303848101434E-2</v>
      </c>
      <c r="Q73" s="22">
        <f>IF(E73&lt;&gt;0,$N73/E73,"")</f>
        <v>0</v>
      </c>
      <c r="R73" s="22">
        <f>IF(D73&lt;&gt;0,$F73/D73,"")</f>
        <v>2.4405301637725637E-2</v>
      </c>
      <c r="S73" s="22">
        <f>IF(D73&lt;&gt;0,$G73/D73,"")</f>
        <v>0</v>
      </c>
      <c r="T73" s="22">
        <f>IF(D73&lt;&gt;0,$H73/D73,"")</f>
        <v>0</v>
      </c>
      <c r="U73" s="6"/>
    </row>
    <row r="74" spans="1:21" x14ac:dyDescent="0.2">
      <c r="A74" s="5" t="s">
        <v>124</v>
      </c>
      <c r="B74" s="25">
        <f>Input!B160+Input!C160+Input!D160</f>
        <v>29.702183647031923</v>
      </c>
      <c r="C74" s="27">
        <f>Input!E160</f>
        <v>4.0671340394726814</v>
      </c>
      <c r="D74" s="25">
        <f>0.01*Input!F$14*(Adjust!$E244*Input!E160+Adjust!$F244*Input!F160)+10*(Adjust!$B244*Input!B160+Adjust!$C244*Input!C160+Adjust!$D244*Input!D160+Adjust!$G244*Input!G160)</f>
        <v>429.55097141812075</v>
      </c>
      <c r="E74" s="25">
        <f>10*(Adjust!$B244*Input!B160+Adjust!$C244*Input!C160+Adjust!$D244*Input!D160)</f>
        <v>395.25893076430685</v>
      </c>
      <c r="F74" s="25">
        <f>Adjust!E244*Input!$F$14*Input!$E160/100</f>
        <v>34.292040653813913</v>
      </c>
      <c r="G74" s="25">
        <f>Adjust!F244*Input!$F$14*Input!$F160/100</f>
        <v>0</v>
      </c>
      <c r="H74" s="25">
        <f>Adjust!G244*Input!$G160*10</f>
        <v>0</v>
      </c>
      <c r="I74" s="17">
        <f>IF(B74&lt;&gt;0,0.1*D74/B74,"")</f>
        <v>1.4461932379205558</v>
      </c>
      <c r="J74" s="29">
        <f>IF(C74&lt;&gt;0,D74/C74,"")</f>
        <v>105.6151499432297</v>
      </c>
      <c r="K74" s="17">
        <f>IF(B74&lt;&gt;0,0.1*E74/B74,0)</f>
        <v>1.3307403100775195</v>
      </c>
      <c r="L74" s="25">
        <f>Adjust!B244*Input!$B160*10</f>
        <v>382.61247776575465</v>
      </c>
      <c r="M74" s="25">
        <f>Adjust!C244*Input!$C160*10</f>
        <v>12.646452998552164</v>
      </c>
      <c r="N74" s="25">
        <f>Adjust!D244*Input!$D160*10</f>
        <v>0</v>
      </c>
      <c r="O74" s="22">
        <f>IF(E74&lt;&gt;0,$L74/E74,"")</f>
        <v>0.96800463692471683</v>
      </c>
      <c r="P74" s="22">
        <f>IF(E74&lt;&gt;0,$M74/E74,"")</f>
        <v>3.199536307528305E-2</v>
      </c>
      <c r="Q74" s="22">
        <f>IF(E74&lt;&gt;0,$N74/E74,"")</f>
        <v>0</v>
      </c>
      <c r="R74" s="22">
        <f>IF(D74&lt;&gt;0,$F74/D74,"")</f>
        <v>7.9832296829878135E-2</v>
      </c>
      <c r="S74" s="22">
        <f>IF(D74&lt;&gt;0,$G74/D74,"")</f>
        <v>0</v>
      </c>
      <c r="T74" s="22">
        <f>IF(D74&lt;&gt;0,$H74/D74,"")</f>
        <v>0</v>
      </c>
      <c r="U74" s="6"/>
    </row>
    <row r="75" spans="1:21" x14ac:dyDescent="0.2">
      <c r="A75" s="5" t="s">
        <v>125</v>
      </c>
      <c r="B75" s="25">
        <f>Input!B161+Input!C161+Input!D161</f>
        <v>475.35006309532884</v>
      </c>
      <c r="C75" s="27">
        <f>Input!E161</f>
        <v>10.845690771927151</v>
      </c>
      <c r="D75" s="25">
        <f>0.01*Input!F$14*(Adjust!$E245*Input!E161+Adjust!$F245*Input!F161)+10*(Adjust!$B245*Input!B161+Adjust!$C245*Input!C161+Adjust!$D245*Input!D161+Adjust!$G245*Input!G161)</f>
        <v>4399.2588181391448</v>
      </c>
      <c r="E75" s="25">
        <f>10*(Adjust!$B245*Input!B161+Adjust!$C245*Input!C161+Adjust!$D245*Input!D161)</f>
        <v>4337.8993225969671</v>
      </c>
      <c r="F75" s="25">
        <f>Adjust!E245*Input!$F$14*Input!$E161/100</f>
        <v>61.359495542177854</v>
      </c>
      <c r="G75" s="25">
        <f>Adjust!F245*Input!$F$14*Input!$F161/100</f>
        <v>0</v>
      </c>
      <c r="H75" s="25">
        <f>Adjust!G245*Input!$G161*10</f>
        <v>0</v>
      </c>
      <c r="I75" s="17">
        <f>IF(B75&lt;&gt;0,0.1*D75/B75,"")</f>
        <v>0.92547769731901719</v>
      </c>
      <c r="J75" s="29">
        <f>IF(C75&lt;&gt;0,D75/C75,"")</f>
        <v>405.62274092546789</v>
      </c>
      <c r="K75" s="17">
        <f>IF(B75&lt;&gt;0,0.1*E75/B75,0)</f>
        <v>0.91256942185932255</v>
      </c>
      <c r="L75" s="25">
        <f>Adjust!B245*Input!$B161*10</f>
        <v>4211.700566303437</v>
      </c>
      <c r="M75" s="25">
        <f>Adjust!C245*Input!$C161*10</f>
        <v>126.19875629353045</v>
      </c>
      <c r="N75" s="25">
        <f>Adjust!D245*Input!$D161*10</f>
        <v>0</v>
      </c>
      <c r="O75" s="22">
        <f>IF(E75&lt;&gt;0,$L75/E75,"")</f>
        <v>0.97090786417376351</v>
      </c>
      <c r="P75" s="22">
        <f>IF(E75&lt;&gt;0,$M75/E75,"")</f>
        <v>2.9092135826236543E-2</v>
      </c>
      <c r="Q75" s="22">
        <f>IF(E75&lt;&gt;0,$N75/E75,"")</f>
        <v>0</v>
      </c>
      <c r="R75" s="22">
        <f>IF(D75&lt;&gt;0,$F75/D75,"")</f>
        <v>1.3947689390126059E-2</v>
      </c>
      <c r="S75" s="22">
        <f>IF(D75&lt;&gt;0,$G75/D75,"")</f>
        <v>0</v>
      </c>
      <c r="T75" s="22">
        <f>IF(D75&lt;&gt;0,$H75/D75,"")</f>
        <v>0</v>
      </c>
      <c r="U75" s="6"/>
    </row>
    <row r="76" spans="1:21" x14ac:dyDescent="0.2">
      <c r="A76" s="12" t="s">
        <v>126</v>
      </c>
      <c r="U76" s="6"/>
    </row>
    <row r="77" spans="1:21" x14ac:dyDescent="0.2">
      <c r="A77" s="5" t="s">
        <v>95</v>
      </c>
      <c r="B77" s="25">
        <f>Input!B163+Input!C163+Input!D163</f>
        <v>29762.160927484445</v>
      </c>
      <c r="C77" s="27">
        <f>Input!E163</f>
        <v>4537.443879090979</v>
      </c>
      <c r="D77" s="25">
        <f>0.01*Input!F$14*(Adjust!$E247*Input!E163+Adjust!$F247*Input!F163)+10*(Adjust!$B247*Input!B163+Adjust!$C247*Input!C163+Adjust!$D247*Input!D163+Adjust!$G247*Input!G163)</f>
        <v>75000.645537260803</v>
      </c>
      <c r="E77" s="25">
        <f>10*(Adjust!$B247*Input!B163+Adjust!$C247*Input!C163+Adjust!$D247*Input!D163)</f>
        <v>75000.645537260803</v>
      </c>
      <c r="F77" s="25">
        <f>Adjust!E247*Input!$F$14*Input!$E163/100</f>
        <v>0</v>
      </c>
      <c r="G77" s="25">
        <f>Adjust!F247*Input!$F$14*Input!$F163/100</f>
        <v>0</v>
      </c>
      <c r="H77" s="25">
        <f>Adjust!G247*Input!$G163*10</f>
        <v>0</v>
      </c>
      <c r="I77" s="17">
        <f>IF(B77&lt;&gt;0,0.1*D77/B77,"")</f>
        <v>0.252</v>
      </c>
      <c r="J77" s="29">
        <f>IF(C77&lt;&gt;0,D77/C77,"")</f>
        <v>16.529272325079702</v>
      </c>
      <c r="K77" s="17">
        <f>IF(B77&lt;&gt;0,0.1*E77/B77,0)</f>
        <v>0.252</v>
      </c>
      <c r="L77" s="25">
        <f>Adjust!B247*Input!$B163*10</f>
        <v>75000.645537260803</v>
      </c>
      <c r="M77" s="25">
        <f>Adjust!C247*Input!$C163*10</f>
        <v>0</v>
      </c>
      <c r="N77" s="25">
        <f>Adjust!D247*Input!$D163*10</f>
        <v>0</v>
      </c>
      <c r="O77" s="22">
        <f>IF(E77&lt;&gt;0,$L77/E77,"")</f>
        <v>1</v>
      </c>
      <c r="P77" s="22">
        <f>IF(E77&lt;&gt;0,$M77/E77,"")</f>
        <v>0</v>
      </c>
      <c r="Q77" s="22">
        <f>IF(E77&lt;&gt;0,$N77/E77,"")</f>
        <v>0</v>
      </c>
      <c r="R77" s="22">
        <f>IF(D77&lt;&gt;0,$F77/D77,"")</f>
        <v>0</v>
      </c>
      <c r="S77" s="22">
        <f>IF(D77&lt;&gt;0,$G77/D77,"")</f>
        <v>0</v>
      </c>
      <c r="T77" s="22">
        <f>IF(D77&lt;&gt;0,$H77/D77,"")</f>
        <v>0</v>
      </c>
      <c r="U77" s="6"/>
    </row>
    <row r="78" spans="1:21" ht="25.5" x14ac:dyDescent="0.2">
      <c r="A78" s="5" t="s">
        <v>127</v>
      </c>
      <c r="B78" s="25">
        <f>Input!B164+Input!C164+Input!D164</f>
        <v>0</v>
      </c>
      <c r="C78" s="27">
        <f>Input!E164</f>
        <v>0</v>
      </c>
      <c r="D78" s="25">
        <f>0.01*Input!F$14*(Adjust!$E248*Input!E164+Adjust!$F248*Input!F164)+10*(Adjust!$B248*Input!B164+Adjust!$C248*Input!C164+Adjust!$D248*Input!D164+Adjust!$G248*Input!G164)</f>
        <v>0</v>
      </c>
      <c r="E78" s="25">
        <f>10*(Adjust!$B248*Input!B164+Adjust!$C248*Input!C164+Adjust!$D248*Input!D164)</f>
        <v>0</v>
      </c>
      <c r="F78" s="25">
        <f>Adjust!E248*Input!$F$14*Input!$E164/100</f>
        <v>0</v>
      </c>
      <c r="G78" s="25">
        <f>Adjust!F248*Input!$F$14*Input!$F164/100</f>
        <v>0</v>
      </c>
      <c r="H78" s="25">
        <f>Adjust!G248*Input!$G164*10</f>
        <v>0</v>
      </c>
      <c r="I78" s="17" t="str">
        <f>IF(B78&lt;&gt;0,0.1*D78/B78,"")</f>
        <v/>
      </c>
      <c r="J78" s="29" t="str">
        <f>IF(C78&lt;&gt;0,D78/C78,"")</f>
        <v/>
      </c>
      <c r="K78" s="17">
        <f>IF(B78&lt;&gt;0,0.1*E78/B78,0)</f>
        <v>0</v>
      </c>
      <c r="L78" s="25">
        <f>Adjust!B248*Input!$B164*10</f>
        <v>0</v>
      </c>
      <c r="M78" s="25">
        <f>Adjust!C248*Input!$C164*10</f>
        <v>0</v>
      </c>
      <c r="N78" s="25">
        <f>Adjust!D248*Input!$D164*10</f>
        <v>0</v>
      </c>
      <c r="O78" s="22" t="str">
        <f>IF(E78&lt;&gt;0,$L78/E78,"")</f>
        <v/>
      </c>
      <c r="P78" s="22" t="str">
        <f>IF(E78&lt;&gt;0,$M78/E78,"")</f>
        <v/>
      </c>
      <c r="Q78" s="22" t="str">
        <f>IF(E78&lt;&gt;0,$N78/E78,"")</f>
        <v/>
      </c>
      <c r="R78" s="22" t="str">
        <f>IF(D78&lt;&gt;0,$F78/D78,"")</f>
        <v/>
      </c>
      <c r="S78" s="22" t="str">
        <f>IF(D78&lt;&gt;0,$G78/D78,"")</f>
        <v/>
      </c>
      <c r="T78" s="22" t="str">
        <f>IF(D78&lt;&gt;0,$H78/D78,"")</f>
        <v/>
      </c>
      <c r="U78" s="6"/>
    </row>
    <row r="79" spans="1:21" ht="25.5" x14ac:dyDescent="0.2">
      <c r="A79" s="5" t="s">
        <v>128</v>
      </c>
      <c r="B79" s="25">
        <f>Input!B165+Input!C165+Input!D165</f>
        <v>0</v>
      </c>
      <c r="C79" s="27">
        <f>Input!E165</f>
        <v>0</v>
      </c>
      <c r="D79" s="25">
        <f>0.01*Input!F$14*(Adjust!$E249*Input!E165+Adjust!$F249*Input!F165)+10*(Adjust!$B249*Input!B165+Adjust!$C249*Input!C165+Adjust!$D249*Input!D165+Adjust!$G249*Input!G165)</f>
        <v>0</v>
      </c>
      <c r="E79" s="25">
        <f>10*(Adjust!$B249*Input!B165+Adjust!$C249*Input!C165+Adjust!$D249*Input!D165)</f>
        <v>0</v>
      </c>
      <c r="F79" s="25">
        <f>Adjust!E249*Input!$F$14*Input!$E165/100</f>
        <v>0</v>
      </c>
      <c r="G79" s="25">
        <f>Adjust!F249*Input!$F$14*Input!$F165/100</f>
        <v>0</v>
      </c>
      <c r="H79" s="25">
        <f>Adjust!G249*Input!$G165*10</f>
        <v>0</v>
      </c>
      <c r="I79" s="17" t="str">
        <f>IF(B79&lt;&gt;0,0.1*D79/B79,"")</f>
        <v/>
      </c>
      <c r="J79" s="29" t="str">
        <f>IF(C79&lt;&gt;0,D79/C79,"")</f>
        <v/>
      </c>
      <c r="K79" s="17">
        <f>IF(B79&lt;&gt;0,0.1*E79/B79,0)</f>
        <v>0</v>
      </c>
      <c r="L79" s="25">
        <f>Adjust!B249*Input!$B165*10</f>
        <v>0</v>
      </c>
      <c r="M79" s="25">
        <f>Adjust!C249*Input!$C165*10</f>
        <v>0</v>
      </c>
      <c r="N79" s="25">
        <f>Adjust!D249*Input!$D165*10</f>
        <v>0</v>
      </c>
      <c r="O79" s="22" t="str">
        <f>IF(E79&lt;&gt;0,$L79/E79,"")</f>
        <v/>
      </c>
      <c r="P79" s="22" t="str">
        <f>IF(E79&lt;&gt;0,$M79/E79,"")</f>
        <v/>
      </c>
      <c r="Q79" s="22" t="str">
        <f>IF(E79&lt;&gt;0,$N79/E79,"")</f>
        <v/>
      </c>
      <c r="R79" s="22" t="str">
        <f>IF(D79&lt;&gt;0,$F79/D79,"")</f>
        <v/>
      </c>
      <c r="S79" s="22" t="str">
        <f>IF(D79&lt;&gt;0,$G79/D79,"")</f>
        <v/>
      </c>
      <c r="T79" s="22" t="str">
        <f>IF(D79&lt;&gt;0,$H79/D79,"")</f>
        <v/>
      </c>
      <c r="U79" s="6"/>
    </row>
    <row r="80" spans="1:21" x14ac:dyDescent="0.2">
      <c r="A80" s="12" t="s">
        <v>129</v>
      </c>
      <c r="U80" s="6"/>
    </row>
    <row r="81" spans="1:21" x14ac:dyDescent="0.2">
      <c r="A81" s="5" t="s">
        <v>57</v>
      </c>
      <c r="B81" s="25">
        <f>Input!B167+Input!C167+Input!D167</f>
        <v>1283146.0121931992</v>
      </c>
      <c r="C81" s="27">
        <f>Input!E167</f>
        <v>11223.982793627194</v>
      </c>
      <c r="D81" s="25">
        <f>0.01*Input!F$14*(Adjust!$E251*Input!E167+Adjust!$F251*Input!F167)+10*(Adjust!$B251*Input!B167+Adjust!$C251*Input!C167+Adjust!$D251*Input!D167+Adjust!$G251*Input!G167)</f>
        <v>26759305.106786668</v>
      </c>
      <c r="E81" s="25">
        <f>10*(Adjust!$B251*Input!B167+Adjust!$C251*Input!C167+Adjust!$D251*Input!D167)</f>
        <v>25767890.706625577</v>
      </c>
      <c r="F81" s="25">
        <f>Adjust!E251*Input!$F$14*Input!$E167/100</f>
        <v>991414.40016109007</v>
      </c>
      <c r="G81" s="25">
        <f>Adjust!F251*Input!$F$14*Input!$F167/100</f>
        <v>0</v>
      </c>
      <c r="H81" s="25">
        <f>Adjust!G251*Input!$G167*10</f>
        <v>0</v>
      </c>
      <c r="I81" s="17">
        <f>IF(B81&lt;&gt;0,0.1*D81/B81,"")</f>
        <v>2.0854450586686317</v>
      </c>
      <c r="J81" s="29">
        <f>IF(C81&lt;&gt;0,D81/C81,"")</f>
        <v>2384.1185075568892</v>
      </c>
      <c r="K81" s="17">
        <f>IF(B81&lt;&gt;0,0.1*E81/B81,0)</f>
        <v>2.0081807106723715</v>
      </c>
      <c r="L81" s="25">
        <f>Adjust!B251*Input!$B167*10</f>
        <v>25196683.857246637</v>
      </c>
      <c r="M81" s="25">
        <f>Adjust!C251*Input!$C167*10</f>
        <v>571206.849378941</v>
      </c>
      <c r="N81" s="25">
        <f>Adjust!D251*Input!$D167*10</f>
        <v>0</v>
      </c>
      <c r="O81" s="22">
        <f>IF(E81&lt;&gt;0,$L81/E81,"")</f>
        <v>0.97783261129588428</v>
      </c>
      <c r="P81" s="22">
        <f>IF(E81&lt;&gt;0,$M81/E81,"")</f>
        <v>2.2167388704115748E-2</v>
      </c>
      <c r="Q81" s="22">
        <f>IF(E81&lt;&gt;0,$N81/E81,"")</f>
        <v>0</v>
      </c>
      <c r="R81" s="22">
        <f>IF(D81&lt;&gt;0,$F81/D81,"")</f>
        <v>3.704933279114369E-2</v>
      </c>
      <c r="S81" s="22">
        <f>IF(D81&lt;&gt;0,$G81/D81,"")</f>
        <v>0</v>
      </c>
      <c r="T81" s="22">
        <f>IF(D81&lt;&gt;0,$H81/D81,"")</f>
        <v>0</v>
      </c>
      <c r="U81" s="6"/>
    </row>
    <row r="82" spans="1:21" x14ac:dyDescent="0.2">
      <c r="A82" s="5" t="s">
        <v>130</v>
      </c>
      <c r="B82" s="25">
        <f>Input!B168+Input!C168+Input!D168</f>
        <v>0</v>
      </c>
      <c r="C82" s="27">
        <f>Input!E168</f>
        <v>1.3557113464908939</v>
      </c>
      <c r="D82" s="25">
        <f>0.01*Input!F$14*(Adjust!$E252*Input!E168+Adjust!$F252*Input!F168)+10*(Adjust!$B252*Input!B168+Adjust!$C252*Input!C168+Adjust!$D252*Input!D168+Adjust!$G252*Input!G168)</f>
        <v>80.757013487769569</v>
      </c>
      <c r="E82" s="25">
        <f>10*(Adjust!$B252*Input!B168+Adjust!$C252*Input!C168+Adjust!$D252*Input!D168)</f>
        <v>0</v>
      </c>
      <c r="F82" s="25">
        <f>Adjust!E252*Input!$F$14*Input!$E168/100</f>
        <v>80.757013487769569</v>
      </c>
      <c r="G82" s="25">
        <f>Adjust!F252*Input!$F$14*Input!$F168/100</f>
        <v>0</v>
      </c>
      <c r="H82" s="25">
        <f>Adjust!G252*Input!$G168*10</f>
        <v>0</v>
      </c>
      <c r="I82" s="17" t="str">
        <f>IF(B82&lt;&gt;0,0.1*D82/B82,"")</f>
        <v/>
      </c>
      <c r="J82" s="29">
        <f>IF(C82&lt;&gt;0,D82/C82,"")</f>
        <v>59.568000000000005</v>
      </c>
      <c r="K82" s="17">
        <f>IF(B82&lt;&gt;0,0.1*E82/B82,0)</f>
        <v>0</v>
      </c>
      <c r="L82" s="25">
        <f>Adjust!B252*Input!$B168*10</f>
        <v>0</v>
      </c>
      <c r="M82" s="25">
        <f>Adjust!C252*Input!$C168*10</f>
        <v>0</v>
      </c>
      <c r="N82" s="25">
        <f>Adjust!D252*Input!$D168*10</f>
        <v>0</v>
      </c>
      <c r="O82" s="22" t="str">
        <f>IF(E82&lt;&gt;0,$L82/E82,"")</f>
        <v/>
      </c>
      <c r="P82" s="22" t="str">
        <f>IF(E82&lt;&gt;0,$M82/E82,"")</f>
        <v/>
      </c>
      <c r="Q82" s="22" t="str">
        <f>IF(E82&lt;&gt;0,$N82/E82,"")</f>
        <v/>
      </c>
      <c r="R82" s="22">
        <f>IF(D82&lt;&gt;0,$F82/D82,"")</f>
        <v>1</v>
      </c>
      <c r="S82" s="22">
        <f>IF(D82&lt;&gt;0,$G82/D82,"")</f>
        <v>0</v>
      </c>
      <c r="T82" s="22">
        <f>IF(D82&lt;&gt;0,$H82/D82,"")</f>
        <v>0</v>
      </c>
      <c r="U82" s="6"/>
    </row>
    <row r="83" spans="1:21" x14ac:dyDescent="0.2">
      <c r="A83" s="5" t="s">
        <v>131</v>
      </c>
      <c r="B83" s="25">
        <f>Input!B169+Input!C169+Input!D169</f>
        <v>464.85726510706405</v>
      </c>
      <c r="C83" s="27">
        <f>Input!E169</f>
        <v>12.201402118418045</v>
      </c>
      <c r="D83" s="25">
        <f>0.01*Input!F$14*(Adjust!$E253*Input!E169+Adjust!$F253*Input!F169)+10*(Adjust!$B253*Input!B169+Adjust!$C253*Input!C169+Adjust!$D253*Input!D169+Adjust!$G253*Input!G169)</f>
        <v>4774.1915343442824</v>
      </c>
      <c r="E83" s="25">
        <f>10*(Adjust!$B253*Input!B169+Adjust!$C253*Input!C169+Adjust!$D253*Input!D169)</f>
        <v>4286.9773463537313</v>
      </c>
      <c r="F83" s="25">
        <f>Adjust!E253*Input!$F$14*Input!$E169/100</f>
        <v>487.21418799055095</v>
      </c>
      <c r="G83" s="25">
        <f>Adjust!F253*Input!$F$14*Input!$F169/100</f>
        <v>0</v>
      </c>
      <c r="H83" s="25">
        <f>Adjust!G253*Input!$G169*10</f>
        <v>0</v>
      </c>
      <c r="I83" s="17">
        <f>IF(B83&lt;&gt;0,0.1*D83/B83,"")</f>
        <v>1.0270231085330483</v>
      </c>
      <c r="J83" s="29">
        <f>IF(C83&lt;&gt;0,D83/C83,"")</f>
        <v>391.28220576696094</v>
      </c>
      <c r="K83" s="17">
        <f>IF(B83&lt;&gt;0,0.1*E83/B83,0)</f>
        <v>0.9222136918450381</v>
      </c>
      <c r="L83" s="25">
        <f>Adjust!B253*Input!$B169*10</f>
        <v>4199.796010040388</v>
      </c>
      <c r="M83" s="25">
        <f>Adjust!C253*Input!$C169*10</f>
        <v>87.181336313342996</v>
      </c>
      <c r="N83" s="25">
        <f>Adjust!D253*Input!$D169*10</f>
        <v>0</v>
      </c>
      <c r="O83" s="22">
        <f>IF(E83&lt;&gt;0,$L83/E83,"")</f>
        <v>0.97966368159433015</v>
      </c>
      <c r="P83" s="22">
        <f>IF(E83&lt;&gt;0,$M83/E83,"")</f>
        <v>2.033631840566983E-2</v>
      </c>
      <c r="Q83" s="22">
        <f>IF(E83&lt;&gt;0,$N83/E83,"")</f>
        <v>0</v>
      </c>
      <c r="R83" s="22">
        <f>IF(D83&lt;&gt;0,$F83/D83,"")</f>
        <v>0.10205166350902761</v>
      </c>
      <c r="S83" s="22">
        <f>IF(D83&lt;&gt;0,$G83/D83,"")</f>
        <v>0</v>
      </c>
      <c r="T83" s="22">
        <f>IF(D83&lt;&gt;0,$H83/D83,"")</f>
        <v>0</v>
      </c>
      <c r="U83" s="6"/>
    </row>
    <row r="84" spans="1:21" x14ac:dyDescent="0.2">
      <c r="A84" s="12" t="s">
        <v>132</v>
      </c>
      <c r="U84" s="6"/>
    </row>
    <row r="85" spans="1:21" x14ac:dyDescent="0.2">
      <c r="A85" s="5" t="s">
        <v>58</v>
      </c>
      <c r="B85" s="25">
        <f>Input!B171+Input!C171+Input!D171</f>
        <v>43893.030488056167</v>
      </c>
      <c r="C85" s="27">
        <f>Input!E171</f>
        <v>348.75333450159138</v>
      </c>
      <c r="D85" s="25">
        <f>0.01*Input!F$14*(Adjust!$E255*Input!E171+Adjust!$F255*Input!F171)+10*(Adjust!$B255*Input!B171+Adjust!$C255*Input!C171+Adjust!$D255*Input!D171+Adjust!$G255*Input!G171)</f>
        <v>804016.52471422672</v>
      </c>
      <c r="E85" s="25">
        <f>10*(Adjust!$B255*Input!B171+Adjust!$C255*Input!C171+Adjust!$D255*Input!D171)</f>
        <v>731356.55749749613</v>
      </c>
      <c r="F85" s="25">
        <f>Adjust!E255*Input!$F$14*Input!$E171/100</f>
        <v>72659.967216730554</v>
      </c>
      <c r="G85" s="25">
        <f>Adjust!F255*Input!$F$14*Input!$F171/100</f>
        <v>0</v>
      </c>
      <c r="H85" s="25">
        <f>Adjust!G255*Input!$G171*10</f>
        <v>0</v>
      </c>
      <c r="I85" s="17">
        <f>IF(B85&lt;&gt;0,0.1*D85/B85,"")</f>
        <v>1.8317635300506525</v>
      </c>
      <c r="J85" s="29">
        <f>IF(C85&lt;&gt;0,D85/C85,"")</f>
        <v>2305.4016841538128</v>
      </c>
      <c r="K85" s="17">
        <f>IF(B85&lt;&gt;0,0.1*E85/B85,0)</f>
        <v>1.6662247955207996</v>
      </c>
      <c r="L85" s="25">
        <f>Adjust!B255*Input!$B171*10</f>
        <v>713859.4097848743</v>
      </c>
      <c r="M85" s="25">
        <f>Adjust!C255*Input!$C171*10</f>
        <v>17497.147712621841</v>
      </c>
      <c r="N85" s="25">
        <f>Adjust!D255*Input!$D171*10</f>
        <v>0</v>
      </c>
      <c r="O85" s="22">
        <f>IF(E85&lt;&gt;0,$L85/E85,"")</f>
        <v>0.97607576286388631</v>
      </c>
      <c r="P85" s="22">
        <f>IF(E85&lt;&gt;0,$M85/E85,"")</f>
        <v>2.392423713611366E-2</v>
      </c>
      <c r="Q85" s="22">
        <f>IF(E85&lt;&gt;0,$N85/E85,"")</f>
        <v>0</v>
      </c>
      <c r="R85" s="22">
        <f>IF(D85&lt;&gt;0,$F85/D85,"")</f>
        <v>9.037123614164054E-2</v>
      </c>
      <c r="S85" s="22">
        <f>IF(D85&lt;&gt;0,$G85/D85,"")</f>
        <v>0</v>
      </c>
      <c r="T85" s="22">
        <f>IF(D85&lt;&gt;0,$H85/D85,"")</f>
        <v>0</v>
      </c>
      <c r="U85" s="6"/>
    </row>
    <row r="86" spans="1:21" x14ac:dyDescent="0.2">
      <c r="A86" s="12" t="s">
        <v>133</v>
      </c>
      <c r="U86" s="6"/>
    </row>
    <row r="87" spans="1:21" x14ac:dyDescent="0.2">
      <c r="A87" s="5" t="s">
        <v>72</v>
      </c>
      <c r="B87" s="25">
        <f>Input!B173+Input!C173+Input!D173</f>
        <v>11207.25153182258</v>
      </c>
      <c r="C87" s="27">
        <f>Input!E173</f>
        <v>68.555558952026317</v>
      </c>
      <c r="D87" s="25">
        <f>0.01*Input!F$14*(Adjust!$E257*Input!E173+Adjust!$F257*Input!F173)+10*(Adjust!$B257*Input!B173+Adjust!$C257*Input!C173+Adjust!$D257*Input!D173+Adjust!$G257*Input!G173)</f>
        <v>191324.46663254627</v>
      </c>
      <c r="E87" s="25">
        <f>10*(Adjust!$B257*Input!B173+Adjust!$C257*Input!C173+Adjust!$D257*Input!D173)</f>
        <v>127598.95530870548</v>
      </c>
      <c r="F87" s="25">
        <f>Adjust!E257*Input!$F$14*Input!$E173/100</f>
        <v>63725.511323840765</v>
      </c>
      <c r="G87" s="25">
        <f>Adjust!F257*Input!$F$14*Input!$F173/100</f>
        <v>0</v>
      </c>
      <c r="H87" s="25">
        <f>Adjust!G257*Input!$G173*10</f>
        <v>0</v>
      </c>
      <c r="I87" s="17">
        <f>IF(B87&lt;&gt;0,0.1*D87/B87,"")</f>
        <v>1.7071488588374006</v>
      </c>
      <c r="J87" s="29">
        <f>IF(C87&lt;&gt;0,D87/C87,"")</f>
        <v>2790.7943507021942</v>
      </c>
      <c r="K87" s="17">
        <f>IF(B87&lt;&gt;0,0.1*E87/B87,0)</f>
        <v>1.1385392301260744</v>
      </c>
      <c r="L87" s="25">
        <f>Adjust!B257*Input!$B173*10</f>
        <v>124443.5928104569</v>
      </c>
      <c r="M87" s="25">
        <f>Adjust!C257*Input!$C173*10</f>
        <v>3155.3624982485785</v>
      </c>
      <c r="N87" s="25">
        <f>Adjust!D257*Input!$D173*10</f>
        <v>0</v>
      </c>
      <c r="O87" s="22">
        <f>IF(E87&lt;&gt;0,$L87/E87,"")</f>
        <v>0.97527125131538361</v>
      </c>
      <c r="P87" s="22">
        <f>IF(E87&lt;&gt;0,$M87/E87,"")</f>
        <v>2.4728748684616407E-2</v>
      </c>
      <c r="Q87" s="22">
        <f>IF(E87&lt;&gt;0,$N87/E87,"")</f>
        <v>0</v>
      </c>
      <c r="R87" s="22">
        <f>IF(D87&lt;&gt;0,$F87/D87,"")</f>
        <v>0.33307559898353528</v>
      </c>
      <c r="S87" s="22">
        <f>IF(D87&lt;&gt;0,$G87/D87,"")</f>
        <v>0</v>
      </c>
      <c r="T87" s="22">
        <f>IF(D87&lt;&gt;0,$H87/D87,"")</f>
        <v>0</v>
      </c>
      <c r="U87" s="6"/>
    </row>
    <row r="88" spans="1:21" x14ac:dyDescent="0.2">
      <c r="A88" s="12" t="s">
        <v>134</v>
      </c>
      <c r="U88" s="6"/>
    </row>
    <row r="89" spans="1:21" x14ac:dyDescent="0.2">
      <c r="A89" s="5" t="s">
        <v>59</v>
      </c>
      <c r="B89" s="25">
        <f>Input!B175+Input!C175+Input!D175</f>
        <v>1584740.6300654395</v>
      </c>
      <c r="C89" s="27">
        <f>Input!E175</f>
        <v>4948.4112120990931</v>
      </c>
      <c r="D89" s="25">
        <f>0.01*Input!F$14*(Adjust!$E259*Input!E175+Adjust!$F259*Input!F175)+10*(Adjust!$B259*Input!B175+Adjust!$C259*Input!C175+Adjust!$D259*Input!D175+Adjust!$G259*Input!G175)</f>
        <v>30497871.399747536</v>
      </c>
      <c r="E89" s="25">
        <f>10*(Adjust!$B259*Input!B175+Adjust!$C259*Input!C175+Adjust!$D259*Input!D175)</f>
        <v>20717042.734068155</v>
      </c>
      <c r="F89" s="25">
        <f>Adjust!E259*Input!$F$14*Input!$E175/100</f>
        <v>215476.09202524897</v>
      </c>
      <c r="G89" s="25">
        <f>Adjust!F259*Input!$F$14*Input!$F175/100</f>
        <v>9197645.2901433688</v>
      </c>
      <c r="H89" s="25">
        <f>Adjust!G259*Input!$G175*10</f>
        <v>367707.28351075778</v>
      </c>
      <c r="I89" s="17">
        <f>IF(B89&lt;&gt;0,0.1*D89/B89,"")</f>
        <v>1.9244708453324739</v>
      </c>
      <c r="J89" s="29">
        <f>IF(C89&lt;&gt;0,D89/C89,"")</f>
        <v>6163.1643152814049</v>
      </c>
      <c r="K89" s="17">
        <f>IF(B89&lt;&gt;0,0.1*E89/B89,0)</f>
        <v>1.3072828664216603</v>
      </c>
      <c r="L89" s="25">
        <f>Adjust!B259*Input!$B175*10</f>
        <v>13349467.474450171</v>
      </c>
      <c r="M89" s="25">
        <f>Adjust!C259*Input!$C175*10</f>
        <v>6220200.5833446281</v>
      </c>
      <c r="N89" s="25">
        <f>Adjust!D259*Input!$D175*10</f>
        <v>1147374.6762733576</v>
      </c>
      <c r="O89" s="22">
        <f>IF(E89&lt;&gt;0,$L89/E89,"")</f>
        <v>0.64437128627908025</v>
      </c>
      <c r="P89" s="22">
        <f>IF(E89&lt;&gt;0,$M89/E89,"")</f>
        <v>0.30024558346427577</v>
      </c>
      <c r="Q89" s="22">
        <f>IF(E89&lt;&gt;0,$N89/E89,"")</f>
        <v>5.5383130256644042E-2</v>
      </c>
      <c r="R89" s="22">
        <f>IF(D89&lt;&gt;0,$F89/D89,"")</f>
        <v>7.0652829897837627E-3</v>
      </c>
      <c r="S89" s="22">
        <f>IF(D89&lt;&gt;0,$G89/D89,"")</f>
        <v>0.30158318820307922</v>
      </c>
      <c r="T89" s="22">
        <f>IF(D89&lt;&gt;0,$H89/D89,"")</f>
        <v>1.205681795595091E-2</v>
      </c>
      <c r="U89" s="6"/>
    </row>
    <row r="90" spans="1:21" x14ac:dyDescent="0.2">
      <c r="A90" s="5" t="s">
        <v>135</v>
      </c>
      <c r="B90" s="25">
        <f>Input!B176+Input!C176+Input!D176</f>
        <v>0</v>
      </c>
      <c r="C90" s="27">
        <f>Input!E176</f>
        <v>0</v>
      </c>
      <c r="D90" s="25">
        <f>0.01*Input!F$14*(Adjust!$E260*Input!E176+Adjust!$F260*Input!F176)+10*(Adjust!$B260*Input!B176+Adjust!$C260*Input!C176+Adjust!$D260*Input!D176+Adjust!$G260*Input!G176)</f>
        <v>0</v>
      </c>
      <c r="E90" s="25">
        <f>10*(Adjust!$B260*Input!B176+Adjust!$C260*Input!C176+Adjust!$D260*Input!D176)</f>
        <v>0</v>
      </c>
      <c r="F90" s="25">
        <f>Adjust!E260*Input!$F$14*Input!$E176/100</f>
        <v>0</v>
      </c>
      <c r="G90" s="25">
        <f>Adjust!F260*Input!$F$14*Input!$F176/100</f>
        <v>0</v>
      </c>
      <c r="H90" s="25">
        <f>Adjust!G260*Input!$G176*10</f>
        <v>0</v>
      </c>
      <c r="I90" s="17" t="str">
        <f>IF(B90&lt;&gt;0,0.1*D90/B90,"")</f>
        <v/>
      </c>
      <c r="J90" s="29" t="str">
        <f>IF(C90&lt;&gt;0,D90/C90,"")</f>
        <v/>
      </c>
      <c r="K90" s="17">
        <f>IF(B90&lt;&gt;0,0.1*E90/B90,0)</f>
        <v>0</v>
      </c>
      <c r="L90" s="25">
        <f>Adjust!B260*Input!$B176*10</f>
        <v>0</v>
      </c>
      <c r="M90" s="25">
        <f>Adjust!C260*Input!$C176*10</f>
        <v>0</v>
      </c>
      <c r="N90" s="25">
        <f>Adjust!D260*Input!$D176*10</f>
        <v>0</v>
      </c>
      <c r="O90" s="22" t="str">
        <f>IF(E90&lt;&gt;0,$L90/E90,"")</f>
        <v/>
      </c>
      <c r="P90" s="22" t="str">
        <f>IF(E90&lt;&gt;0,$M90/E90,"")</f>
        <v/>
      </c>
      <c r="Q90" s="22" t="str">
        <f>IF(E90&lt;&gt;0,$N90/E90,"")</f>
        <v/>
      </c>
      <c r="R90" s="22" t="str">
        <f>IF(D90&lt;&gt;0,$F90/D90,"")</f>
        <v/>
      </c>
      <c r="S90" s="22" t="str">
        <f>IF(D90&lt;&gt;0,$G90/D90,"")</f>
        <v/>
      </c>
      <c r="T90" s="22" t="str">
        <f>IF(D90&lt;&gt;0,$H90/D90,"")</f>
        <v/>
      </c>
      <c r="U90" s="6"/>
    </row>
    <row r="91" spans="1:21" x14ac:dyDescent="0.2">
      <c r="A91" s="5" t="s">
        <v>136</v>
      </c>
      <c r="B91" s="25">
        <f>Input!B177+Input!C177+Input!D177</f>
        <v>0</v>
      </c>
      <c r="C91" s="27">
        <f>Input!E177</f>
        <v>0</v>
      </c>
      <c r="D91" s="25">
        <f>0.01*Input!F$14*(Adjust!$E261*Input!E177+Adjust!$F261*Input!F177)+10*(Adjust!$B261*Input!B177+Adjust!$C261*Input!C177+Adjust!$D261*Input!D177+Adjust!$G261*Input!G177)</f>
        <v>0</v>
      </c>
      <c r="E91" s="25">
        <f>10*(Adjust!$B261*Input!B177+Adjust!$C261*Input!C177+Adjust!$D261*Input!D177)</f>
        <v>0</v>
      </c>
      <c r="F91" s="25">
        <f>Adjust!E261*Input!$F$14*Input!$E177/100</f>
        <v>0</v>
      </c>
      <c r="G91" s="25">
        <f>Adjust!F261*Input!$F$14*Input!$F177/100</f>
        <v>0</v>
      </c>
      <c r="H91" s="25">
        <f>Adjust!G261*Input!$G177*10</f>
        <v>0</v>
      </c>
      <c r="I91" s="17" t="str">
        <f>IF(B91&lt;&gt;0,0.1*D91/B91,"")</f>
        <v/>
      </c>
      <c r="J91" s="29" t="str">
        <f>IF(C91&lt;&gt;0,D91/C91,"")</f>
        <v/>
      </c>
      <c r="K91" s="17">
        <f>IF(B91&lt;&gt;0,0.1*E91/B91,0)</f>
        <v>0</v>
      </c>
      <c r="L91" s="25">
        <f>Adjust!B261*Input!$B177*10</f>
        <v>0</v>
      </c>
      <c r="M91" s="25">
        <f>Adjust!C261*Input!$C177*10</f>
        <v>0</v>
      </c>
      <c r="N91" s="25">
        <f>Adjust!D261*Input!$D177*10</f>
        <v>0</v>
      </c>
      <c r="O91" s="22" t="str">
        <f>IF(E91&lt;&gt;0,$L91/E91,"")</f>
        <v/>
      </c>
      <c r="P91" s="22" t="str">
        <f>IF(E91&lt;&gt;0,$M91/E91,"")</f>
        <v/>
      </c>
      <c r="Q91" s="22" t="str">
        <f>IF(E91&lt;&gt;0,$N91/E91,"")</f>
        <v/>
      </c>
      <c r="R91" s="22" t="str">
        <f>IF(D91&lt;&gt;0,$F91/D91,"")</f>
        <v/>
      </c>
      <c r="S91" s="22" t="str">
        <f>IF(D91&lt;&gt;0,$G91/D91,"")</f>
        <v/>
      </c>
      <c r="T91" s="22" t="str">
        <f>IF(D91&lt;&gt;0,$H91/D91,"")</f>
        <v/>
      </c>
      <c r="U91" s="6"/>
    </row>
    <row r="92" spans="1:21" x14ac:dyDescent="0.2">
      <c r="A92" s="12" t="s">
        <v>137</v>
      </c>
      <c r="U92" s="6"/>
    </row>
    <row r="93" spans="1:21" x14ac:dyDescent="0.2">
      <c r="A93" s="5" t="s">
        <v>60</v>
      </c>
      <c r="B93" s="25">
        <f>Input!B179+Input!C179+Input!D179</f>
        <v>1328034.1740358933</v>
      </c>
      <c r="C93" s="27">
        <f>Input!E179</f>
        <v>1830.2774665284201</v>
      </c>
      <c r="D93" s="25">
        <f>0.01*Input!F$14*(Adjust!$E263*Input!E179+Adjust!$F263*Input!F179)+10*(Adjust!$B263*Input!B179+Adjust!$C263*Input!C179+Adjust!$D263*Input!D179+Adjust!$G263*Input!G179)</f>
        <v>24673629.556362394</v>
      </c>
      <c r="E93" s="25">
        <f>10*(Adjust!$B263*Input!B179+Adjust!$C263*Input!C179+Adjust!$D263*Input!D179)</f>
        <v>16558093.696394088</v>
      </c>
      <c r="F93" s="25">
        <f>Adjust!E263*Input!$F$14*Input!$E179/100</f>
        <v>233417.11558383593</v>
      </c>
      <c r="G93" s="25">
        <f>Adjust!F263*Input!$F$14*Input!$F179/100</f>
        <v>7586418.0760429958</v>
      </c>
      <c r="H93" s="25">
        <f>Adjust!G263*Input!$G179*10</f>
        <v>295700.66834147257</v>
      </c>
      <c r="I93" s="17">
        <f>IF(B93&lt;&gt;0,0.1*D93/B93,"")</f>
        <v>1.857906222501736</v>
      </c>
      <c r="J93" s="29">
        <f>IF(C93&lt;&gt;0,D93/C93,"")</f>
        <v>13480.813705892428</v>
      </c>
      <c r="K93" s="17">
        <f>IF(B93&lt;&gt;0,0.1*E93/B93,0)</f>
        <v>1.2468123200530354</v>
      </c>
      <c r="L93" s="25">
        <f>Adjust!B263*Input!$B179*10</f>
        <v>10755342.625433577</v>
      </c>
      <c r="M93" s="25">
        <f>Adjust!C263*Input!$C179*10</f>
        <v>4858893.6469773743</v>
      </c>
      <c r="N93" s="25">
        <f>Adjust!D263*Input!$D179*10</f>
        <v>943857.42398313782</v>
      </c>
      <c r="O93" s="22">
        <f>IF(E93&lt;&gt;0,$L93/E93,"")</f>
        <v>0.64955198482635745</v>
      </c>
      <c r="P93" s="22">
        <f>IF(E93&lt;&gt;0,$M93/E93,"")</f>
        <v>0.29344523204597595</v>
      </c>
      <c r="Q93" s="22">
        <f>IF(E93&lt;&gt;0,$N93/E93,"")</f>
        <v>5.7002783127666733E-2</v>
      </c>
      <c r="R93" s="22">
        <f>IF(D93&lt;&gt;0,$F93/D93,"")</f>
        <v>9.4601856224937331E-3</v>
      </c>
      <c r="S93" s="22">
        <f>IF(D93&lt;&gt;0,$G93/D93,"")</f>
        <v>0.30747069695251811</v>
      </c>
      <c r="T93" s="22">
        <f>IF(D93&lt;&gt;0,$H93/D93,"")</f>
        <v>1.1984481961439782E-2</v>
      </c>
      <c r="U93" s="6"/>
    </row>
    <row r="94" spans="1:21" x14ac:dyDescent="0.2">
      <c r="A94" s="5" t="s">
        <v>138</v>
      </c>
      <c r="B94" s="25">
        <f>Input!B180+Input!C180+Input!D180</f>
        <v>0</v>
      </c>
      <c r="C94" s="27">
        <f>Input!E180</f>
        <v>0</v>
      </c>
      <c r="D94" s="25">
        <f>0.01*Input!F$14*(Adjust!$E264*Input!E180+Adjust!$F264*Input!F180)+10*(Adjust!$B264*Input!B180+Adjust!$C264*Input!C180+Adjust!$D264*Input!D180+Adjust!$G264*Input!G180)</f>
        <v>0</v>
      </c>
      <c r="E94" s="25">
        <f>10*(Adjust!$B264*Input!B180+Adjust!$C264*Input!C180+Adjust!$D264*Input!D180)</f>
        <v>0</v>
      </c>
      <c r="F94" s="25">
        <f>Adjust!E264*Input!$F$14*Input!$E180/100</f>
        <v>0</v>
      </c>
      <c r="G94" s="25">
        <f>Adjust!F264*Input!$F$14*Input!$F180/100</f>
        <v>0</v>
      </c>
      <c r="H94" s="25">
        <f>Adjust!G264*Input!$G180*10</f>
        <v>0</v>
      </c>
      <c r="I94" s="17" t="str">
        <f>IF(B94&lt;&gt;0,0.1*D94/B94,"")</f>
        <v/>
      </c>
      <c r="J94" s="29" t="str">
        <f>IF(C94&lt;&gt;0,D94/C94,"")</f>
        <v/>
      </c>
      <c r="K94" s="17">
        <f>IF(B94&lt;&gt;0,0.1*E94/B94,0)</f>
        <v>0</v>
      </c>
      <c r="L94" s="25">
        <f>Adjust!B264*Input!$B180*10</f>
        <v>0</v>
      </c>
      <c r="M94" s="25">
        <f>Adjust!C264*Input!$C180*10</f>
        <v>0</v>
      </c>
      <c r="N94" s="25">
        <f>Adjust!D264*Input!$D180*10</f>
        <v>0</v>
      </c>
      <c r="O94" s="22" t="str">
        <f>IF(E94&lt;&gt;0,$L94/E94,"")</f>
        <v/>
      </c>
      <c r="P94" s="22" t="str">
        <f>IF(E94&lt;&gt;0,$M94/E94,"")</f>
        <v/>
      </c>
      <c r="Q94" s="22" t="str">
        <f>IF(E94&lt;&gt;0,$N94/E94,"")</f>
        <v/>
      </c>
      <c r="R94" s="22" t="str">
        <f>IF(D94&lt;&gt;0,$F94/D94,"")</f>
        <v/>
      </c>
      <c r="S94" s="22" t="str">
        <f>IF(D94&lt;&gt;0,$G94/D94,"")</f>
        <v/>
      </c>
      <c r="T94" s="22" t="str">
        <f>IF(D94&lt;&gt;0,$H94/D94,"")</f>
        <v/>
      </c>
      <c r="U94" s="6"/>
    </row>
    <row r="95" spans="1:21" x14ac:dyDescent="0.2">
      <c r="A95" s="12" t="s">
        <v>139</v>
      </c>
      <c r="U95" s="6"/>
    </row>
    <row r="96" spans="1:21" x14ac:dyDescent="0.2">
      <c r="A96" s="5" t="s">
        <v>73</v>
      </c>
      <c r="B96" s="25">
        <f>Input!B182+Input!C182+Input!D182</f>
        <v>5237948.097030893</v>
      </c>
      <c r="C96" s="27">
        <f>Input!E182</f>
        <v>1964.4374527396105</v>
      </c>
      <c r="D96" s="25">
        <f>0.01*Input!F$14*(Adjust!$E266*Input!E182+Adjust!$F266*Input!F182)+10*(Adjust!$B266*Input!B182+Adjust!$C266*Input!C182+Adjust!$D266*Input!D182+Adjust!$G266*Input!G182)</f>
        <v>67991394.974048853</v>
      </c>
      <c r="E96" s="25">
        <f>10*(Adjust!$B266*Input!B182+Adjust!$C266*Input!C182+Adjust!$D266*Input!D182)</f>
        <v>45253522.846242003</v>
      </c>
      <c r="F96" s="25">
        <f>Adjust!E266*Input!$F$14*Input!$E182/100</f>
        <v>735662.18167645682</v>
      </c>
      <c r="G96" s="25">
        <f>Adjust!F266*Input!$F$14*Input!$F182/100</f>
        <v>21364158.418608323</v>
      </c>
      <c r="H96" s="25">
        <f>Adjust!G266*Input!$G182*10</f>
        <v>638051.52752206149</v>
      </c>
      <c r="I96" s="17">
        <f>IF(B96&lt;&gt;0,0.1*D96/B96,"")</f>
        <v>1.2980540034863932</v>
      </c>
      <c r="J96" s="29">
        <f>IF(C96&lt;&gt;0,D96/C96,"")</f>
        <v>34611.127414226321</v>
      </c>
      <c r="K96" s="17">
        <f>IF(B96&lt;&gt;0,0.1*E96/B96,0)</f>
        <v>0.86395515969113468</v>
      </c>
      <c r="L96" s="25">
        <f>Adjust!B266*Input!$B182*10</f>
        <v>30710257.178956755</v>
      </c>
      <c r="M96" s="25">
        <f>Adjust!C266*Input!$C182*10</f>
        <v>11624942.819198743</v>
      </c>
      <c r="N96" s="25">
        <f>Adjust!D266*Input!$D182*10</f>
        <v>2918322.8480865052</v>
      </c>
      <c r="O96" s="22">
        <f>IF(E96&lt;&gt;0,$L96/E96,"")</f>
        <v>0.67862688355337697</v>
      </c>
      <c r="P96" s="22">
        <f>IF(E96&lt;&gt;0,$M96/E96,"")</f>
        <v>0.25688481444189076</v>
      </c>
      <c r="Q96" s="22">
        <f>IF(E96&lt;&gt;0,$N96/E96,"")</f>
        <v>6.4488302004732254E-2</v>
      </c>
      <c r="R96" s="22">
        <f>IF(D96&lt;&gt;0,$F96/D96,"")</f>
        <v>1.0819930697954446E-2</v>
      </c>
      <c r="S96" s="22">
        <f>IF(D96&lt;&gt;0,$G96/D96,"")</f>
        <v>0.31421856290435951</v>
      </c>
      <c r="T96" s="22">
        <f>IF(D96&lt;&gt;0,$H96/D96,"")</f>
        <v>9.3842982301744916E-3</v>
      </c>
      <c r="U96" s="6"/>
    </row>
    <row r="97" spans="1:21" x14ac:dyDescent="0.2">
      <c r="A97" s="5" t="s">
        <v>140</v>
      </c>
      <c r="B97" s="25">
        <f>Input!B183+Input!C183+Input!D183</f>
        <v>0</v>
      </c>
      <c r="C97" s="27">
        <f>Input!E183</f>
        <v>0</v>
      </c>
      <c r="D97" s="25">
        <f>0.01*Input!F$14*(Adjust!$E267*Input!E183+Adjust!$F267*Input!F183)+10*(Adjust!$B267*Input!B183+Adjust!$C267*Input!C183+Adjust!$D267*Input!D183+Adjust!$G267*Input!G183)</f>
        <v>0</v>
      </c>
      <c r="E97" s="25">
        <f>10*(Adjust!$B267*Input!B183+Adjust!$C267*Input!C183+Adjust!$D267*Input!D183)</f>
        <v>0</v>
      </c>
      <c r="F97" s="25">
        <f>Adjust!E267*Input!$F$14*Input!$E183/100</f>
        <v>0</v>
      </c>
      <c r="G97" s="25">
        <f>Adjust!F267*Input!$F$14*Input!$F183/100</f>
        <v>0</v>
      </c>
      <c r="H97" s="25">
        <f>Adjust!G267*Input!$G183*10</f>
        <v>0</v>
      </c>
      <c r="I97" s="17" t="str">
        <f>IF(B97&lt;&gt;0,0.1*D97/B97,"")</f>
        <v/>
      </c>
      <c r="J97" s="29" t="str">
        <f>IF(C97&lt;&gt;0,D97/C97,"")</f>
        <v/>
      </c>
      <c r="K97" s="17">
        <f>IF(B97&lt;&gt;0,0.1*E97/B97,0)</f>
        <v>0</v>
      </c>
      <c r="L97" s="25">
        <f>Adjust!B267*Input!$B183*10</f>
        <v>0</v>
      </c>
      <c r="M97" s="25">
        <f>Adjust!C267*Input!$C183*10</f>
        <v>0</v>
      </c>
      <c r="N97" s="25">
        <f>Adjust!D267*Input!$D183*10</f>
        <v>0</v>
      </c>
      <c r="O97" s="22" t="str">
        <f>IF(E97&lt;&gt;0,$L97/E97,"")</f>
        <v/>
      </c>
      <c r="P97" s="22" t="str">
        <f>IF(E97&lt;&gt;0,$M97/E97,"")</f>
        <v/>
      </c>
      <c r="Q97" s="22" t="str">
        <f>IF(E97&lt;&gt;0,$N97/E97,"")</f>
        <v/>
      </c>
      <c r="R97" s="22" t="str">
        <f>IF(D97&lt;&gt;0,$F97/D97,"")</f>
        <v/>
      </c>
      <c r="S97" s="22" t="str">
        <f>IF(D97&lt;&gt;0,$G97/D97,"")</f>
        <v/>
      </c>
      <c r="T97" s="22" t="str">
        <f>IF(D97&lt;&gt;0,$H97/D97,"")</f>
        <v/>
      </c>
      <c r="U97" s="6"/>
    </row>
    <row r="98" spans="1:21" x14ac:dyDescent="0.2">
      <c r="A98" s="12" t="s">
        <v>141</v>
      </c>
      <c r="U98" s="6"/>
    </row>
    <row r="99" spans="1:21" x14ac:dyDescent="0.2">
      <c r="A99" s="5" t="s">
        <v>74</v>
      </c>
      <c r="B99" s="25">
        <f>Input!B185+Input!C185+Input!D185</f>
        <v>0</v>
      </c>
      <c r="C99" s="27">
        <f>Input!E185</f>
        <v>0</v>
      </c>
      <c r="D99" s="25">
        <f>0.01*Input!F$14*(Adjust!$E269*Input!E185+Adjust!$F269*Input!F185)+10*(Adjust!$B269*Input!B185+Adjust!$C269*Input!C185+Adjust!$D269*Input!D185+Adjust!$G269*Input!G185)</f>
        <v>0</v>
      </c>
      <c r="E99" s="25">
        <f>10*(Adjust!$B269*Input!B185+Adjust!$C269*Input!C185+Adjust!$D269*Input!D185)</f>
        <v>0</v>
      </c>
      <c r="F99" s="25">
        <f>Adjust!E269*Input!$F$14*Input!$E185/100</f>
        <v>0</v>
      </c>
      <c r="G99" s="25">
        <f>Adjust!F269*Input!$F$14*Input!$F185/100</f>
        <v>0</v>
      </c>
      <c r="H99" s="25">
        <f>Adjust!G269*Input!$G185*10</f>
        <v>0</v>
      </c>
      <c r="I99" s="17" t="str">
        <f>IF(B99&lt;&gt;0,0.1*D99/B99,"")</f>
        <v/>
      </c>
      <c r="J99" s="29" t="str">
        <f>IF(C99&lt;&gt;0,D99/C99,"")</f>
        <v/>
      </c>
      <c r="K99" s="17">
        <f>IF(B99&lt;&gt;0,0.1*E99/B99,0)</f>
        <v>0</v>
      </c>
      <c r="L99" s="25">
        <f>Adjust!B269*Input!$B185*10</f>
        <v>0</v>
      </c>
      <c r="M99" s="25">
        <f>Adjust!C269*Input!$C185*10</f>
        <v>0</v>
      </c>
      <c r="N99" s="25">
        <f>Adjust!D269*Input!$D185*10</f>
        <v>0</v>
      </c>
      <c r="O99" s="22" t="str">
        <f>IF(E99&lt;&gt;0,$L99/E99,"")</f>
        <v/>
      </c>
      <c r="P99" s="22" t="str">
        <f>IF(E99&lt;&gt;0,$M99/E99,"")</f>
        <v/>
      </c>
      <c r="Q99" s="22" t="str">
        <f>IF(E99&lt;&gt;0,$N99/E99,"")</f>
        <v/>
      </c>
      <c r="R99" s="22" t="str">
        <f>IF(D99&lt;&gt;0,$F99/D99,"")</f>
        <v/>
      </c>
      <c r="S99" s="22" t="str">
        <f>IF(D99&lt;&gt;0,$G99/D99,"")</f>
        <v/>
      </c>
      <c r="T99" s="22" t="str">
        <f>IF(D99&lt;&gt;0,$H99/D99,"")</f>
        <v/>
      </c>
      <c r="U99" s="6"/>
    </row>
    <row r="100" spans="1:21" x14ac:dyDescent="0.2">
      <c r="A100" s="12" t="s">
        <v>142</v>
      </c>
      <c r="U100" s="6"/>
    </row>
    <row r="101" spans="1:21" x14ac:dyDescent="0.2">
      <c r="A101" s="5" t="s">
        <v>96</v>
      </c>
      <c r="B101" s="25">
        <f>Input!B187+Input!C187+Input!D187</f>
        <v>43147.28153507517</v>
      </c>
      <c r="C101" s="27">
        <f>Input!E187</f>
        <v>248</v>
      </c>
      <c r="D101" s="25">
        <f>0.01*Input!F$14*(Adjust!$E271*Input!E187+Adjust!$F271*Input!F187)+10*(Adjust!$B271*Input!B187+Adjust!$C271*Input!C187+Adjust!$D271*Input!D187+Adjust!$G271*Input!G187)</f>
        <v>1173174.5849386938</v>
      </c>
      <c r="E101" s="25">
        <f>10*(Adjust!$B271*Input!B187+Adjust!$C271*Input!C187+Adjust!$D271*Input!D187)</f>
        <v>1173174.5849386938</v>
      </c>
      <c r="F101" s="25">
        <f>Adjust!E271*Input!$F$14*Input!$E187/100</f>
        <v>0</v>
      </c>
      <c r="G101" s="25">
        <f>Adjust!F271*Input!$F$14*Input!$F187/100</f>
        <v>0</v>
      </c>
      <c r="H101" s="25">
        <f>Adjust!G271*Input!$G187*10</f>
        <v>0</v>
      </c>
      <c r="I101" s="17">
        <f>IF(B101&lt;&gt;0,0.1*D101/B101,"")</f>
        <v>2.7189999999999999</v>
      </c>
      <c r="J101" s="29">
        <f>IF(C101&lt;&gt;0,D101/C101,"")</f>
        <v>4730.5426812044107</v>
      </c>
      <c r="K101" s="17">
        <f>IF(B101&lt;&gt;0,0.1*E101/B101,0)</f>
        <v>2.7189999999999999</v>
      </c>
      <c r="L101" s="25">
        <f>Adjust!B271*Input!$B187*10</f>
        <v>1173174.5849386938</v>
      </c>
      <c r="M101" s="25">
        <f>Adjust!C271*Input!$C187*10</f>
        <v>0</v>
      </c>
      <c r="N101" s="25">
        <f>Adjust!D271*Input!$D187*10</f>
        <v>0</v>
      </c>
      <c r="O101" s="22">
        <f>IF(E101&lt;&gt;0,$L101/E101,"")</f>
        <v>1</v>
      </c>
      <c r="P101" s="22">
        <f>IF(E101&lt;&gt;0,$M101/E101,"")</f>
        <v>0</v>
      </c>
      <c r="Q101" s="22">
        <f>IF(E101&lt;&gt;0,$N101/E101,"")</f>
        <v>0</v>
      </c>
      <c r="R101" s="22">
        <f>IF(D101&lt;&gt;0,$F101/D101,"")</f>
        <v>0</v>
      </c>
      <c r="S101" s="22">
        <f>IF(D101&lt;&gt;0,$G101/D101,"")</f>
        <v>0</v>
      </c>
      <c r="T101" s="22">
        <f>IF(D101&lt;&gt;0,$H101/D101,"")</f>
        <v>0</v>
      </c>
      <c r="U101" s="6"/>
    </row>
    <row r="102" spans="1:21" x14ac:dyDescent="0.2">
      <c r="A102" s="5" t="s">
        <v>143</v>
      </c>
      <c r="B102" s="25">
        <f>Input!B188+Input!C188+Input!D188</f>
        <v>0</v>
      </c>
      <c r="C102" s="27">
        <f>Input!E188</f>
        <v>0</v>
      </c>
      <c r="D102" s="25">
        <f>0.01*Input!F$14*(Adjust!$E272*Input!E188+Adjust!$F272*Input!F188)+10*(Adjust!$B272*Input!B188+Adjust!$C272*Input!C188+Adjust!$D272*Input!D188+Adjust!$G272*Input!G188)</f>
        <v>0</v>
      </c>
      <c r="E102" s="25">
        <f>10*(Adjust!$B272*Input!B188+Adjust!$C272*Input!C188+Adjust!$D272*Input!D188)</f>
        <v>0</v>
      </c>
      <c r="F102" s="25">
        <f>Adjust!E272*Input!$F$14*Input!$E188/100</f>
        <v>0</v>
      </c>
      <c r="G102" s="25">
        <f>Adjust!F272*Input!$F$14*Input!$F188/100</f>
        <v>0</v>
      </c>
      <c r="H102" s="25">
        <f>Adjust!G272*Input!$G188*10</f>
        <v>0</v>
      </c>
      <c r="I102" s="17" t="str">
        <f>IF(B102&lt;&gt;0,0.1*D102/B102,"")</f>
        <v/>
      </c>
      <c r="J102" s="29" t="str">
        <f>IF(C102&lt;&gt;0,D102/C102,"")</f>
        <v/>
      </c>
      <c r="K102" s="17">
        <f>IF(B102&lt;&gt;0,0.1*E102/B102,0)</f>
        <v>0</v>
      </c>
      <c r="L102" s="25">
        <f>Adjust!B272*Input!$B188*10</f>
        <v>0</v>
      </c>
      <c r="M102" s="25">
        <f>Adjust!C272*Input!$C188*10</f>
        <v>0</v>
      </c>
      <c r="N102" s="25">
        <f>Adjust!D272*Input!$D188*10</f>
        <v>0</v>
      </c>
      <c r="O102" s="22" t="str">
        <f>IF(E102&lt;&gt;0,$L102/E102,"")</f>
        <v/>
      </c>
      <c r="P102" s="22" t="str">
        <f>IF(E102&lt;&gt;0,$M102/E102,"")</f>
        <v/>
      </c>
      <c r="Q102" s="22" t="str">
        <f>IF(E102&lt;&gt;0,$N102/E102,"")</f>
        <v/>
      </c>
      <c r="R102" s="22" t="str">
        <f>IF(D102&lt;&gt;0,$F102/D102,"")</f>
        <v/>
      </c>
      <c r="S102" s="22" t="str">
        <f>IF(D102&lt;&gt;0,$G102/D102,"")</f>
        <v/>
      </c>
      <c r="T102" s="22" t="str">
        <f>IF(D102&lt;&gt;0,$H102/D102,"")</f>
        <v/>
      </c>
      <c r="U102" s="6"/>
    </row>
    <row r="103" spans="1:21" x14ac:dyDescent="0.2">
      <c r="A103" s="5" t="s">
        <v>144</v>
      </c>
      <c r="B103" s="25">
        <f>Input!B189+Input!C189+Input!D189</f>
        <v>0</v>
      </c>
      <c r="C103" s="27">
        <f>Input!E189</f>
        <v>0</v>
      </c>
      <c r="D103" s="25">
        <f>0.01*Input!F$14*(Adjust!$E273*Input!E189+Adjust!$F273*Input!F189)+10*(Adjust!$B273*Input!B189+Adjust!$C273*Input!C189+Adjust!$D273*Input!D189+Adjust!$G273*Input!G189)</f>
        <v>0</v>
      </c>
      <c r="E103" s="25">
        <f>10*(Adjust!$B273*Input!B189+Adjust!$C273*Input!C189+Adjust!$D273*Input!D189)</f>
        <v>0</v>
      </c>
      <c r="F103" s="25">
        <f>Adjust!E273*Input!$F$14*Input!$E189/100</f>
        <v>0</v>
      </c>
      <c r="G103" s="25">
        <f>Adjust!F273*Input!$F$14*Input!$F189/100</f>
        <v>0</v>
      </c>
      <c r="H103" s="25">
        <f>Adjust!G273*Input!$G189*10</f>
        <v>0</v>
      </c>
      <c r="I103" s="17" t="str">
        <f>IF(B103&lt;&gt;0,0.1*D103/B103,"")</f>
        <v/>
      </c>
      <c r="J103" s="29" t="str">
        <f>IF(C103&lt;&gt;0,D103/C103,"")</f>
        <v/>
      </c>
      <c r="K103" s="17">
        <f>IF(B103&lt;&gt;0,0.1*E103/B103,0)</f>
        <v>0</v>
      </c>
      <c r="L103" s="25">
        <f>Adjust!B273*Input!$B189*10</f>
        <v>0</v>
      </c>
      <c r="M103" s="25">
        <f>Adjust!C273*Input!$C189*10</f>
        <v>0</v>
      </c>
      <c r="N103" s="25">
        <f>Adjust!D273*Input!$D189*10</f>
        <v>0</v>
      </c>
      <c r="O103" s="22" t="str">
        <f>IF(E103&lt;&gt;0,$L103/E103,"")</f>
        <v/>
      </c>
      <c r="P103" s="22" t="str">
        <f>IF(E103&lt;&gt;0,$M103/E103,"")</f>
        <v/>
      </c>
      <c r="Q103" s="22" t="str">
        <f>IF(E103&lt;&gt;0,$N103/E103,"")</f>
        <v/>
      </c>
      <c r="R103" s="22" t="str">
        <f>IF(D103&lt;&gt;0,$F103/D103,"")</f>
        <v/>
      </c>
      <c r="S103" s="22" t="str">
        <f>IF(D103&lt;&gt;0,$G103/D103,"")</f>
        <v/>
      </c>
      <c r="T103" s="22" t="str">
        <f>IF(D103&lt;&gt;0,$H103/D103,"")</f>
        <v/>
      </c>
      <c r="U103" s="6"/>
    </row>
    <row r="104" spans="1:21" x14ac:dyDescent="0.2">
      <c r="A104" s="12" t="s">
        <v>145</v>
      </c>
      <c r="U104" s="6"/>
    </row>
    <row r="105" spans="1:21" x14ac:dyDescent="0.2">
      <c r="A105" s="5" t="s">
        <v>97</v>
      </c>
      <c r="B105" s="25">
        <f>Input!B191+Input!C191+Input!D191</f>
        <v>13421.547791167388</v>
      </c>
      <c r="C105" s="27">
        <f>Input!E191</f>
        <v>401</v>
      </c>
      <c r="D105" s="25">
        <f>0.01*Input!F$14*(Adjust!$E275*Input!E191+Adjust!$F275*Input!F191)+10*(Adjust!$B275*Input!B191+Adjust!$C275*Input!C191+Adjust!$D275*Input!D191+Adjust!$G275*Input!G191)</f>
        <v>427207.86619285791</v>
      </c>
      <c r="E105" s="25">
        <f>10*(Adjust!$B275*Input!B191+Adjust!$C275*Input!C191+Adjust!$D275*Input!D191)</f>
        <v>427207.86619285791</v>
      </c>
      <c r="F105" s="25">
        <f>Adjust!E275*Input!$F$14*Input!$E191/100</f>
        <v>0</v>
      </c>
      <c r="G105" s="25">
        <f>Adjust!F275*Input!$F$14*Input!$F191/100</f>
        <v>0</v>
      </c>
      <c r="H105" s="25">
        <f>Adjust!G275*Input!$G191*10</f>
        <v>0</v>
      </c>
      <c r="I105" s="17">
        <f>IF(B105&lt;&gt;0,0.1*D105/B105,"")</f>
        <v>3.1829999999999998</v>
      </c>
      <c r="J105" s="29">
        <f>IF(C105&lt;&gt;0,D105/C105,"")</f>
        <v>1065.3562747951569</v>
      </c>
      <c r="K105" s="17">
        <f>IF(B105&lt;&gt;0,0.1*E105/B105,0)</f>
        <v>3.1829999999999998</v>
      </c>
      <c r="L105" s="25">
        <f>Adjust!B275*Input!$B191*10</f>
        <v>427207.86619285791</v>
      </c>
      <c r="M105" s="25">
        <f>Adjust!C275*Input!$C191*10</f>
        <v>0</v>
      </c>
      <c r="N105" s="25">
        <f>Adjust!D275*Input!$D191*10</f>
        <v>0</v>
      </c>
      <c r="O105" s="22">
        <f>IF(E105&lt;&gt;0,$L105/E105,"")</f>
        <v>1</v>
      </c>
      <c r="P105" s="22">
        <f>IF(E105&lt;&gt;0,$M105/E105,"")</f>
        <v>0</v>
      </c>
      <c r="Q105" s="22">
        <f>IF(E105&lt;&gt;0,$N105/E105,"")</f>
        <v>0</v>
      </c>
      <c r="R105" s="22">
        <f>IF(D105&lt;&gt;0,$F105/D105,"")</f>
        <v>0</v>
      </c>
      <c r="S105" s="22">
        <f>IF(D105&lt;&gt;0,$G105/D105,"")</f>
        <v>0</v>
      </c>
      <c r="T105" s="22">
        <f>IF(D105&lt;&gt;0,$H105/D105,"")</f>
        <v>0</v>
      </c>
      <c r="U105" s="6"/>
    </row>
    <row r="106" spans="1:21" x14ac:dyDescent="0.2">
      <c r="A106" s="5" t="s">
        <v>146</v>
      </c>
      <c r="B106" s="25">
        <f>Input!B192+Input!C192+Input!D192</f>
        <v>38.155200812820823</v>
      </c>
      <c r="C106" s="27">
        <f>Input!E192</f>
        <v>19</v>
      </c>
      <c r="D106" s="25">
        <f>0.01*Input!F$14*(Adjust!$E276*Input!E192+Adjust!$F276*Input!F192)+10*(Adjust!$B276*Input!B192+Adjust!$C276*Input!C192+Adjust!$D276*Input!D192+Adjust!$G276*Input!G192)</f>
        <v>819.19216145126302</v>
      </c>
      <c r="E106" s="25">
        <f>10*(Adjust!$B276*Input!B192+Adjust!$C276*Input!C192+Adjust!$D276*Input!D192)</f>
        <v>819.19216145126302</v>
      </c>
      <c r="F106" s="25">
        <f>Adjust!E276*Input!$F$14*Input!$E192/100</f>
        <v>0</v>
      </c>
      <c r="G106" s="25">
        <f>Adjust!F276*Input!$F$14*Input!$F192/100</f>
        <v>0</v>
      </c>
      <c r="H106" s="25">
        <f>Adjust!G276*Input!$G192*10</f>
        <v>0</v>
      </c>
      <c r="I106" s="17">
        <f>IF(B106&lt;&gt;0,0.1*D106/B106,"")</f>
        <v>2.1470000000000002</v>
      </c>
      <c r="J106" s="29">
        <f>IF(C106&lt;&gt;0,D106/C106,"")</f>
        <v>43.115376918487527</v>
      </c>
      <c r="K106" s="17">
        <f>IF(B106&lt;&gt;0,0.1*E106/B106,0)</f>
        <v>2.1470000000000002</v>
      </c>
      <c r="L106" s="25">
        <f>Adjust!B276*Input!$B192*10</f>
        <v>819.19216145126302</v>
      </c>
      <c r="M106" s="25">
        <f>Adjust!C276*Input!$C192*10</f>
        <v>0</v>
      </c>
      <c r="N106" s="25">
        <f>Adjust!D276*Input!$D192*10</f>
        <v>0</v>
      </c>
      <c r="O106" s="22">
        <f>IF(E106&lt;&gt;0,$L106/E106,"")</f>
        <v>1</v>
      </c>
      <c r="P106" s="22">
        <f>IF(E106&lt;&gt;0,$M106/E106,"")</f>
        <v>0</v>
      </c>
      <c r="Q106" s="22">
        <f>IF(E106&lt;&gt;0,$N106/E106,"")</f>
        <v>0</v>
      </c>
      <c r="R106" s="22">
        <f>IF(D106&lt;&gt;0,$F106/D106,"")</f>
        <v>0</v>
      </c>
      <c r="S106" s="22">
        <f>IF(D106&lt;&gt;0,$G106/D106,"")</f>
        <v>0</v>
      </c>
      <c r="T106" s="22">
        <f>IF(D106&lt;&gt;0,$H106/D106,"")</f>
        <v>0</v>
      </c>
      <c r="U106" s="6"/>
    </row>
    <row r="107" spans="1:21" x14ac:dyDescent="0.2">
      <c r="A107" s="5" t="s">
        <v>147</v>
      </c>
      <c r="B107" s="25">
        <f>Input!B193+Input!C193+Input!D193</f>
        <v>72.35815852629824</v>
      </c>
      <c r="C107" s="27">
        <f>Input!E193</f>
        <v>10</v>
      </c>
      <c r="D107" s="25">
        <f>0.01*Input!F$14*(Adjust!$E277*Input!E193+Adjust!$F277*Input!F193)+10*(Adjust!$B277*Input!B193+Adjust!$C277*Input!C193+Adjust!$D277*Input!D193+Adjust!$G277*Input!G193)</f>
        <v>1041.2339011934316</v>
      </c>
      <c r="E107" s="25">
        <f>10*(Adjust!$B277*Input!B193+Adjust!$C277*Input!C193+Adjust!$D277*Input!D193)</f>
        <v>1041.2339011934316</v>
      </c>
      <c r="F107" s="25">
        <f>Adjust!E277*Input!$F$14*Input!$E193/100</f>
        <v>0</v>
      </c>
      <c r="G107" s="25">
        <f>Adjust!F277*Input!$F$14*Input!$F193/100</f>
        <v>0</v>
      </c>
      <c r="H107" s="25">
        <f>Adjust!G277*Input!$G193*10</f>
        <v>0</v>
      </c>
      <c r="I107" s="17">
        <f>IF(B107&lt;&gt;0,0.1*D107/B107,"")</f>
        <v>1.4390000000000001</v>
      </c>
      <c r="J107" s="29">
        <f>IF(C107&lt;&gt;0,D107/C107,"")</f>
        <v>104.12339011934316</v>
      </c>
      <c r="K107" s="17">
        <f>IF(B107&lt;&gt;0,0.1*E107/B107,0)</f>
        <v>1.4390000000000001</v>
      </c>
      <c r="L107" s="25">
        <f>Adjust!B277*Input!$B193*10</f>
        <v>1041.2339011934316</v>
      </c>
      <c r="M107" s="25">
        <f>Adjust!C277*Input!$C193*10</f>
        <v>0</v>
      </c>
      <c r="N107" s="25">
        <f>Adjust!D277*Input!$D193*10</f>
        <v>0</v>
      </c>
      <c r="O107" s="22">
        <f>IF(E107&lt;&gt;0,$L107/E107,"")</f>
        <v>1</v>
      </c>
      <c r="P107" s="22">
        <f>IF(E107&lt;&gt;0,$M107/E107,"")</f>
        <v>0</v>
      </c>
      <c r="Q107" s="22">
        <f>IF(E107&lt;&gt;0,$N107/E107,"")</f>
        <v>0</v>
      </c>
      <c r="R107" s="22">
        <f>IF(D107&lt;&gt;0,$F107/D107,"")</f>
        <v>0</v>
      </c>
      <c r="S107" s="22">
        <f>IF(D107&lt;&gt;0,$G107/D107,"")</f>
        <v>0</v>
      </c>
      <c r="T107" s="22">
        <f>IF(D107&lt;&gt;0,$H107/D107,"")</f>
        <v>0</v>
      </c>
      <c r="U107" s="6"/>
    </row>
    <row r="108" spans="1:21" x14ac:dyDescent="0.2">
      <c r="A108" s="12" t="s">
        <v>148</v>
      </c>
      <c r="U108" s="6"/>
    </row>
    <row r="109" spans="1:21" x14ac:dyDescent="0.2">
      <c r="A109" s="5" t="s">
        <v>98</v>
      </c>
      <c r="B109" s="25">
        <f>Input!B195+Input!C195+Input!D195</f>
        <v>1.3947031837786772</v>
      </c>
      <c r="C109" s="27">
        <f>Input!E195</f>
        <v>1</v>
      </c>
      <c r="D109" s="25">
        <f>0.01*Input!F$14*(Adjust!$E279*Input!E195+Adjust!$F279*Input!F195)+10*(Adjust!$B279*Input!B195+Adjust!$C279*Input!C195+Adjust!$D279*Input!D195+Adjust!$G279*Input!G195)</f>
        <v>63.975035039927917</v>
      </c>
      <c r="E109" s="25">
        <f>10*(Adjust!$B279*Input!B195+Adjust!$C279*Input!C195+Adjust!$D279*Input!D195)</f>
        <v>63.975035039927917</v>
      </c>
      <c r="F109" s="25">
        <f>Adjust!E279*Input!$F$14*Input!$E195/100</f>
        <v>0</v>
      </c>
      <c r="G109" s="25">
        <f>Adjust!F279*Input!$F$14*Input!$F195/100</f>
        <v>0</v>
      </c>
      <c r="H109" s="25">
        <f>Adjust!G279*Input!$G195*10</f>
        <v>0</v>
      </c>
      <c r="I109" s="17">
        <f>IF(B109&lt;&gt;0,0.1*D109/B109,"")</f>
        <v>4.5869999999999997</v>
      </c>
      <c r="J109" s="29">
        <f>IF(C109&lt;&gt;0,D109/C109,"")</f>
        <v>63.975035039927917</v>
      </c>
      <c r="K109" s="17">
        <f>IF(B109&lt;&gt;0,0.1*E109/B109,0)</f>
        <v>4.5869999999999997</v>
      </c>
      <c r="L109" s="25">
        <f>Adjust!B279*Input!$B195*10</f>
        <v>63.975035039927917</v>
      </c>
      <c r="M109" s="25">
        <f>Adjust!C279*Input!$C195*10</f>
        <v>0</v>
      </c>
      <c r="N109" s="25">
        <f>Adjust!D279*Input!$D195*10</f>
        <v>0</v>
      </c>
      <c r="O109" s="22">
        <f>IF(E109&lt;&gt;0,$L109/E109,"")</f>
        <v>1</v>
      </c>
      <c r="P109" s="22">
        <f>IF(E109&lt;&gt;0,$M109/E109,"")</f>
        <v>0</v>
      </c>
      <c r="Q109" s="22">
        <f>IF(E109&lt;&gt;0,$N109/E109,"")</f>
        <v>0</v>
      </c>
      <c r="R109" s="22">
        <f>IF(D109&lt;&gt;0,$F109/D109,"")</f>
        <v>0</v>
      </c>
      <c r="S109" s="22">
        <f>IF(D109&lt;&gt;0,$G109/D109,"")</f>
        <v>0</v>
      </c>
      <c r="T109" s="22">
        <f>IF(D109&lt;&gt;0,$H109/D109,"")</f>
        <v>0</v>
      </c>
      <c r="U109" s="6"/>
    </row>
    <row r="110" spans="1:21" x14ac:dyDescent="0.2">
      <c r="A110" s="5" t="s">
        <v>149</v>
      </c>
      <c r="B110" s="25">
        <f>Input!B196+Input!C196+Input!D196</f>
        <v>0</v>
      </c>
      <c r="C110" s="27">
        <f>Input!E196</f>
        <v>0</v>
      </c>
      <c r="D110" s="25">
        <f>0.01*Input!F$14*(Adjust!$E280*Input!E196+Adjust!$F280*Input!F196)+10*(Adjust!$B280*Input!B196+Adjust!$C280*Input!C196+Adjust!$D280*Input!D196+Adjust!$G280*Input!G196)</f>
        <v>0</v>
      </c>
      <c r="E110" s="25">
        <f>10*(Adjust!$B280*Input!B196+Adjust!$C280*Input!C196+Adjust!$D280*Input!D196)</f>
        <v>0</v>
      </c>
      <c r="F110" s="25">
        <f>Adjust!E280*Input!$F$14*Input!$E196/100</f>
        <v>0</v>
      </c>
      <c r="G110" s="25">
        <f>Adjust!F280*Input!$F$14*Input!$F196/100</f>
        <v>0</v>
      </c>
      <c r="H110" s="25">
        <f>Adjust!G280*Input!$G196*10</f>
        <v>0</v>
      </c>
      <c r="I110" s="17" t="str">
        <f>IF(B110&lt;&gt;0,0.1*D110/B110,"")</f>
        <v/>
      </c>
      <c r="J110" s="29" t="str">
        <f>IF(C110&lt;&gt;0,D110/C110,"")</f>
        <v/>
      </c>
      <c r="K110" s="17">
        <f>IF(B110&lt;&gt;0,0.1*E110/B110,0)</f>
        <v>0</v>
      </c>
      <c r="L110" s="25">
        <f>Adjust!B280*Input!$B196*10</f>
        <v>0</v>
      </c>
      <c r="M110" s="25">
        <f>Adjust!C280*Input!$C196*10</f>
        <v>0</v>
      </c>
      <c r="N110" s="25">
        <f>Adjust!D280*Input!$D196*10</f>
        <v>0</v>
      </c>
      <c r="O110" s="22" t="str">
        <f>IF(E110&lt;&gt;0,$L110/E110,"")</f>
        <v/>
      </c>
      <c r="P110" s="22" t="str">
        <f>IF(E110&lt;&gt;0,$M110/E110,"")</f>
        <v/>
      </c>
      <c r="Q110" s="22" t="str">
        <f>IF(E110&lt;&gt;0,$N110/E110,"")</f>
        <v/>
      </c>
      <c r="R110" s="22" t="str">
        <f>IF(D110&lt;&gt;0,$F110/D110,"")</f>
        <v/>
      </c>
      <c r="S110" s="22" t="str">
        <f>IF(D110&lt;&gt;0,$G110/D110,"")</f>
        <v/>
      </c>
      <c r="T110" s="22" t="str">
        <f>IF(D110&lt;&gt;0,$H110/D110,"")</f>
        <v/>
      </c>
      <c r="U110" s="6"/>
    </row>
    <row r="111" spans="1:21" x14ac:dyDescent="0.2">
      <c r="A111" s="5" t="s">
        <v>150</v>
      </c>
      <c r="B111" s="25">
        <f>Input!B197+Input!C197+Input!D197</f>
        <v>0</v>
      </c>
      <c r="C111" s="27">
        <f>Input!E197</f>
        <v>0</v>
      </c>
      <c r="D111" s="25">
        <f>0.01*Input!F$14*(Adjust!$E281*Input!E197+Adjust!$F281*Input!F197)+10*(Adjust!$B281*Input!B197+Adjust!$C281*Input!C197+Adjust!$D281*Input!D197+Adjust!$G281*Input!G197)</f>
        <v>0</v>
      </c>
      <c r="E111" s="25">
        <f>10*(Adjust!$B281*Input!B197+Adjust!$C281*Input!C197+Adjust!$D281*Input!D197)</f>
        <v>0</v>
      </c>
      <c r="F111" s="25">
        <f>Adjust!E281*Input!$F$14*Input!$E197/100</f>
        <v>0</v>
      </c>
      <c r="G111" s="25">
        <f>Adjust!F281*Input!$F$14*Input!$F197/100</f>
        <v>0</v>
      </c>
      <c r="H111" s="25">
        <f>Adjust!G281*Input!$G197*10</f>
        <v>0</v>
      </c>
      <c r="I111" s="17" t="str">
        <f>IF(B111&lt;&gt;0,0.1*D111/B111,"")</f>
        <v/>
      </c>
      <c r="J111" s="29" t="str">
        <f>IF(C111&lt;&gt;0,D111/C111,"")</f>
        <v/>
      </c>
      <c r="K111" s="17">
        <f>IF(B111&lt;&gt;0,0.1*E111/B111,0)</f>
        <v>0</v>
      </c>
      <c r="L111" s="25">
        <f>Adjust!B281*Input!$B197*10</f>
        <v>0</v>
      </c>
      <c r="M111" s="25">
        <f>Adjust!C281*Input!$C197*10</f>
        <v>0</v>
      </c>
      <c r="N111" s="25">
        <f>Adjust!D281*Input!$D197*10</f>
        <v>0</v>
      </c>
      <c r="O111" s="22" t="str">
        <f>IF(E111&lt;&gt;0,$L111/E111,"")</f>
        <v/>
      </c>
      <c r="P111" s="22" t="str">
        <f>IF(E111&lt;&gt;0,$M111/E111,"")</f>
        <v/>
      </c>
      <c r="Q111" s="22" t="str">
        <f>IF(E111&lt;&gt;0,$N111/E111,"")</f>
        <v/>
      </c>
      <c r="R111" s="22" t="str">
        <f>IF(D111&lt;&gt;0,$F111/D111,"")</f>
        <v/>
      </c>
      <c r="S111" s="22" t="str">
        <f>IF(D111&lt;&gt;0,$G111/D111,"")</f>
        <v/>
      </c>
      <c r="T111" s="22" t="str">
        <f>IF(D111&lt;&gt;0,$H111/D111,"")</f>
        <v/>
      </c>
      <c r="U111" s="6"/>
    </row>
    <row r="112" spans="1:21" x14ac:dyDescent="0.2">
      <c r="A112" s="12" t="s">
        <v>151</v>
      </c>
      <c r="U112" s="6"/>
    </row>
    <row r="113" spans="1:21" x14ac:dyDescent="0.2">
      <c r="A113" s="5" t="s">
        <v>99</v>
      </c>
      <c r="B113" s="25">
        <f>Input!B199+Input!C199+Input!D199</f>
        <v>0</v>
      </c>
      <c r="C113" s="27">
        <f>Input!E199</f>
        <v>0</v>
      </c>
      <c r="D113" s="25">
        <f>0.01*Input!F$14*(Adjust!$E283*Input!E199+Adjust!$F283*Input!F199)+10*(Adjust!$B283*Input!B199+Adjust!$C283*Input!C199+Adjust!$D283*Input!D199+Adjust!$G283*Input!G199)</f>
        <v>0</v>
      </c>
      <c r="E113" s="25">
        <f>10*(Adjust!$B283*Input!B199+Adjust!$C283*Input!C199+Adjust!$D283*Input!D199)</f>
        <v>0</v>
      </c>
      <c r="F113" s="25">
        <f>Adjust!E283*Input!$F$14*Input!$E199/100</f>
        <v>0</v>
      </c>
      <c r="G113" s="25">
        <f>Adjust!F283*Input!$F$14*Input!$F199/100</f>
        <v>0</v>
      </c>
      <c r="H113" s="25">
        <f>Adjust!G283*Input!$G199*10</f>
        <v>0</v>
      </c>
      <c r="I113" s="17" t="str">
        <f>IF(B113&lt;&gt;0,0.1*D113/B113,"")</f>
        <v/>
      </c>
      <c r="J113" s="29" t="str">
        <f>IF(C113&lt;&gt;0,D113/C113,"")</f>
        <v/>
      </c>
      <c r="K113" s="17">
        <f>IF(B113&lt;&gt;0,0.1*E113/B113,0)</f>
        <v>0</v>
      </c>
      <c r="L113" s="25">
        <f>Adjust!B283*Input!$B199*10</f>
        <v>0</v>
      </c>
      <c r="M113" s="25">
        <f>Adjust!C283*Input!$C199*10</f>
        <v>0</v>
      </c>
      <c r="N113" s="25">
        <f>Adjust!D283*Input!$D199*10</f>
        <v>0</v>
      </c>
      <c r="O113" s="22" t="str">
        <f>IF(E113&lt;&gt;0,$L113/E113,"")</f>
        <v/>
      </c>
      <c r="P113" s="22" t="str">
        <f>IF(E113&lt;&gt;0,$M113/E113,"")</f>
        <v/>
      </c>
      <c r="Q113" s="22" t="str">
        <f>IF(E113&lt;&gt;0,$N113/E113,"")</f>
        <v/>
      </c>
      <c r="R113" s="22" t="str">
        <f>IF(D113&lt;&gt;0,$F113/D113,"")</f>
        <v/>
      </c>
      <c r="S113" s="22" t="str">
        <f>IF(D113&lt;&gt;0,$G113/D113,"")</f>
        <v/>
      </c>
      <c r="T113" s="22" t="str">
        <f>IF(D113&lt;&gt;0,$H113/D113,"")</f>
        <v/>
      </c>
      <c r="U113" s="6"/>
    </row>
    <row r="114" spans="1:21" x14ac:dyDescent="0.2">
      <c r="A114" s="5" t="s">
        <v>152</v>
      </c>
      <c r="B114" s="25">
        <f>Input!B200+Input!C200+Input!D200</f>
        <v>0</v>
      </c>
      <c r="C114" s="27">
        <f>Input!E200</f>
        <v>0</v>
      </c>
      <c r="D114" s="25">
        <f>0.01*Input!F$14*(Adjust!$E284*Input!E200+Adjust!$F284*Input!F200)+10*(Adjust!$B284*Input!B200+Adjust!$C284*Input!C200+Adjust!$D284*Input!D200+Adjust!$G284*Input!G200)</f>
        <v>0</v>
      </c>
      <c r="E114" s="25">
        <f>10*(Adjust!$B284*Input!B200+Adjust!$C284*Input!C200+Adjust!$D284*Input!D200)</f>
        <v>0</v>
      </c>
      <c r="F114" s="25">
        <f>Adjust!E284*Input!$F$14*Input!$E200/100</f>
        <v>0</v>
      </c>
      <c r="G114" s="25">
        <f>Adjust!F284*Input!$F$14*Input!$F200/100</f>
        <v>0</v>
      </c>
      <c r="H114" s="25">
        <f>Adjust!G284*Input!$G200*10</f>
        <v>0</v>
      </c>
      <c r="I114" s="17" t="str">
        <f>IF(B114&lt;&gt;0,0.1*D114/B114,"")</f>
        <v/>
      </c>
      <c r="J114" s="29" t="str">
        <f>IF(C114&lt;&gt;0,D114/C114,"")</f>
        <v/>
      </c>
      <c r="K114" s="17">
        <f>IF(B114&lt;&gt;0,0.1*E114/B114,0)</f>
        <v>0</v>
      </c>
      <c r="L114" s="25">
        <f>Adjust!B284*Input!$B200*10</f>
        <v>0</v>
      </c>
      <c r="M114" s="25">
        <f>Adjust!C284*Input!$C200*10</f>
        <v>0</v>
      </c>
      <c r="N114" s="25">
        <f>Adjust!D284*Input!$D200*10</f>
        <v>0</v>
      </c>
      <c r="O114" s="22" t="str">
        <f>IF(E114&lt;&gt;0,$L114/E114,"")</f>
        <v/>
      </c>
      <c r="P114" s="22" t="str">
        <f>IF(E114&lt;&gt;0,$M114/E114,"")</f>
        <v/>
      </c>
      <c r="Q114" s="22" t="str">
        <f>IF(E114&lt;&gt;0,$N114/E114,"")</f>
        <v/>
      </c>
      <c r="R114" s="22" t="str">
        <f>IF(D114&lt;&gt;0,$F114/D114,"")</f>
        <v/>
      </c>
      <c r="S114" s="22" t="str">
        <f>IF(D114&lt;&gt;0,$G114/D114,"")</f>
        <v/>
      </c>
      <c r="T114" s="22" t="str">
        <f>IF(D114&lt;&gt;0,$H114/D114,"")</f>
        <v/>
      </c>
      <c r="U114" s="6"/>
    </row>
    <row r="115" spans="1:21" x14ac:dyDescent="0.2">
      <c r="A115" s="5" t="s">
        <v>153</v>
      </c>
      <c r="B115" s="25">
        <f>Input!B201+Input!C201+Input!D201</f>
        <v>0</v>
      </c>
      <c r="C115" s="27">
        <f>Input!E201</f>
        <v>0</v>
      </c>
      <c r="D115" s="25">
        <f>0.01*Input!F$14*(Adjust!$E285*Input!E201+Adjust!$F285*Input!F201)+10*(Adjust!$B285*Input!B201+Adjust!$C285*Input!C201+Adjust!$D285*Input!D201+Adjust!$G285*Input!G201)</f>
        <v>0</v>
      </c>
      <c r="E115" s="25">
        <f>10*(Adjust!$B285*Input!B201+Adjust!$C285*Input!C201+Adjust!$D285*Input!D201)</f>
        <v>0</v>
      </c>
      <c r="F115" s="25">
        <f>Adjust!E285*Input!$F$14*Input!$E201/100</f>
        <v>0</v>
      </c>
      <c r="G115" s="25">
        <f>Adjust!F285*Input!$F$14*Input!$F201/100</f>
        <v>0</v>
      </c>
      <c r="H115" s="25">
        <f>Adjust!G285*Input!$G201*10</f>
        <v>0</v>
      </c>
      <c r="I115" s="17" t="str">
        <f>IF(B115&lt;&gt;0,0.1*D115/B115,"")</f>
        <v/>
      </c>
      <c r="J115" s="29" t="str">
        <f>IF(C115&lt;&gt;0,D115/C115,"")</f>
        <v/>
      </c>
      <c r="K115" s="17">
        <f>IF(B115&lt;&gt;0,0.1*E115/B115,0)</f>
        <v>0</v>
      </c>
      <c r="L115" s="25">
        <f>Adjust!B285*Input!$B201*10</f>
        <v>0</v>
      </c>
      <c r="M115" s="25">
        <f>Adjust!C285*Input!$C201*10</f>
        <v>0</v>
      </c>
      <c r="N115" s="25">
        <f>Adjust!D285*Input!$D201*10</f>
        <v>0</v>
      </c>
      <c r="O115" s="22" t="str">
        <f>IF(E115&lt;&gt;0,$L115/E115,"")</f>
        <v/>
      </c>
      <c r="P115" s="22" t="str">
        <f>IF(E115&lt;&gt;0,$M115/E115,"")</f>
        <v/>
      </c>
      <c r="Q115" s="22" t="str">
        <f>IF(E115&lt;&gt;0,$N115/E115,"")</f>
        <v/>
      </c>
      <c r="R115" s="22" t="str">
        <f>IF(D115&lt;&gt;0,$F115/D115,"")</f>
        <v/>
      </c>
      <c r="S115" s="22" t="str">
        <f>IF(D115&lt;&gt;0,$G115/D115,"")</f>
        <v/>
      </c>
      <c r="T115" s="22" t="str">
        <f>IF(D115&lt;&gt;0,$H115/D115,"")</f>
        <v/>
      </c>
      <c r="U115" s="6"/>
    </row>
    <row r="116" spans="1:21" x14ac:dyDescent="0.2">
      <c r="A116" s="12" t="s">
        <v>154</v>
      </c>
      <c r="U116" s="6"/>
    </row>
    <row r="117" spans="1:21" x14ac:dyDescent="0.2">
      <c r="A117" s="5" t="s">
        <v>100</v>
      </c>
      <c r="B117" s="25">
        <f>Input!B203+Input!C203+Input!D203</f>
        <v>279151.27474087739</v>
      </c>
      <c r="C117" s="27">
        <f>Input!E203</f>
        <v>23</v>
      </c>
      <c r="D117" s="25">
        <f>0.01*Input!F$14*(Adjust!$E287*Input!E203+Adjust!$F287*Input!F203)+10*(Adjust!$B287*Input!B203+Adjust!$C287*Input!C203+Adjust!$D287*Input!D203+Adjust!$G287*Input!G203)</f>
        <v>8666000.1114209387</v>
      </c>
      <c r="E117" s="25">
        <f>10*(Adjust!$B287*Input!B203+Adjust!$C287*Input!C203+Adjust!$D287*Input!D203)</f>
        <v>8666000.1114209387</v>
      </c>
      <c r="F117" s="25">
        <f>Adjust!E287*Input!$F$14*Input!$E203/100</f>
        <v>0</v>
      </c>
      <c r="G117" s="25">
        <f>Adjust!F287*Input!$F$14*Input!$F203/100</f>
        <v>0</v>
      </c>
      <c r="H117" s="25">
        <f>Adjust!G287*Input!$G203*10</f>
        <v>0</v>
      </c>
      <c r="I117" s="17">
        <f>IF(B117&lt;&gt;0,0.1*D117/B117,"")</f>
        <v>3.1044100083243995</v>
      </c>
      <c r="J117" s="29">
        <f>IF(C117&lt;&gt;0,D117/C117,"")</f>
        <v>376782.61354004079</v>
      </c>
      <c r="K117" s="17">
        <f>IF(B117&lt;&gt;0,0.1*E117/B117,0)</f>
        <v>3.1044100083243995</v>
      </c>
      <c r="L117" s="25">
        <f>Adjust!B287*Input!$B203*10</f>
        <v>4006052.3591050319</v>
      </c>
      <c r="M117" s="25">
        <f>Adjust!C287*Input!$C203*10</f>
        <v>829415.19702493574</v>
      </c>
      <c r="N117" s="25">
        <f>Adjust!D287*Input!$D203*10</f>
        <v>3830532.5552909723</v>
      </c>
      <c r="O117" s="22">
        <f>IF(E117&lt;&gt;0,$L117/E117,"")</f>
        <v>0.46227236413549633</v>
      </c>
      <c r="P117" s="22">
        <f>IF(E117&lt;&gt;0,$M117/E117,"")</f>
        <v>9.5709114511993584E-2</v>
      </c>
      <c r="Q117" s="22">
        <f>IF(E117&lt;&gt;0,$N117/E117,"")</f>
        <v>0.44201852135251024</v>
      </c>
      <c r="R117" s="22">
        <f>IF(D117&lt;&gt;0,$F117/D117,"")</f>
        <v>0</v>
      </c>
      <c r="S117" s="22">
        <f>IF(D117&lt;&gt;0,$G117/D117,"")</f>
        <v>0</v>
      </c>
      <c r="T117" s="22">
        <f>IF(D117&lt;&gt;0,$H117/D117,"")</f>
        <v>0</v>
      </c>
      <c r="U117" s="6"/>
    </row>
    <row r="118" spans="1:21" x14ac:dyDescent="0.2">
      <c r="A118" s="5" t="s">
        <v>155</v>
      </c>
      <c r="B118" s="25">
        <f>Input!B204+Input!C204+Input!D204</f>
        <v>0</v>
      </c>
      <c r="C118" s="27">
        <f>Input!E204</f>
        <v>0</v>
      </c>
      <c r="D118" s="25">
        <f>0.01*Input!F$14*(Adjust!$E288*Input!E204+Adjust!$F288*Input!F204)+10*(Adjust!$B288*Input!B204+Adjust!$C288*Input!C204+Adjust!$D288*Input!D204+Adjust!$G288*Input!G204)</f>
        <v>0</v>
      </c>
      <c r="E118" s="25">
        <f>10*(Adjust!$B288*Input!B204+Adjust!$C288*Input!C204+Adjust!$D288*Input!D204)</f>
        <v>0</v>
      </c>
      <c r="F118" s="25">
        <f>Adjust!E288*Input!$F$14*Input!$E204/100</f>
        <v>0</v>
      </c>
      <c r="G118" s="25">
        <f>Adjust!F288*Input!$F$14*Input!$F204/100</f>
        <v>0</v>
      </c>
      <c r="H118" s="25">
        <f>Adjust!G288*Input!$G204*10</f>
        <v>0</v>
      </c>
      <c r="I118" s="17" t="str">
        <f>IF(B118&lt;&gt;0,0.1*D118/B118,"")</f>
        <v/>
      </c>
      <c r="J118" s="29" t="str">
        <f>IF(C118&lt;&gt;0,D118/C118,"")</f>
        <v/>
      </c>
      <c r="K118" s="17">
        <f>IF(B118&lt;&gt;0,0.1*E118/B118,0)</f>
        <v>0</v>
      </c>
      <c r="L118" s="25">
        <f>Adjust!B288*Input!$B204*10</f>
        <v>0</v>
      </c>
      <c r="M118" s="25">
        <f>Adjust!C288*Input!$C204*10</f>
        <v>0</v>
      </c>
      <c r="N118" s="25">
        <f>Adjust!D288*Input!$D204*10</f>
        <v>0</v>
      </c>
      <c r="O118" s="22" t="str">
        <f>IF(E118&lt;&gt;0,$L118/E118,"")</f>
        <v/>
      </c>
      <c r="P118" s="22" t="str">
        <f>IF(E118&lt;&gt;0,$M118/E118,"")</f>
        <v/>
      </c>
      <c r="Q118" s="22" t="str">
        <f>IF(E118&lt;&gt;0,$N118/E118,"")</f>
        <v/>
      </c>
      <c r="R118" s="22" t="str">
        <f>IF(D118&lt;&gt;0,$F118/D118,"")</f>
        <v/>
      </c>
      <c r="S118" s="22" t="str">
        <f>IF(D118&lt;&gt;0,$G118/D118,"")</f>
        <v/>
      </c>
      <c r="T118" s="22" t="str">
        <f>IF(D118&lt;&gt;0,$H118/D118,"")</f>
        <v/>
      </c>
      <c r="U118" s="6"/>
    </row>
    <row r="119" spans="1:21" x14ac:dyDescent="0.2">
      <c r="A119" s="5" t="s">
        <v>156</v>
      </c>
      <c r="B119" s="25">
        <f>Input!B205+Input!C205+Input!D205</f>
        <v>0</v>
      </c>
      <c r="C119" s="27">
        <f>Input!E205</f>
        <v>0</v>
      </c>
      <c r="D119" s="25">
        <f>0.01*Input!F$14*(Adjust!$E289*Input!E205+Adjust!$F289*Input!F205)+10*(Adjust!$B289*Input!B205+Adjust!$C289*Input!C205+Adjust!$D289*Input!D205+Adjust!$G289*Input!G205)</f>
        <v>0</v>
      </c>
      <c r="E119" s="25">
        <f>10*(Adjust!$B289*Input!B205+Adjust!$C289*Input!C205+Adjust!$D289*Input!D205)</f>
        <v>0</v>
      </c>
      <c r="F119" s="25">
        <f>Adjust!E289*Input!$F$14*Input!$E205/100</f>
        <v>0</v>
      </c>
      <c r="G119" s="25">
        <f>Adjust!F289*Input!$F$14*Input!$F205/100</f>
        <v>0</v>
      </c>
      <c r="H119" s="25">
        <f>Adjust!G289*Input!$G205*10</f>
        <v>0</v>
      </c>
      <c r="I119" s="17" t="str">
        <f>IF(B119&lt;&gt;0,0.1*D119/B119,"")</f>
        <v/>
      </c>
      <c r="J119" s="29" t="str">
        <f>IF(C119&lt;&gt;0,D119/C119,"")</f>
        <v/>
      </c>
      <c r="K119" s="17">
        <f>IF(B119&lt;&gt;0,0.1*E119/B119,0)</f>
        <v>0</v>
      </c>
      <c r="L119" s="25">
        <f>Adjust!B289*Input!$B205*10</f>
        <v>0</v>
      </c>
      <c r="M119" s="25">
        <f>Adjust!C289*Input!$C205*10</f>
        <v>0</v>
      </c>
      <c r="N119" s="25">
        <f>Adjust!D289*Input!$D205*10</f>
        <v>0</v>
      </c>
      <c r="O119" s="22" t="str">
        <f>IF(E119&lt;&gt;0,$L119/E119,"")</f>
        <v/>
      </c>
      <c r="P119" s="22" t="str">
        <f>IF(E119&lt;&gt;0,$M119/E119,"")</f>
        <v/>
      </c>
      <c r="Q119" s="22" t="str">
        <f>IF(E119&lt;&gt;0,$N119/E119,"")</f>
        <v/>
      </c>
      <c r="R119" s="22" t="str">
        <f>IF(D119&lt;&gt;0,$F119/D119,"")</f>
        <v/>
      </c>
      <c r="S119" s="22" t="str">
        <f>IF(D119&lt;&gt;0,$G119/D119,"")</f>
        <v/>
      </c>
      <c r="T119" s="22" t="str">
        <f>IF(D119&lt;&gt;0,$H119/D119,"")</f>
        <v/>
      </c>
      <c r="U119" s="6"/>
    </row>
    <row r="120" spans="1:21" x14ac:dyDescent="0.2">
      <c r="A120" s="12" t="s">
        <v>157</v>
      </c>
      <c r="U120" s="6"/>
    </row>
    <row r="121" spans="1:21" x14ac:dyDescent="0.2">
      <c r="A121" s="5" t="s">
        <v>61</v>
      </c>
      <c r="B121" s="25">
        <f>Input!B207+Input!C207+Input!D207</f>
        <v>878.96280862633739</v>
      </c>
      <c r="C121" s="27">
        <f>Input!E207</f>
        <v>51</v>
      </c>
      <c r="D121" s="25">
        <f>0.01*Input!F$14*(Adjust!$E291*Input!E207+Adjust!$F291*Input!F207)+10*(Adjust!$B291*Input!B207+Adjust!$C291*Input!C207+Adjust!$D291*Input!D207+Adjust!$G291*Input!G207)</f>
        <v>-7893.0860214645099</v>
      </c>
      <c r="E121" s="25">
        <f>10*(Adjust!$B291*Input!B207+Adjust!$C291*Input!C207+Adjust!$D291*Input!D207)</f>
        <v>-7893.0860214645099</v>
      </c>
      <c r="F121" s="25">
        <f>Adjust!E291*Input!$F$14*Input!$E207/100</f>
        <v>0</v>
      </c>
      <c r="G121" s="25">
        <f>Adjust!F291*Input!$F$14*Input!$F207/100</f>
        <v>0</v>
      </c>
      <c r="H121" s="25">
        <f>Adjust!G291*Input!$G207*10</f>
        <v>0</v>
      </c>
      <c r="I121" s="17">
        <f>IF(B121&lt;&gt;0,0.1*D121/B121,"")</f>
        <v>-0.89800000000000002</v>
      </c>
      <c r="J121" s="29">
        <f>IF(C121&lt;&gt;0,D121/C121,"")</f>
        <v>-154.7663925777355</v>
      </c>
      <c r="K121" s="17">
        <f>IF(B121&lt;&gt;0,0.1*E121/B121,0)</f>
        <v>-0.89800000000000002</v>
      </c>
      <c r="L121" s="25">
        <f>Adjust!B291*Input!$B207*10</f>
        <v>-7893.0860214645099</v>
      </c>
      <c r="M121" s="25">
        <f>Adjust!C291*Input!$C207*10</f>
        <v>0</v>
      </c>
      <c r="N121" s="25">
        <f>Adjust!D291*Input!$D207*10</f>
        <v>0</v>
      </c>
      <c r="O121" s="22">
        <f>IF(E121&lt;&gt;0,$L121/E121,"")</f>
        <v>1</v>
      </c>
      <c r="P121" s="22">
        <f>IF(E121&lt;&gt;0,$M121/E121,"")</f>
        <v>0</v>
      </c>
      <c r="Q121" s="22">
        <f>IF(E121&lt;&gt;0,$N121/E121,"")</f>
        <v>0</v>
      </c>
      <c r="R121" s="22">
        <f>IF(D121&lt;&gt;0,$F121/D121,"")</f>
        <v>0</v>
      </c>
      <c r="S121" s="22">
        <f>IF(D121&lt;&gt;0,$G121/D121,"")</f>
        <v>0</v>
      </c>
      <c r="T121" s="22">
        <f>IF(D121&lt;&gt;0,$H121/D121,"")</f>
        <v>0</v>
      </c>
      <c r="U121" s="6"/>
    </row>
    <row r="122" spans="1:21" x14ac:dyDescent="0.2">
      <c r="A122" s="5" t="s">
        <v>158</v>
      </c>
      <c r="B122" s="25">
        <f>Input!B208+Input!C208+Input!D208</f>
        <v>0</v>
      </c>
      <c r="C122" s="27">
        <f>Input!E208</f>
        <v>0</v>
      </c>
      <c r="D122" s="25">
        <f>0.01*Input!F$14*(Adjust!$E292*Input!E208+Adjust!$F292*Input!F208)+10*(Adjust!$B292*Input!B208+Adjust!$C292*Input!C208+Adjust!$D292*Input!D208+Adjust!$G292*Input!G208)</f>
        <v>0</v>
      </c>
      <c r="E122" s="25">
        <f>10*(Adjust!$B292*Input!B208+Adjust!$C292*Input!C208+Adjust!$D292*Input!D208)</f>
        <v>0</v>
      </c>
      <c r="F122" s="25">
        <f>Adjust!E292*Input!$F$14*Input!$E208/100</f>
        <v>0</v>
      </c>
      <c r="G122" s="25">
        <f>Adjust!F292*Input!$F$14*Input!$F208/100</f>
        <v>0</v>
      </c>
      <c r="H122" s="25">
        <f>Adjust!G292*Input!$G208*10</f>
        <v>0</v>
      </c>
      <c r="I122" s="17" t="str">
        <f>IF(B122&lt;&gt;0,0.1*D122/B122,"")</f>
        <v/>
      </c>
      <c r="J122" s="29" t="str">
        <f>IF(C122&lt;&gt;0,D122/C122,"")</f>
        <v/>
      </c>
      <c r="K122" s="17">
        <f>IF(B122&lt;&gt;0,0.1*E122/B122,0)</f>
        <v>0</v>
      </c>
      <c r="L122" s="25">
        <f>Adjust!B292*Input!$B208*10</f>
        <v>0</v>
      </c>
      <c r="M122" s="25">
        <f>Adjust!C292*Input!$C208*10</f>
        <v>0</v>
      </c>
      <c r="N122" s="25">
        <f>Adjust!D292*Input!$D208*10</f>
        <v>0</v>
      </c>
      <c r="O122" s="22" t="str">
        <f>IF(E122&lt;&gt;0,$L122/E122,"")</f>
        <v/>
      </c>
      <c r="P122" s="22" t="str">
        <f>IF(E122&lt;&gt;0,$M122/E122,"")</f>
        <v/>
      </c>
      <c r="Q122" s="22" t="str">
        <f>IF(E122&lt;&gt;0,$N122/E122,"")</f>
        <v/>
      </c>
      <c r="R122" s="22" t="str">
        <f>IF(D122&lt;&gt;0,$F122/D122,"")</f>
        <v/>
      </c>
      <c r="S122" s="22" t="str">
        <f>IF(D122&lt;&gt;0,$G122/D122,"")</f>
        <v/>
      </c>
      <c r="T122" s="22" t="str">
        <f>IF(D122&lt;&gt;0,$H122/D122,"")</f>
        <v/>
      </c>
      <c r="U122" s="6"/>
    </row>
    <row r="123" spans="1:21" x14ac:dyDescent="0.2">
      <c r="A123" s="5" t="s">
        <v>159</v>
      </c>
      <c r="B123" s="25">
        <f>Input!B209+Input!C209+Input!D209</f>
        <v>0</v>
      </c>
      <c r="C123" s="27">
        <f>Input!E209</f>
        <v>0</v>
      </c>
      <c r="D123" s="25">
        <f>0.01*Input!F$14*(Adjust!$E293*Input!E209+Adjust!$F293*Input!F209)+10*(Adjust!$B293*Input!B209+Adjust!$C293*Input!C209+Adjust!$D293*Input!D209+Adjust!$G293*Input!G209)</f>
        <v>0</v>
      </c>
      <c r="E123" s="25">
        <f>10*(Adjust!$B293*Input!B209+Adjust!$C293*Input!C209+Adjust!$D293*Input!D209)</f>
        <v>0</v>
      </c>
      <c r="F123" s="25">
        <f>Adjust!E293*Input!$F$14*Input!$E209/100</f>
        <v>0</v>
      </c>
      <c r="G123" s="25">
        <f>Adjust!F293*Input!$F$14*Input!$F209/100</f>
        <v>0</v>
      </c>
      <c r="H123" s="25">
        <f>Adjust!G293*Input!$G209*10</f>
        <v>0</v>
      </c>
      <c r="I123" s="17" t="str">
        <f>IF(B123&lt;&gt;0,0.1*D123/B123,"")</f>
        <v/>
      </c>
      <c r="J123" s="29" t="str">
        <f>IF(C123&lt;&gt;0,D123/C123,"")</f>
        <v/>
      </c>
      <c r="K123" s="17">
        <f>IF(B123&lt;&gt;0,0.1*E123/B123,0)</f>
        <v>0</v>
      </c>
      <c r="L123" s="25">
        <f>Adjust!B293*Input!$B209*10</f>
        <v>0</v>
      </c>
      <c r="M123" s="25">
        <f>Adjust!C293*Input!$C209*10</f>
        <v>0</v>
      </c>
      <c r="N123" s="25">
        <f>Adjust!D293*Input!$D209*10</f>
        <v>0</v>
      </c>
      <c r="O123" s="22" t="str">
        <f>IF(E123&lt;&gt;0,$L123/E123,"")</f>
        <v/>
      </c>
      <c r="P123" s="22" t="str">
        <f>IF(E123&lt;&gt;0,$M123/E123,"")</f>
        <v/>
      </c>
      <c r="Q123" s="22" t="str">
        <f>IF(E123&lt;&gt;0,$N123/E123,"")</f>
        <v/>
      </c>
      <c r="R123" s="22" t="str">
        <f>IF(D123&lt;&gt;0,$F123/D123,"")</f>
        <v/>
      </c>
      <c r="S123" s="22" t="str">
        <f>IF(D123&lt;&gt;0,$G123/D123,"")</f>
        <v/>
      </c>
      <c r="T123" s="22" t="str">
        <f>IF(D123&lt;&gt;0,$H123/D123,"")</f>
        <v/>
      </c>
      <c r="U123" s="6"/>
    </row>
    <row r="124" spans="1:21" x14ac:dyDescent="0.2">
      <c r="A124" s="12" t="s">
        <v>160</v>
      </c>
      <c r="U124" s="6"/>
    </row>
    <row r="125" spans="1:21" x14ac:dyDescent="0.2">
      <c r="A125" s="5" t="s">
        <v>62</v>
      </c>
      <c r="B125" s="25">
        <f>Input!B211+Input!C211+Input!D211</f>
        <v>0</v>
      </c>
      <c r="C125" s="27">
        <f>Input!E211</f>
        <v>0</v>
      </c>
      <c r="D125" s="25">
        <f>0.01*Input!F$14*(Adjust!$E295*Input!E211+Adjust!$F295*Input!F211)+10*(Adjust!$B295*Input!B211+Adjust!$C295*Input!C211+Adjust!$D295*Input!D211+Adjust!$G295*Input!G211)</f>
        <v>0</v>
      </c>
      <c r="E125" s="25">
        <f>10*(Adjust!$B295*Input!B211+Adjust!$C295*Input!C211+Adjust!$D295*Input!D211)</f>
        <v>0</v>
      </c>
      <c r="F125" s="25">
        <f>Adjust!E295*Input!$F$14*Input!$E211/100</f>
        <v>0</v>
      </c>
      <c r="G125" s="25">
        <f>Adjust!F295*Input!$F$14*Input!$F211/100</f>
        <v>0</v>
      </c>
      <c r="H125" s="25">
        <f>Adjust!G295*Input!$G211*10</f>
        <v>0</v>
      </c>
      <c r="I125" s="17" t="str">
        <f>IF(B125&lt;&gt;0,0.1*D125/B125,"")</f>
        <v/>
      </c>
      <c r="J125" s="29" t="str">
        <f>IF(C125&lt;&gt;0,D125/C125,"")</f>
        <v/>
      </c>
      <c r="K125" s="17">
        <f>IF(B125&lt;&gt;0,0.1*E125/B125,0)</f>
        <v>0</v>
      </c>
      <c r="L125" s="25">
        <f>Adjust!B295*Input!$B211*10</f>
        <v>0</v>
      </c>
      <c r="M125" s="25">
        <f>Adjust!C295*Input!$C211*10</f>
        <v>0</v>
      </c>
      <c r="N125" s="25">
        <f>Adjust!D295*Input!$D211*10</f>
        <v>0</v>
      </c>
      <c r="O125" s="22" t="str">
        <f>IF(E125&lt;&gt;0,$L125/E125,"")</f>
        <v/>
      </c>
      <c r="P125" s="22" t="str">
        <f>IF(E125&lt;&gt;0,$M125/E125,"")</f>
        <v/>
      </c>
      <c r="Q125" s="22" t="str">
        <f>IF(E125&lt;&gt;0,$N125/E125,"")</f>
        <v/>
      </c>
      <c r="R125" s="22" t="str">
        <f>IF(D125&lt;&gt;0,$F125/D125,"")</f>
        <v/>
      </c>
      <c r="S125" s="22" t="str">
        <f>IF(D125&lt;&gt;0,$G125/D125,"")</f>
        <v/>
      </c>
      <c r="T125" s="22" t="str">
        <f>IF(D125&lt;&gt;0,$H125/D125,"")</f>
        <v/>
      </c>
      <c r="U125" s="6"/>
    </row>
    <row r="126" spans="1:21" x14ac:dyDescent="0.2">
      <c r="A126" s="5" t="s">
        <v>161</v>
      </c>
      <c r="B126" s="25">
        <f>Input!B212+Input!C212+Input!D212</f>
        <v>0</v>
      </c>
      <c r="C126" s="27">
        <f>Input!E212</f>
        <v>0</v>
      </c>
      <c r="D126" s="25">
        <f>0.01*Input!F$14*(Adjust!$E296*Input!E212+Adjust!$F296*Input!F212)+10*(Adjust!$B296*Input!B212+Adjust!$C296*Input!C212+Adjust!$D296*Input!D212+Adjust!$G296*Input!G212)</f>
        <v>0</v>
      </c>
      <c r="E126" s="25">
        <f>10*(Adjust!$B296*Input!B212+Adjust!$C296*Input!C212+Adjust!$D296*Input!D212)</f>
        <v>0</v>
      </c>
      <c r="F126" s="25">
        <f>Adjust!E296*Input!$F$14*Input!$E212/100</f>
        <v>0</v>
      </c>
      <c r="G126" s="25">
        <f>Adjust!F296*Input!$F$14*Input!$F212/100</f>
        <v>0</v>
      </c>
      <c r="H126" s="25">
        <f>Adjust!G296*Input!$G212*10</f>
        <v>0</v>
      </c>
      <c r="I126" s="17" t="str">
        <f>IF(B126&lt;&gt;0,0.1*D126/B126,"")</f>
        <v/>
      </c>
      <c r="J126" s="29" t="str">
        <f>IF(C126&lt;&gt;0,D126/C126,"")</f>
        <v/>
      </c>
      <c r="K126" s="17">
        <f>IF(B126&lt;&gt;0,0.1*E126/B126,0)</f>
        <v>0</v>
      </c>
      <c r="L126" s="25">
        <f>Adjust!B296*Input!$B212*10</f>
        <v>0</v>
      </c>
      <c r="M126" s="25">
        <f>Adjust!C296*Input!$C212*10</f>
        <v>0</v>
      </c>
      <c r="N126" s="25">
        <f>Adjust!D296*Input!$D212*10</f>
        <v>0</v>
      </c>
      <c r="O126" s="22" t="str">
        <f>IF(E126&lt;&gt;0,$L126/E126,"")</f>
        <v/>
      </c>
      <c r="P126" s="22" t="str">
        <f>IF(E126&lt;&gt;0,$M126/E126,"")</f>
        <v/>
      </c>
      <c r="Q126" s="22" t="str">
        <f>IF(E126&lt;&gt;0,$N126/E126,"")</f>
        <v/>
      </c>
      <c r="R126" s="22" t="str">
        <f>IF(D126&lt;&gt;0,$F126/D126,"")</f>
        <v/>
      </c>
      <c r="S126" s="22" t="str">
        <f>IF(D126&lt;&gt;0,$G126/D126,"")</f>
        <v/>
      </c>
      <c r="T126" s="22" t="str">
        <f>IF(D126&lt;&gt;0,$H126/D126,"")</f>
        <v/>
      </c>
      <c r="U126" s="6"/>
    </row>
    <row r="127" spans="1:21" x14ac:dyDescent="0.2">
      <c r="A127" s="12" t="s">
        <v>162</v>
      </c>
      <c r="U127" s="6"/>
    </row>
    <row r="128" spans="1:21" x14ac:dyDescent="0.2">
      <c r="A128" s="5" t="s">
        <v>63</v>
      </c>
      <c r="B128" s="25">
        <f>Input!B214+Input!C214+Input!D214</f>
        <v>3907.804934004047</v>
      </c>
      <c r="C128" s="27">
        <f>Input!E214</f>
        <v>39</v>
      </c>
      <c r="D128" s="25">
        <f>0.01*Input!F$14*(Adjust!$E298*Input!E214+Adjust!$F298*Input!F214)+10*(Adjust!$B298*Input!B214+Adjust!$C298*Input!C214+Adjust!$D298*Input!D214+Adjust!$G298*Input!G214)</f>
        <v>-31845.01303739885</v>
      </c>
      <c r="E128" s="25">
        <f>10*(Adjust!$B298*Input!B214+Adjust!$C298*Input!C214+Adjust!$D298*Input!D214)</f>
        <v>-35092.088307356345</v>
      </c>
      <c r="F128" s="25">
        <f>Adjust!E298*Input!$F$14*Input!$E214/100</f>
        <v>0</v>
      </c>
      <c r="G128" s="25">
        <f>Adjust!F298*Input!$F$14*Input!$F214/100</f>
        <v>0</v>
      </c>
      <c r="H128" s="25">
        <f>Adjust!G298*Input!$G214*10</f>
        <v>3247.0752699574946</v>
      </c>
      <c r="I128" s="17">
        <f>IF(B128&lt;&gt;0,0.1*D128/B128,"")</f>
        <v>-0.81490794896892549</v>
      </c>
      <c r="J128" s="29">
        <f>IF(C128&lt;&gt;0,D128/C128,"")</f>
        <v>-816.53879583073979</v>
      </c>
      <c r="K128" s="17">
        <f>IF(B128&lt;&gt;0,0.1*E128/B128,0)</f>
        <v>-0.89800000000000013</v>
      </c>
      <c r="L128" s="25">
        <f>Adjust!B298*Input!$B214*10</f>
        <v>-35092.088307356345</v>
      </c>
      <c r="M128" s="25">
        <f>Adjust!C298*Input!$C214*10</f>
        <v>0</v>
      </c>
      <c r="N128" s="25">
        <f>Adjust!D298*Input!$D214*10</f>
        <v>0</v>
      </c>
      <c r="O128" s="22">
        <f>IF(E128&lt;&gt;0,$L128/E128,"")</f>
        <v>1</v>
      </c>
      <c r="P128" s="22">
        <f>IF(E128&lt;&gt;0,$M128/E128,"")</f>
        <v>0</v>
      </c>
      <c r="Q128" s="22">
        <f>IF(E128&lt;&gt;0,$N128/E128,"")</f>
        <v>0</v>
      </c>
      <c r="R128" s="22">
        <f>IF(D128&lt;&gt;0,$F128/D128,"")</f>
        <v>0</v>
      </c>
      <c r="S128" s="22">
        <f>IF(D128&lt;&gt;0,$G128/D128,"")</f>
        <v>0</v>
      </c>
      <c r="T128" s="22">
        <f>IF(D128&lt;&gt;0,$H128/D128,"")</f>
        <v>-0.10196495338670838</v>
      </c>
      <c r="U128" s="6"/>
    </row>
    <row r="129" spans="1:21" x14ac:dyDescent="0.2">
      <c r="A129" s="5" t="s">
        <v>163</v>
      </c>
      <c r="B129" s="25">
        <f>Input!B215+Input!C215+Input!D215</f>
        <v>0</v>
      </c>
      <c r="C129" s="27">
        <f>Input!E215</f>
        <v>0</v>
      </c>
      <c r="D129" s="25">
        <f>0.01*Input!F$14*(Adjust!$E299*Input!E215+Adjust!$F299*Input!F215)+10*(Adjust!$B299*Input!B215+Adjust!$C299*Input!C215+Adjust!$D299*Input!D215+Adjust!$G299*Input!G215)</f>
        <v>0</v>
      </c>
      <c r="E129" s="25">
        <f>10*(Adjust!$B299*Input!B215+Adjust!$C299*Input!C215+Adjust!$D299*Input!D215)</f>
        <v>0</v>
      </c>
      <c r="F129" s="25">
        <f>Adjust!E299*Input!$F$14*Input!$E215/100</f>
        <v>0</v>
      </c>
      <c r="G129" s="25">
        <f>Adjust!F299*Input!$F$14*Input!$F215/100</f>
        <v>0</v>
      </c>
      <c r="H129" s="25">
        <f>Adjust!G299*Input!$G215*10</f>
        <v>0</v>
      </c>
      <c r="I129" s="17" t="str">
        <f>IF(B129&lt;&gt;0,0.1*D129/B129,"")</f>
        <v/>
      </c>
      <c r="J129" s="29" t="str">
        <f>IF(C129&lt;&gt;0,D129/C129,"")</f>
        <v/>
      </c>
      <c r="K129" s="17">
        <f>IF(B129&lt;&gt;0,0.1*E129/B129,0)</f>
        <v>0</v>
      </c>
      <c r="L129" s="25">
        <f>Adjust!B299*Input!$B215*10</f>
        <v>0</v>
      </c>
      <c r="M129" s="25">
        <f>Adjust!C299*Input!$C215*10</f>
        <v>0</v>
      </c>
      <c r="N129" s="25">
        <f>Adjust!D299*Input!$D215*10</f>
        <v>0</v>
      </c>
      <c r="O129" s="22" t="str">
        <f>IF(E129&lt;&gt;0,$L129/E129,"")</f>
        <v/>
      </c>
      <c r="P129" s="22" t="str">
        <f>IF(E129&lt;&gt;0,$M129/E129,"")</f>
        <v/>
      </c>
      <c r="Q129" s="22" t="str">
        <f>IF(E129&lt;&gt;0,$N129/E129,"")</f>
        <v/>
      </c>
      <c r="R129" s="22" t="str">
        <f>IF(D129&lt;&gt;0,$F129/D129,"")</f>
        <v/>
      </c>
      <c r="S129" s="22" t="str">
        <f>IF(D129&lt;&gt;0,$G129/D129,"")</f>
        <v/>
      </c>
      <c r="T129" s="22" t="str">
        <f>IF(D129&lt;&gt;0,$H129/D129,"")</f>
        <v/>
      </c>
      <c r="U129" s="6"/>
    </row>
    <row r="130" spans="1:21" x14ac:dyDescent="0.2">
      <c r="A130" s="5" t="s">
        <v>164</v>
      </c>
      <c r="B130" s="25">
        <f>Input!B216+Input!C216+Input!D216</f>
        <v>0</v>
      </c>
      <c r="C130" s="27">
        <f>Input!E216</f>
        <v>0</v>
      </c>
      <c r="D130" s="25">
        <f>0.01*Input!F$14*(Adjust!$E300*Input!E216+Adjust!$F300*Input!F216)+10*(Adjust!$B300*Input!B216+Adjust!$C300*Input!C216+Adjust!$D300*Input!D216+Adjust!$G300*Input!G216)</f>
        <v>0</v>
      </c>
      <c r="E130" s="25">
        <f>10*(Adjust!$B300*Input!B216+Adjust!$C300*Input!C216+Adjust!$D300*Input!D216)</f>
        <v>0</v>
      </c>
      <c r="F130" s="25">
        <f>Adjust!E300*Input!$F$14*Input!$E216/100</f>
        <v>0</v>
      </c>
      <c r="G130" s="25">
        <f>Adjust!F300*Input!$F$14*Input!$F216/100</f>
        <v>0</v>
      </c>
      <c r="H130" s="25">
        <f>Adjust!G300*Input!$G216*10</f>
        <v>0</v>
      </c>
      <c r="I130" s="17" t="str">
        <f>IF(B130&lt;&gt;0,0.1*D130/B130,"")</f>
        <v/>
      </c>
      <c r="J130" s="29" t="str">
        <f>IF(C130&lt;&gt;0,D130/C130,"")</f>
        <v/>
      </c>
      <c r="K130" s="17">
        <f>IF(B130&lt;&gt;0,0.1*E130/B130,0)</f>
        <v>0</v>
      </c>
      <c r="L130" s="25">
        <f>Adjust!B300*Input!$B216*10</f>
        <v>0</v>
      </c>
      <c r="M130" s="25">
        <f>Adjust!C300*Input!$C216*10</f>
        <v>0</v>
      </c>
      <c r="N130" s="25">
        <f>Adjust!D300*Input!$D216*10</f>
        <v>0</v>
      </c>
      <c r="O130" s="22" t="str">
        <f>IF(E130&lt;&gt;0,$L130/E130,"")</f>
        <v/>
      </c>
      <c r="P130" s="22" t="str">
        <f>IF(E130&lt;&gt;0,$M130/E130,"")</f>
        <v/>
      </c>
      <c r="Q130" s="22" t="str">
        <f>IF(E130&lt;&gt;0,$N130/E130,"")</f>
        <v/>
      </c>
      <c r="R130" s="22" t="str">
        <f>IF(D130&lt;&gt;0,$F130/D130,"")</f>
        <v/>
      </c>
      <c r="S130" s="22" t="str">
        <f>IF(D130&lt;&gt;0,$G130/D130,"")</f>
        <v/>
      </c>
      <c r="T130" s="22" t="str">
        <f>IF(D130&lt;&gt;0,$H130/D130,"")</f>
        <v/>
      </c>
      <c r="U130" s="6"/>
    </row>
    <row r="131" spans="1:21" x14ac:dyDescent="0.2">
      <c r="A131" s="12" t="s">
        <v>165</v>
      </c>
      <c r="U131" s="6"/>
    </row>
    <row r="132" spans="1:21" x14ac:dyDescent="0.2">
      <c r="A132" s="5" t="s">
        <v>64</v>
      </c>
      <c r="B132" s="25">
        <f>Input!B218+Input!C218+Input!D218</f>
        <v>230.94008342124692</v>
      </c>
      <c r="C132" s="27">
        <f>Input!E218</f>
        <v>6</v>
      </c>
      <c r="D132" s="25">
        <f>0.01*Input!F$14*(Adjust!$E302*Input!E218+Adjust!$F302*Input!F218)+10*(Adjust!$B302*Input!B218+Adjust!$C302*Input!C218+Adjust!$D302*Input!D218+Adjust!$G302*Input!G218)</f>
        <v>-4212.9778111447004</v>
      </c>
      <c r="E132" s="25">
        <f>10*(Adjust!$B302*Input!B218+Adjust!$C302*Input!C218+Adjust!$D302*Input!D218)</f>
        <v>-4272.9216459939717</v>
      </c>
      <c r="F132" s="25">
        <f>Adjust!E302*Input!$F$14*Input!$E218/100</f>
        <v>0</v>
      </c>
      <c r="G132" s="25">
        <f>Adjust!F302*Input!$F$14*Input!$F218/100</f>
        <v>0</v>
      </c>
      <c r="H132" s="25">
        <f>Adjust!G302*Input!$G218*10</f>
        <v>59.943834849271283</v>
      </c>
      <c r="I132" s="17">
        <f>IF(B132&lt;&gt;0,0.1*D132/B132,"")</f>
        <v>-1.8242730966109535</v>
      </c>
      <c r="J132" s="29">
        <f>IF(C132&lt;&gt;0,D132/C132,"")</f>
        <v>-702.16296852411676</v>
      </c>
      <c r="K132" s="17">
        <f>IF(B132&lt;&gt;0,0.1*E132/B132,0)</f>
        <v>-1.8502295412269065</v>
      </c>
      <c r="L132" s="25">
        <f>Adjust!B302*Input!$B218*10</f>
        <v>-3401.317567694939</v>
      </c>
      <c r="M132" s="25">
        <f>Adjust!C302*Input!$C218*10</f>
        <v>-723.15323087663171</v>
      </c>
      <c r="N132" s="25">
        <f>Adjust!D302*Input!$D218*10</f>
        <v>-148.45084742240064</v>
      </c>
      <c r="O132" s="22">
        <f>IF(E132&lt;&gt;0,$L132/E132,"")</f>
        <v>0.7960168356664824</v>
      </c>
      <c r="P132" s="22">
        <f>IF(E132&lt;&gt;0,$M132/E132,"")</f>
        <v>0.16924092945973293</v>
      </c>
      <c r="Q132" s="22">
        <f>IF(E132&lt;&gt;0,$N132/E132,"")</f>
        <v>3.4742234873784548E-2</v>
      </c>
      <c r="R132" s="22">
        <f>IF(D132&lt;&gt;0,$F132/D132,"")</f>
        <v>0</v>
      </c>
      <c r="S132" s="22">
        <f>IF(D132&lt;&gt;0,$G132/D132,"")</f>
        <v>0</v>
      </c>
      <c r="T132" s="22">
        <f>IF(D132&lt;&gt;0,$H132/D132,"")</f>
        <v>-1.4228376586912063E-2</v>
      </c>
      <c r="U132" s="6"/>
    </row>
    <row r="133" spans="1:21" x14ac:dyDescent="0.2">
      <c r="A133" s="5" t="s">
        <v>166</v>
      </c>
      <c r="B133" s="25">
        <f>Input!B219+Input!C219+Input!D219</f>
        <v>0</v>
      </c>
      <c r="C133" s="27">
        <f>Input!E219</f>
        <v>0</v>
      </c>
      <c r="D133" s="25">
        <f>0.01*Input!F$14*(Adjust!$E303*Input!E219+Adjust!$F303*Input!F219)+10*(Adjust!$B303*Input!B219+Adjust!$C303*Input!C219+Adjust!$D303*Input!D219+Adjust!$G303*Input!G219)</f>
        <v>0</v>
      </c>
      <c r="E133" s="25">
        <f>10*(Adjust!$B303*Input!B219+Adjust!$C303*Input!C219+Adjust!$D303*Input!D219)</f>
        <v>0</v>
      </c>
      <c r="F133" s="25">
        <f>Adjust!E303*Input!$F$14*Input!$E219/100</f>
        <v>0</v>
      </c>
      <c r="G133" s="25">
        <f>Adjust!F303*Input!$F$14*Input!$F219/100</f>
        <v>0</v>
      </c>
      <c r="H133" s="25">
        <f>Adjust!G303*Input!$G219*10</f>
        <v>0</v>
      </c>
      <c r="I133" s="17" t="str">
        <f>IF(B133&lt;&gt;0,0.1*D133/B133,"")</f>
        <v/>
      </c>
      <c r="J133" s="29" t="str">
        <f>IF(C133&lt;&gt;0,D133/C133,"")</f>
        <v/>
      </c>
      <c r="K133" s="17">
        <f>IF(B133&lt;&gt;0,0.1*E133/B133,0)</f>
        <v>0</v>
      </c>
      <c r="L133" s="25">
        <f>Adjust!B303*Input!$B219*10</f>
        <v>0</v>
      </c>
      <c r="M133" s="25">
        <f>Adjust!C303*Input!$C219*10</f>
        <v>0</v>
      </c>
      <c r="N133" s="25">
        <f>Adjust!D303*Input!$D219*10</f>
        <v>0</v>
      </c>
      <c r="O133" s="22" t="str">
        <f>IF(E133&lt;&gt;0,$L133/E133,"")</f>
        <v/>
      </c>
      <c r="P133" s="22" t="str">
        <f>IF(E133&lt;&gt;0,$M133/E133,"")</f>
        <v/>
      </c>
      <c r="Q133" s="22" t="str">
        <f>IF(E133&lt;&gt;0,$N133/E133,"")</f>
        <v/>
      </c>
      <c r="R133" s="22" t="str">
        <f>IF(D133&lt;&gt;0,$F133/D133,"")</f>
        <v/>
      </c>
      <c r="S133" s="22" t="str">
        <f>IF(D133&lt;&gt;0,$G133/D133,"")</f>
        <v/>
      </c>
      <c r="T133" s="22" t="str">
        <f>IF(D133&lt;&gt;0,$H133/D133,"")</f>
        <v/>
      </c>
      <c r="U133" s="6"/>
    </row>
    <row r="134" spans="1:21" x14ac:dyDescent="0.2">
      <c r="A134" s="5" t="s">
        <v>167</v>
      </c>
      <c r="B134" s="25">
        <f>Input!B220+Input!C220+Input!D220</f>
        <v>0</v>
      </c>
      <c r="C134" s="27">
        <f>Input!E220</f>
        <v>0</v>
      </c>
      <c r="D134" s="25">
        <f>0.01*Input!F$14*(Adjust!$E304*Input!E220+Adjust!$F304*Input!F220)+10*(Adjust!$B304*Input!B220+Adjust!$C304*Input!C220+Adjust!$D304*Input!D220+Adjust!$G304*Input!G220)</f>
        <v>0</v>
      </c>
      <c r="E134" s="25">
        <f>10*(Adjust!$B304*Input!B220+Adjust!$C304*Input!C220+Adjust!$D304*Input!D220)</f>
        <v>0</v>
      </c>
      <c r="F134" s="25">
        <f>Adjust!E304*Input!$F$14*Input!$E220/100</f>
        <v>0</v>
      </c>
      <c r="G134" s="25">
        <f>Adjust!F304*Input!$F$14*Input!$F220/100</f>
        <v>0</v>
      </c>
      <c r="H134" s="25">
        <f>Adjust!G304*Input!$G220*10</f>
        <v>0</v>
      </c>
      <c r="I134" s="17" t="str">
        <f>IF(B134&lt;&gt;0,0.1*D134/B134,"")</f>
        <v/>
      </c>
      <c r="J134" s="29" t="str">
        <f>IF(C134&lt;&gt;0,D134/C134,"")</f>
        <v/>
      </c>
      <c r="K134" s="17">
        <f>IF(B134&lt;&gt;0,0.1*E134/B134,0)</f>
        <v>0</v>
      </c>
      <c r="L134" s="25">
        <f>Adjust!B304*Input!$B220*10</f>
        <v>0</v>
      </c>
      <c r="M134" s="25">
        <f>Adjust!C304*Input!$C220*10</f>
        <v>0</v>
      </c>
      <c r="N134" s="25">
        <f>Adjust!D304*Input!$D220*10</f>
        <v>0</v>
      </c>
      <c r="O134" s="22" t="str">
        <f>IF(E134&lt;&gt;0,$L134/E134,"")</f>
        <v/>
      </c>
      <c r="P134" s="22" t="str">
        <f>IF(E134&lt;&gt;0,$M134/E134,"")</f>
        <v/>
      </c>
      <c r="Q134" s="22" t="str">
        <f>IF(E134&lt;&gt;0,$N134/E134,"")</f>
        <v/>
      </c>
      <c r="R134" s="22" t="str">
        <f>IF(D134&lt;&gt;0,$F134/D134,"")</f>
        <v/>
      </c>
      <c r="S134" s="22" t="str">
        <f>IF(D134&lt;&gt;0,$G134/D134,"")</f>
        <v/>
      </c>
      <c r="T134" s="22" t="str">
        <f>IF(D134&lt;&gt;0,$H134/D134,"")</f>
        <v/>
      </c>
      <c r="U134" s="6"/>
    </row>
    <row r="135" spans="1:21" x14ac:dyDescent="0.2">
      <c r="A135" s="12" t="s">
        <v>168</v>
      </c>
      <c r="U135" s="6"/>
    </row>
    <row r="136" spans="1:21" x14ac:dyDescent="0.2">
      <c r="A136" s="5" t="s">
        <v>65</v>
      </c>
      <c r="B136" s="25">
        <f>Input!B222+Input!C222+Input!D222</f>
        <v>162.80251073502833</v>
      </c>
      <c r="C136" s="27">
        <f>Input!E222</f>
        <v>3</v>
      </c>
      <c r="D136" s="25">
        <f>0.01*Input!F$14*(Adjust!$E306*Input!E222+Adjust!$F306*Input!F222)+10*(Adjust!$B306*Input!B222+Adjust!$C306*Input!C222+Adjust!$D306*Input!D222+Adjust!$G306*Input!G222)</f>
        <v>-1122.393858492188</v>
      </c>
      <c r="E136" s="25">
        <f>10*(Adjust!$B306*Input!B222+Adjust!$C306*Input!C222+Adjust!$D306*Input!D222)</f>
        <v>-1139.6175751451983</v>
      </c>
      <c r="F136" s="25">
        <f>Adjust!E306*Input!$F$14*Input!$E222/100</f>
        <v>0</v>
      </c>
      <c r="G136" s="25">
        <f>Adjust!F306*Input!$F$14*Input!$F222/100</f>
        <v>0</v>
      </c>
      <c r="H136" s="25">
        <f>Adjust!G306*Input!$G222*10</f>
        <v>17.223716653010374</v>
      </c>
      <c r="I136" s="17">
        <f>IF(B136&lt;&gt;0,0.1*D136/B136,"")</f>
        <v>-0.6894204846256683</v>
      </c>
      <c r="J136" s="29">
        <f>IF(C136&lt;&gt;0,D136/C136,"")</f>
        <v>-374.13128616406266</v>
      </c>
      <c r="K136" s="17">
        <f>IF(B136&lt;&gt;0,0.1*E136/B136,0)</f>
        <v>-0.7</v>
      </c>
      <c r="L136" s="25">
        <f>Adjust!B306*Input!$B222*10</f>
        <v>-1139.6175751451983</v>
      </c>
      <c r="M136" s="25">
        <f>Adjust!C306*Input!$C222*10</f>
        <v>0</v>
      </c>
      <c r="N136" s="25">
        <f>Adjust!D306*Input!$D222*10</f>
        <v>0</v>
      </c>
      <c r="O136" s="22">
        <f>IF(E136&lt;&gt;0,$L136/E136,"")</f>
        <v>1</v>
      </c>
      <c r="P136" s="22">
        <f>IF(E136&lt;&gt;0,$M136/E136,"")</f>
        <v>0</v>
      </c>
      <c r="Q136" s="22">
        <f>IF(E136&lt;&gt;0,$N136/E136,"")</f>
        <v>0</v>
      </c>
      <c r="R136" s="22">
        <f>IF(D136&lt;&gt;0,$F136/D136,"")</f>
        <v>0</v>
      </c>
      <c r="S136" s="22">
        <f>IF(D136&lt;&gt;0,$G136/D136,"")</f>
        <v>0</v>
      </c>
      <c r="T136" s="22">
        <f>IF(D136&lt;&gt;0,$H136/D136,"")</f>
        <v>-1.5345519331465813E-2</v>
      </c>
      <c r="U136" s="6"/>
    </row>
    <row r="137" spans="1:21" x14ac:dyDescent="0.2">
      <c r="A137" s="5" t="s">
        <v>169</v>
      </c>
      <c r="B137" s="25">
        <f>Input!B223+Input!C223+Input!D223</f>
        <v>0</v>
      </c>
      <c r="C137" s="27">
        <f>Input!E223</f>
        <v>0</v>
      </c>
      <c r="D137" s="25">
        <f>0.01*Input!F$14*(Adjust!$E307*Input!E223+Adjust!$F307*Input!F223)+10*(Adjust!$B307*Input!B223+Adjust!$C307*Input!C223+Adjust!$D307*Input!D223+Adjust!$G307*Input!G223)</f>
        <v>0</v>
      </c>
      <c r="E137" s="25">
        <f>10*(Adjust!$B307*Input!B223+Adjust!$C307*Input!C223+Adjust!$D307*Input!D223)</f>
        <v>0</v>
      </c>
      <c r="F137" s="25">
        <f>Adjust!E307*Input!$F$14*Input!$E223/100</f>
        <v>0</v>
      </c>
      <c r="G137" s="25">
        <f>Adjust!F307*Input!$F$14*Input!$F223/100</f>
        <v>0</v>
      </c>
      <c r="H137" s="25">
        <f>Adjust!G307*Input!$G223*10</f>
        <v>0</v>
      </c>
      <c r="I137" s="17" t="str">
        <f>IF(B137&lt;&gt;0,0.1*D137/B137,"")</f>
        <v/>
      </c>
      <c r="J137" s="29" t="str">
        <f>IF(C137&lt;&gt;0,D137/C137,"")</f>
        <v/>
      </c>
      <c r="K137" s="17">
        <f>IF(B137&lt;&gt;0,0.1*E137/B137,0)</f>
        <v>0</v>
      </c>
      <c r="L137" s="25">
        <f>Adjust!B307*Input!$B223*10</f>
        <v>0</v>
      </c>
      <c r="M137" s="25">
        <f>Adjust!C307*Input!$C223*10</f>
        <v>0</v>
      </c>
      <c r="N137" s="25">
        <f>Adjust!D307*Input!$D223*10</f>
        <v>0</v>
      </c>
      <c r="O137" s="22" t="str">
        <f>IF(E137&lt;&gt;0,$L137/E137,"")</f>
        <v/>
      </c>
      <c r="P137" s="22" t="str">
        <f>IF(E137&lt;&gt;0,$M137/E137,"")</f>
        <v/>
      </c>
      <c r="Q137" s="22" t="str">
        <f>IF(E137&lt;&gt;0,$N137/E137,"")</f>
        <v/>
      </c>
      <c r="R137" s="22" t="str">
        <f>IF(D137&lt;&gt;0,$F137/D137,"")</f>
        <v/>
      </c>
      <c r="S137" s="22" t="str">
        <f>IF(D137&lt;&gt;0,$G137/D137,"")</f>
        <v/>
      </c>
      <c r="T137" s="22" t="str">
        <f>IF(D137&lt;&gt;0,$H137/D137,"")</f>
        <v/>
      </c>
      <c r="U137" s="6"/>
    </row>
    <row r="138" spans="1:21" x14ac:dyDescent="0.2">
      <c r="A138" s="12" t="s">
        <v>170</v>
      </c>
      <c r="U138" s="6"/>
    </row>
    <row r="139" spans="1:21" x14ac:dyDescent="0.2">
      <c r="A139" s="5" t="s">
        <v>66</v>
      </c>
      <c r="B139" s="25">
        <f>Input!B225+Input!C225+Input!D225</f>
        <v>470.42154535181214</v>
      </c>
      <c r="C139" s="27">
        <f>Input!E225</f>
        <v>9</v>
      </c>
      <c r="D139" s="25">
        <f>0.01*Input!F$14*(Adjust!$E309*Input!E225+Adjust!$F309*Input!F225)+10*(Adjust!$B309*Input!B225+Adjust!$C309*Input!C225+Adjust!$D309*Input!D225+Adjust!$G309*Input!G225)</f>
        <v>-13193.392672094496</v>
      </c>
      <c r="E139" s="25">
        <f>10*(Adjust!$B309*Input!B225+Adjust!$C309*Input!C225+Adjust!$D309*Input!D225)</f>
        <v>-14608.809804183265</v>
      </c>
      <c r="F139" s="25">
        <f>Adjust!E309*Input!$F$14*Input!$E225/100</f>
        <v>0</v>
      </c>
      <c r="G139" s="25">
        <f>Adjust!F309*Input!$F$14*Input!$F225/100</f>
        <v>0</v>
      </c>
      <c r="H139" s="25">
        <f>Adjust!G309*Input!$G225*10</f>
        <v>1415.4171320887692</v>
      </c>
      <c r="I139" s="17">
        <f>IF(B139&lt;&gt;0,0.1*D139/B139,"")</f>
        <v>-2.8045893736069445</v>
      </c>
      <c r="J139" s="29">
        <f>IF(C139&lt;&gt;0,D139/C139,"")</f>
        <v>-1465.9325191216108</v>
      </c>
      <c r="K139" s="17">
        <f>IF(B139&lt;&gt;0,0.1*E139/B139,0)</f>
        <v>-3.1054720916870076</v>
      </c>
      <c r="L139" s="25">
        <f>Adjust!B309*Input!$B225*10</f>
        <v>-13413.058021933737</v>
      </c>
      <c r="M139" s="25">
        <f>Adjust!C309*Input!$C225*10</f>
        <v>-1065.7683035427744</v>
      </c>
      <c r="N139" s="25">
        <f>Adjust!D309*Input!$D225*10</f>
        <v>-129.98347870675354</v>
      </c>
      <c r="O139" s="22">
        <f>IF(E139&lt;&gt;0,$L139/E139,"")</f>
        <v>0.91814858306204228</v>
      </c>
      <c r="P139" s="22">
        <f>IF(E139&lt;&gt;0,$M139/E139,"")</f>
        <v>7.2953807861718428E-2</v>
      </c>
      <c r="Q139" s="22">
        <f>IF(E139&lt;&gt;0,$N139/E139,"")</f>
        <v>8.8976090762392206E-3</v>
      </c>
      <c r="R139" s="22">
        <f>IF(D139&lt;&gt;0,$F139/D139,"")</f>
        <v>0</v>
      </c>
      <c r="S139" s="22">
        <f>IF(D139&lt;&gt;0,$G139/D139,"")</f>
        <v>0</v>
      </c>
      <c r="T139" s="22">
        <f>IF(D139&lt;&gt;0,$H139/D139,"")</f>
        <v>-0.10728227130558579</v>
      </c>
      <c r="U139" s="6"/>
    </row>
    <row r="140" spans="1:21" x14ac:dyDescent="0.2">
      <c r="A140" s="5" t="s">
        <v>171</v>
      </c>
      <c r="B140" s="25">
        <f>Input!B226+Input!C226+Input!D226</f>
        <v>0</v>
      </c>
      <c r="C140" s="27">
        <f>Input!E226</f>
        <v>0</v>
      </c>
      <c r="D140" s="25">
        <f>0.01*Input!F$14*(Adjust!$E310*Input!E226+Adjust!$F310*Input!F226)+10*(Adjust!$B310*Input!B226+Adjust!$C310*Input!C226+Adjust!$D310*Input!D226+Adjust!$G310*Input!G226)</f>
        <v>0</v>
      </c>
      <c r="E140" s="25">
        <f>10*(Adjust!$B310*Input!B226+Adjust!$C310*Input!C226+Adjust!$D310*Input!D226)</f>
        <v>0</v>
      </c>
      <c r="F140" s="25">
        <f>Adjust!E310*Input!$F$14*Input!$E226/100</f>
        <v>0</v>
      </c>
      <c r="G140" s="25">
        <f>Adjust!F310*Input!$F$14*Input!$F226/100</f>
        <v>0</v>
      </c>
      <c r="H140" s="25">
        <f>Adjust!G310*Input!$G226*10</f>
        <v>0</v>
      </c>
      <c r="I140" s="17" t="str">
        <f>IF(B140&lt;&gt;0,0.1*D140/B140,"")</f>
        <v/>
      </c>
      <c r="J140" s="29" t="str">
        <f>IF(C140&lt;&gt;0,D140/C140,"")</f>
        <v/>
      </c>
      <c r="K140" s="17">
        <f>IF(B140&lt;&gt;0,0.1*E140/B140,0)</f>
        <v>0</v>
      </c>
      <c r="L140" s="25">
        <f>Adjust!B310*Input!$B226*10</f>
        <v>0</v>
      </c>
      <c r="M140" s="25">
        <f>Adjust!C310*Input!$C226*10</f>
        <v>0</v>
      </c>
      <c r="N140" s="25">
        <f>Adjust!D310*Input!$D226*10</f>
        <v>0</v>
      </c>
      <c r="O140" s="22" t="str">
        <f>IF(E140&lt;&gt;0,$L140/E140,"")</f>
        <v/>
      </c>
      <c r="P140" s="22" t="str">
        <f>IF(E140&lt;&gt;0,$M140/E140,"")</f>
        <v/>
      </c>
      <c r="Q140" s="22" t="str">
        <f>IF(E140&lt;&gt;0,$N140/E140,"")</f>
        <v/>
      </c>
      <c r="R140" s="22" t="str">
        <f>IF(D140&lt;&gt;0,$F140/D140,"")</f>
        <v/>
      </c>
      <c r="S140" s="22" t="str">
        <f>IF(D140&lt;&gt;0,$G140/D140,"")</f>
        <v/>
      </c>
      <c r="T140" s="22" t="str">
        <f>IF(D140&lt;&gt;0,$H140/D140,"")</f>
        <v/>
      </c>
      <c r="U140" s="6"/>
    </row>
    <row r="141" spans="1:21" x14ac:dyDescent="0.2">
      <c r="A141" s="12" t="s">
        <v>172</v>
      </c>
      <c r="U141" s="6"/>
    </row>
    <row r="142" spans="1:21" x14ac:dyDescent="0.2">
      <c r="A142" s="5" t="s">
        <v>75</v>
      </c>
      <c r="B142" s="25">
        <f>Input!B228+Input!C228+Input!D228</f>
        <v>113862.35349765769</v>
      </c>
      <c r="C142" s="27">
        <f>Input!E228</f>
        <v>33</v>
      </c>
      <c r="D142" s="25">
        <f>0.01*Input!F$14*(Adjust!$E312*Input!E228+Adjust!$F312*Input!F228)+10*(Adjust!$B312*Input!B228+Adjust!$C312*Input!C228+Adjust!$D312*Input!D228+Adjust!$G312*Input!G228)</f>
        <v>-495275.07655914826</v>
      </c>
      <c r="E142" s="25">
        <f>10*(Adjust!$B312*Input!B228+Adjust!$C312*Input!C228+Adjust!$D312*Input!D228)</f>
        <v>-505548.84952960018</v>
      </c>
      <c r="F142" s="25">
        <f>Adjust!E312*Input!$F$14*Input!$E228/100</f>
        <v>766.06200000000001</v>
      </c>
      <c r="G142" s="25">
        <f>Adjust!F312*Input!$F$14*Input!$F228/100</f>
        <v>0</v>
      </c>
      <c r="H142" s="25">
        <f>Adjust!G312*Input!$G228*10</f>
        <v>9507.7109704519571</v>
      </c>
      <c r="I142" s="17">
        <f>IF(B142&lt;&gt;0,0.1*D142/B142,"")</f>
        <v>-0.43497702387588255</v>
      </c>
      <c r="J142" s="29">
        <f>IF(C142&lt;&gt;0,D142/C142,"")</f>
        <v>-15008.335653307524</v>
      </c>
      <c r="K142" s="17">
        <f>IF(B142&lt;&gt;0,0.1*E142/B142,0)</f>
        <v>-0.44400000000000006</v>
      </c>
      <c r="L142" s="25">
        <f>Adjust!B312*Input!$B228*10</f>
        <v>-505548.84952960018</v>
      </c>
      <c r="M142" s="25">
        <f>Adjust!C312*Input!$C228*10</f>
        <v>0</v>
      </c>
      <c r="N142" s="25">
        <f>Adjust!D312*Input!$D228*10</f>
        <v>0</v>
      </c>
      <c r="O142" s="22">
        <f>IF(E142&lt;&gt;0,$L142/E142,"")</f>
        <v>1</v>
      </c>
      <c r="P142" s="22">
        <f>IF(E142&lt;&gt;0,$M142/E142,"")</f>
        <v>0</v>
      </c>
      <c r="Q142" s="22">
        <f>IF(E142&lt;&gt;0,$N142/E142,"")</f>
        <v>0</v>
      </c>
      <c r="R142" s="22">
        <f>IF(D142&lt;&gt;0,$F142/D142,"")</f>
        <v>-1.5467404605176271E-3</v>
      </c>
      <c r="S142" s="22">
        <f>IF(D142&lt;&gt;0,$G142/D142,"")</f>
        <v>0</v>
      </c>
      <c r="T142" s="22">
        <f>IF(D142&lt;&gt;0,$H142/D142,"")</f>
        <v>-1.919682903590748E-2</v>
      </c>
      <c r="U142" s="6"/>
    </row>
    <row r="143" spans="1:21" x14ac:dyDescent="0.2">
      <c r="A143" s="5" t="s">
        <v>173</v>
      </c>
      <c r="B143" s="25">
        <f>Input!B229+Input!C229+Input!D229</f>
        <v>0</v>
      </c>
      <c r="C143" s="27">
        <f>Input!E229</f>
        <v>0</v>
      </c>
      <c r="D143" s="25">
        <f>0.01*Input!F$14*(Adjust!$E313*Input!E229+Adjust!$F313*Input!F229)+10*(Adjust!$B313*Input!B229+Adjust!$C313*Input!C229+Adjust!$D313*Input!D229+Adjust!$G313*Input!G229)</f>
        <v>0</v>
      </c>
      <c r="E143" s="25">
        <f>10*(Adjust!$B313*Input!B229+Adjust!$C313*Input!C229+Adjust!$D313*Input!D229)</f>
        <v>0</v>
      </c>
      <c r="F143" s="25">
        <f>Adjust!E313*Input!$F$14*Input!$E229/100</f>
        <v>0</v>
      </c>
      <c r="G143" s="25">
        <f>Adjust!F313*Input!$F$14*Input!$F229/100</f>
        <v>0</v>
      </c>
      <c r="H143" s="25">
        <f>Adjust!G313*Input!$G229*10</f>
        <v>0</v>
      </c>
      <c r="I143" s="17" t="str">
        <f>IF(B143&lt;&gt;0,0.1*D143/B143,"")</f>
        <v/>
      </c>
      <c r="J143" s="29" t="str">
        <f>IF(C143&lt;&gt;0,D143/C143,"")</f>
        <v/>
      </c>
      <c r="K143" s="17">
        <f>IF(B143&lt;&gt;0,0.1*E143/B143,0)</f>
        <v>0</v>
      </c>
      <c r="L143" s="25">
        <f>Adjust!B313*Input!$B229*10</f>
        <v>0</v>
      </c>
      <c r="M143" s="25">
        <f>Adjust!C313*Input!$C229*10</f>
        <v>0</v>
      </c>
      <c r="N143" s="25">
        <f>Adjust!D313*Input!$D229*10</f>
        <v>0</v>
      </c>
      <c r="O143" s="22" t="str">
        <f>IF(E143&lt;&gt;0,$L143/E143,"")</f>
        <v/>
      </c>
      <c r="P143" s="22" t="str">
        <f>IF(E143&lt;&gt;0,$M143/E143,"")</f>
        <v/>
      </c>
      <c r="Q143" s="22" t="str">
        <f>IF(E143&lt;&gt;0,$N143/E143,"")</f>
        <v/>
      </c>
      <c r="R143" s="22" t="str">
        <f>IF(D143&lt;&gt;0,$F143/D143,"")</f>
        <v/>
      </c>
      <c r="S143" s="22" t="str">
        <f>IF(D143&lt;&gt;0,$G143/D143,"")</f>
        <v/>
      </c>
      <c r="T143" s="22" t="str">
        <f>IF(D143&lt;&gt;0,$H143/D143,"")</f>
        <v/>
      </c>
      <c r="U143" s="6"/>
    </row>
    <row r="144" spans="1:21" x14ac:dyDescent="0.2">
      <c r="A144" s="12" t="s">
        <v>174</v>
      </c>
      <c r="U144" s="6"/>
    </row>
    <row r="145" spans="1:21" x14ac:dyDescent="0.2">
      <c r="A145" s="5" t="s">
        <v>76</v>
      </c>
      <c r="B145" s="25">
        <f>Input!B231+Input!C231+Input!D231</f>
        <v>547426.58801126666</v>
      </c>
      <c r="C145" s="27">
        <f>Input!E231</f>
        <v>97</v>
      </c>
      <c r="D145" s="25">
        <f>0.01*Input!F$14*(Adjust!$E315*Input!E231+Adjust!$F315*Input!F231)+10*(Adjust!$B315*Input!B231+Adjust!$C315*Input!C231+Adjust!$D315*Input!D231+Adjust!$G315*Input!G231)</f>
        <v>-2224444.1186639043</v>
      </c>
      <c r="E145" s="25">
        <f>10*(Adjust!$B315*Input!B231+Adjust!$C315*Input!C231+Adjust!$D315*Input!D231)</f>
        <v>-2242052.1888808841</v>
      </c>
      <c r="F145" s="25">
        <f>Adjust!E315*Input!$F$14*Input!$E231/100</f>
        <v>2251.7580000000003</v>
      </c>
      <c r="G145" s="25">
        <f>Adjust!F315*Input!$F$14*Input!$F231/100</f>
        <v>0</v>
      </c>
      <c r="H145" s="25">
        <f>Adjust!G315*Input!$G231*10</f>
        <v>15356.312216979775</v>
      </c>
      <c r="I145" s="17">
        <f>IF(B145&lt;&gt;0,0.1*D145/B145,"")</f>
        <v>-0.40634564841745002</v>
      </c>
      <c r="J145" s="29">
        <f>IF(C145&lt;&gt;0,D145/C145,"")</f>
        <v>-22932.413594473241</v>
      </c>
      <c r="K145" s="17">
        <f>IF(B145&lt;&gt;0,0.1*E145/B145,0)</f>
        <v>-0.40956216559118613</v>
      </c>
      <c r="L145" s="25">
        <f>Adjust!B315*Input!$B231*10</f>
        <v>-1369158.7250277409</v>
      </c>
      <c r="M145" s="25">
        <f>Adjust!C315*Input!$C231*10</f>
        <v>-643942.35290498938</v>
      </c>
      <c r="N145" s="25">
        <f>Adjust!D315*Input!$D231*10</f>
        <v>-228951.11094815398</v>
      </c>
      <c r="O145" s="22">
        <f>IF(E145&lt;&gt;0,$L145/E145,"")</f>
        <v>0.61067210291440799</v>
      </c>
      <c r="P145" s="22">
        <f>IF(E145&lt;&gt;0,$M145/E145,"")</f>
        <v>0.28721113455722541</v>
      </c>
      <c r="Q145" s="22">
        <f>IF(E145&lt;&gt;0,$N145/E145,"")</f>
        <v>0.10211676252836668</v>
      </c>
      <c r="R145" s="22">
        <f>IF(D145&lt;&gt;0,$F145/D145,"")</f>
        <v>-1.0122789694319235E-3</v>
      </c>
      <c r="S145" s="22">
        <f>IF(D145&lt;&gt;0,$G145/D145,"")</f>
        <v>0</v>
      </c>
      <c r="T145" s="22">
        <f>IF(D145&lt;&gt;0,$H145/D145,"")</f>
        <v>-6.9034380716218799E-3</v>
      </c>
      <c r="U145" s="6"/>
    </row>
    <row r="146" spans="1:21" x14ac:dyDescent="0.2">
      <c r="A146" s="5" t="s">
        <v>175</v>
      </c>
      <c r="B146" s="25">
        <f>Input!B232+Input!C232+Input!D232</f>
        <v>0</v>
      </c>
      <c r="C146" s="27">
        <f>Input!E232</f>
        <v>0</v>
      </c>
      <c r="D146" s="25">
        <f>0.01*Input!F$14*(Adjust!$E316*Input!E232+Adjust!$F316*Input!F232)+10*(Adjust!$B316*Input!B232+Adjust!$C316*Input!C232+Adjust!$D316*Input!D232+Adjust!$G316*Input!G232)</f>
        <v>0</v>
      </c>
      <c r="E146" s="25">
        <f>10*(Adjust!$B316*Input!B232+Adjust!$C316*Input!C232+Adjust!$D316*Input!D232)</f>
        <v>0</v>
      </c>
      <c r="F146" s="25">
        <f>Adjust!E316*Input!$F$14*Input!$E232/100</f>
        <v>0</v>
      </c>
      <c r="G146" s="25">
        <f>Adjust!F316*Input!$F$14*Input!$F232/100</f>
        <v>0</v>
      </c>
      <c r="H146" s="25">
        <f>Adjust!G316*Input!$G232*10</f>
        <v>0</v>
      </c>
      <c r="I146" s="17" t="str">
        <f>IF(B146&lt;&gt;0,0.1*D146/B146,"")</f>
        <v/>
      </c>
      <c r="J146" s="29" t="str">
        <f>IF(C146&lt;&gt;0,D146/C146,"")</f>
        <v/>
      </c>
      <c r="K146" s="17">
        <f>IF(B146&lt;&gt;0,0.1*E146/B146,0)</f>
        <v>0</v>
      </c>
      <c r="L146" s="25">
        <f>Adjust!B316*Input!$B232*10</f>
        <v>0</v>
      </c>
      <c r="M146" s="25">
        <f>Adjust!C316*Input!$C232*10</f>
        <v>0</v>
      </c>
      <c r="N146" s="25">
        <f>Adjust!D316*Input!$D232*10</f>
        <v>0</v>
      </c>
      <c r="O146" s="22" t="str">
        <f>IF(E146&lt;&gt;0,$L146/E146,"")</f>
        <v/>
      </c>
      <c r="P146" s="22" t="str">
        <f>IF(E146&lt;&gt;0,$M146/E146,"")</f>
        <v/>
      </c>
      <c r="Q146" s="22" t="str">
        <f>IF(E146&lt;&gt;0,$N146/E146,"")</f>
        <v/>
      </c>
      <c r="R146" s="22" t="str">
        <f>IF(D146&lt;&gt;0,$F146/D146,"")</f>
        <v/>
      </c>
      <c r="S146" s="22" t="str">
        <f>IF(D146&lt;&gt;0,$G146/D146,"")</f>
        <v/>
      </c>
      <c r="T146" s="22" t="str">
        <f>IF(D146&lt;&gt;0,$H146/D146,"")</f>
        <v/>
      </c>
      <c r="U146" s="6"/>
    </row>
    <row r="147" spans="1:21" x14ac:dyDescent="0.2">
      <c r="A147" s="12" t="s">
        <v>176</v>
      </c>
      <c r="U147" s="6"/>
    </row>
    <row r="148" spans="1:21" x14ac:dyDescent="0.2">
      <c r="A148" s="5" t="s">
        <v>77</v>
      </c>
      <c r="B148" s="25">
        <f>Input!B234+Input!C234+Input!D234</f>
        <v>0</v>
      </c>
      <c r="C148" s="27">
        <f>Input!E234</f>
        <v>0</v>
      </c>
      <c r="D148" s="25">
        <f>0.01*Input!F$14*(Adjust!$E318*Input!E234+Adjust!$F318*Input!F234)+10*(Adjust!$B318*Input!B234+Adjust!$C318*Input!C234+Adjust!$D318*Input!D234+Adjust!$G318*Input!G234)</f>
        <v>0</v>
      </c>
      <c r="E148" s="25">
        <f>10*(Adjust!$B318*Input!B234+Adjust!$C318*Input!C234+Adjust!$D318*Input!D234)</f>
        <v>0</v>
      </c>
      <c r="F148" s="25">
        <f>Adjust!E318*Input!$F$14*Input!$E234/100</f>
        <v>0</v>
      </c>
      <c r="G148" s="25">
        <f>Adjust!F318*Input!$F$14*Input!$F234/100</f>
        <v>0</v>
      </c>
      <c r="H148" s="25">
        <f>Adjust!G318*Input!$G234*10</f>
        <v>0</v>
      </c>
      <c r="I148" s="17" t="str">
        <f>IF(B148&lt;&gt;0,0.1*D148/B148,"")</f>
        <v/>
      </c>
      <c r="J148" s="29" t="str">
        <f>IF(C148&lt;&gt;0,D148/C148,"")</f>
        <v/>
      </c>
      <c r="K148" s="17">
        <f>IF(B148&lt;&gt;0,0.1*E148/B148,0)</f>
        <v>0</v>
      </c>
      <c r="L148" s="25">
        <f>Adjust!B318*Input!$B234*10</f>
        <v>0</v>
      </c>
      <c r="M148" s="25">
        <f>Adjust!C318*Input!$C234*10</f>
        <v>0</v>
      </c>
      <c r="N148" s="25">
        <f>Adjust!D318*Input!$D234*10</f>
        <v>0</v>
      </c>
      <c r="O148" s="22" t="str">
        <f>IF(E148&lt;&gt;0,$L148/E148,"")</f>
        <v/>
      </c>
      <c r="P148" s="22" t="str">
        <f>IF(E148&lt;&gt;0,$M148/E148,"")</f>
        <v/>
      </c>
      <c r="Q148" s="22" t="str">
        <f>IF(E148&lt;&gt;0,$N148/E148,"")</f>
        <v/>
      </c>
      <c r="R148" s="22" t="str">
        <f>IF(D148&lt;&gt;0,$F148/D148,"")</f>
        <v/>
      </c>
      <c r="S148" s="22" t="str">
        <f>IF(D148&lt;&gt;0,$G148/D148,"")</f>
        <v/>
      </c>
      <c r="T148" s="22" t="str">
        <f>IF(D148&lt;&gt;0,$H148/D148,"")</f>
        <v/>
      </c>
      <c r="U148" s="6"/>
    </row>
    <row r="149" spans="1:21" x14ac:dyDescent="0.2">
      <c r="A149" s="12" t="s">
        <v>177</v>
      </c>
      <c r="U149" s="6"/>
    </row>
    <row r="150" spans="1:21" x14ac:dyDescent="0.2">
      <c r="A150" s="5" t="s">
        <v>78</v>
      </c>
      <c r="B150" s="25">
        <f>Input!B236+Input!C236+Input!D236</f>
        <v>0</v>
      </c>
      <c r="C150" s="27">
        <f>Input!E236</f>
        <v>0</v>
      </c>
      <c r="D150" s="25">
        <f>0.01*Input!F$14*(Adjust!$E320*Input!E236+Adjust!$F320*Input!F236)+10*(Adjust!$B320*Input!B236+Adjust!$C320*Input!C236+Adjust!$D320*Input!D236+Adjust!$G320*Input!G236)</f>
        <v>0</v>
      </c>
      <c r="E150" s="25">
        <f>10*(Adjust!$B320*Input!B236+Adjust!$C320*Input!C236+Adjust!$D320*Input!D236)</f>
        <v>0</v>
      </c>
      <c r="F150" s="25">
        <f>Adjust!E320*Input!$F$14*Input!$E236/100</f>
        <v>0</v>
      </c>
      <c r="G150" s="25">
        <f>Adjust!F320*Input!$F$14*Input!$F236/100</f>
        <v>0</v>
      </c>
      <c r="H150" s="25">
        <f>Adjust!G320*Input!$G236*10</f>
        <v>0</v>
      </c>
      <c r="I150" s="17" t="str">
        <f>IF(B150&lt;&gt;0,0.1*D150/B150,"")</f>
        <v/>
      </c>
      <c r="J150" s="29" t="str">
        <f>IF(C150&lt;&gt;0,D150/C150,"")</f>
        <v/>
      </c>
      <c r="K150" s="17">
        <f>IF(B150&lt;&gt;0,0.1*E150/B150,0)</f>
        <v>0</v>
      </c>
      <c r="L150" s="25">
        <f>Adjust!B320*Input!$B236*10</f>
        <v>0</v>
      </c>
      <c r="M150" s="25">
        <f>Adjust!C320*Input!$C236*10</f>
        <v>0</v>
      </c>
      <c r="N150" s="25">
        <f>Adjust!D320*Input!$D236*10</f>
        <v>0</v>
      </c>
      <c r="O150" s="22" t="str">
        <f>IF(E150&lt;&gt;0,$L150/E150,"")</f>
        <v/>
      </c>
      <c r="P150" s="22" t="str">
        <f>IF(E150&lt;&gt;0,$M150/E150,"")</f>
        <v/>
      </c>
      <c r="Q150" s="22" t="str">
        <f>IF(E150&lt;&gt;0,$N150/E150,"")</f>
        <v/>
      </c>
      <c r="R150" s="22" t="str">
        <f>IF(D150&lt;&gt;0,$F150/D150,"")</f>
        <v/>
      </c>
      <c r="S150" s="22" t="str">
        <f>IF(D150&lt;&gt;0,$G150/D150,"")</f>
        <v/>
      </c>
      <c r="T150" s="22" t="str">
        <f>IF(D150&lt;&gt;0,$H150/D150,"")</f>
        <v/>
      </c>
      <c r="U150" s="6"/>
    </row>
    <row r="152" spans="1:21" ht="16.5" x14ac:dyDescent="0.25">
      <c r="A152" s="3" t="s">
        <v>1473</v>
      </c>
    </row>
    <row r="153" spans="1:21" x14ac:dyDescent="0.2">
      <c r="A153" s="10" t="s">
        <v>238</v>
      </c>
    </row>
    <row r="154" spans="1:21" x14ac:dyDescent="0.2">
      <c r="A154" s="11" t="s">
        <v>1474</v>
      </c>
    </row>
    <row r="155" spans="1:21" x14ac:dyDescent="0.2">
      <c r="A155" s="11" t="s">
        <v>1475</v>
      </c>
    </row>
    <row r="156" spans="1:21" x14ac:dyDescent="0.2">
      <c r="A156" s="11" t="s">
        <v>1476</v>
      </c>
    </row>
    <row r="157" spans="1:21" x14ac:dyDescent="0.2">
      <c r="A157" s="11" t="s">
        <v>1477</v>
      </c>
    </row>
    <row r="158" spans="1:21" x14ac:dyDescent="0.2">
      <c r="A158" s="11" t="s">
        <v>1478</v>
      </c>
    </row>
    <row r="159" spans="1:21" x14ac:dyDescent="0.2">
      <c r="A159" s="11" t="s">
        <v>1479</v>
      </c>
    </row>
    <row r="160" spans="1:21" x14ac:dyDescent="0.2">
      <c r="A160" s="11" t="s">
        <v>1480</v>
      </c>
    </row>
    <row r="161" spans="1:9" x14ac:dyDescent="0.2">
      <c r="A161" s="18" t="s">
        <v>241</v>
      </c>
      <c r="B161" s="18" t="s">
        <v>372</v>
      </c>
      <c r="C161" s="18" t="s">
        <v>372</v>
      </c>
      <c r="D161" s="18" t="s">
        <v>372</v>
      </c>
      <c r="E161" s="18" t="s">
        <v>372</v>
      </c>
      <c r="F161" s="18" t="s">
        <v>372</v>
      </c>
      <c r="G161" s="18" t="s">
        <v>372</v>
      </c>
      <c r="H161" s="18" t="s">
        <v>372</v>
      </c>
    </row>
    <row r="162" spans="1:9" x14ac:dyDescent="0.2">
      <c r="A162" s="18" t="s">
        <v>244</v>
      </c>
      <c r="B162" s="18" t="s">
        <v>422</v>
      </c>
      <c r="C162" s="18" t="s">
        <v>423</v>
      </c>
      <c r="D162" s="18" t="s">
        <v>424</v>
      </c>
      <c r="E162" s="18" t="s">
        <v>425</v>
      </c>
      <c r="F162" s="18" t="s">
        <v>374</v>
      </c>
      <c r="G162" s="18" t="s">
        <v>426</v>
      </c>
      <c r="H162" s="18" t="s">
        <v>1481</v>
      </c>
    </row>
    <row r="164" spans="1:9" ht="38.25" x14ac:dyDescent="0.2">
      <c r="B164" s="4" t="s">
        <v>1482</v>
      </c>
      <c r="C164" s="4" t="s">
        <v>1483</v>
      </c>
      <c r="D164" s="4" t="s">
        <v>1363</v>
      </c>
      <c r="E164" s="4" t="s">
        <v>1484</v>
      </c>
      <c r="F164" s="4" t="s">
        <v>1485</v>
      </c>
      <c r="G164" s="4" t="s">
        <v>1486</v>
      </c>
      <c r="H164" s="4" t="s">
        <v>1487</v>
      </c>
    </row>
    <row r="165" spans="1:9" x14ac:dyDescent="0.2">
      <c r="A165" s="5" t="s">
        <v>1488</v>
      </c>
      <c r="B165" s="25">
        <f>SUM(B$56:B$150)</f>
        <v>21803253.065712817</v>
      </c>
      <c r="C165" s="25">
        <f>SUM(C$56:C$150)</f>
        <v>2359205.0340784024</v>
      </c>
      <c r="D165" s="25">
        <f>SUM(D$56:D$150)</f>
        <v>481838589.1077131</v>
      </c>
      <c r="E165" s="25">
        <f>SUM(E$56:E$150)</f>
        <v>411095921.74718773</v>
      </c>
      <c r="F165" s="25">
        <f>SUM($F$56:$F$150)</f>
        <v>31263382.413215294</v>
      </c>
      <c r="G165" s="25">
        <f>SUM($G$56:$G$150)</f>
        <v>38148221.784794688</v>
      </c>
      <c r="H165" s="25">
        <f>SUM($H$56:$H$150)</f>
        <v>1331063.1625152719</v>
      </c>
      <c r="I165" s="6"/>
    </row>
  </sheetData>
  <sheetProtection sheet="1" objects="1"/>
  <hyperlinks>
    <hyperlink ref="A16" location="'Input'!D14" display="'Input'!D14"/>
    <hyperlink ref="A17" location="'Adjust'!D212" display="'Adjust'!D212"/>
    <hyperlink ref="A18" location="'Adjust'!G212" display="'Adjust'!G212"/>
    <hyperlink ref="A19" location="'Summary'!D25" display="'Summary'!D25"/>
    <hyperlink ref="A20" location="'Revenue'!B58" display="'Revenue'!B58"/>
    <hyperlink ref="A29" location="'Input'!B142" display="'Input'!B142"/>
    <hyperlink ref="A30" location="'Input'!C142" display="'Input'!C142"/>
    <hyperlink ref="A31" location="'Input'!D142" display="'Input'!D142"/>
    <hyperlink ref="A32" location="'Input'!E142" display="'Input'!E142"/>
    <hyperlink ref="A33" location="'Input'!F14" display="'Input'!F14"/>
    <hyperlink ref="A34" location="'Adjust'!E228" display="'Adjust'!E228"/>
    <hyperlink ref="A35" location="'Adjust'!F228" display="'Adjust'!F228"/>
    <hyperlink ref="A36" location="'Input'!F142" display="'Input'!F142"/>
    <hyperlink ref="A37" location="'Adjust'!B228" display="'Adjust'!B228"/>
    <hyperlink ref="A38" location="'Adjust'!C228" display="'Adjust'!C228"/>
    <hyperlink ref="A39" location="'Adjust'!D228" display="'Adjust'!D228"/>
    <hyperlink ref="A40" location="'Adjust'!G228" display="'Adjust'!G228"/>
    <hyperlink ref="A41" location="'Input'!G142" display="'Input'!G142"/>
    <hyperlink ref="A42" location="'Summary'!B56" display="'Summary'!B56"/>
    <hyperlink ref="A43" location="'Summary'!D56" display="'Summary'!D56"/>
    <hyperlink ref="A44" location="'Summary'!C56" display="'Summary'!C56"/>
    <hyperlink ref="A45" location="'Summary'!E56" display="'Summary'!E56"/>
    <hyperlink ref="A46" location="'Summary'!L56" display="'Summary'!L56"/>
    <hyperlink ref="A47" location="'Summary'!M56" display="'Summary'!M56"/>
    <hyperlink ref="A48" location="'Summary'!N56" display="'Summary'!N56"/>
    <hyperlink ref="A49" location="'Summary'!F56" display="'Summary'!F56"/>
    <hyperlink ref="A50" location="'Summary'!G56" display="'Summary'!G56"/>
    <hyperlink ref="A51" location="'Summary'!H56" display="'Summary'!H56"/>
    <hyperlink ref="A154" location="'Summary'!B56" display="'Summary'!B56"/>
    <hyperlink ref="A155" location="'Summary'!C56" display="'Summary'!C56"/>
    <hyperlink ref="A156" location="'Summary'!D56" display="'Summary'!D56"/>
    <hyperlink ref="A157" location="'Summary'!E56" display="'Summary'!E56"/>
    <hyperlink ref="A158" location="'Summary'!F56" display="'Summary'!F56"/>
    <hyperlink ref="A159" location="'Summary'!G56" display="'Summary'!G56"/>
    <hyperlink ref="A160" location="'Summary'!H56" display="'Summary'!H56"/>
  </hyperlinks>
  <pageMargins left="0.75" right="0.75" top="1" bottom="1" header="0.5" footer="0.5"/>
  <pageSetup paperSize="9" scale="20" orientation="landscape" blackAndWhite="1" r:id="rId1"/>
  <headerFooter alignWithMargins="0">
    <oddHeader>&amp;L&amp;A&amp;Cr6140&amp;R&amp;P of &amp;N</oddHeader>
    <oddFooter>&amp;F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A1:M966"/>
  <sheetViews>
    <sheetView showGridLines="0" zoomScale="90" zoomScaleNormal="90" workbookViewId="0">
      <pane xSplit="1" ySplit="1" topLeftCell="B2" activePane="bottomRight" state="frozen"/>
      <selection pane="topRight"/>
      <selection pane="bottomLeft"/>
      <selection pane="bottomRight"/>
    </sheetView>
  </sheetViews>
  <sheetFormatPr defaultRowHeight="12.75" x14ac:dyDescent="0.2"/>
  <cols>
    <col min="1" max="1" width="40.7109375" customWidth="1"/>
    <col min="2" max="251" width="20.7109375" customWidth="1"/>
  </cols>
  <sheetData>
    <row r="1" spans="1:1" ht="19.5" x14ac:dyDescent="0.3">
      <c r="A1" s="15" t="str">
        <f>"r6140: Tariff matrices"&amp;" for "&amp;Input!B7&amp;" in "&amp;Input!C7&amp;" ("&amp;Input!D7&amp;")"</f>
        <v>r6140: Tariff matrices for Electricity North West  in 2013/14 (April 2013 Indicative)</v>
      </c>
    </row>
    <row r="2" spans="1:1" x14ac:dyDescent="0.2">
      <c r="A2" s="10" t="s">
        <v>1511</v>
      </c>
    </row>
    <row r="3" spans="1:1" x14ac:dyDescent="0.2">
      <c r="A3" s="10" t="s">
        <v>1396</v>
      </c>
    </row>
    <row r="4" spans="1:1" x14ac:dyDescent="0.2">
      <c r="A4" s="11" t="s">
        <v>53</v>
      </c>
    </row>
    <row r="5" spans="1:1" x14ac:dyDescent="0.2">
      <c r="A5" s="11" t="s">
        <v>54</v>
      </c>
    </row>
    <row r="6" spans="1:1" x14ac:dyDescent="0.2">
      <c r="A6" s="11" t="s">
        <v>94</v>
      </c>
    </row>
    <row r="7" spans="1:1" x14ac:dyDescent="0.2">
      <c r="A7" s="11" t="s">
        <v>55</v>
      </c>
    </row>
    <row r="8" spans="1:1" x14ac:dyDescent="0.2">
      <c r="A8" s="11" t="s">
        <v>56</v>
      </c>
    </row>
    <row r="9" spans="1:1" x14ac:dyDescent="0.2">
      <c r="A9" s="11" t="s">
        <v>95</v>
      </c>
    </row>
    <row r="10" spans="1:1" x14ac:dyDescent="0.2">
      <c r="A10" s="11" t="s">
        <v>57</v>
      </c>
    </row>
    <row r="11" spans="1:1" x14ac:dyDescent="0.2">
      <c r="A11" s="11" t="s">
        <v>58</v>
      </c>
    </row>
    <row r="12" spans="1:1" x14ac:dyDescent="0.2">
      <c r="A12" s="11" t="s">
        <v>72</v>
      </c>
    </row>
    <row r="13" spans="1:1" x14ac:dyDescent="0.2">
      <c r="A13" s="11" t="s">
        <v>59</v>
      </c>
    </row>
    <row r="14" spans="1:1" x14ac:dyDescent="0.2">
      <c r="A14" s="11" t="s">
        <v>60</v>
      </c>
    </row>
    <row r="15" spans="1:1" x14ac:dyDescent="0.2">
      <c r="A15" s="11" t="s">
        <v>73</v>
      </c>
    </row>
    <row r="16" spans="1:1" x14ac:dyDescent="0.2">
      <c r="A16" s="11" t="s">
        <v>74</v>
      </c>
    </row>
    <row r="17" spans="1:1" x14ac:dyDescent="0.2">
      <c r="A17" s="11" t="s">
        <v>96</v>
      </c>
    </row>
    <row r="18" spans="1:1" x14ac:dyDescent="0.2">
      <c r="A18" s="11" t="s">
        <v>97</v>
      </c>
    </row>
    <row r="19" spans="1:1" x14ac:dyDescent="0.2">
      <c r="A19" s="11" t="s">
        <v>98</v>
      </c>
    </row>
    <row r="20" spans="1:1" x14ac:dyDescent="0.2">
      <c r="A20" s="11" t="s">
        <v>99</v>
      </c>
    </row>
    <row r="21" spans="1:1" x14ac:dyDescent="0.2">
      <c r="A21" s="11" t="s">
        <v>100</v>
      </c>
    </row>
    <row r="22" spans="1:1" x14ac:dyDescent="0.2">
      <c r="A22" s="11" t="s">
        <v>61</v>
      </c>
    </row>
    <row r="23" spans="1:1" x14ac:dyDescent="0.2">
      <c r="A23" s="11" t="s">
        <v>62</v>
      </c>
    </row>
    <row r="24" spans="1:1" x14ac:dyDescent="0.2">
      <c r="A24" s="11" t="s">
        <v>63</v>
      </c>
    </row>
    <row r="25" spans="1:1" x14ac:dyDescent="0.2">
      <c r="A25" s="11" t="s">
        <v>64</v>
      </c>
    </row>
    <row r="26" spans="1:1" x14ac:dyDescent="0.2">
      <c r="A26" s="11" t="s">
        <v>65</v>
      </c>
    </row>
    <row r="27" spans="1:1" x14ac:dyDescent="0.2">
      <c r="A27" s="11" t="s">
        <v>66</v>
      </c>
    </row>
    <row r="28" spans="1:1" x14ac:dyDescent="0.2">
      <c r="A28" s="11" t="s">
        <v>75</v>
      </c>
    </row>
    <row r="29" spans="1:1" x14ac:dyDescent="0.2">
      <c r="A29" s="11" t="s">
        <v>76</v>
      </c>
    </row>
    <row r="30" spans="1:1" x14ac:dyDescent="0.2">
      <c r="A30" s="11" t="s">
        <v>77</v>
      </c>
    </row>
    <row r="31" spans="1:1" x14ac:dyDescent="0.2">
      <c r="A31" s="11" t="s">
        <v>78</v>
      </c>
    </row>
    <row r="34" spans="1:7" ht="16.5" x14ac:dyDescent="0.25">
      <c r="A34" s="3" t="s">
        <v>53</v>
      </c>
    </row>
    <row r="36" spans="1:7" x14ac:dyDescent="0.2">
      <c r="B36" s="4" t="s">
        <v>105</v>
      </c>
      <c r="C36" s="4" t="s">
        <v>108</v>
      </c>
      <c r="D36" s="4" t="s">
        <v>1489</v>
      </c>
      <c r="E36" s="4" t="s">
        <v>1490</v>
      </c>
    </row>
    <row r="37" spans="1:7" x14ac:dyDescent="0.2">
      <c r="A37" s="5" t="s">
        <v>53</v>
      </c>
      <c r="B37" s="27">
        <f>Loads!B$298</f>
        <v>7424642.1081218729</v>
      </c>
      <c r="C37" s="27">
        <f>Loads!E$298</f>
        <v>1974989.8815763444</v>
      </c>
      <c r="D37" s="27">
        <f>Multi!B$115</f>
        <v>7424642.1081218729</v>
      </c>
      <c r="E37" s="17">
        <f>IF(C37,D37/C37,"")</f>
        <v>3.7593317198141145</v>
      </c>
      <c r="F37" s="6"/>
    </row>
    <row r="40" spans="1:7" ht="25.5" x14ac:dyDescent="0.2">
      <c r="B40" s="4" t="s">
        <v>1319</v>
      </c>
      <c r="C40" s="4" t="s">
        <v>1322</v>
      </c>
      <c r="D40" s="4" t="s">
        <v>1491</v>
      </c>
      <c r="E40" s="4" t="s">
        <v>1461</v>
      </c>
      <c r="F40" s="4" t="s">
        <v>1492</v>
      </c>
    </row>
    <row r="41" spans="1:7" x14ac:dyDescent="0.2">
      <c r="A41" s="5" t="s">
        <v>338</v>
      </c>
      <c r="B41" s="20">
        <f>Standing!$C$54</f>
        <v>0.1596023052588541</v>
      </c>
      <c r="C41" s="30">
        <f>NHH!$C$88</f>
        <v>0</v>
      </c>
      <c r="D41" s="25">
        <f>0.01*Input!$F$14*(C41*$C$37)+10*(B41*$B$37)</f>
        <v>11849899.961782094</v>
      </c>
      <c r="E41" s="17">
        <f t="shared" ref="E41:E63" si="0">IF($D$37&lt;&gt;0,0.1*D41/$D$37,"")</f>
        <v>0.15960230525885416</v>
      </c>
      <c r="F41" s="29">
        <f t="shared" ref="F41:F63" si="1">IF($C$37&lt;&gt;0,D41/$C$37,"")</f>
        <v>5.9999800871506537</v>
      </c>
      <c r="G41" s="6"/>
    </row>
    <row r="42" spans="1:7" x14ac:dyDescent="0.2">
      <c r="A42" s="5" t="s">
        <v>339</v>
      </c>
      <c r="B42" s="20">
        <f>Standing!$D$54</f>
        <v>0.14721474137687782</v>
      </c>
      <c r="C42" s="30">
        <f>NHH!$D$88</f>
        <v>0</v>
      </c>
      <c r="D42" s="25">
        <f>0.01*Input!$F$14*(C42*$C$37)+10*(B42*$B$37)</f>
        <v>10930167.677630384</v>
      </c>
      <c r="E42" s="17">
        <f t="shared" si="0"/>
        <v>0.14721474137687782</v>
      </c>
      <c r="F42" s="29">
        <f t="shared" si="1"/>
        <v>5.534290468823281</v>
      </c>
      <c r="G42" s="6"/>
    </row>
    <row r="43" spans="1:7" x14ac:dyDescent="0.2">
      <c r="A43" s="5" t="s">
        <v>340</v>
      </c>
      <c r="B43" s="20">
        <f>Standing!$E$54</f>
        <v>0.22439144037638167</v>
      </c>
      <c r="C43" s="30">
        <f>NHH!$E$88</f>
        <v>0</v>
      </c>
      <c r="D43" s="25">
        <f>0.01*Input!$F$14*(C43*$C$37)+10*(B43*$B$37)</f>
        <v>16660261.369206021</v>
      </c>
      <c r="E43" s="17">
        <f t="shared" si="0"/>
        <v>0.22439144037638167</v>
      </c>
      <c r="F43" s="29">
        <f t="shared" si="1"/>
        <v>8.4356185946170932</v>
      </c>
      <c r="G43" s="6"/>
    </row>
    <row r="44" spans="1:7" x14ac:dyDescent="0.2">
      <c r="A44" s="5" t="s">
        <v>341</v>
      </c>
      <c r="B44" s="20">
        <f>Standing!$F$54</f>
        <v>0.27786452309605153</v>
      </c>
      <c r="C44" s="30">
        <f>NHH!$F$88</f>
        <v>0</v>
      </c>
      <c r="D44" s="25">
        <f>0.01*Input!$F$14*(C44*$C$37)+10*(B44*$B$37)</f>
        <v>20630446.385321468</v>
      </c>
      <c r="E44" s="17">
        <f t="shared" si="0"/>
        <v>0.27786452309605153</v>
      </c>
      <c r="F44" s="29">
        <f t="shared" si="1"/>
        <v>10.445849154860081</v>
      </c>
      <c r="G44" s="6"/>
    </row>
    <row r="45" spans="1:7" x14ac:dyDescent="0.2">
      <c r="A45" s="5" t="s">
        <v>342</v>
      </c>
      <c r="B45" s="20">
        <f>Standing!$G$54</f>
        <v>0</v>
      </c>
      <c r="C45" s="30">
        <f>NHH!$G$88</f>
        <v>0</v>
      </c>
      <c r="D45" s="25">
        <f>0.01*Input!$F$14*(C45*$C$37)+10*(B45*$B$37)</f>
        <v>0</v>
      </c>
      <c r="E45" s="17">
        <f t="shared" si="0"/>
        <v>0</v>
      </c>
      <c r="F45" s="29">
        <f t="shared" si="1"/>
        <v>0</v>
      </c>
      <c r="G45" s="6"/>
    </row>
    <row r="46" spans="1:7" x14ac:dyDescent="0.2">
      <c r="A46" s="5" t="s">
        <v>343</v>
      </c>
      <c r="B46" s="20">
        <f>Standing!$H$54</f>
        <v>0.282569832091495</v>
      </c>
      <c r="C46" s="30">
        <f>NHH!$H$88</f>
        <v>0</v>
      </c>
      <c r="D46" s="25">
        <f>0.01*Input!$F$14*(C46*$C$37)+10*(B46*$B$37)</f>
        <v>20979798.738314413</v>
      </c>
      <c r="E46" s="17">
        <f t="shared" si="0"/>
        <v>0.282569832091495</v>
      </c>
      <c r="F46" s="29">
        <f t="shared" si="1"/>
        <v>10.622737328441055</v>
      </c>
      <c r="G46" s="6"/>
    </row>
    <row r="47" spans="1:7" x14ac:dyDescent="0.2">
      <c r="A47" s="5" t="s">
        <v>344</v>
      </c>
      <c r="B47" s="20">
        <f>Standing!$I$54</f>
        <v>0.24423996321392402</v>
      </c>
      <c r="C47" s="30">
        <f>NHH!$I$88</f>
        <v>0</v>
      </c>
      <c r="D47" s="25">
        <f>0.01*Input!$F$14*(C47*$C$37)+10*(B47*$B$37)</f>
        <v>18133943.153642375</v>
      </c>
      <c r="E47" s="17">
        <f t="shared" si="0"/>
        <v>0.24423996321392405</v>
      </c>
      <c r="F47" s="29">
        <f t="shared" si="1"/>
        <v>9.1817904095633693</v>
      </c>
      <c r="G47" s="6"/>
    </row>
    <row r="48" spans="1:7" x14ac:dyDescent="0.2">
      <c r="A48" s="5" t="s">
        <v>345</v>
      </c>
      <c r="B48" s="20">
        <f>Standing!$J$54</f>
        <v>0</v>
      </c>
      <c r="C48" s="30">
        <f>NHH!$J$88</f>
        <v>6.8160285218661937E-2</v>
      </c>
      <c r="D48" s="25">
        <f>0.01*Input!$F$14*(C48*$C$37)+10*(B48*$B$37)</f>
        <v>491347.93875758472</v>
      </c>
      <c r="E48" s="17">
        <f t="shared" si="0"/>
        <v>6.6177996407408715E-3</v>
      </c>
      <c r="F48" s="29">
        <f t="shared" si="1"/>
        <v>0.24878504104811608</v>
      </c>
      <c r="G48" s="6"/>
    </row>
    <row r="49" spans="1:7" x14ac:dyDescent="0.2">
      <c r="A49" s="5" t="s">
        <v>1493</v>
      </c>
      <c r="B49" s="21"/>
      <c r="C49" s="30">
        <f>SM!$B$108</f>
        <v>0</v>
      </c>
      <c r="D49" s="25">
        <f>0.01*Input!$F$14*(C49*$C$37)+10*(B49*$B$37)</f>
        <v>0</v>
      </c>
      <c r="E49" s="17">
        <f t="shared" si="0"/>
        <v>0</v>
      </c>
      <c r="F49" s="29">
        <f t="shared" si="1"/>
        <v>0</v>
      </c>
      <c r="G49" s="6"/>
    </row>
    <row r="50" spans="1:7" x14ac:dyDescent="0.2">
      <c r="A50" s="5" t="s">
        <v>1494</v>
      </c>
      <c r="B50" s="21"/>
      <c r="C50" s="30">
        <f>SM!$C$108</f>
        <v>0</v>
      </c>
      <c r="D50" s="25">
        <f>0.01*Input!$F$14*(C50*$C$37)+10*(B50*$B$37)</f>
        <v>0</v>
      </c>
      <c r="E50" s="17">
        <f t="shared" si="0"/>
        <v>0</v>
      </c>
      <c r="F50" s="29">
        <f t="shared" si="1"/>
        <v>0</v>
      </c>
      <c r="G50" s="6"/>
    </row>
    <row r="51" spans="1:7" x14ac:dyDescent="0.2">
      <c r="A51" s="5" t="s">
        <v>1495</v>
      </c>
      <c r="B51" s="20">
        <f>Standing!$K$54</f>
        <v>0.11015829915086825</v>
      </c>
      <c r="C51" s="30">
        <f>NHH!$K$88</f>
        <v>0</v>
      </c>
      <c r="D51" s="25">
        <f>0.01*Input!$F$14*(C51*$C$37)+10*(B51*$B$37)</f>
        <v>8178859.4643462244</v>
      </c>
      <c r="E51" s="17">
        <f t="shared" si="0"/>
        <v>0.11015829915086826</v>
      </c>
      <c r="F51" s="29">
        <f t="shared" si="1"/>
        <v>4.1412158819863132</v>
      </c>
      <c r="G51" s="6"/>
    </row>
    <row r="52" spans="1:7" x14ac:dyDescent="0.2">
      <c r="A52" s="5" t="s">
        <v>1496</v>
      </c>
      <c r="B52" s="20">
        <f>Standing!$L$54</f>
        <v>5.2692340837535351E-2</v>
      </c>
      <c r="C52" s="30">
        <f>NHH!$L$88</f>
        <v>0</v>
      </c>
      <c r="D52" s="25">
        <f>0.01*Input!$F$14*(C52*$C$37)+10*(B52*$B$37)</f>
        <v>3912217.7255787472</v>
      </c>
      <c r="E52" s="17">
        <f t="shared" si="0"/>
        <v>5.2692340837535351E-2</v>
      </c>
      <c r="F52" s="29">
        <f t="shared" si="1"/>
        <v>1.9808798830180327</v>
      </c>
      <c r="G52" s="6"/>
    </row>
    <row r="53" spans="1:7" x14ac:dyDescent="0.2">
      <c r="A53" s="5" t="s">
        <v>1497</v>
      </c>
      <c r="B53" s="20">
        <f>Standing!$M$54</f>
        <v>4.8602614582283633E-2</v>
      </c>
      <c r="C53" s="30">
        <f>NHH!$M$88</f>
        <v>0</v>
      </c>
      <c r="D53" s="25">
        <f>0.01*Input!$F$14*(C53*$C$37)+10*(B53*$B$37)</f>
        <v>3608570.1879244121</v>
      </c>
      <c r="E53" s="17">
        <f t="shared" si="0"/>
        <v>4.8602614582283633E-2</v>
      </c>
      <c r="F53" s="29">
        <f t="shared" si="1"/>
        <v>1.8271335066507888</v>
      </c>
      <c r="G53" s="6"/>
    </row>
    <row r="54" spans="1:7" x14ac:dyDescent="0.2">
      <c r="A54" s="5" t="s">
        <v>1498</v>
      </c>
      <c r="B54" s="20">
        <f>Standing!$N$54</f>
        <v>7.4082327558873784E-2</v>
      </c>
      <c r="C54" s="30">
        <f>NHH!$N$88</f>
        <v>0</v>
      </c>
      <c r="D54" s="25">
        <f>0.01*Input!$F$14*(C54*$C$37)+10*(B54*$B$37)</f>
        <v>5500347.686612918</v>
      </c>
      <c r="E54" s="17">
        <f t="shared" si="0"/>
        <v>7.4082327558873784E-2</v>
      </c>
      <c r="F54" s="29">
        <f t="shared" si="1"/>
        <v>2.7850004386973355</v>
      </c>
      <c r="G54" s="6"/>
    </row>
    <row r="55" spans="1:7" x14ac:dyDescent="0.2">
      <c r="A55" s="5" t="s">
        <v>1499</v>
      </c>
      <c r="B55" s="20">
        <f>Standing!$O$54</f>
        <v>9.173634512289805E-2</v>
      </c>
      <c r="C55" s="30">
        <f>NHH!$O$88</f>
        <v>0</v>
      </c>
      <c r="D55" s="25">
        <f>0.01*Input!$F$14*(C55*$C$37)+10*(B55*$B$37)</f>
        <v>6811095.3084466942</v>
      </c>
      <c r="E55" s="17">
        <f t="shared" si="0"/>
        <v>9.173634512289805E-2</v>
      </c>
      <c r="F55" s="29">
        <f t="shared" si="1"/>
        <v>3.4486735208032546</v>
      </c>
      <c r="G55" s="6"/>
    </row>
    <row r="56" spans="1:7" x14ac:dyDescent="0.2">
      <c r="A56" s="5" t="s">
        <v>1500</v>
      </c>
      <c r="B56" s="20">
        <f>Standing!$P$54</f>
        <v>0</v>
      </c>
      <c r="C56" s="30">
        <f>NHH!$P$88</f>
        <v>0</v>
      </c>
      <c r="D56" s="25">
        <f>0.01*Input!$F$14*(C56*$C$37)+10*(B56*$B$37)</f>
        <v>0</v>
      </c>
      <c r="E56" s="17">
        <f t="shared" si="0"/>
        <v>0</v>
      </c>
      <c r="F56" s="29">
        <f t="shared" si="1"/>
        <v>0</v>
      </c>
      <c r="G56" s="6"/>
    </row>
    <row r="57" spans="1:7" x14ac:dyDescent="0.2">
      <c r="A57" s="5" t="s">
        <v>1501</v>
      </c>
      <c r="B57" s="20">
        <f>Standing!$Q$54</f>
        <v>0.13327113181033451</v>
      </c>
      <c r="C57" s="30">
        <f>NHH!$Q$88</f>
        <v>0</v>
      </c>
      <c r="D57" s="25">
        <f>0.01*Input!$F$14*(C57*$C$37)+10*(B57*$B$37)</f>
        <v>9894904.5703606997</v>
      </c>
      <c r="E57" s="17">
        <f t="shared" si="0"/>
        <v>0.13327113181033451</v>
      </c>
      <c r="F57" s="29">
        <f t="shared" si="1"/>
        <v>5.0101039315011837</v>
      </c>
      <c r="G57" s="6"/>
    </row>
    <row r="58" spans="1:7" x14ac:dyDescent="0.2">
      <c r="A58" s="5" t="s">
        <v>1502</v>
      </c>
      <c r="B58" s="20">
        <f>Standing!$R$54</f>
        <v>0.1151932465327527</v>
      </c>
      <c r="C58" s="30">
        <f>NHH!$R$88</f>
        <v>0</v>
      </c>
      <c r="D58" s="25">
        <f>0.01*Input!$F$14*(C58*$C$37)+10*(B58*$B$37)</f>
        <v>8552686.2877833955</v>
      </c>
      <c r="E58" s="17">
        <f t="shared" si="0"/>
        <v>0.1151932465327527</v>
      </c>
      <c r="F58" s="29">
        <f t="shared" si="1"/>
        <v>4.330496255989444</v>
      </c>
      <c r="G58" s="6"/>
    </row>
    <row r="59" spans="1:7" x14ac:dyDescent="0.2">
      <c r="A59" s="5" t="s">
        <v>1503</v>
      </c>
      <c r="B59" s="20">
        <f>Standing!$S$54</f>
        <v>0</v>
      </c>
      <c r="C59" s="30">
        <f>NHH!$S$88</f>
        <v>0.75009881060309447</v>
      </c>
      <c r="D59" s="25">
        <f>0.01*Input!$F$14*(C59*$C$37)+10*(B59*$B$37)</f>
        <v>5407247.0981010022</v>
      </c>
      <c r="E59" s="17">
        <f t="shared" si="0"/>
        <v>7.2828387137825454E-2</v>
      </c>
      <c r="F59" s="29">
        <f t="shared" si="1"/>
        <v>2.7378606587012948</v>
      </c>
      <c r="G59" s="6"/>
    </row>
    <row r="60" spans="1:7" x14ac:dyDescent="0.2">
      <c r="A60" s="5" t="s">
        <v>1504</v>
      </c>
      <c r="B60" s="21"/>
      <c r="C60" s="30">
        <f>Otex!$B$121</f>
        <v>2.6008745262758239</v>
      </c>
      <c r="D60" s="25">
        <f>0.01*Input!$F$14*(C60*$C$37)+10*(B60*$B$37)</f>
        <v>18748958.185152136</v>
      </c>
      <c r="E60" s="17">
        <f t="shared" si="0"/>
        <v>0.25252339321032735</v>
      </c>
      <c r="F60" s="29">
        <f t="shared" si="1"/>
        <v>9.4931920209067577</v>
      </c>
      <c r="G60" s="6"/>
    </row>
    <row r="61" spans="1:7" x14ac:dyDescent="0.2">
      <c r="A61" s="5" t="s">
        <v>1505</v>
      </c>
      <c r="B61" s="21"/>
      <c r="C61" s="30">
        <f>Otex!$C$121</f>
        <v>0</v>
      </c>
      <c r="D61" s="25">
        <f>0.01*Input!$F$14*(C61*$C$37)+10*(B61*$B$37)</f>
        <v>0</v>
      </c>
      <c r="E61" s="17">
        <f t="shared" si="0"/>
        <v>0</v>
      </c>
      <c r="F61" s="29">
        <f t="shared" si="1"/>
        <v>0</v>
      </c>
      <c r="G61" s="6"/>
    </row>
    <row r="62" spans="1:7" x14ac:dyDescent="0.2">
      <c r="A62" s="5" t="s">
        <v>1506</v>
      </c>
      <c r="B62" s="20">
        <f>Scaler!$B$407</f>
        <v>0.92556771068101151</v>
      </c>
      <c r="C62" s="30">
        <f>Scaler!$E$407</f>
        <v>0</v>
      </c>
      <c r="D62" s="25">
        <f>0.01*Input!$F$14*(C62*$C$37)+10*(B62*$B$37)</f>
        <v>68720089.986402005</v>
      </c>
      <c r="E62" s="17">
        <f t="shared" si="0"/>
        <v>0.92556771068101151</v>
      </c>
      <c r="F62" s="29">
        <f t="shared" si="1"/>
        <v>34.795160535988593</v>
      </c>
      <c r="G62" s="6"/>
    </row>
    <row r="63" spans="1:7" x14ac:dyDescent="0.2">
      <c r="A63" s="5" t="s">
        <v>1507</v>
      </c>
      <c r="B63" s="20">
        <f>Adjust!$B$73</f>
        <v>-1.8682169014194727E-4</v>
      </c>
      <c r="C63" s="30">
        <f>Adjust!$E$73</f>
        <v>8.6637790241983481E-4</v>
      </c>
      <c r="D63" s="25">
        <f>0.01*Input!$F$14*(C63*$C$37)+10*(B63*$B$37)</f>
        <v>-7625.3721665971225</v>
      </c>
      <c r="E63" s="17">
        <f t="shared" si="0"/>
        <v>-1.027035654453387E-4</v>
      </c>
      <c r="F63" s="29">
        <f t="shared" si="1"/>
        <v>-3.8609677131666658E-3</v>
      </c>
      <c r="G63" s="6"/>
    </row>
    <row r="66" spans="1:9" x14ac:dyDescent="0.2">
      <c r="A66" s="5" t="s">
        <v>1508</v>
      </c>
      <c r="B66" s="17">
        <f>SUM($B$41:$B$63)</f>
        <v>2.887</v>
      </c>
      <c r="C66" s="29">
        <f>SUM($C$41:$C$63)</f>
        <v>3.42</v>
      </c>
      <c r="D66" s="25">
        <f>SUM($D$41:$D$63)</f>
        <v>239003216.35319594</v>
      </c>
      <c r="E66" s="17">
        <f>SUM($E$41:$E$63)</f>
        <v>3.2190536981135898</v>
      </c>
      <c r="F66" s="29">
        <f>SUM($F$41:$F$63)</f>
        <v>121.01490675103349</v>
      </c>
      <c r="G66" s="6"/>
    </row>
    <row r="68" spans="1:9" ht="16.5" x14ac:dyDescent="0.25">
      <c r="A68" s="3" t="s">
        <v>54</v>
      </c>
    </row>
    <row r="70" spans="1:9" x14ac:dyDescent="0.2">
      <c r="B70" s="4" t="s">
        <v>105</v>
      </c>
      <c r="C70" s="4" t="s">
        <v>106</v>
      </c>
      <c r="D70" s="4" t="s">
        <v>108</v>
      </c>
      <c r="E70" s="4" t="s">
        <v>1489</v>
      </c>
      <c r="F70" s="4" t="s">
        <v>1490</v>
      </c>
    </row>
    <row r="71" spans="1:9" x14ac:dyDescent="0.2">
      <c r="A71" s="5" t="s">
        <v>54</v>
      </c>
      <c r="B71" s="27">
        <f>Loads!B$299</f>
        <v>673337.24890425859</v>
      </c>
      <c r="C71" s="27">
        <f>Loads!C$299</f>
        <v>551223.34936274542</v>
      </c>
      <c r="D71" s="27">
        <f>Loads!E$299</f>
        <v>193580.3873657005</v>
      </c>
      <c r="E71" s="27">
        <f>Multi!B$116</f>
        <v>1224560.5982670039</v>
      </c>
      <c r="F71" s="17">
        <f>IF(D71,E71/D71,"")</f>
        <v>6.3258505416338338</v>
      </c>
      <c r="G71" s="6"/>
    </row>
    <row r="74" spans="1:9" ht="25.5" x14ac:dyDescent="0.2">
      <c r="B74" s="4" t="s">
        <v>1319</v>
      </c>
      <c r="C74" s="4" t="s">
        <v>1320</v>
      </c>
      <c r="D74" s="4" t="s">
        <v>1322</v>
      </c>
      <c r="E74" s="4" t="s">
        <v>1509</v>
      </c>
      <c r="F74" s="4" t="s">
        <v>1491</v>
      </c>
      <c r="G74" s="4" t="s">
        <v>1461</v>
      </c>
      <c r="H74" s="4" t="s">
        <v>1492</v>
      </c>
    </row>
    <row r="75" spans="1:9" x14ac:dyDescent="0.2">
      <c r="A75" s="5" t="s">
        <v>338</v>
      </c>
      <c r="B75" s="20">
        <f>Standing!$C$83</f>
        <v>0.16529444634571611</v>
      </c>
      <c r="C75" s="20">
        <f>Standing!$C$110</f>
        <v>1.6314960960770779E-2</v>
      </c>
      <c r="D75" s="30">
        <f>NHH!$C$89</f>
        <v>0</v>
      </c>
      <c r="E75" s="17">
        <f t="shared" ref="E75:E97" si="2">IF(E$71&lt;&gt;0,(($B75*B$71+$C75*C$71))/E$71,0)</f>
        <v>9.8232864390159824E-2</v>
      </c>
      <c r="F75" s="25">
        <f>0.01*Input!$F$14*(D75*$D$71)+10*(B75*$B$71+C75*$C$71)</f>
        <v>1202920.9518709558</v>
      </c>
      <c r="G75" s="17">
        <f t="shared" ref="G75:G97" si="3">IF($E$71&lt;&gt;0,0.1*F75/$E$71,"")</f>
        <v>9.8232864390159824E-2</v>
      </c>
      <c r="H75" s="29">
        <f t="shared" ref="H75:H97" si="4">IF($D$71&lt;&gt;0,F75/$D$71,"")</f>
        <v>6.2140641840873547</v>
      </c>
      <c r="I75" s="6"/>
    </row>
    <row r="76" spans="1:9" x14ac:dyDescent="0.2">
      <c r="A76" s="5" t="s">
        <v>339</v>
      </c>
      <c r="B76" s="20">
        <f>Standing!$D$83</f>
        <v>0.15246508582913382</v>
      </c>
      <c r="C76" s="20">
        <f>Standing!$D$110</f>
        <v>1.5048672101059681E-2</v>
      </c>
      <c r="D76" s="30">
        <f>NHH!$D$89</f>
        <v>0</v>
      </c>
      <c r="E76" s="17">
        <f t="shared" si="2"/>
        <v>9.0608501565518793E-2</v>
      </c>
      <c r="F76" s="25">
        <f>0.01*Input!$F$14*(D76*$D$71)+10*(B76*$B$71+C76*$C$71)</f>
        <v>1109556.0088514844</v>
      </c>
      <c r="G76" s="17">
        <f t="shared" si="3"/>
        <v>9.0608501565518793E-2</v>
      </c>
      <c r="H76" s="29">
        <f t="shared" si="4"/>
        <v>5.7317583870486706</v>
      </c>
      <c r="I76" s="6"/>
    </row>
    <row r="77" spans="1:9" x14ac:dyDescent="0.2">
      <c r="A77" s="5" t="s">
        <v>340</v>
      </c>
      <c r="B77" s="20">
        <f>Standing!$E$83</f>
        <v>0.22816994207353558</v>
      </c>
      <c r="C77" s="20">
        <f>Standing!$E$110</f>
        <v>2.4690471456347212E-2</v>
      </c>
      <c r="D77" s="30">
        <f>NHH!$E$89</f>
        <v>0</v>
      </c>
      <c r="E77" s="17">
        <f t="shared" si="2"/>
        <v>0.13657575271377889</v>
      </c>
      <c r="F77" s="25">
        <f>0.01*Input!$F$14*(D77*$D$71)+10*(B77*$B$71+C77*$C$71)</f>
        <v>1672452.8545195146</v>
      </c>
      <c r="G77" s="17">
        <f t="shared" si="3"/>
        <v>0.13657575271377889</v>
      </c>
      <c r="H77" s="29">
        <f t="shared" si="4"/>
        <v>8.6395779927850676</v>
      </c>
      <c r="I77" s="6"/>
    </row>
    <row r="78" spans="1:9" x14ac:dyDescent="0.2">
      <c r="A78" s="5" t="s">
        <v>341</v>
      </c>
      <c r="B78" s="20">
        <f>Standing!$F$83</f>
        <v>0.2825434518926947</v>
      </c>
      <c r="C78" s="20">
        <f>Standing!$F$110</f>
        <v>3.0574277096875855E-2</v>
      </c>
      <c r="D78" s="30">
        <f>NHH!$F$89</f>
        <v>0</v>
      </c>
      <c r="E78" s="17">
        <f t="shared" si="2"/>
        <v>0.16912212128343207</v>
      </c>
      <c r="F78" s="25">
        <f>0.01*Input!$F$14*(D78*$D$71)+10*(B78*$B$71+C78*$C$71)</f>
        <v>2071002.8601902439</v>
      </c>
      <c r="G78" s="17">
        <f t="shared" si="3"/>
        <v>0.1691221212834321</v>
      </c>
      <c r="H78" s="29">
        <f t="shared" si="4"/>
        <v>10.698412625230619</v>
      </c>
      <c r="I78" s="6"/>
    </row>
    <row r="79" spans="1:9" x14ac:dyDescent="0.2">
      <c r="A79" s="5" t="s">
        <v>342</v>
      </c>
      <c r="B79" s="20">
        <f>Standing!$G$83</f>
        <v>0</v>
      </c>
      <c r="C79" s="20">
        <f>Standing!$G$110</f>
        <v>0</v>
      </c>
      <c r="D79" s="30">
        <f>NHH!$G$89</f>
        <v>0</v>
      </c>
      <c r="E79" s="17">
        <f t="shared" si="2"/>
        <v>0</v>
      </c>
      <c r="F79" s="25">
        <f>0.01*Input!$F$14*(D79*$D$71)+10*(B79*$B$71+C79*$C$71)</f>
        <v>0</v>
      </c>
      <c r="G79" s="17">
        <f t="shared" si="3"/>
        <v>0</v>
      </c>
      <c r="H79" s="29">
        <f t="shared" si="4"/>
        <v>0</v>
      </c>
      <c r="I79" s="6"/>
    </row>
    <row r="80" spans="1:9" x14ac:dyDescent="0.2">
      <c r="A80" s="5" t="s">
        <v>343</v>
      </c>
      <c r="B80" s="20">
        <f>Standing!$H$83</f>
        <v>0.28732799304599183</v>
      </c>
      <c r="C80" s="20">
        <f>Standing!$H$110</f>
        <v>3.1092016531367745E-2</v>
      </c>
      <c r="D80" s="30">
        <f>NHH!$H$89</f>
        <v>0</v>
      </c>
      <c r="E80" s="17">
        <f t="shared" si="2"/>
        <v>0.17198600555961341</v>
      </c>
      <c r="F80" s="25">
        <f>0.01*Input!$F$14*(D80*$D$71)+10*(B80*$B$71+C80*$C$71)</f>
        <v>2106072.8586163241</v>
      </c>
      <c r="G80" s="17">
        <f t="shared" si="3"/>
        <v>0.17198600555961341</v>
      </c>
      <c r="H80" s="29">
        <f t="shared" si="4"/>
        <v>10.879577664227199</v>
      </c>
      <c r="I80" s="6"/>
    </row>
    <row r="81" spans="1:9" x14ac:dyDescent="0.2">
      <c r="A81" s="5" t="s">
        <v>344</v>
      </c>
      <c r="B81" s="20">
        <f>Standing!$I$83</f>
        <v>0.24835269190789144</v>
      </c>
      <c r="C81" s="20">
        <f>Standing!$I$110</f>
        <v>2.6874464685986366E-2</v>
      </c>
      <c r="D81" s="30">
        <f>NHH!$I$89</f>
        <v>0</v>
      </c>
      <c r="E81" s="17">
        <f t="shared" si="2"/>
        <v>0.14865654751703428</v>
      </c>
      <c r="F81" s="25">
        <f>0.01*Input!$F$14*(D81*$D$71)+10*(B81*$B$71+C81*$C$71)</f>
        <v>1820389.5076376677</v>
      </c>
      <c r="G81" s="17">
        <f t="shared" si="3"/>
        <v>0.14865654751703428</v>
      </c>
      <c r="H81" s="29">
        <f t="shared" si="4"/>
        <v>9.4037910162804703</v>
      </c>
      <c r="I81" s="6"/>
    </row>
    <row r="82" spans="1:9" x14ac:dyDescent="0.2">
      <c r="A82" s="5" t="s">
        <v>345</v>
      </c>
      <c r="B82" s="20">
        <f>Standing!$J$83</f>
        <v>0</v>
      </c>
      <c r="C82" s="20">
        <f>Standing!$J$110</f>
        <v>0</v>
      </c>
      <c r="D82" s="30">
        <f>NHH!$J$89</f>
        <v>6.8160285218661937E-2</v>
      </c>
      <c r="E82" s="17">
        <f t="shared" si="2"/>
        <v>0</v>
      </c>
      <c r="F82" s="25">
        <f>0.01*Input!$F$14*(D82*$D$71)+10*(B82*$B$71+C82*$C$71)</f>
        <v>48159.904616886008</v>
      </c>
      <c r="G82" s="17">
        <f t="shared" si="3"/>
        <v>3.9328314731865311E-3</v>
      </c>
      <c r="H82" s="29">
        <f t="shared" si="4"/>
        <v>0.24878504104811605</v>
      </c>
      <c r="I82" s="6"/>
    </row>
    <row r="83" spans="1:9" x14ac:dyDescent="0.2">
      <c r="A83" s="5" t="s">
        <v>1493</v>
      </c>
      <c r="B83" s="21"/>
      <c r="C83" s="21"/>
      <c r="D83" s="30">
        <f>SM!$B$109</f>
        <v>0</v>
      </c>
      <c r="E83" s="17">
        <f t="shared" si="2"/>
        <v>0</v>
      </c>
      <c r="F83" s="25">
        <f>0.01*Input!$F$14*(D83*$D$71)+10*(B83*$B$71+C83*$C$71)</f>
        <v>0</v>
      </c>
      <c r="G83" s="17">
        <f t="shared" si="3"/>
        <v>0</v>
      </c>
      <c r="H83" s="29">
        <f t="shared" si="4"/>
        <v>0</v>
      </c>
      <c r="I83" s="6"/>
    </row>
    <row r="84" spans="1:9" x14ac:dyDescent="0.2">
      <c r="A84" s="5" t="s">
        <v>1494</v>
      </c>
      <c r="B84" s="21"/>
      <c r="C84" s="21"/>
      <c r="D84" s="30">
        <f>SM!$C$109</f>
        <v>0</v>
      </c>
      <c r="E84" s="17">
        <f t="shared" si="2"/>
        <v>0</v>
      </c>
      <c r="F84" s="25">
        <f>0.01*Input!$F$14*(D84*$D$71)+10*(B84*$B$71+C84*$C$71)</f>
        <v>0</v>
      </c>
      <c r="G84" s="17">
        <f t="shared" si="3"/>
        <v>0</v>
      </c>
      <c r="H84" s="29">
        <f t="shared" si="4"/>
        <v>0</v>
      </c>
      <c r="I84" s="6"/>
    </row>
    <row r="85" spans="1:9" x14ac:dyDescent="0.2">
      <c r="A85" s="5" t="s">
        <v>1495</v>
      </c>
      <c r="B85" s="20">
        <f>Standing!$K$83</f>
        <v>0.11720896106632113</v>
      </c>
      <c r="C85" s="20">
        <f>Standing!$K$110</f>
        <v>9.6031300062019952E-3</v>
      </c>
      <c r="D85" s="30">
        <f>NHH!$K$89</f>
        <v>0</v>
      </c>
      <c r="E85" s="17">
        <f t="shared" si="2"/>
        <v>6.877130376143735E-2</v>
      </c>
      <c r="F85" s="25">
        <f>0.01*Input!$F$14*(D85*$D$71)+10*(B85*$B$71+C85*$C$71)</f>
        <v>842146.28877707582</v>
      </c>
      <c r="G85" s="17">
        <f t="shared" si="3"/>
        <v>6.877130376143735E-2</v>
      </c>
      <c r="H85" s="29">
        <f t="shared" si="4"/>
        <v>4.3503698914815336</v>
      </c>
      <c r="I85" s="6"/>
    </row>
    <row r="86" spans="1:9" x14ac:dyDescent="0.2">
      <c r="A86" s="5" t="s">
        <v>1496</v>
      </c>
      <c r="B86" s="20">
        <f>Standing!$L$83</f>
        <v>5.4571588369441759E-2</v>
      </c>
      <c r="C86" s="20">
        <f>Standing!$L$110</f>
        <v>5.3863475361570689E-3</v>
      </c>
      <c r="D86" s="30">
        <f>NHH!$L$89</f>
        <v>0</v>
      </c>
      <c r="E86" s="17">
        <f t="shared" si="2"/>
        <v>3.2431358453743522E-2</v>
      </c>
      <c r="F86" s="25">
        <f>0.01*Input!$F$14*(D86*$D$71)+10*(B86*$B$71+C86*$C$71)</f>
        <v>397141.63710727822</v>
      </c>
      <c r="G86" s="17">
        <f t="shared" si="3"/>
        <v>3.2431358453743522E-2</v>
      </c>
      <c r="H86" s="29">
        <f t="shared" si="4"/>
        <v>2.0515592644053449</v>
      </c>
      <c r="I86" s="6"/>
    </row>
    <row r="87" spans="1:9" x14ac:dyDescent="0.2">
      <c r="A87" s="5" t="s">
        <v>1497</v>
      </c>
      <c r="B87" s="20">
        <f>Standing!$M$83</f>
        <v>5.033600395246874E-2</v>
      </c>
      <c r="C87" s="20">
        <f>Standing!$M$110</f>
        <v>4.9682851273061832E-3</v>
      </c>
      <c r="D87" s="30">
        <f>NHH!$M$89</f>
        <v>0</v>
      </c>
      <c r="E87" s="17">
        <f t="shared" si="2"/>
        <v>2.9914192276391378E-2</v>
      </c>
      <c r="F87" s="25">
        <f>0.01*Input!$F$14*(D87*$D$71)+10*(B87*$B$71+C87*$C$71)</f>
        <v>366317.41190652014</v>
      </c>
      <c r="G87" s="17">
        <f t="shared" si="3"/>
        <v>2.9914192276391378E-2</v>
      </c>
      <c r="H87" s="29">
        <f t="shared" si="4"/>
        <v>1.8923270941414905</v>
      </c>
      <c r="I87" s="6"/>
    </row>
    <row r="88" spans="1:9" x14ac:dyDescent="0.2">
      <c r="A88" s="5" t="s">
        <v>1498</v>
      </c>
      <c r="B88" s="20">
        <f>Standing!$N$83</f>
        <v>7.5329791365607232E-2</v>
      </c>
      <c r="C88" s="20">
        <f>Standing!$N$110</f>
        <v>8.1515034216281222E-3</v>
      </c>
      <c r="D88" s="30">
        <f>NHH!$N$89</f>
        <v>0</v>
      </c>
      <c r="E88" s="17">
        <f t="shared" si="2"/>
        <v>4.5090176488776931E-2</v>
      </c>
      <c r="F88" s="25">
        <f>0.01*Input!$F$14*(D88*$D$71)+10*(B88*$B$71+C88*$C$71)</f>
        <v>552156.53497061471</v>
      </c>
      <c r="G88" s="17">
        <f t="shared" si="3"/>
        <v>4.5090176488776931E-2</v>
      </c>
      <c r="H88" s="29">
        <f t="shared" si="4"/>
        <v>2.8523371736389471</v>
      </c>
      <c r="I88" s="6"/>
    </row>
    <row r="89" spans="1:9" x14ac:dyDescent="0.2">
      <c r="A89" s="5" t="s">
        <v>1499</v>
      </c>
      <c r="B89" s="20">
        <f>Standing!$O$83</f>
        <v>9.32810829041439E-2</v>
      </c>
      <c r="C89" s="20">
        <f>Standing!$O$110</f>
        <v>1.0094028573315112E-2</v>
      </c>
      <c r="D89" s="30">
        <f>NHH!$O$89</f>
        <v>0</v>
      </c>
      <c r="E89" s="17">
        <f t="shared" si="2"/>
        <v>5.5835286610556208E-2</v>
      </c>
      <c r="F89" s="25">
        <f>0.01*Input!$F$14*(D89*$D$71)+10*(B89*$B$71+C89*$C$71)</f>
        <v>683736.91976232338</v>
      </c>
      <c r="G89" s="17">
        <f t="shared" si="3"/>
        <v>5.5835286610556208E-2</v>
      </c>
      <c r="H89" s="29">
        <f t="shared" si="4"/>
        <v>3.5320567804766734</v>
      </c>
      <c r="I89" s="6"/>
    </row>
    <row r="90" spans="1:9" x14ac:dyDescent="0.2">
      <c r="A90" s="5" t="s">
        <v>1500</v>
      </c>
      <c r="B90" s="20">
        <f>Standing!$P$83</f>
        <v>0</v>
      </c>
      <c r="C90" s="20">
        <f>Standing!$P$110</f>
        <v>0</v>
      </c>
      <c r="D90" s="30">
        <f>NHH!$P$89</f>
        <v>0</v>
      </c>
      <c r="E90" s="17">
        <f t="shared" si="2"/>
        <v>0</v>
      </c>
      <c r="F90" s="25">
        <f>0.01*Input!$F$14*(D90*$D$71)+10*(B90*$B$71+C90*$C$71)</f>
        <v>0</v>
      </c>
      <c r="G90" s="17">
        <f t="shared" si="3"/>
        <v>0</v>
      </c>
      <c r="H90" s="29">
        <f t="shared" si="4"/>
        <v>0</v>
      </c>
      <c r="I90" s="6"/>
    </row>
    <row r="91" spans="1:9" x14ac:dyDescent="0.2">
      <c r="A91" s="5" t="s">
        <v>1501</v>
      </c>
      <c r="B91" s="20">
        <f>Standing!$Q$83</f>
        <v>0.13551526909508266</v>
      </c>
      <c r="C91" s="20">
        <f>Standing!$Q$110</f>
        <v>1.4664227255722431E-2</v>
      </c>
      <c r="D91" s="30">
        <f>NHH!$Q$89</f>
        <v>0</v>
      </c>
      <c r="E91" s="17">
        <f t="shared" si="2"/>
        <v>8.1115416485955646E-2</v>
      </c>
      <c r="F91" s="25">
        <f>0.01*Input!$F$14*(D91*$D$71)+10*(B91*$B$71+C91*$C$71)</f>
        <v>993307.4294071903</v>
      </c>
      <c r="G91" s="17">
        <f t="shared" si="3"/>
        <v>8.1115416485955646E-2</v>
      </c>
      <c r="H91" s="29">
        <f t="shared" si="4"/>
        <v>5.1312400131253648</v>
      </c>
      <c r="I91" s="6"/>
    </row>
    <row r="92" spans="1:9" x14ac:dyDescent="0.2">
      <c r="A92" s="5" t="s">
        <v>1502</v>
      </c>
      <c r="B92" s="20">
        <f>Standing!$R$83</f>
        <v>0.11713297238323346</v>
      </c>
      <c r="C92" s="20">
        <f>Standing!$R$110</f>
        <v>1.2675062652613828E-2</v>
      </c>
      <c r="D92" s="30">
        <f>NHH!$R$89</f>
        <v>0</v>
      </c>
      <c r="E92" s="17">
        <f t="shared" si="2"/>
        <v>7.0112319464439521E-2</v>
      </c>
      <c r="F92" s="25">
        <f>0.01*Input!$F$14*(D92*$D$71)+10*(B92*$B$71+C92*$C$71)</f>
        <v>858567.83869261364</v>
      </c>
      <c r="G92" s="17">
        <f t="shared" si="3"/>
        <v>7.0112319464439535E-2</v>
      </c>
      <c r="H92" s="29">
        <f t="shared" si="4"/>
        <v>4.4352005405932919</v>
      </c>
      <c r="I92" s="6"/>
    </row>
    <row r="93" spans="1:9" x14ac:dyDescent="0.2">
      <c r="A93" s="5" t="s">
        <v>1503</v>
      </c>
      <c r="B93" s="20">
        <f>Standing!$S$83</f>
        <v>0</v>
      </c>
      <c r="C93" s="20">
        <f>Standing!$S$110</f>
        <v>0</v>
      </c>
      <c r="D93" s="30">
        <f>NHH!$S$89</f>
        <v>0.75009881060309447</v>
      </c>
      <c r="E93" s="17">
        <f t="shared" si="2"/>
        <v>0</v>
      </c>
      <c r="F93" s="25">
        <f>0.01*Input!$F$14*(D93*$D$71)+10*(B93*$B$71+C93*$C$71)</f>
        <v>529996.12686470861</v>
      </c>
      <c r="G93" s="17">
        <f t="shared" si="3"/>
        <v>4.3280514464923849E-2</v>
      </c>
      <c r="H93" s="29">
        <f t="shared" si="4"/>
        <v>2.7378606587012948</v>
      </c>
      <c r="I93" s="6"/>
    </row>
    <row r="94" spans="1:9" x14ac:dyDescent="0.2">
      <c r="A94" s="5" t="s">
        <v>1504</v>
      </c>
      <c r="B94" s="21"/>
      <c r="C94" s="21"/>
      <c r="D94" s="30">
        <f>Otex!$B$122</f>
        <v>2.6008745262758239</v>
      </c>
      <c r="E94" s="17">
        <f t="shared" si="2"/>
        <v>0</v>
      </c>
      <c r="F94" s="25">
        <f>0.01*Input!$F$14*(D94*$D$71)+10*(B94*$B$71+C94*$C$71)</f>
        <v>1837695.7887441071</v>
      </c>
      <c r="G94" s="17">
        <f t="shared" si="3"/>
        <v>0.15006981208972517</v>
      </c>
      <c r="H94" s="29">
        <f t="shared" si="4"/>
        <v>9.493192020906756</v>
      </c>
      <c r="I94" s="6"/>
    </row>
    <row r="95" spans="1:9" x14ac:dyDescent="0.2">
      <c r="A95" s="5" t="s">
        <v>1505</v>
      </c>
      <c r="B95" s="21"/>
      <c r="C95" s="21"/>
      <c r="D95" s="30">
        <f>Otex!$C$122</f>
        <v>0</v>
      </c>
      <c r="E95" s="17">
        <f t="shared" si="2"/>
        <v>0</v>
      </c>
      <c r="F95" s="25">
        <f>0.01*Input!$F$14*(D95*$D$71)+10*(B95*$B$71+C95*$C$71)</f>
        <v>0</v>
      </c>
      <c r="G95" s="17">
        <f t="shared" si="3"/>
        <v>0</v>
      </c>
      <c r="H95" s="29">
        <f t="shared" si="4"/>
        <v>0</v>
      </c>
      <c r="I95" s="6"/>
    </row>
    <row r="96" spans="1:9" x14ac:dyDescent="0.2">
      <c r="A96" s="5" t="s">
        <v>1506</v>
      </c>
      <c r="B96" s="20">
        <f>Scaler!$B$408</f>
        <v>0.98480850377762574</v>
      </c>
      <c r="C96" s="20">
        <f>Scaler!$C$408</f>
        <v>8.0687039684948267E-2</v>
      </c>
      <c r="D96" s="30">
        <f>Scaler!$E$408</f>
        <v>0</v>
      </c>
      <c r="E96" s="17">
        <f t="shared" si="2"/>
        <v>0.57782753250253238</v>
      </c>
      <c r="F96" s="25">
        <f>0.01*Input!$F$14*(D96*$D$71)+10*(B96*$B$71+C96*$C$71)</f>
        <v>7075848.2889644764</v>
      </c>
      <c r="G96" s="17">
        <f t="shared" si="3"/>
        <v>0.57782753250253238</v>
      </c>
      <c r="H96" s="29">
        <f t="shared" si="4"/>
        <v>36.552506094520858</v>
      </c>
      <c r="I96" s="6"/>
    </row>
    <row r="97" spans="1:9" x14ac:dyDescent="0.2">
      <c r="A97" s="5" t="s">
        <v>1507</v>
      </c>
      <c r="B97" s="20">
        <f>Adjust!$B$74</f>
        <v>-3.3778400888806459E-4</v>
      </c>
      <c r="C97" s="20">
        <f>Adjust!$C$74</f>
        <v>1.7551290969930466E-4</v>
      </c>
      <c r="D97" s="30">
        <f>Adjust!$E$74</f>
        <v>8.6637790241983481E-4</v>
      </c>
      <c r="E97" s="17">
        <f t="shared" si="2"/>
        <v>-1.0672868416038343E-4</v>
      </c>
      <c r="F97" s="25">
        <f>0.01*Input!$F$14*(D97*$D$71)+10*(B97*$B$71+C97*$C$71)</f>
        <v>-694.80215293926369</v>
      </c>
      <c r="G97" s="17">
        <f t="shared" si="3"/>
        <v>-5.673889507163195E-5</v>
      </c>
      <c r="H97" s="29">
        <f t="shared" si="4"/>
        <v>-3.589217701205882E-3</v>
      </c>
      <c r="I97" s="6"/>
    </row>
    <row r="100" spans="1:9" x14ac:dyDescent="0.2">
      <c r="A100" s="5" t="s">
        <v>1508</v>
      </c>
      <c r="B100" s="17">
        <f>SUM($B$75:$B$97)</f>
        <v>2.992</v>
      </c>
      <c r="C100" s="17">
        <f>SUM($C$75:$C$97)</f>
        <v>0.29099999999999998</v>
      </c>
      <c r="D100" s="29">
        <f>SUM($D$75:$D$97)</f>
        <v>3.42</v>
      </c>
      <c r="E100" s="17">
        <f>SUM(E$75:E$97)</f>
        <v>1.7761726503892099</v>
      </c>
      <c r="F100" s="25">
        <f>SUM($F$75:$F$97)</f>
        <v>24166774.409347046</v>
      </c>
      <c r="G100" s="17">
        <f>SUM($G$75:$G$97)</f>
        <v>1.9735057982061341</v>
      </c>
      <c r="H100" s="29">
        <f>SUM($H$75:$H$97)</f>
        <v>124.84102722499784</v>
      </c>
      <c r="I100" s="6"/>
    </row>
    <row r="102" spans="1:9" ht="16.5" x14ac:dyDescent="0.25">
      <c r="A102" s="3" t="s">
        <v>94</v>
      </c>
    </row>
    <row r="104" spans="1:9" x14ac:dyDescent="0.2">
      <c r="B104" s="4" t="s">
        <v>105</v>
      </c>
      <c r="C104" s="4" t="s">
        <v>1489</v>
      </c>
    </row>
    <row r="105" spans="1:9" x14ac:dyDescent="0.2">
      <c r="A105" s="5" t="s">
        <v>94</v>
      </c>
      <c r="B105" s="27">
        <f>Loads!B$300</f>
        <v>29089.73821783829</v>
      </c>
      <c r="C105" s="27">
        <f>Multi!B$117</f>
        <v>29089.73821783829</v>
      </c>
      <c r="D105" s="6"/>
    </row>
    <row r="108" spans="1:9" x14ac:dyDescent="0.2">
      <c r="B108" s="4" t="s">
        <v>1319</v>
      </c>
      <c r="C108" s="4" t="s">
        <v>1491</v>
      </c>
      <c r="D108" s="4" t="s">
        <v>1461</v>
      </c>
    </row>
    <row r="109" spans="1:9" x14ac:dyDescent="0.2">
      <c r="A109" s="5" t="s">
        <v>338</v>
      </c>
      <c r="B109" s="20">
        <f>Standing!$C$84</f>
        <v>1.6947965445974874E-2</v>
      </c>
      <c r="C109" s="25">
        <f t="shared" ref="C109:C127" si="5">0+10*(B109*$B$105)</f>
        <v>4930.1187814837804</v>
      </c>
      <c r="D109" s="17">
        <f t="shared" ref="D109:D127" si="6">IF($C$105&lt;&gt;0,0.1*C109/$C$105,"")</f>
        <v>1.6947965445974874E-2</v>
      </c>
      <c r="E109" s="6"/>
    </row>
    <row r="110" spans="1:9" x14ac:dyDescent="0.2">
      <c r="A110" s="5" t="s">
        <v>339</v>
      </c>
      <c r="B110" s="20">
        <f>Standing!$D$84</f>
        <v>1.5632545820355816E-2</v>
      </c>
      <c r="C110" s="25">
        <f t="shared" si="5"/>
        <v>4547.4666559251282</v>
      </c>
      <c r="D110" s="17">
        <f t="shared" si="6"/>
        <v>1.5632545820355816E-2</v>
      </c>
      <c r="E110" s="6"/>
    </row>
    <row r="111" spans="1:9" x14ac:dyDescent="0.2">
      <c r="A111" s="5" t="s">
        <v>340</v>
      </c>
      <c r="B111" s="20">
        <f>Standing!$E$84</f>
        <v>2.6221277940571736E-2</v>
      </c>
      <c r="C111" s="25">
        <f t="shared" si="5"/>
        <v>7627.701110284097</v>
      </c>
      <c r="D111" s="17">
        <f t="shared" si="6"/>
        <v>2.6221277940571736E-2</v>
      </c>
      <c r="E111" s="6"/>
    </row>
    <row r="112" spans="1:9" x14ac:dyDescent="0.2">
      <c r="A112" s="5" t="s">
        <v>341</v>
      </c>
      <c r="B112" s="20">
        <f>Standing!$F$84</f>
        <v>3.246987887641755E-2</v>
      </c>
      <c r="C112" s="25">
        <f t="shared" si="5"/>
        <v>9445.4027647990388</v>
      </c>
      <c r="D112" s="17">
        <f t="shared" si="6"/>
        <v>3.2469878876417557E-2</v>
      </c>
      <c r="E112" s="6"/>
    </row>
    <row r="113" spans="1:5" x14ac:dyDescent="0.2">
      <c r="A113" s="5" t="s">
        <v>342</v>
      </c>
      <c r="B113" s="20">
        <f>Standing!$G$84</f>
        <v>0</v>
      </c>
      <c r="C113" s="25">
        <f t="shared" si="5"/>
        <v>0</v>
      </c>
      <c r="D113" s="17">
        <f t="shared" si="6"/>
        <v>0</v>
      </c>
      <c r="E113" s="6"/>
    </row>
    <row r="114" spans="1:5" x14ac:dyDescent="0.2">
      <c r="A114" s="5" t="s">
        <v>343</v>
      </c>
      <c r="B114" s="20">
        <f>Standing!$H$84</f>
        <v>3.3019718098265066E-2</v>
      </c>
      <c r="C114" s="25">
        <f t="shared" si="5"/>
        <v>9605.349555053479</v>
      </c>
      <c r="D114" s="17">
        <f t="shared" si="6"/>
        <v>3.3019718098265066E-2</v>
      </c>
      <c r="E114" s="6"/>
    </row>
    <row r="115" spans="1:5" x14ac:dyDescent="0.2">
      <c r="A115" s="5" t="s">
        <v>344</v>
      </c>
      <c r="B115" s="20">
        <f>Standing!$I$84</f>
        <v>2.8540678507545256E-2</v>
      </c>
      <c r="C115" s="25">
        <f t="shared" si="5"/>
        <v>8302.4086634397499</v>
      </c>
      <c r="D115" s="17">
        <f t="shared" si="6"/>
        <v>2.8540678507545256E-2</v>
      </c>
      <c r="E115" s="6"/>
    </row>
    <row r="116" spans="1:5" x14ac:dyDescent="0.2">
      <c r="A116" s="5" t="s">
        <v>345</v>
      </c>
      <c r="B116" s="20">
        <f>Standing!$J$84</f>
        <v>0</v>
      </c>
      <c r="C116" s="25">
        <f t="shared" si="5"/>
        <v>0</v>
      </c>
      <c r="D116" s="17">
        <f t="shared" si="6"/>
        <v>0</v>
      </c>
      <c r="E116" s="6"/>
    </row>
    <row r="117" spans="1:5" x14ac:dyDescent="0.2">
      <c r="A117" s="5" t="s">
        <v>1495</v>
      </c>
      <c r="B117" s="20">
        <f>Standing!$K$84</f>
        <v>9.7990256225616024E-3</v>
      </c>
      <c r="C117" s="25">
        <f t="shared" si="5"/>
        <v>2850.5109015020689</v>
      </c>
      <c r="D117" s="17">
        <f t="shared" si="6"/>
        <v>9.7990256225616024E-3</v>
      </c>
      <c r="E117" s="6"/>
    </row>
    <row r="118" spans="1:5" x14ac:dyDescent="0.2">
      <c r="A118" s="5" t="s">
        <v>1496</v>
      </c>
      <c r="B118" s="20">
        <f>Standing!$L$84</f>
        <v>5.5953325381717083E-3</v>
      </c>
      <c r="C118" s="25">
        <f t="shared" si="5"/>
        <v>1627.6675877716766</v>
      </c>
      <c r="D118" s="17">
        <f t="shared" si="6"/>
        <v>5.5953325381717083E-3</v>
      </c>
      <c r="E118" s="6"/>
    </row>
    <row r="119" spans="1:5" x14ac:dyDescent="0.2">
      <c r="A119" s="5" t="s">
        <v>1497</v>
      </c>
      <c r="B119" s="20">
        <f>Standing!$M$84</f>
        <v>5.1610497178509965E-3</v>
      </c>
      <c r="C119" s="25">
        <f t="shared" si="5"/>
        <v>1501.3358522153364</v>
      </c>
      <c r="D119" s="17">
        <f t="shared" si="6"/>
        <v>5.1610497178509965E-3</v>
      </c>
      <c r="E119" s="6"/>
    </row>
    <row r="120" spans="1:5" x14ac:dyDescent="0.2">
      <c r="A120" s="5" t="s">
        <v>1498</v>
      </c>
      <c r="B120" s="20">
        <f>Standing!$N$84</f>
        <v>8.6568957271605813E-3</v>
      </c>
      <c r="C120" s="25">
        <f t="shared" si="5"/>
        <v>2518.2683048222416</v>
      </c>
      <c r="D120" s="17">
        <f t="shared" si="6"/>
        <v>8.6568957271605813E-3</v>
      </c>
      <c r="E120" s="6"/>
    </row>
    <row r="121" spans="1:5" x14ac:dyDescent="0.2">
      <c r="A121" s="5" t="s">
        <v>1499</v>
      </c>
      <c r="B121" s="20">
        <f>Standing!$O$84</f>
        <v>1.0719857222204931E-2</v>
      </c>
      <c r="C121" s="25">
        <f t="shared" si="5"/>
        <v>3118.3784032654462</v>
      </c>
      <c r="D121" s="17">
        <f t="shared" si="6"/>
        <v>1.0719857222204933E-2</v>
      </c>
      <c r="E121" s="6"/>
    </row>
    <row r="122" spans="1:5" x14ac:dyDescent="0.2">
      <c r="A122" s="5" t="s">
        <v>1500</v>
      </c>
      <c r="B122" s="20">
        <f>Standing!$P$84</f>
        <v>0</v>
      </c>
      <c r="C122" s="25">
        <f t="shared" si="5"/>
        <v>0</v>
      </c>
      <c r="D122" s="17">
        <f t="shared" si="6"/>
        <v>0</v>
      </c>
      <c r="E122" s="6"/>
    </row>
    <row r="123" spans="1:5" x14ac:dyDescent="0.2">
      <c r="A123" s="5" t="s">
        <v>1501</v>
      </c>
      <c r="B123" s="20">
        <f>Standing!$Q$84</f>
        <v>1.5573407714624976E-2</v>
      </c>
      <c r="C123" s="25">
        <f t="shared" si="5"/>
        <v>4530.2635357810386</v>
      </c>
      <c r="D123" s="17">
        <f t="shared" si="6"/>
        <v>1.5573407714624978E-2</v>
      </c>
      <c r="E123" s="6"/>
    </row>
    <row r="124" spans="1:5" x14ac:dyDescent="0.2">
      <c r="A124" s="5" t="s">
        <v>1502</v>
      </c>
      <c r="B124" s="20">
        <f>Standing!$R$84</f>
        <v>1.3460915127358105E-2</v>
      </c>
      <c r="C124" s="25">
        <f t="shared" si="5"/>
        <v>3915.7449722738666</v>
      </c>
      <c r="D124" s="17">
        <f t="shared" si="6"/>
        <v>1.3460915127358107E-2</v>
      </c>
      <c r="E124" s="6"/>
    </row>
    <row r="125" spans="1:5" x14ac:dyDescent="0.2">
      <c r="A125" s="5" t="s">
        <v>1503</v>
      </c>
      <c r="B125" s="20">
        <f>Standing!$S$84</f>
        <v>0</v>
      </c>
      <c r="C125" s="25">
        <f t="shared" si="5"/>
        <v>0</v>
      </c>
      <c r="D125" s="17">
        <f t="shared" si="6"/>
        <v>0</v>
      </c>
      <c r="E125" s="6"/>
    </row>
    <row r="126" spans="1:5" x14ac:dyDescent="0.2">
      <c r="A126" s="5" t="s">
        <v>1506</v>
      </c>
      <c r="B126" s="20">
        <f>Scaler!$B$409</f>
        <v>8.2332986096285699E-2</v>
      </c>
      <c r="C126" s="25">
        <f t="shared" si="5"/>
        <v>23950.450122338705</v>
      </c>
      <c r="D126" s="17">
        <f t="shared" si="6"/>
        <v>8.2332986096285699E-2</v>
      </c>
      <c r="E126" s="6"/>
    </row>
    <row r="127" spans="1:5" x14ac:dyDescent="0.2">
      <c r="A127" s="5" t="s">
        <v>1507</v>
      </c>
      <c r="B127" s="20">
        <f>Adjust!$B$75</f>
        <v>-1.3153445534891395E-4</v>
      </c>
      <c r="C127" s="25">
        <f t="shared" si="5"/>
        <v>-38.263028727258465</v>
      </c>
      <c r="D127" s="17">
        <f t="shared" si="6"/>
        <v>-1.3153445534891397E-4</v>
      </c>
      <c r="E127" s="6"/>
    </row>
    <row r="130" spans="1:7" x14ac:dyDescent="0.2">
      <c r="A130" s="5" t="s">
        <v>1508</v>
      </c>
      <c r="B130" s="17">
        <f>SUM($B$109:$B$127)</f>
        <v>0.30399999999999999</v>
      </c>
      <c r="C130" s="25">
        <f>SUM($C$109:$C$127)</f>
        <v>88432.804182228385</v>
      </c>
      <c r="D130" s="17">
        <f>SUM($D$109:$D$127)</f>
        <v>0.30399999999999999</v>
      </c>
      <c r="E130" s="6"/>
    </row>
    <row r="132" spans="1:7" ht="16.5" x14ac:dyDescent="0.25">
      <c r="A132" s="3" t="s">
        <v>55</v>
      </c>
    </row>
    <row r="134" spans="1:7" x14ac:dyDescent="0.2">
      <c r="B134" s="4" t="s">
        <v>105</v>
      </c>
      <c r="C134" s="4" t="s">
        <v>108</v>
      </c>
      <c r="D134" s="4" t="s">
        <v>1489</v>
      </c>
      <c r="E134" s="4" t="s">
        <v>1490</v>
      </c>
    </row>
    <row r="135" spans="1:7" x14ac:dyDescent="0.2">
      <c r="A135" s="5" t="s">
        <v>55</v>
      </c>
      <c r="B135" s="27">
        <f>Loads!B$301</f>
        <v>1775729.240038729</v>
      </c>
      <c r="C135" s="27">
        <f>Loads!E$301</f>
        <v>119534.75714191294</v>
      </c>
      <c r="D135" s="27">
        <f>Multi!B$118</f>
        <v>1775729.240038729</v>
      </c>
      <c r="E135" s="17">
        <f>IF(C135,D135/C135,"")</f>
        <v>14.855338166877809</v>
      </c>
      <c r="F135" s="6"/>
    </row>
    <row r="138" spans="1:7" ht="25.5" x14ac:dyDescent="0.2">
      <c r="B138" s="4" t="s">
        <v>1319</v>
      </c>
      <c r="C138" s="4" t="s">
        <v>1322</v>
      </c>
      <c r="D138" s="4" t="s">
        <v>1491</v>
      </c>
      <c r="E138" s="4" t="s">
        <v>1461</v>
      </c>
      <c r="F138" s="4" t="s">
        <v>1492</v>
      </c>
    </row>
    <row r="139" spans="1:7" x14ac:dyDescent="0.2">
      <c r="A139" s="5" t="s">
        <v>338</v>
      </c>
      <c r="B139" s="20">
        <f>Standing!$C$57</f>
        <v>0.13333301791768717</v>
      </c>
      <c r="C139" s="30">
        <f>NHH!$C$90</f>
        <v>0</v>
      </c>
      <c r="D139" s="25">
        <f>0.01*Input!$F$14*(C139*$C$135)+10*(B139*$B$135)</f>
        <v>2367633.3857904486</v>
      </c>
      <c r="E139" s="17">
        <f t="shared" ref="E139:E161" si="7">IF($D$135&lt;&gt;0,0.1*D139/$D$135,"")</f>
        <v>0.13333301791768717</v>
      </c>
      <c r="F139" s="29">
        <f t="shared" ref="F139:F161" si="8">IF($C$135&lt;&gt;0,D139/$C$135,"")</f>
        <v>19.807070699776208</v>
      </c>
      <c r="G139" s="6"/>
    </row>
    <row r="140" spans="1:7" x14ac:dyDescent="0.2">
      <c r="A140" s="5" t="s">
        <v>339</v>
      </c>
      <c r="B140" s="20">
        <f>Standing!$D$57</f>
        <v>0.12298434986835514</v>
      </c>
      <c r="C140" s="30">
        <f>NHH!$D$90</f>
        <v>0</v>
      </c>
      <c r="D140" s="25">
        <f>0.01*Input!$F$14*(C140*$C$135)+10*(B140*$B$135)</f>
        <v>2183869.0612839144</v>
      </c>
      <c r="E140" s="17">
        <f t="shared" si="7"/>
        <v>0.12298434986835514</v>
      </c>
      <c r="F140" s="29">
        <f t="shared" si="8"/>
        <v>18.2697410652803</v>
      </c>
      <c r="G140" s="6"/>
    </row>
    <row r="141" spans="1:7" x14ac:dyDescent="0.2">
      <c r="A141" s="5" t="s">
        <v>340</v>
      </c>
      <c r="B141" s="20">
        <f>Standing!$E$57</f>
        <v>0.18745836967552165</v>
      </c>
      <c r="C141" s="30">
        <f>NHH!$E$90</f>
        <v>0</v>
      </c>
      <c r="D141" s="25">
        <f>0.01*Input!$F$14*(C141*$C$135)+10*(B141*$B$135)</f>
        <v>3328753.0832281318</v>
      </c>
      <c r="E141" s="17">
        <f t="shared" si="7"/>
        <v>0.18745836967552165</v>
      </c>
      <c r="F141" s="29">
        <f t="shared" si="8"/>
        <v>27.847574737414664</v>
      </c>
      <c r="G141" s="6"/>
    </row>
    <row r="142" spans="1:7" x14ac:dyDescent="0.2">
      <c r="A142" s="5" t="s">
        <v>341</v>
      </c>
      <c r="B142" s="20">
        <f>Standing!$F$57</f>
        <v>0.23213020248402785</v>
      </c>
      <c r="C142" s="30">
        <f>NHH!$F$90</f>
        <v>0</v>
      </c>
      <c r="D142" s="25">
        <f>0.01*Input!$F$14*(C142*$C$135)+10*(B142*$B$135)</f>
        <v>4122003.8804699904</v>
      </c>
      <c r="E142" s="17">
        <f t="shared" si="7"/>
        <v>0.23213020248402785</v>
      </c>
      <c r="F142" s="29">
        <f t="shared" si="8"/>
        <v>34.483726566460525</v>
      </c>
      <c r="G142" s="6"/>
    </row>
    <row r="143" spans="1:7" x14ac:dyDescent="0.2">
      <c r="A143" s="5" t="s">
        <v>342</v>
      </c>
      <c r="B143" s="20">
        <f>Standing!$G$57</f>
        <v>0</v>
      </c>
      <c r="C143" s="30">
        <f>NHH!$G$90</f>
        <v>0</v>
      </c>
      <c r="D143" s="25">
        <f>0.01*Input!$F$14*(C143*$C$135)+10*(B143*$B$135)</f>
        <v>0</v>
      </c>
      <c r="E143" s="17">
        <f t="shared" si="7"/>
        <v>0</v>
      </c>
      <c r="F143" s="29">
        <f t="shared" si="8"/>
        <v>0</v>
      </c>
      <c r="G143" s="6"/>
    </row>
    <row r="144" spans="1:7" x14ac:dyDescent="0.2">
      <c r="A144" s="5" t="s">
        <v>343</v>
      </c>
      <c r="B144" s="20">
        <f>Standing!$H$57</f>
        <v>0.23606105453268844</v>
      </c>
      <c r="C144" s="30">
        <f>NHH!$H$90</f>
        <v>0</v>
      </c>
      <c r="D144" s="25">
        <f>0.01*Input!$F$14*(C144*$C$135)+10*(B144*$B$135)</f>
        <v>4191805.1696807183</v>
      </c>
      <c r="E144" s="17">
        <f t="shared" si="7"/>
        <v>0.23606105453268847</v>
      </c>
      <c r="F144" s="29">
        <f t="shared" si="8"/>
        <v>35.067667931128703</v>
      </c>
      <c r="G144" s="6"/>
    </row>
    <row r="145" spans="1:7" x14ac:dyDescent="0.2">
      <c r="A145" s="5" t="s">
        <v>344</v>
      </c>
      <c r="B145" s="20">
        <f>Standing!$I$57</f>
        <v>0.20403998136869517</v>
      </c>
      <c r="C145" s="30">
        <f>NHH!$I$90</f>
        <v>0</v>
      </c>
      <c r="D145" s="25">
        <f>0.01*Input!$F$14*(C145*$C$135)+10*(B145*$B$135)</f>
        <v>3623197.6105334945</v>
      </c>
      <c r="E145" s="17">
        <f t="shared" si="7"/>
        <v>0.20403998136869514</v>
      </c>
      <c r="F145" s="29">
        <f t="shared" si="8"/>
        <v>30.310829227954141</v>
      </c>
      <c r="G145" s="6"/>
    </row>
    <row r="146" spans="1:7" x14ac:dyDescent="0.2">
      <c r="A146" s="5" t="s">
        <v>345</v>
      </c>
      <c r="B146" s="20">
        <f>Standing!$J$57</f>
        <v>0</v>
      </c>
      <c r="C146" s="30">
        <f>NHH!$J$90</f>
        <v>6.8160285218661937E-2</v>
      </c>
      <c r="D146" s="25">
        <f>0.01*Input!$F$14*(C146*$C$135)+10*(B146*$B$135)</f>
        <v>29738.459462227398</v>
      </c>
      <c r="E146" s="17">
        <f t="shared" si="7"/>
        <v>1.6747181265978814E-3</v>
      </c>
      <c r="F146" s="29">
        <f t="shared" si="8"/>
        <v>0.24878504104811608</v>
      </c>
      <c r="G146" s="6"/>
    </row>
    <row r="147" spans="1:7" x14ac:dyDescent="0.2">
      <c r="A147" s="5" t="s">
        <v>1493</v>
      </c>
      <c r="B147" s="21"/>
      <c r="C147" s="30">
        <f>SM!$B$111</f>
        <v>0</v>
      </c>
      <c r="D147" s="25">
        <f>0.01*Input!$F$14*(C147*$C$135)+10*(B147*$B$135)</f>
        <v>0</v>
      </c>
      <c r="E147" s="17">
        <f t="shared" si="7"/>
        <v>0</v>
      </c>
      <c r="F147" s="29">
        <f t="shared" si="8"/>
        <v>0</v>
      </c>
      <c r="G147" s="6"/>
    </row>
    <row r="148" spans="1:7" x14ac:dyDescent="0.2">
      <c r="A148" s="5" t="s">
        <v>1494</v>
      </c>
      <c r="B148" s="21"/>
      <c r="C148" s="30">
        <f>SM!$C$111</f>
        <v>0</v>
      </c>
      <c r="D148" s="25">
        <f>0.01*Input!$F$14*(C148*$C$135)+10*(B148*$B$135)</f>
        <v>0</v>
      </c>
      <c r="E148" s="17">
        <f t="shared" si="7"/>
        <v>0</v>
      </c>
      <c r="F148" s="29">
        <f t="shared" si="8"/>
        <v>0</v>
      </c>
      <c r="G148" s="6"/>
    </row>
    <row r="149" spans="1:7" x14ac:dyDescent="0.2">
      <c r="A149" s="5" t="s">
        <v>1495</v>
      </c>
      <c r="B149" s="20">
        <f>Standing!$K$57</f>
        <v>9.2027107319302595E-2</v>
      </c>
      <c r="C149" s="30">
        <f>NHH!$K$90</f>
        <v>0</v>
      </c>
      <c r="D149" s="25">
        <f>0.01*Input!$F$14*(C149*$C$135)+10*(B149*$B$135)</f>
        <v>1634152.2534306776</v>
      </c>
      <c r="E149" s="17">
        <f t="shared" si="7"/>
        <v>9.2027107319302609E-2</v>
      </c>
      <c r="F149" s="29">
        <f t="shared" si="8"/>
        <v>13.67093799747796</v>
      </c>
      <c r="G149" s="6"/>
    </row>
    <row r="150" spans="1:7" x14ac:dyDescent="0.2">
      <c r="A150" s="5" t="s">
        <v>1496</v>
      </c>
      <c r="B150" s="20">
        <f>Standing!$L$57</f>
        <v>4.4019594915131882E-2</v>
      </c>
      <c r="C150" s="30">
        <f>NHH!$L$90</f>
        <v>0</v>
      </c>
      <c r="D150" s="25">
        <f>0.01*Input!$F$14*(C150*$C$135)+10*(B150*$B$135)</f>
        <v>781668.81825459842</v>
      </c>
      <c r="E150" s="17">
        <f t="shared" si="7"/>
        <v>4.4019594915131889E-2</v>
      </c>
      <c r="F150" s="29">
        <f t="shared" si="8"/>
        <v>6.5392596843325901</v>
      </c>
      <c r="G150" s="6"/>
    </row>
    <row r="151" spans="1:7" x14ac:dyDescent="0.2">
      <c r="A151" s="5" t="s">
        <v>1497</v>
      </c>
      <c r="B151" s="20">
        <f>Standing!$M$57</f>
        <v>4.0603005516968022E-2</v>
      </c>
      <c r="C151" s="30">
        <f>NHH!$M$90</f>
        <v>0</v>
      </c>
      <c r="D151" s="25">
        <f>0.01*Input!$F$14*(C151*$C$135)+10*(B151*$B$135)</f>
        <v>720999.44129933952</v>
      </c>
      <c r="E151" s="17">
        <f t="shared" si="7"/>
        <v>4.0603005516968022E-2</v>
      </c>
      <c r="F151" s="29">
        <f t="shared" si="8"/>
        <v>6.031713775461653</v>
      </c>
      <c r="G151" s="6"/>
    </row>
    <row r="152" spans="1:7" x14ac:dyDescent="0.2">
      <c r="A152" s="5" t="s">
        <v>1498</v>
      </c>
      <c r="B152" s="20">
        <f>Standing!$N$57</f>
        <v>6.1888957629848002E-2</v>
      </c>
      <c r="C152" s="30">
        <f>NHH!$N$90</f>
        <v>0</v>
      </c>
      <c r="D152" s="25">
        <f>0.01*Input!$F$14*(C152*$C$135)+10*(B152*$B$135)</f>
        <v>1098980.3169883909</v>
      </c>
      <c r="E152" s="17">
        <f t="shared" si="7"/>
        <v>6.1888957629848002E-2</v>
      </c>
      <c r="F152" s="29">
        <f t="shared" si="8"/>
        <v>9.193813943869646</v>
      </c>
      <c r="G152" s="6"/>
    </row>
    <row r="153" spans="1:7" x14ac:dyDescent="0.2">
      <c r="A153" s="5" t="s">
        <v>1499</v>
      </c>
      <c r="B153" s="20">
        <f>Standing!$O$57</f>
        <v>7.6637262401295689E-2</v>
      </c>
      <c r="C153" s="30">
        <f>NHH!$O$90</f>
        <v>0</v>
      </c>
      <c r="D153" s="25">
        <f>0.01*Input!$F$14*(C153*$C$135)+10*(B153*$B$135)</f>
        <v>1360870.2772250145</v>
      </c>
      <c r="E153" s="17">
        <f t="shared" si="7"/>
        <v>7.6637262401295689E-2</v>
      </c>
      <c r="F153" s="29">
        <f t="shared" si="8"/>
        <v>11.384724491549974</v>
      </c>
      <c r="G153" s="6"/>
    </row>
    <row r="154" spans="1:7" x14ac:dyDescent="0.2">
      <c r="A154" s="5" t="s">
        <v>1500</v>
      </c>
      <c r="B154" s="20">
        <f>Standing!$P$57</f>
        <v>0</v>
      </c>
      <c r="C154" s="30">
        <f>NHH!$P$90</f>
        <v>0</v>
      </c>
      <c r="D154" s="25">
        <f>0.01*Input!$F$14*(C154*$C$135)+10*(B154*$B$135)</f>
        <v>0</v>
      </c>
      <c r="E154" s="17">
        <f t="shared" si="7"/>
        <v>0</v>
      </c>
      <c r="F154" s="29">
        <f t="shared" si="8"/>
        <v>0</v>
      </c>
      <c r="G154" s="6"/>
    </row>
    <row r="155" spans="1:7" x14ac:dyDescent="0.2">
      <c r="A155" s="5" t="s">
        <v>1501</v>
      </c>
      <c r="B155" s="20">
        <f>Standing!$Q$57</f>
        <v>0.11133574904671997</v>
      </c>
      <c r="C155" s="30">
        <f>NHH!$Q$90</f>
        <v>0</v>
      </c>
      <c r="D155" s="25">
        <f>0.01*Input!$F$14*(C155*$C$135)+10*(B155*$B$135)</f>
        <v>1977021.4504387472</v>
      </c>
      <c r="E155" s="17">
        <f t="shared" si="7"/>
        <v>0.11133574904671999</v>
      </c>
      <c r="F155" s="29">
        <f t="shared" si="8"/>
        <v>16.53930202151669</v>
      </c>
      <c r="G155" s="6"/>
    </row>
    <row r="156" spans="1:7" x14ac:dyDescent="0.2">
      <c r="A156" s="5" t="s">
        <v>1502</v>
      </c>
      <c r="B156" s="20">
        <f>Standing!$R$57</f>
        <v>9.6233341862059424E-2</v>
      </c>
      <c r="C156" s="30">
        <f>NHH!$R$90</f>
        <v>0</v>
      </c>
      <c r="D156" s="25">
        <f>0.01*Input!$F$14*(C156*$C$135)+10*(B156*$B$135)</f>
        <v>1708843.59011102</v>
      </c>
      <c r="E156" s="17">
        <f t="shared" si="7"/>
        <v>9.6233341862059424E-2</v>
      </c>
      <c r="F156" s="29">
        <f t="shared" si="8"/>
        <v>14.295788362896515</v>
      </c>
      <c r="G156" s="6"/>
    </row>
    <row r="157" spans="1:7" x14ac:dyDescent="0.2">
      <c r="A157" s="5" t="s">
        <v>1503</v>
      </c>
      <c r="B157" s="20">
        <f>Standing!$S$57</f>
        <v>0</v>
      </c>
      <c r="C157" s="30">
        <f>NHH!$S$90</f>
        <v>0.75009881060309447</v>
      </c>
      <c r="D157" s="25">
        <f>0.01*Input!$F$14*(C157*$C$135)+10*(B157*$B$135)</f>
        <v>327269.50892625708</v>
      </c>
      <c r="E157" s="17">
        <f t="shared" si="7"/>
        <v>1.8430146981142197E-2</v>
      </c>
      <c r="F157" s="29">
        <f t="shared" si="8"/>
        <v>2.7378606587012948</v>
      </c>
      <c r="G157" s="6"/>
    </row>
    <row r="158" spans="1:7" x14ac:dyDescent="0.2">
      <c r="A158" s="5" t="s">
        <v>1504</v>
      </c>
      <c r="B158" s="21"/>
      <c r="C158" s="30">
        <f>Otex!$B$124</f>
        <v>2.5985900515052696</v>
      </c>
      <c r="D158" s="25">
        <f>0.01*Input!$F$14*(C158*$C$135)+10*(B158*$B$135)</f>
        <v>1133769.6821209679</v>
      </c>
      <c r="E158" s="17">
        <f t="shared" si="7"/>
        <v>6.3848116962709936E-2</v>
      </c>
      <c r="F158" s="29">
        <f t="shared" si="8"/>
        <v>9.4848536879942333</v>
      </c>
      <c r="G158" s="6"/>
    </row>
    <row r="159" spans="1:7" x14ac:dyDescent="0.2">
      <c r="A159" s="5" t="s">
        <v>1505</v>
      </c>
      <c r="B159" s="21"/>
      <c r="C159" s="30">
        <f>Otex!$C$124</f>
        <v>0</v>
      </c>
      <c r="D159" s="25">
        <f>0.01*Input!$F$14*(C159*$C$135)+10*(B159*$B$135)</f>
        <v>0</v>
      </c>
      <c r="E159" s="17">
        <f t="shared" si="7"/>
        <v>0</v>
      </c>
      <c r="F159" s="29">
        <f t="shared" si="8"/>
        <v>0</v>
      </c>
      <c r="G159" s="6"/>
    </row>
    <row r="160" spans="1:7" x14ac:dyDescent="0.2">
      <c r="A160" s="5" t="s">
        <v>1506</v>
      </c>
      <c r="B160" s="20">
        <f>Scaler!$B$410</f>
        <v>0.77322652672285119</v>
      </c>
      <c r="C160" s="30">
        <f>Scaler!$E$410</f>
        <v>0</v>
      </c>
      <c r="D160" s="25">
        <f>0.01*Input!$F$14*(C160*$C$135)+10*(B160*$B$135)</f>
        <v>13730409.526753547</v>
      </c>
      <c r="E160" s="17">
        <f t="shared" si="7"/>
        <v>0.7732265267228513</v>
      </c>
      <c r="F160" s="29">
        <f t="shared" si="8"/>
        <v>114.86541534068337</v>
      </c>
      <c r="G160" s="6"/>
    </row>
    <row r="161" spans="1:9" x14ac:dyDescent="0.2">
      <c r="A161" s="5" t="s">
        <v>1507</v>
      </c>
      <c r="B161" s="20">
        <f>Adjust!$B$76</f>
        <v>2.1478738847946488E-5</v>
      </c>
      <c r="C161" s="30">
        <f>Adjust!$E$76</f>
        <v>3.1508526729737696E-3</v>
      </c>
      <c r="D161" s="25">
        <f>0.01*Input!$F$14*(C161*$C$135)+10*(B161*$B$135)</f>
        <v>1756.1271391611572</v>
      </c>
      <c r="E161" s="17">
        <f t="shared" si="7"/>
        <v>9.8896109810235242E-5</v>
      </c>
      <c r="F161" s="29">
        <f t="shared" si="8"/>
        <v>1.4691351546197265E-2</v>
      </c>
      <c r="G161" s="6"/>
    </row>
    <row r="164" spans="1:9" x14ac:dyDescent="0.2">
      <c r="A164" s="5" t="s">
        <v>1508</v>
      </c>
      <c r="B164" s="17">
        <f>SUM($B$139:$B$161)</f>
        <v>2.4119999999999999</v>
      </c>
      <c r="C164" s="29">
        <f>SUM($C$139:$C$161)</f>
        <v>3.42</v>
      </c>
      <c r="D164" s="25">
        <f>SUM($D$139:$D$161)</f>
        <v>44322741.643136643</v>
      </c>
      <c r="E164" s="17">
        <f>SUM($E$139:$E$161)</f>
        <v>2.4960303994414121</v>
      </c>
      <c r="F164" s="29">
        <f>SUM($F$139:$F$161)</f>
        <v>370.79375658509281</v>
      </c>
      <c r="G164" s="6"/>
    </row>
    <row r="166" spans="1:9" ht="16.5" x14ac:dyDescent="0.25">
      <c r="A166" s="3" t="s">
        <v>56</v>
      </c>
    </row>
    <row r="168" spans="1:9" x14ac:dyDescent="0.2">
      <c r="B168" s="4" t="s">
        <v>105</v>
      </c>
      <c r="C168" s="4" t="s">
        <v>106</v>
      </c>
      <c r="D168" s="4" t="s">
        <v>108</v>
      </c>
      <c r="E168" s="4" t="s">
        <v>1489</v>
      </c>
      <c r="F168" s="4" t="s">
        <v>1490</v>
      </c>
    </row>
    <row r="169" spans="1:9" x14ac:dyDescent="0.2">
      <c r="A169" s="5" t="s">
        <v>56</v>
      </c>
      <c r="B169" s="27">
        <f>Loads!B$302</f>
        <v>580399.77761631669</v>
      </c>
      <c r="C169" s="27">
        <f>Loads!C$302</f>
        <v>225932.51020862002</v>
      </c>
      <c r="D169" s="27">
        <f>Loads!E$302</f>
        <v>30828.962082077825</v>
      </c>
      <c r="E169" s="27">
        <f>Multi!B$119</f>
        <v>806332.28782493668</v>
      </c>
      <c r="F169" s="17">
        <f>IF(D169,E169/D169,"")</f>
        <v>26.155025449062769</v>
      </c>
      <c r="G169" s="6"/>
    </row>
    <row r="172" spans="1:9" ht="25.5" x14ac:dyDescent="0.2">
      <c r="B172" s="4" t="s">
        <v>1319</v>
      </c>
      <c r="C172" s="4" t="s">
        <v>1320</v>
      </c>
      <c r="D172" s="4" t="s">
        <v>1322</v>
      </c>
      <c r="E172" s="4" t="s">
        <v>1509</v>
      </c>
      <c r="F172" s="4" t="s">
        <v>1491</v>
      </c>
      <c r="G172" s="4" t="s">
        <v>1461</v>
      </c>
      <c r="H172" s="4" t="s">
        <v>1492</v>
      </c>
    </row>
    <row r="173" spans="1:9" x14ac:dyDescent="0.2">
      <c r="A173" s="5" t="s">
        <v>338</v>
      </c>
      <c r="B173" s="20">
        <f>Standing!$C$85</f>
        <v>0.14106834501229454</v>
      </c>
      <c r="C173" s="20">
        <f>Standing!$C$111</f>
        <v>1.4072731843893337E-2</v>
      </c>
      <c r="D173" s="30">
        <f>NHH!$C$91</f>
        <v>0</v>
      </c>
      <c r="E173" s="17">
        <f t="shared" ref="E173:E195" si="9">IF(E$169&lt;&gt;0,(($B173*B$169+$C173*C$169))/E$169,0)</f>
        <v>0.10548445720095936</v>
      </c>
      <c r="F173" s="25">
        <f>0.01*Input!$F$14*(D173*$D$169)+10*(B173*$B$169+C173*$C$169)</f>
        <v>850555.23704821186</v>
      </c>
      <c r="G173" s="17">
        <f t="shared" ref="G173:G195" si="10">IF($E$169&lt;&gt;0,0.1*F173/$E$169,"")</f>
        <v>0.10548445720095936</v>
      </c>
      <c r="H173" s="29">
        <f t="shared" ref="H173:H195" si="11">IF($D$169&lt;&gt;0,F173/$D$169,"")</f>
        <v>27.589486625716649</v>
      </c>
      <c r="I173" s="6"/>
    </row>
    <row r="174" spans="1:9" x14ac:dyDescent="0.2">
      <c r="A174" s="5" t="s">
        <v>339</v>
      </c>
      <c r="B174" s="20">
        <f>Standing!$D$85</f>
        <v>0.13011929805003253</v>
      </c>
      <c r="C174" s="20">
        <f>Standing!$D$111</f>
        <v>1.2980474032031439E-2</v>
      </c>
      <c r="D174" s="30">
        <f>NHH!$D$91</f>
        <v>0</v>
      </c>
      <c r="E174" s="17">
        <f t="shared" si="9"/>
        <v>9.7297260593659812E-2</v>
      </c>
      <c r="F174" s="25">
        <f>0.01*Input!$F$14*(D174*$D$169)+10*(B174*$B$169+C174*$C$169)</f>
        <v>784539.22733584768</v>
      </c>
      <c r="G174" s="17">
        <f t="shared" si="10"/>
        <v>9.7297260593659812E-2</v>
      </c>
      <c r="H174" s="29">
        <f t="shared" si="11"/>
        <v>25.448123269512642</v>
      </c>
      <c r="I174" s="6"/>
    </row>
    <row r="175" spans="1:9" x14ac:dyDescent="0.2">
      <c r="A175" s="5" t="s">
        <v>340</v>
      </c>
      <c r="B175" s="20">
        <f>Standing!$E$85</f>
        <v>0.19930540880265485</v>
      </c>
      <c r="C175" s="20">
        <f>Standing!$E$111</f>
        <v>2.1297163060331428E-2</v>
      </c>
      <c r="D175" s="30">
        <f>NHH!$E$91</f>
        <v>0</v>
      </c>
      <c r="E175" s="17">
        <f t="shared" si="9"/>
        <v>0.14942789502123011</v>
      </c>
      <c r="F175" s="25">
        <f>0.01*Input!$F$14*(D175*$D$169)+10*(B175*$B$169+C175*$C$169)</f>
        <v>1204885.3645733295</v>
      </c>
      <c r="G175" s="17">
        <f t="shared" si="10"/>
        <v>0.14942789502123013</v>
      </c>
      <c r="H175" s="29">
        <f t="shared" si="11"/>
        <v>39.082903970801539</v>
      </c>
      <c r="I175" s="6"/>
    </row>
    <row r="176" spans="1:9" x14ac:dyDescent="0.2">
      <c r="A176" s="5" t="s">
        <v>341</v>
      </c>
      <c r="B176" s="20">
        <f>Standing!$F$85</f>
        <v>0.24680042284376857</v>
      </c>
      <c r="C176" s="20">
        <f>Standing!$F$111</f>
        <v>2.6372334199253653E-2</v>
      </c>
      <c r="D176" s="30">
        <f>NHH!$F$91</f>
        <v>0</v>
      </c>
      <c r="E176" s="17">
        <f t="shared" si="9"/>
        <v>0.18503696361000418</v>
      </c>
      <c r="F176" s="25">
        <f>0.01*Input!$F$14*(D176*$D$169)+10*(B176*$B$169+C176*$C$169)</f>
        <v>1492012.7819983424</v>
      </c>
      <c r="G176" s="17">
        <f t="shared" si="10"/>
        <v>0.18503696361000421</v>
      </c>
      <c r="H176" s="29">
        <f t="shared" si="11"/>
        <v>48.396464922369617</v>
      </c>
      <c r="I176" s="6"/>
    </row>
    <row r="177" spans="1:9" x14ac:dyDescent="0.2">
      <c r="A177" s="5" t="s">
        <v>342</v>
      </c>
      <c r="B177" s="20">
        <f>Standing!$G$85</f>
        <v>0</v>
      </c>
      <c r="C177" s="20">
        <f>Standing!$G$111</f>
        <v>0</v>
      </c>
      <c r="D177" s="30">
        <f>NHH!$G$91</f>
        <v>0</v>
      </c>
      <c r="E177" s="17">
        <f t="shared" si="9"/>
        <v>0</v>
      </c>
      <c r="F177" s="25">
        <f>0.01*Input!$F$14*(D177*$D$169)+10*(B177*$B$169+C177*$C$169)</f>
        <v>0</v>
      </c>
      <c r="G177" s="17">
        <f t="shared" si="10"/>
        <v>0</v>
      </c>
      <c r="H177" s="29">
        <f t="shared" si="11"/>
        <v>0</v>
      </c>
      <c r="I177" s="6"/>
    </row>
    <row r="178" spans="1:9" x14ac:dyDescent="0.2">
      <c r="A178" s="5" t="s">
        <v>343</v>
      </c>
      <c r="B178" s="20">
        <f>Standing!$H$85</f>
        <v>0.25097969782549984</v>
      </c>
      <c r="C178" s="20">
        <f>Standing!$H$111</f>
        <v>2.6818918671268788E-2</v>
      </c>
      <c r="D178" s="30">
        <f>NHH!$H$91</f>
        <v>0</v>
      </c>
      <c r="E178" s="17">
        <f t="shared" si="9"/>
        <v>0.18817034702888241</v>
      </c>
      <c r="F178" s="25">
        <f>0.01*Input!$F$14*(D178*$D$169)+10*(B178*$B$169+C178*$C$169)</f>
        <v>1517278.2642061103</v>
      </c>
      <c r="G178" s="17">
        <f t="shared" si="10"/>
        <v>0.18817034702888241</v>
      </c>
      <c r="H178" s="29">
        <f t="shared" si="11"/>
        <v>49.216002152993923</v>
      </c>
      <c r="I178" s="6"/>
    </row>
    <row r="179" spans="1:9" x14ac:dyDescent="0.2">
      <c r="A179" s="5" t="s">
        <v>344</v>
      </c>
      <c r="B179" s="20">
        <f>Standing!$I$85</f>
        <v>0.21693494917919404</v>
      </c>
      <c r="C179" s="20">
        <f>Standing!$I$111</f>
        <v>2.318100152880781E-2</v>
      </c>
      <c r="D179" s="30">
        <f>NHH!$I$91</f>
        <v>0</v>
      </c>
      <c r="E179" s="17">
        <f t="shared" si="9"/>
        <v>0.16264552481102909</v>
      </c>
      <c r="F179" s="25">
        <f>0.01*Input!$F$14*(D179*$D$169)+10*(B179*$B$169+C179*$C$169)</f>
        <v>1311463.381253646</v>
      </c>
      <c r="G179" s="17">
        <f t="shared" si="10"/>
        <v>0.16264552481102909</v>
      </c>
      <c r="H179" s="29">
        <f t="shared" si="11"/>
        <v>42.539978406086362</v>
      </c>
      <c r="I179" s="6"/>
    </row>
    <row r="180" spans="1:9" x14ac:dyDescent="0.2">
      <c r="A180" s="5" t="s">
        <v>345</v>
      </c>
      <c r="B180" s="20">
        <f>Standing!$J$85</f>
        <v>0</v>
      </c>
      <c r="C180" s="20">
        <f>Standing!$J$111</f>
        <v>0</v>
      </c>
      <c r="D180" s="30">
        <f>NHH!$J$91</f>
        <v>6.8160285218661937E-2</v>
      </c>
      <c r="E180" s="17">
        <f t="shared" si="9"/>
        <v>0</v>
      </c>
      <c r="F180" s="25">
        <f>0.01*Input!$F$14*(D180*$D$169)+10*(B180*$B$169+C180*$C$169)</f>
        <v>7669.7845970605458</v>
      </c>
      <c r="G180" s="17">
        <f t="shared" si="10"/>
        <v>9.5119403165035339E-4</v>
      </c>
      <c r="H180" s="29">
        <f t="shared" si="11"/>
        <v>0.24878504104811608</v>
      </c>
      <c r="I180" s="6"/>
    </row>
    <row r="181" spans="1:9" x14ac:dyDescent="0.2">
      <c r="A181" s="5" t="s">
        <v>1493</v>
      </c>
      <c r="B181" s="21"/>
      <c r="C181" s="21"/>
      <c r="D181" s="30">
        <f>SM!$B$112</f>
        <v>0</v>
      </c>
      <c r="E181" s="17">
        <f t="shared" si="9"/>
        <v>0</v>
      </c>
      <c r="F181" s="25">
        <f>0.01*Input!$F$14*(D181*$D$169)+10*(B181*$B$169+C181*$C$169)</f>
        <v>0</v>
      </c>
      <c r="G181" s="17">
        <f t="shared" si="10"/>
        <v>0</v>
      </c>
      <c r="H181" s="29">
        <f t="shared" si="11"/>
        <v>0</v>
      </c>
      <c r="I181" s="6"/>
    </row>
    <row r="182" spans="1:9" x14ac:dyDescent="0.2">
      <c r="A182" s="5" t="s">
        <v>1494</v>
      </c>
      <c r="B182" s="21"/>
      <c r="C182" s="21"/>
      <c r="D182" s="30">
        <f>SM!$C$112</f>
        <v>0</v>
      </c>
      <c r="E182" s="17">
        <f t="shared" si="9"/>
        <v>0</v>
      </c>
      <c r="F182" s="25">
        <f>0.01*Input!$F$14*(D182*$D$169)+10*(B182*$B$169+C182*$C$169)</f>
        <v>0</v>
      </c>
      <c r="G182" s="17">
        <f t="shared" si="10"/>
        <v>0</v>
      </c>
      <c r="H182" s="29">
        <f t="shared" si="11"/>
        <v>0</v>
      </c>
      <c r="I182" s="6"/>
    </row>
    <row r="183" spans="1:9" x14ac:dyDescent="0.2">
      <c r="A183" s="5" t="s">
        <v>1495</v>
      </c>
      <c r="B183" s="20">
        <f>Standing!$K$85</f>
        <v>9.6860846789876637E-2</v>
      </c>
      <c r="C183" s="20">
        <f>Standing!$K$111</f>
        <v>8.2833341596265601E-3</v>
      </c>
      <c r="D183" s="30">
        <f>NHH!$K$91</f>
        <v>0</v>
      </c>
      <c r="E183" s="17">
        <f t="shared" si="9"/>
        <v>7.2041625138004647E-2</v>
      </c>
      <c r="F183" s="25">
        <f>0.01*Input!$F$14*(D183*$D$169)+10*(B183*$B$169+C183*$C$169)</f>
        <v>580894.88416153751</v>
      </c>
      <c r="G183" s="17">
        <f t="shared" si="10"/>
        <v>7.2041625138004647E-2</v>
      </c>
      <c r="H183" s="29">
        <f t="shared" si="11"/>
        <v>18.842505388763517</v>
      </c>
      <c r="I183" s="6"/>
    </row>
    <row r="184" spans="1:9" x14ac:dyDescent="0.2">
      <c r="A184" s="5" t="s">
        <v>1496</v>
      </c>
      <c r="B184" s="20">
        <f>Standing!$L$85</f>
        <v>4.6573395695752258E-2</v>
      </c>
      <c r="C184" s="20">
        <f>Standing!$L$111</f>
        <v>4.6460806542299501E-3</v>
      </c>
      <c r="D184" s="30">
        <f>NHH!$L$91</f>
        <v>0</v>
      </c>
      <c r="E184" s="17">
        <f t="shared" si="9"/>
        <v>3.4825455452417491E-2</v>
      </c>
      <c r="F184" s="25">
        <f>0.01*Input!$F$14*(D184*$D$169)+10*(B184*$B$169+C184*$C$169)</f>
        <v>280808.89169493213</v>
      </c>
      <c r="G184" s="17">
        <f t="shared" si="10"/>
        <v>3.4825455452417498E-2</v>
      </c>
      <c r="H184" s="29">
        <f t="shared" si="11"/>
        <v>9.1086067363318133</v>
      </c>
      <c r="I184" s="6"/>
    </row>
    <row r="185" spans="1:9" x14ac:dyDescent="0.2">
      <c r="A185" s="5" t="s">
        <v>1497</v>
      </c>
      <c r="B185" s="20">
        <f>Standing!$M$85</f>
        <v>4.2958592554619791E-2</v>
      </c>
      <c r="C185" s="20">
        <f>Standing!$M$111</f>
        <v>4.2854742030152063E-3</v>
      </c>
      <c r="D185" s="30">
        <f>NHH!$M$91</f>
        <v>0</v>
      </c>
      <c r="E185" s="17">
        <f t="shared" si="9"/>
        <v>3.2122470972111516E-2</v>
      </c>
      <c r="F185" s="25">
        <f>0.01*Input!$F$14*(D185*$D$169)+10*(B185*$B$169+C185*$C$169)</f>
        <v>259013.85509532795</v>
      </c>
      <c r="G185" s="17">
        <f t="shared" si="10"/>
        <v>3.2122470972111516E-2</v>
      </c>
      <c r="H185" s="29">
        <f t="shared" si="11"/>
        <v>8.4016404576235679</v>
      </c>
      <c r="I185" s="6"/>
    </row>
    <row r="186" spans="1:9" x14ac:dyDescent="0.2">
      <c r="A186" s="5" t="s">
        <v>1498</v>
      </c>
      <c r="B186" s="20">
        <f>Standing!$N$85</f>
        <v>6.5800230857324712E-2</v>
      </c>
      <c r="C186" s="20">
        <f>Standing!$N$111</f>
        <v>7.0312103138328334E-3</v>
      </c>
      <c r="D186" s="30">
        <f>NHH!$N$91</f>
        <v>0</v>
      </c>
      <c r="E186" s="17">
        <f t="shared" si="9"/>
        <v>4.9333282262583787E-2</v>
      </c>
      <c r="F186" s="25">
        <f>0.01*Input!$F$14*(D186*$D$169)+10*(B186*$B$169+C186*$C$169)</f>
        <v>397790.18352702551</v>
      </c>
      <c r="G186" s="17">
        <f t="shared" si="10"/>
        <v>4.9333282262583787E-2</v>
      </c>
      <c r="H186" s="29">
        <f t="shared" si="11"/>
        <v>12.903132530636759</v>
      </c>
      <c r="I186" s="6"/>
    </row>
    <row r="187" spans="1:9" x14ac:dyDescent="0.2">
      <c r="A187" s="5" t="s">
        <v>1499</v>
      </c>
      <c r="B187" s="20">
        <f>Standing!$O$85</f>
        <v>8.1480602540421429E-2</v>
      </c>
      <c r="C187" s="20">
        <f>Standing!$O$111</f>
        <v>8.7067666100103126E-3</v>
      </c>
      <c r="D187" s="30">
        <f>NHH!$O$91</f>
        <v>0</v>
      </c>
      <c r="E187" s="17">
        <f t="shared" si="9"/>
        <v>6.1089535882753648E-2</v>
      </c>
      <c r="F187" s="25">
        <f>0.01*Input!$F$14*(D187*$D$169)+10*(B187*$B$169+C187*$C$169)</f>
        <v>492584.65230504313</v>
      </c>
      <c r="G187" s="17">
        <f t="shared" si="10"/>
        <v>6.1089535882753648E-2</v>
      </c>
      <c r="H187" s="29">
        <f t="shared" si="11"/>
        <v>15.977983656848549</v>
      </c>
      <c r="I187" s="6"/>
    </row>
    <row r="188" spans="1:9" x14ac:dyDescent="0.2">
      <c r="A188" s="5" t="s">
        <v>1500</v>
      </c>
      <c r="B188" s="20">
        <f>Standing!$P$85</f>
        <v>0</v>
      </c>
      <c r="C188" s="20">
        <f>Standing!$P$111</f>
        <v>0</v>
      </c>
      <c r="D188" s="30">
        <f>NHH!$P$91</f>
        <v>0</v>
      </c>
      <c r="E188" s="17">
        <f t="shared" si="9"/>
        <v>0</v>
      </c>
      <c r="F188" s="25">
        <f>0.01*Input!$F$14*(D188*$D$169)+10*(B188*$B$169+C188*$C$169)</f>
        <v>0</v>
      </c>
      <c r="G188" s="17">
        <f t="shared" si="10"/>
        <v>0</v>
      </c>
      <c r="H188" s="29">
        <f t="shared" si="11"/>
        <v>0</v>
      </c>
      <c r="I188" s="6"/>
    </row>
    <row r="189" spans="1:9" x14ac:dyDescent="0.2">
      <c r="A189" s="5" t="s">
        <v>1501</v>
      </c>
      <c r="B189" s="20">
        <f>Standing!$Q$85</f>
        <v>0.11837197248922762</v>
      </c>
      <c r="C189" s="20">
        <f>Standing!$Q$111</f>
        <v>1.2648864950636335E-2</v>
      </c>
      <c r="D189" s="30">
        <f>NHH!$Q$91</f>
        <v>0</v>
      </c>
      <c r="E189" s="17">
        <f t="shared" si="9"/>
        <v>8.8748593351474725E-2</v>
      </c>
      <c r="F189" s="25">
        <f>0.01*Input!$F$14*(D189*$D$169)+10*(B189*$B$169+C189*$C$169)</f>
        <v>715608.56318339577</v>
      </c>
      <c r="G189" s="17">
        <f t="shared" si="10"/>
        <v>8.8748593351474725E-2</v>
      </c>
      <c r="H189" s="29">
        <f t="shared" si="11"/>
        <v>23.212217176763442</v>
      </c>
      <c r="I189" s="6"/>
    </row>
    <row r="190" spans="1:9" x14ac:dyDescent="0.2">
      <c r="A190" s="5" t="s">
        <v>1502</v>
      </c>
      <c r="B190" s="20">
        <f>Standing!$R$85</f>
        <v>0.10231511974345255</v>
      </c>
      <c r="C190" s="20">
        <f>Standing!$R$111</f>
        <v>1.0933079045894006E-2</v>
      </c>
      <c r="D190" s="30">
        <f>NHH!$R$91</f>
        <v>0</v>
      </c>
      <c r="E190" s="17">
        <f t="shared" si="9"/>
        <v>7.6710075576762585E-2</v>
      </c>
      <c r="F190" s="25">
        <f>0.01*Input!$F$14*(D190*$D$169)+10*(B190*$B$169+C190*$C$169)</f>
        <v>618538.10739034775</v>
      </c>
      <c r="G190" s="17">
        <f t="shared" si="10"/>
        <v>7.6710075576762599E-2</v>
      </c>
      <c r="H190" s="29">
        <f t="shared" si="11"/>
        <v>20.06353978909754</v>
      </c>
      <c r="I190" s="6"/>
    </row>
    <row r="191" spans="1:9" x14ac:dyDescent="0.2">
      <c r="A191" s="5" t="s">
        <v>1503</v>
      </c>
      <c r="B191" s="20">
        <f>Standing!$S$85</f>
        <v>0</v>
      </c>
      <c r="C191" s="20">
        <f>Standing!$S$111</f>
        <v>0</v>
      </c>
      <c r="D191" s="30">
        <f>NHH!$S$91</f>
        <v>0.75009881060309447</v>
      </c>
      <c r="E191" s="17">
        <f t="shared" si="9"/>
        <v>0</v>
      </c>
      <c r="F191" s="25">
        <f>0.01*Input!$F$14*(D191*$D$169)+10*(B191*$B$169+C191*$C$169)</f>
        <v>84405.402433114825</v>
      </c>
      <c r="G191" s="17">
        <f t="shared" si="10"/>
        <v>1.0467818752588528E-2</v>
      </c>
      <c r="H191" s="29">
        <f t="shared" si="11"/>
        <v>2.7378606587012944</v>
      </c>
      <c r="I191" s="6"/>
    </row>
    <row r="192" spans="1:9" x14ac:dyDescent="0.2">
      <c r="A192" s="5" t="s">
        <v>1504</v>
      </c>
      <c r="B192" s="21"/>
      <c r="C192" s="21"/>
      <c r="D192" s="30">
        <f>Otex!$B$125</f>
        <v>2.5985900515052696</v>
      </c>
      <c r="E192" s="17">
        <f t="shared" si="9"/>
        <v>0</v>
      </c>
      <c r="F192" s="25">
        <f>0.01*Input!$F$14*(D192*$D$169)+10*(B192*$B$169+C192*$C$169)</f>
        <v>292408.19470123027</v>
      </c>
      <c r="G192" s="17">
        <f t="shared" si="10"/>
        <v>3.6263981874023035E-2</v>
      </c>
      <c r="H192" s="29">
        <f t="shared" si="11"/>
        <v>9.4848536879942351</v>
      </c>
      <c r="I192" s="6"/>
    </row>
    <row r="193" spans="1:9" x14ac:dyDescent="0.2">
      <c r="A193" s="5" t="s">
        <v>1505</v>
      </c>
      <c r="B193" s="21"/>
      <c r="C193" s="21"/>
      <c r="D193" s="30">
        <f>Otex!$C$125</f>
        <v>0</v>
      </c>
      <c r="E193" s="17">
        <f t="shared" si="9"/>
        <v>0</v>
      </c>
      <c r="F193" s="25">
        <f>0.01*Input!$F$14*(D193*$D$169)+10*(B193*$B$169+C193*$C$169)</f>
        <v>0</v>
      </c>
      <c r="G193" s="17">
        <f t="shared" si="10"/>
        <v>0</v>
      </c>
      <c r="H193" s="29">
        <f t="shared" si="11"/>
        <v>0</v>
      </c>
      <c r="I193" s="6"/>
    </row>
    <row r="194" spans="1:9" x14ac:dyDescent="0.2">
      <c r="A194" s="5" t="s">
        <v>1506</v>
      </c>
      <c r="B194" s="20">
        <f>Scaler!$B$411</f>
        <v>0.81384038160527195</v>
      </c>
      <c r="C194" s="20">
        <f>Scaler!$C$411</f>
        <v>6.9597903145102682E-2</v>
      </c>
      <c r="D194" s="30">
        <f>Scaler!$E$411</f>
        <v>0</v>
      </c>
      <c r="E194" s="17">
        <f t="shared" si="9"/>
        <v>0.60530529761903118</v>
      </c>
      <c r="F194" s="25">
        <f>0.01*Input!$F$14*(D194*$D$169)+10*(B194*$B$169+C194*$C$169)</f>
        <v>4880772.0546170762</v>
      </c>
      <c r="G194" s="17">
        <f t="shared" si="10"/>
        <v>0.60530529761903129</v>
      </c>
      <c r="H194" s="29">
        <f t="shared" si="11"/>
        <v>158.31775463678275</v>
      </c>
      <c r="I194" s="6"/>
    </row>
    <row r="195" spans="1:9" x14ac:dyDescent="0.2">
      <c r="A195" s="5" t="s">
        <v>1507</v>
      </c>
      <c r="B195" s="20">
        <f>Adjust!$B$77</f>
        <v>-4.0926398939156172E-4</v>
      </c>
      <c r="C195" s="20">
        <f>Adjust!$C$77</f>
        <v>1.4466358206566277E-4</v>
      </c>
      <c r="D195" s="30">
        <f>Adjust!$E$77</f>
        <v>3.1508526729737696E-3</v>
      </c>
      <c r="E195" s="17">
        <f t="shared" si="9"/>
        <v>-2.540547182476696E-4</v>
      </c>
      <c r="F195" s="25">
        <f>0.01*Input!$F$14*(D195*$D$169)+10*(B195*$B$169+C195*$C$169)</f>
        <v>-1693.9732828018064</v>
      </c>
      <c r="G195" s="17">
        <f t="shared" si="10"/>
        <v>-2.1008377171293261E-4</v>
      </c>
      <c r="H195" s="29">
        <f t="shared" si="11"/>
        <v>-5.4947463955868449E-2</v>
      </c>
      <c r="I195" s="6"/>
    </row>
    <row r="198" spans="1:9" x14ac:dyDescent="0.2">
      <c r="A198" s="5" t="s">
        <v>1508</v>
      </c>
      <c r="B198" s="17">
        <f>SUM($B$173:$B$195)</f>
        <v>2.5529999999999999</v>
      </c>
      <c r="C198" s="17">
        <f>SUM($C$173:$C$195)</f>
        <v>0.251</v>
      </c>
      <c r="D198" s="29">
        <f>SUM($D$173:$D$195)</f>
        <v>3.42</v>
      </c>
      <c r="E198" s="17">
        <f>SUM(E$173:E$195)</f>
        <v>1.9079847298026569</v>
      </c>
      <c r="F198" s="25">
        <f>SUM($F$173:$F$195)</f>
        <v>15769534.856838776</v>
      </c>
      <c r="G198" s="17">
        <f>SUM($G$173:$G$195)</f>
        <v>1.955711695407454</v>
      </c>
      <c r="H198" s="29">
        <f>SUM($H$173:$H$195)</f>
        <v>511.51689164411653</v>
      </c>
      <c r="I198" s="6"/>
    </row>
    <row r="200" spans="1:9" ht="16.5" x14ac:dyDescent="0.25">
      <c r="A200" s="3" t="s">
        <v>95</v>
      </c>
    </row>
    <row r="202" spans="1:9" x14ac:dyDescent="0.2">
      <c r="B202" s="4" t="s">
        <v>105</v>
      </c>
      <c r="C202" s="4" t="s">
        <v>1489</v>
      </c>
    </row>
    <row r="203" spans="1:9" ht="25.5" x14ac:dyDescent="0.2">
      <c r="A203" s="5" t="s">
        <v>95</v>
      </c>
      <c r="B203" s="27">
        <f>Loads!B$303</f>
        <v>29762.160927484445</v>
      </c>
      <c r="C203" s="27">
        <f>Multi!B$120</f>
        <v>29762.160927484445</v>
      </c>
      <c r="D203" s="6"/>
    </row>
    <row r="206" spans="1:9" x14ac:dyDescent="0.2">
      <c r="B206" s="4" t="s">
        <v>1319</v>
      </c>
      <c r="C206" s="4" t="s">
        <v>1491</v>
      </c>
      <c r="D206" s="4" t="s">
        <v>1461</v>
      </c>
    </row>
    <row r="207" spans="1:9" x14ac:dyDescent="0.2">
      <c r="A207" s="5" t="s">
        <v>338</v>
      </c>
      <c r="B207" s="20">
        <f>Standing!$C$86</f>
        <v>1.4049979950417417E-2</v>
      </c>
      <c r="C207" s="25">
        <f t="shared" ref="C207:C225" si="12">0+10*(B207*$B$203)</f>
        <v>4181.5776431225313</v>
      </c>
      <c r="D207" s="17">
        <f t="shared" ref="D207:D225" si="13">IF($C$203&lt;&gt;0,0.1*C207/$C$203,"")</f>
        <v>1.4049979950417419E-2</v>
      </c>
      <c r="E207" s="6"/>
    </row>
    <row r="208" spans="1:9" x14ac:dyDescent="0.2">
      <c r="A208" s="5" t="s">
        <v>339</v>
      </c>
      <c r="B208" s="20">
        <f>Standing!$D$86</f>
        <v>1.2959488031181014E-2</v>
      </c>
      <c r="C208" s="25">
        <f t="shared" si="12"/>
        <v>3857.023683218179</v>
      </c>
      <c r="D208" s="17">
        <f t="shared" si="13"/>
        <v>1.2959488031181014E-2</v>
      </c>
      <c r="E208" s="6"/>
    </row>
    <row r="209" spans="1:5" x14ac:dyDescent="0.2">
      <c r="A209" s="5" t="s">
        <v>340</v>
      </c>
      <c r="B209" s="20">
        <f>Standing!$E$86</f>
        <v>2.1718648198677061E-2</v>
      </c>
      <c r="C209" s="25">
        <f t="shared" si="12"/>
        <v>6463.9390281644683</v>
      </c>
      <c r="D209" s="17">
        <f t="shared" si="13"/>
        <v>2.1718648198677061E-2</v>
      </c>
      <c r="E209" s="6"/>
    </row>
    <row r="210" spans="1:5" x14ac:dyDescent="0.2">
      <c r="A210" s="5" t="s">
        <v>341</v>
      </c>
      <c r="B210" s="20">
        <f>Standing!$F$86</f>
        <v>2.6894260377730152E-2</v>
      </c>
      <c r="C210" s="25">
        <f t="shared" si="12"/>
        <v>8004.3130538767346</v>
      </c>
      <c r="D210" s="17">
        <f t="shared" si="13"/>
        <v>2.6894260377730156E-2</v>
      </c>
      <c r="E210" s="6"/>
    </row>
    <row r="211" spans="1:5" x14ac:dyDescent="0.2">
      <c r="A211" s="5" t="s">
        <v>342</v>
      </c>
      <c r="B211" s="20">
        <f>Standing!$G$86</f>
        <v>0</v>
      </c>
      <c r="C211" s="25">
        <f t="shared" si="12"/>
        <v>0</v>
      </c>
      <c r="D211" s="17">
        <f t="shared" si="13"/>
        <v>0</v>
      </c>
      <c r="E211" s="6"/>
    </row>
    <row r="212" spans="1:5" x14ac:dyDescent="0.2">
      <c r="A212" s="5" t="s">
        <v>343</v>
      </c>
      <c r="B212" s="20">
        <f>Standing!$H$86</f>
        <v>2.7349683055915622E-2</v>
      </c>
      <c r="C212" s="25">
        <f t="shared" si="12"/>
        <v>8139.8566842585533</v>
      </c>
      <c r="D212" s="17">
        <f t="shared" si="13"/>
        <v>2.7349683055915622E-2</v>
      </c>
      <c r="E212" s="6"/>
    </row>
    <row r="213" spans="1:5" x14ac:dyDescent="0.2">
      <c r="A213" s="5" t="s">
        <v>344</v>
      </c>
      <c r="B213" s="20">
        <f>Standing!$I$86</f>
        <v>2.3639769093702804E-2</v>
      </c>
      <c r="C213" s="25">
        <f t="shared" si="12"/>
        <v>7035.7061205535592</v>
      </c>
      <c r="D213" s="17">
        <f t="shared" si="13"/>
        <v>2.3639769093702804E-2</v>
      </c>
      <c r="E213" s="6"/>
    </row>
    <row r="214" spans="1:5" x14ac:dyDescent="0.2">
      <c r="A214" s="5" t="s">
        <v>345</v>
      </c>
      <c r="B214" s="20">
        <f>Standing!$J$86</f>
        <v>0</v>
      </c>
      <c r="C214" s="25">
        <f t="shared" si="12"/>
        <v>0</v>
      </c>
      <c r="D214" s="17">
        <f t="shared" si="13"/>
        <v>0</v>
      </c>
      <c r="E214" s="6"/>
    </row>
    <row r="215" spans="1:5" x14ac:dyDescent="0.2">
      <c r="A215" s="5" t="s">
        <v>1495</v>
      </c>
      <c r="B215" s="20">
        <f>Standing!$K$86</f>
        <v>8.0823707543766794E-3</v>
      </c>
      <c r="C215" s="25">
        <f t="shared" si="12"/>
        <v>2405.4881906735259</v>
      </c>
      <c r="D215" s="17">
        <f t="shared" si="13"/>
        <v>8.0823707543766811E-3</v>
      </c>
      <c r="E215" s="6"/>
    </row>
    <row r="216" spans="1:5" x14ac:dyDescent="0.2">
      <c r="A216" s="5" t="s">
        <v>1496</v>
      </c>
      <c r="B216" s="20">
        <f>Standing!$L$86</f>
        <v>4.6385691679529323E-3</v>
      </c>
      <c r="C216" s="25">
        <f t="shared" si="12"/>
        <v>1380.5384204988281</v>
      </c>
      <c r="D216" s="17">
        <f t="shared" si="13"/>
        <v>4.6385691679529332E-3</v>
      </c>
      <c r="E216" s="6"/>
    </row>
    <row r="217" spans="1:5" x14ac:dyDescent="0.2">
      <c r="A217" s="5" t="s">
        <v>1497</v>
      </c>
      <c r="B217" s="20">
        <f>Standing!$M$86</f>
        <v>4.2785457222026414E-3</v>
      </c>
      <c r="C217" s="25">
        <f t="shared" si="12"/>
        <v>1273.3876631979517</v>
      </c>
      <c r="D217" s="17">
        <f t="shared" si="13"/>
        <v>4.2785457222026422E-3</v>
      </c>
      <c r="E217" s="6"/>
    </row>
    <row r="218" spans="1:5" x14ac:dyDescent="0.2">
      <c r="A218" s="5" t="s">
        <v>1498</v>
      </c>
      <c r="B218" s="20">
        <f>Standing!$N$86</f>
        <v>7.1703626809095089E-3</v>
      </c>
      <c r="C218" s="25">
        <f t="shared" si="12"/>
        <v>2134.0548801765763</v>
      </c>
      <c r="D218" s="17">
        <f t="shared" si="13"/>
        <v>7.1703626809095098E-3</v>
      </c>
      <c r="E218" s="6"/>
    </row>
    <row r="219" spans="1:5" x14ac:dyDescent="0.2">
      <c r="A219" s="5" t="s">
        <v>1499</v>
      </c>
      <c r="B219" s="20">
        <f>Standing!$O$86</f>
        <v>8.8790793597773778E-3</v>
      </c>
      <c r="C219" s="25">
        <f t="shared" si="12"/>
        <v>2642.6058879359989</v>
      </c>
      <c r="D219" s="17">
        <f t="shared" si="13"/>
        <v>8.8790793597773778E-3</v>
      </c>
      <c r="E219" s="6"/>
    </row>
    <row r="220" spans="1:5" x14ac:dyDescent="0.2">
      <c r="A220" s="5" t="s">
        <v>1500</v>
      </c>
      <c r="B220" s="20">
        <f>Standing!$P$86</f>
        <v>0</v>
      </c>
      <c r="C220" s="25">
        <f t="shared" si="12"/>
        <v>0</v>
      </c>
      <c r="D220" s="17">
        <f t="shared" si="13"/>
        <v>0</v>
      </c>
      <c r="E220" s="6"/>
    </row>
    <row r="221" spans="1:5" x14ac:dyDescent="0.2">
      <c r="A221" s="5" t="s">
        <v>1501</v>
      </c>
      <c r="B221" s="20">
        <f>Standing!$Q$86</f>
        <v>1.2899194470043753E-2</v>
      </c>
      <c r="C221" s="25">
        <f t="shared" si="12"/>
        <v>3839.0790165235962</v>
      </c>
      <c r="D221" s="17">
        <f t="shared" si="13"/>
        <v>1.2899194470043755E-2</v>
      </c>
      <c r="E221" s="6"/>
    </row>
    <row r="222" spans="1:5" x14ac:dyDescent="0.2">
      <c r="A222" s="5" t="s">
        <v>1502</v>
      </c>
      <c r="B222" s="20">
        <f>Standing!$R$86</f>
        <v>1.1149452011680492E-2</v>
      </c>
      <c r="C222" s="25">
        <f t="shared" si="12"/>
        <v>3318.317850249</v>
      </c>
      <c r="D222" s="17">
        <f t="shared" si="13"/>
        <v>1.1149452011680492E-2</v>
      </c>
      <c r="E222" s="6"/>
    </row>
    <row r="223" spans="1:5" x14ac:dyDescent="0.2">
      <c r="A223" s="5" t="s">
        <v>1503</v>
      </c>
      <c r="B223" s="20">
        <f>Standing!$S$86</f>
        <v>0</v>
      </c>
      <c r="C223" s="25">
        <f t="shared" si="12"/>
        <v>0</v>
      </c>
      <c r="D223" s="17">
        <f t="shared" si="13"/>
        <v>0</v>
      </c>
      <c r="E223" s="6"/>
    </row>
    <row r="224" spans="1:5" x14ac:dyDescent="0.2">
      <c r="A224" s="5" t="s">
        <v>1506</v>
      </c>
      <c r="B224" s="20">
        <f>Scaler!$B$412</f>
        <v>6.7909376358091855E-2</v>
      </c>
      <c r="C224" s="25">
        <f t="shared" si="12"/>
        <v>20211.297876546374</v>
      </c>
      <c r="D224" s="17">
        <f t="shared" si="13"/>
        <v>6.7909376358091869E-2</v>
      </c>
      <c r="E224" s="6"/>
    </row>
    <row r="225" spans="1:9" x14ac:dyDescent="0.2">
      <c r="A225" s="5" t="s">
        <v>1507</v>
      </c>
      <c r="B225" s="20">
        <f>Adjust!$B$78</f>
        <v>3.8122076734065091E-4</v>
      </c>
      <c r="C225" s="25">
        <f t="shared" si="12"/>
        <v>113.45953826491559</v>
      </c>
      <c r="D225" s="17">
        <f t="shared" si="13"/>
        <v>3.8122076734065091E-4</v>
      </c>
      <c r="E225" s="6"/>
    </row>
    <row r="228" spans="1:9" x14ac:dyDescent="0.2">
      <c r="A228" s="5" t="s">
        <v>1508</v>
      </c>
      <c r="B228" s="17">
        <f>SUM($B$207:$B$225)</f>
        <v>0.252</v>
      </c>
      <c r="C228" s="25">
        <f>SUM($C$207:$C$225)</f>
        <v>75000.645537260789</v>
      </c>
      <c r="D228" s="17">
        <f>SUM($D$207:$D$225)</f>
        <v>0.252</v>
      </c>
      <c r="E228" s="6"/>
    </row>
    <row r="230" spans="1:9" ht="16.5" x14ac:dyDescent="0.25">
      <c r="A230" s="3" t="s">
        <v>57</v>
      </c>
    </row>
    <row r="232" spans="1:9" x14ac:dyDescent="0.2">
      <c r="B232" s="4" t="s">
        <v>105</v>
      </c>
      <c r="C232" s="4" t="s">
        <v>106</v>
      </c>
      <c r="D232" s="4" t="s">
        <v>108</v>
      </c>
      <c r="E232" s="4" t="s">
        <v>1489</v>
      </c>
      <c r="F232" s="4" t="s">
        <v>1490</v>
      </c>
    </row>
    <row r="233" spans="1:9" x14ac:dyDescent="0.2">
      <c r="A233" s="5" t="s">
        <v>57</v>
      </c>
      <c r="B233" s="27">
        <f>Loads!B$304</f>
        <v>1029447.8754551987</v>
      </c>
      <c r="C233" s="27">
        <f>Loads!C$304</f>
        <v>253908.36483987715</v>
      </c>
      <c r="D233" s="27">
        <f>Loads!E$304</f>
        <v>11230.415229434841</v>
      </c>
      <c r="E233" s="27">
        <f>Multi!B$121</f>
        <v>1283356.2402950758</v>
      </c>
      <c r="F233" s="17">
        <f>IF(D233,E233/D233,"")</f>
        <v>114.27504807938071</v>
      </c>
      <c r="G233" s="6"/>
    </row>
    <row r="236" spans="1:9" ht="25.5" x14ac:dyDescent="0.2">
      <c r="B236" s="4" t="s">
        <v>1319</v>
      </c>
      <c r="C236" s="4" t="s">
        <v>1320</v>
      </c>
      <c r="D236" s="4" t="s">
        <v>1322</v>
      </c>
      <c r="E236" s="4" t="s">
        <v>1509</v>
      </c>
      <c r="F236" s="4" t="s">
        <v>1491</v>
      </c>
      <c r="G236" s="4" t="s">
        <v>1461</v>
      </c>
      <c r="H236" s="4" t="s">
        <v>1492</v>
      </c>
    </row>
    <row r="237" spans="1:9" x14ac:dyDescent="0.2">
      <c r="A237" s="5" t="s">
        <v>338</v>
      </c>
      <c r="B237" s="20">
        <f>Standing!$C$87</f>
        <v>0.1352227986222434</v>
      </c>
      <c r="C237" s="20">
        <f>Standing!$C$112</f>
        <v>1.2621371314685966E-2</v>
      </c>
      <c r="D237" s="30">
        <f>NHH!$C$92</f>
        <v>0</v>
      </c>
      <c r="E237" s="17">
        <f t="shared" ref="E237:E259" si="14">IF(E$233&lt;&gt;0,(($B237*B$233+$C237*C$233))/E$233,0)</f>
        <v>0.11096645657372575</v>
      </c>
      <c r="F237" s="25">
        <f>0.01*Input!$F$14*(D237*$D$233)+10*(B237*$B$233+C237*$C$233)</f>
        <v>1424094.9450732348</v>
      </c>
      <c r="G237" s="17">
        <f t="shared" ref="G237:G259" si="15">IF($E$233&lt;&gt;0,0.1*F237/$E$233,"")</f>
        <v>0.11096645657372575</v>
      </c>
      <c r="H237" s="29">
        <f t="shared" ref="H237:H259" si="16">IF($D$233&lt;&gt;0,F237/$D$233,"")</f>
        <v>126.80697160161023</v>
      </c>
      <c r="I237" s="6"/>
    </row>
    <row r="238" spans="1:9" x14ac:dyDescent="0.2">
      <c r="A238" s="5" t="s">
        <v>339</v>
      </c>
      <c r="B238" s="20">
        <f>Standing!$D$87</f>
        <v>0.12472745487695168</v>
      </c>
      <c r="C238" s="20">
        <f>Standing!$D$112</f>
        <v>1.1641761131830276E-2</v>
      </c>
      <c r="D238" s="30">
        <f>NHH!$D$92</f>
        <v>0</v>
      </c>
      <c r="E238" s="17">
        <f t="shared" si="14"/>
        <v>0.10235377352172254</v>
      </c>
      <c r="F238" s="25">
        <f>0.01*Input!$F$14*(D238*$D$233)+10*(B238*$B$233+C238*$C$233)</f>
        <v>1313563.5396685151</v>
      </c>
      <c r="G238" s="17">
        <f t="shared" si="15"/>
        <v>0.10235377352172254</v>
      </c>
      <c r="H238" s="29">
        <f t="shared" si="16"/>
        <v>116.96482390300888</v>
      </c>
      <c r="I238" s="6"/>
    </row>
    <row r="239" spans="1:9" x14ac:dyDescent="0.2">
      <c r="A239" s="5" t="s">
        <v>340</v>
      </c>
      <c r="B239" s="20">
        <f>Standing!$E$87</f>
        <v>0.19058072689170874</v>
      </c>
      <c r="C239" s="20">
        <f>Standing!$E$112</f>
        <v>1.9100726562234497E-2</v>
      </c>
      <c r="D239" s="30">
        <f>NHH!$E$92</f>
        <v>0</v>
      </c>
      <c r="E239" s="17">
        <f t="shared" si="14"/>
        <v>0.15665389884559475</v>
      </c>
      <c r="F239" s="25">
        <f>0.01*Input!$F$14*(D239*$D$233)+10*(B239*$B$233+C239*$C$233)</f>
        <v>2010427.5865004759</v>
      </c>
      <c r="G239" s="17">
        <f t="shared" si="15"/>
        <v>0.15665389884559475</v>
      </c>
      <c r="H239" s="29">
        <f t="shared" si="16"/>
        <v>179.01631822402783</v>
      </c>
      <c r="I239" s="6"/>
    </row>
    <row r="240" spans="1:9" x14ac:dyDescent="0.2">
      <c r="A240" s="5" t="s">
        <v>341</v>
      </c>
      <c r="B240" s="20">
        <f>Standing!$F$87</f>
        <v>0.23599662580818004</v>
      </c>
      <c r="C240" s="20">
        <f>Standing!$F$112</f>
        <v>2.3652480986355862E-2</v>
      </c>
      <c r="D240" s="30">
        <f>NHH!$F$92</f>
        <v>0</v>
      </c>
      <c r="E240" s="17">
        <f t="shared" si="14"/>
        <v>0.19398494354711524</v>
      </c>
      <c r="F240" s="25">
        <f>0.01*Input!$F$14*(D240*$D$233)+10*(B240*$B$233+C240*$C$233)</f>
        <v>2489517.8782447837</v>
      </c>
      <c r="G240" s="17">
        <f t="shared" si="15"/>
        <v>0.19398494354711526</v>
      </c>
      <c r="H240" s="29">
        <f t="shared" si="16"/>
        <v>221.67638750522551</v>
      </c>
      <c r="I240" s="6"/>
    </row>
    <row r="241" spans="1:9" x14ac:dyDescent="0.2">
      <c r="A241" s="5" t="s">
        <v>342</v>
      </c>
      <c r="B241" s="20">
        <f>Standing!$G$87</f>
        <v>0</v>
      </c>
      <c r="C241" s="20">
        <f>Standing!$G$112</f>
        <v>0</v>
      </c>
      <c r="D241" s="30">
        <f>NHH!$G$92</f>
        <v>0</v>
      </c>
      <c r="E241" s="17">
        <f t="shared" si="14"/>
        <v>0</v>
      </c>
      <c r="F241" s="25">
        <f>0.01*Input!$F$14*(D241*$D$233)+10*(B241*$B$233+C241*$C$233)</f>
        <v>0</v>
      </c>
      <c r="G241" s="17">
        <f t="shared" si="15"/>
        <v>0</v>
      </c>
      <c r="H241" s="29">
        <f t="shared" si="16"/>
        <v>0</v>
      </c>
      <c r="I241" s="6"/>
    </row>
    <row r="242" spans="1:9" x14ac:dyDescent="0.2">
      <c r="A242" s="5" t="s">
        <v>343</v>
      </c>
      <c r="B242" s="20">
        <f>Standing!$H$87</f>
        <v>0.23999295118983255</v>
      </c>
      <c r="C242" s="20">
        <f>Standing!$H$112</f>
        <v>2.4053007942116896E-2</v>
      </c>
      <c r="D242" s="30">
        <f>NHH!$H$92</f>
        <v>0</v>
      </c>
      <c r="E242" s="17">
        <f t="shared" si="14"/>
        <v>0.19726985048551307</v>
      </c>
      <c r="F242" s="25">
        <f>0.01*Input!$F$14*(D242*$D$233)+10*(B242*$B$233+C242*$C$233)</f>
        <v>2531674.9364265981</v>
      </c>
      <c r="G242" s="17">
        <f t="shared" si="15"/>
        <v>0.1972698504855131</v>
      </c>
      <c r="H242" s="29">
        <f t="shared" si="16"/>
        <v>225.43021648844254</v>
      </c>
      <c r="I242" s="6"/>
    </row>
    <row r="243" spans="1:9" x14ac:dyDescent="0.2">
      <c r="A243" s="5" t="s">
        <v>344</v>
      </c>
      <c r="B243" s="20">
        <f>Standing!$I$87</f>
        <v>0.20743852638602339</v>
      </c>
      <c r="C243" s="20">
        <f>Standing!$I$112</f>
        <v>2.079027945582191E-2</v>
      </c>
      <c r="D243" s="30">
        <f>NHH!$I$92</f>
        <v>0</v>
      </c>
      <c r="E243" s="17">
        <f t="shared" si="14"/>
        <v>0.17051070409454447</v>
      </c>
      <c r="F243" s="25">
        <f>0.01*Input!$F$14*(D243*$D$233)+10*(B243*$B$233+C243*$C$233)</f>
        <v>2188259.7613684079</v>
      </c>
      <c r="G243" s="17">
        <f t="shared" si="15"/>
        <v>0.17051070409454447</v>
      </c>
      <c r="H243" s="29">
        <f t="shared" si="16"/>
        <v>194.85118908453128</v>
      </c>
      <c r="I243" s="6"/>
    </row>
    <row r="244" spans="1:9" x14ac:dyDescent="0.2">
      <c r="A244" s="5" t="s">
        <v>345</v>
      </c>
      <c r="B244" s="20">
        <f>Standing!$J$87</f>
        <v>0</v>
      </c>
      <c r="C244" s="20">
        <f>Standing!$J$112</f>
        <v>0</v>
      </c>
      <c r="D244" s="30">
        <f>NHH!$J$92</f>
        <v>1.1317063802337575</v>
      </c>
      <c r="E244" s="17">
        <f t="shared" si="14"/>
        <v>0</v>
      </c>
      <c r="F244" s="25">
        <f>0.01*Input!$F$14*(D244*$D$233)+10*(B244*$B$233+C244*$C$233)</f>
        <v>46389.793872564049</v>
      </c>
      <c r="G244" s="17">
        <f t="shared" si="15"/>
        <v>3.6147246116088449E-3</v>
      </c>
      <c r="H244" s="29">
        <f t="shared" si="16"/>
        <v>4.1307282878532146</v>
      </c>
      <c r="I244" s="6"/>
    </row>
    <row r="245" spans="1:9" x14ac:dyDescent="0.2">
      <c r="A245" s="5" t="s">
        <v>1493</v>
      </c>
      <c r="B245" s="21"/>
      <c r="C245" s="21"/>
      <c r="D245" s="30">
        <f>SM!$B$114</f>
        <v>0</v>
      </c>
      <c r="E245" s="17">
        <f t="shared" si="14"/>
        <v>0</v>
      </c>
      <c r="F245" s="25">
        <f>0.01*Input!$F$14*(D245*$D$233)+10*(B245*$B$233+C245*$C$233)</f>
        <v>0</v>
      </c>
      <c r="G245" s="17">
        <f t="shared" si="15"/>
        <v>0</v>
      </c>
      <c r="H245" s="29">
        <f t="shared" si="16"/>
        <v>0</v>
      </c>
      <c r="I245" s="6"/>
    </row>
    <row r="246" spans="1:9" x14ac:dyDescent="0.2">
      <c r="A246" s="5" t="s">
        <v>1494</v>
      </c>
      <c r="B246" s="21"/>
      <c r="C246" s="21"/>
      <c r="D246" s="30">
        <f>SM!$C$114</f>
        <v>0</v>
      </c>
      <c r="E246" s="17">
        <f t="shared" si="14"/>
        <v>0</v>
      </c>
      <c r="F246" s="25">
        <f>0.01*Input!$F$14*(D246*$D$233)+10*(B246*$B$233+C246*$C$233)</f>
        <v>0</v>
      </c>
      <c r="G246" s="17">
        <f t="shared" si="15"/>
        <v>0</v>
      </c>
      <c r="H246" s="29">
        <f t="shared" si="16"/>
        <v>0</v>
      </c>
      <c r="I246" s="6"/>
    </row>
    <row r="247" spans="1:9" x14ac:dyDescent="0.2">
      <c r="A247" s="5" t="s">
        <v>1495</v>
      </c>
      <c r="B247" s="20">
        <f>Standing!$K$87</f>
        <v>9.3196826279733205E-2</v>
      </c>
      <c r="C247" s="20">
        <f>Standing!$K$112</f>
        <v>7.4290505434192414E-3</v>
      </c>
      <c r="D247" s="30">
        <f>NHH!$K$92</f>
        <v>0</v>
      </c>
      <c r="E247" s="17">
        <f t="shared" si="14"/>
        <v>7.6227916939210841E-2</v>
      </c>
      <c r="F247" s="25">
        <f>0.01*Input!$F$14*(D247*$D$233)+10*(B247*$B$233+C247*$C$233)</f>
        <v>978275.72888630955</v>
      </c>
      <c r="G247" s="17">
        <f t="shared" si="15"/>
        <v>7.6227916939210855E-2</v>
      </c>
      <c r="H247" s="29">
        <f t="shared" si="16"/>
        <v>87.109488732193597</v>
      </c>
      <c r="I247" s="6"/>
    </row>
    <row r="248" spans="1:9" x14ac:dyDescent="0.2">
      <c r="A248" s="5" t="s">
        <v>1496</v>
      </c>
      <c r="B248" s="20">
        <f>Standing!$L$87</f>
        <v>4.4643501749254189E-2</v>
      </c>
      <c r="C248" s="20">
        <f>Standing!$L$112</f>
        <v>4.1669172514262939E-3</v>
      </c>
      <c r="D248" s="30">
        <f>NHH!$L$92</f>
        <v>0</v>
      </c>
      <c r="E248" s="17">
        <f t="shared" si="14"/>
        <v>3.6635325171733062E-2</v>
      </c>
      <c r="F248" s="25">
        <f>0.01*Input!$F$14*(D248*$D$233)+10*(B248*$B$233+C248*$C$233)</f>
        <v>470161.73174382892</v>
      </c>
      <c r="G248" s="17">
        <f t="shared" si="15"/>
        <v>3.6635325171733062E-2</v>
      </c>
      <c r="H248" s="29">
        <f t="shared" si="16"/>
        <v>41.865035454035421</v>
      </c>
      <c r="I248" s="6"/>
    </row>
    <row r="249" spans="1:9" x14ac:dyDescent="0.2">
      <c r="A249" s="5" t="s">
        <v>1497</v>
      </c>
      <c r="B249" s="20">
        <f>Standing!$M$87</f>
        <v>4.1178487701135837E-2</v>
      </c>
      <c r="C249" s="20">
        <f>Standing!$M$112</f>
        <v>3.8435011606672374E-3</v>
      </c>
      <c r="D249" s="30">
        <f>NHH!$M$92</f>
        <v>0</v>
      </c>
      <c r="E249" s="17">
        <f t="shared" si="14"/>
        <v>3.3791867302087795E-2</v>
      </c>
      <c r="F249" s="25">
        <f>0.01*Input!$F$14*(D249*$D$233)+10*(B249*$B$233+C249*$C$233)</f>
        <v>433670.03773357498</v>
      </c>
      <c r="G249" s="17">
        <f t="shared" si="15"/>
        <v>3.3791867302087795E-2</v>
      </c>
      <c r="H249" s="29">
        <f t="shared" si="16"/>
        <v>38.615672606381359</v>
      </c>
      <c r="I249" s="6"/>
    </row>
    <row r="250" spans="1:9" x14ac:dyDescent="0.2">
      <c r="A250" s="5" t="s">
        <v>1498</v>
      </c>
      <c r="B250" s="20">
        <f>Standing!$N$87</f>
        <v>6.2919796817195769E-2</v>
      </c>
      <c r="C250" s="20">
        <f>Standing!$N$112</f>
        <v>6.3060617616360554E-3</v>
      </c>
      <c r="D250" s="30">
        <f>NHH!$N$92</f>
        <v>0</v>
      </c>
      <c r="E250" s="17">
        <f t="shared" si="14"/>
        <v>5.1718931115144015E-2</v>
      </c>
      <c r="F250" s="25">
        <f>0.01*Input!$F$14*(D250*$D$233)+10*(B250*$B$233+C250*$C$233)</f>
        <v>663738.12988011236</v>
      </c>
      <c r="G250" s="17">
        <f t="shared" si="15"/>
        <v>5.1718931115144015E-2</v>
      </c>
      <c r="H250" s="29">
        <f t="shared" si="16"/>
        <v>59.101833397972619</v>
      </c>
      <c r="I250" s="6"/>
    </row>
    <row r="251" spans="1:9" x14ac:dyDescent="0.2">
      <c r="A251" s="5" t="s">
        <v>1499</v>
      </c>
      <c r="B251" s="20">
        <f>Standing!$O$87</f>
        <v>7.7913753334731758E-2</v>
      </c>
      <c r="C251" s="20">
        <f>Standing!$O$112</f>
        <v>7.808813210843318E-3</v>
      </c>
      <c r="D251" s="30">
        <f>NHH!$O$92</f>
        <v>0</v>
      </c>
      <c r="E251" s="17">
        <f t="shared" si="14"/>
        <v>6.4043691262207533E-2</v>
      </c>
      <c r="F251" s="25">
        <f>0.01*Input!$F$14*(D251*$D$233)+10*(B251*$B$233+C251*$C$233)</f>
        <v>821908.70832885266</v>
      </c>
      <c r="G251" s="17">
        <f t="shared" si="15"/>
        <v>6.4043691262207533E-2</v>
      </c>
      <c r="H251" s="29">
        <f t="shared" si="16"/>
        <v>73.185958981697809</v>
      </c>
      <c r="I251" s="6"/>
    </row>
    <row r="252" spans="1:9" x14ac:dyDescent="0.2">
      <c r="A252" s="5" t="s">
        <v>1500</v>
      </c>
      <c r="B252" s="20">
        <f>Standing!$P$87</f>
        <v>0</v>
      </c>
      <c r="C252" s="20">
        <f>Standing!$P$112</f>
        <v>0</v>
      </c>
      <c r="D252" s="30">
        <f>NHH!$P$92</f>
        <v>0</v>
      </c>
      <c r="E252" s="17">
        <f t="shared" si="14"/>
        <v>0</v>
      </c>
      <c r="F252" s="25">
        <f>0.01*Input!$F$14*(D252*$D$233)+10*(B252*$B$233+C252*$C$233)</f>
        <v>0</v>
      </c>
      <c r="G252" s="17">
        <f t="shared" si="15"/>
        <v>0</v>
      </c>
      <c r="H252" s="29">
        <f t="shared" si="16"/>
        <v>0</v>
      </c>
      <c r="I252" s="6"/>
    </row>
    <row r="253" spans="1:9" x14ac:dyDescent="0.2">
      <c r="A253" s="5" t="s">
        <v>1501</v>
      </c>
      <c r="B253" s="20">
        <f>Standing!$Q$87</f>
        <v>0.11319018734177902</v>
      </c>
      <c r="C253" s="20">
        <f>Standing!$Q$112</f>
        <v>1.1344351830350147E-2</v>
      </c>
      <c r="D253" s="30">
        <f>NHH!$Q$92</f>
        <v>0</v>
      </c>
      <c r="E253" s="17">
        <f t="shared" si="14"/>
        <v>9.3040279819209717E-2</v>
      </c>
      <c r="F253" s="25">
        <f>0.01*Input!$F$14*(D253*$D$233)+10*(B253*$B$233+C253*$C$233)</f>
        <v>1194038.237047828</v>
      </c>
      <c r="G253" s="17">
        <f t="shared" si="15"/>
        <v>9.3040279819209731E-2</v>
      </c>
      <c r="H253" s="29">
        <f t="shared" si="16"/>
        <v>106.32182449659226</v>
      </c>
      <c r="I253" s="6"/>
    </row>
    <row r="254" spans="1:9" x14ac:dyDescent="0.2">
      <c r="A254" s="5" t="s">
        <v>1502</v>
      </c>
      <c r="B254" s="20">
        <f>Standing!$R$87</f>
        <v>9.7836230385633494E-2</v>
      </c>
      <c r="C254" s="20">
        <f>Standing!$R$112</f>
        <v>9.805519765582674E-3</v>
      </c>
      <c r="D254" s="30">
        <f>NHH!$R$92</f>
        <v>0</v>
      </c>
      <c r="E254" s="17">
        <f t="shared" si="14"/>
        <v>8.041960584489781E-2</v>
      </c>
      <c r="F254" s="25">
        <f>0.01*Input!$F$14*(D254*$D$233)+10*(B254*$B$233+C254*$C$233)</f>
        <v>1032070.0300311996</v>
      </c>
      <c r="G254" s="17">
        <f t="shared" si="15"/>
        <v>8.041960584489781E-2</v>
      </c>
      <c r="H254" s="29">
        <f t="shared" si="16"/>
        <v>91.899543244505438</v>
      </c>
      <c r="I254" s="6"/>
    </row>
    <row r="255" spans="1:9" x14ac:dyDescent="0.2">
      <c r="A255" s="5" t="s">
        <v>1503</v>
      </c>
      <c r="B255" s="20">
        <f>Standing!$S$87</f>
        <v>0</v>
      </c>
      <c r="C255" s="20">
        <f>Standing!$S$112</f>
        <v>0</v>
      </c>
      <c r="D255" s="30">
        <f>NHH!$S$92</f>
        <v>12.454343567401223</v>
      </c>
      <c r="E255" s="17">
        <f t="shared" si="14"/>
        <v>0</v>
      </c>
      <c r="F255" s="25">
        <f>0.01*Input!$F$14*(D255*$D$233)+10*(B255*$B$233+C255*$C$233)</f>
        <v>510516.19130264135</v>
      </c>
      <c r="G255" s="17">
        <f t="shared" si="15"/>
        <v>3.9779772386914242E-2</v>
      </c>
      <c r="H255" s="29">
        <f t="shared" si="16"/>
        <v>45.458354021014465</v>
      </c>
      <c r="I255" s="6"/>
    </row>
    <row r="256" spans="1:9" x14ac:dyDescent="0.2">
      <c r="A256" s="5" t="s">
        <v>1504</v>
      </c>
      <c r="B256" s="21"/>
      <c r="C256" s="21"/>
      <c r="D256" s="30">
        <f>Otex!$B$127</f>
        <v>10.611719362122869</v>
      </c>
      <c r="E256" s="17">
        <f t="shared" si="14"/>
        <v>0</v>
      </c>
      <c r="F256" s="25">
        <f>0.01*Input!$F$14*(D256*$D$233)+10*(B256*$B$233+C256*$C$233)</f>
        <v>434985.15378228732</v>
      </c>
      <c r="G256" s="17">
        <f t="shared" si="15"/>
        <v>3.3894342048180898E-2</v>
      </c>
      <c r="H256" s="29">
        <f t="shared" si="16"/>
        <v>38.73277567174847</v>
      </c>
      <c r="I256" s="6"/>
    </row>
    <row r="257" spans="1:9" x14ac:dyDescent="0.2">
      <c r="A257" s="5" t="s">
        <v>1505</v>
      </c>
      <c r="B257" s="21"/>
      <c r="C257" s="21"/>
      <c r="D257" s="30">
        <f>Otex!$C$127</f>
        <v>0</v>
      </c>
      <c r="E257" s="17">
        <f t="shared" si="14"/>
        <v>0</v>
      </c>
      <c r="F257" s="25">
        <f>0.01*Input!$F$14*(D257*$D$233)+10*(B257*$B$233+C257*$C$233)</f>
        <v>0</v>
      </c>
      <c r="G257" s="17">
        <f t="shared" si="15"/>
        <v>0</v>
      </c>
      <c r="H257" s="29">
        <f t="shared" si="16"/>
        <v>0</v>
      </c>
      <c r="I257" s="6"/>
    </row>
    <row r="258" spans="1:9" x14ac:dyDescent="0.2">
      <c r="A258" s="5" t="s">
        <v>1506</v>
      </c>
      <c r="B258" s="20">
        <f>Scaler!$B$413</f>
        <v>0.78305469317686638</v>
      </c>
      <c r="C258" s="20">
        <f>Scaler!$C$413</f>
        <v>6.2420075082939189E-2</v>
      </c>
      <c r="D258" s="30">
        <f>Scaler!$E$413</f>
        <v>0</v>
      </c>
      <c r="E258" s="17">
        <f t="shared" si="14"/>
        <v>0.64047919326332114</v>
      </c>
      <c r="F258" s="25">
        <f>0.01*Input!$F$14*(D258*$D$233)+10*(B258*$B$233+C258*$C$233)</f>
        <v>8219629.6945363898</v>
      </c>
      <c r="G258" s="17">
        <f t="shared" si="15"/>
        <v>0.64047919326332114</v>
      </c>
      <c r="H258" s="29">
        <f t="shared" si="16"/>
        <v>731.90790604008987</v>
      </c>
      <c r="I258" s="6"/>
    </row>
    <row r="259" spans="1:9" x14ac:dyDescent="0.2">
      <c r="A259" s="5" t="s">
        <v>1507</v>
      </c>
      <c r="B259" s="20">
        <f>Adjust!$B$79</f>
        <v>1.0743943873059436E-4</v>
      </c>
      <c r="C259" s="20">
        <f>Adjust!$C$79</f>
        <v>1.6082000090428261E-5</v>
      </c>
      <c r="D259" s="30">
        <f>Adjust!$E$79</f>
        <v>2.2306902421505015E-3</v>
      </c>
      <c r="E259" s="17">
        <f t="shared" si="14"/>
        <v>8.9364630557494626E-5</v>
      </c>
      <c r="F259" s="25">
        <f>0.01*Input!$F$14*(D259*$D$233)+10*(B259*$B$233+C259*$C$233)</f>
        <v>1238.3048213629825</v>
      </c>
      <c r="G259" s="17">
        <f t="shared" si="15"/>
        <v>9.648956248331057E-5</v>
      </c>
      <c r="H259" s="29">
        <f t="shared" si="16"/>
        <v>0.11026349391938725</v>
      </c>
      <c r="I259" s="6"/>
    </row>
    <row r="262" spans="1:9" x14ac:dyDescent="0.2">
      <c r="A262" s="5" t="s">
        <v>1508</v>
      </c>
      <c r="B262" s="17">
        <f>SUM($B$237:$B$259)</f>
        <v>2.448</v>
      </c>
      <c r="C262" s="17">
        <f>SUM($C$237:$C$259)</f>
        <v>0.22500000000000001</v>
      </c>
      <c r="D262" s="29">
        <f>SUM($D$237:$D$259)</f>
        <v>24.2</v>
      </c>
      <c r="E262" s="17">
        <f>SUM(E$237:E$259)</f>
        <v>2.0081858024165853</v>
      </c>
      <c r="F262" s="25">
        <f>SUM($F$237:$F$259)</f>
        <v>26764160.389248967</v>
      </c>
      <c r="G262" s="17">
        <f>SUM($G$237:$G$259)</f>
        <v>2.085481766395215</v>
      </c>
      <c r="H262" s="29">
        <f>SUM($H$237:$H$259)</f>
        <v>2383.1852912348495</v>
      </c>
      <c r="I262" s="6"/>
    </row>
    <row r="264" spans="1:9" ht="16.5" x14ac:dyDescent="0.25">
      <c r="A264" s="3" t="s">
        <v>58</v>
      </c>
    </row>
    <row r="266" spans="1:9" x14ac:dyDescent="0.2">
      <c r="B266" s="4" t="s">
        <v>105</v>
      </c>
      <c r="C266" s="4" t="s">
        <v>106</v>
      </c>
      <c r="D266" s="4" t="s">
        <v>108</v>
      </c>
      <c r="E266" s="4" t="s">
        <v>1489</v>
      </c>
      <c r="F266" s="4" t="s">
        <v>1490</v>
      </c>
    </row>
    <row r="267" spans="1:9" x14ac:dyDescent="0.2">
      <c r="A267" s="5" t="s">
        <v>58</v>
      </c>
      <c r="B267" s="27">
        <f>Loads!B$305</f>
        <v>34485.961825356251</v>
      </c>
      <c r="C267" s="27">
        <f>Loads!C$305</f>
        <v>9407.0686626999159</v>
      </c>
      <c r="D267" s="27">
        <f>Loads!E$305</f>
        <v>348.75333450159138</v>
      </c>
      <c r="E267" s="27">
        <f>Multi!B$122</f>
        <v>43893.030488056167</v>
      </c>
      <c r="F267" s="17">
        <f>IF(D267,E267/D267,"")</f>
        <v>125.85694858167982</v>
      </c>
      <c r="G267" s="6"/>
    </row>
    <row r="270" spans="1:9" ht="25.5" x14ac:dyDescent="0.2">
      <c r="B270" s="4" t="s">
        <v>1319</v>
      </c>
      <c r="C270" s="4" t="s">
        <v>1320</v>
      </c>
      <c r="D270" s="4" t="s">
        <v>1322</v>
      </c>
      <c r="E270" s="4" t="s">
        <v>1509</v>
      </c>
      <c r="F270" s="4" t="s">
        <v>1491</v>
      </c>
      <c r="G270" s="4" t="s">
        <v>1461</v>
      </c>
      <c r="H270" s="4" t="s">
        <v>1492</v>
      </c>
    </row>
    <row r="271" spans="1:9" x14ac:dyDescent="0.2">
      <c r="A271" s="5" t="s">
        <v>338</v>
      </c>
      <c r="B271" s="20">
        <f>Standing!$C$88</f>
        <v>0.13062404868376987</v>
      </c>
      <c r="C271" s="20">
        <f>Standing!$C$113</f>
        <v>1.2072930352646621E-2</v>
      </c>
      <c r="D271" s="30">
        <f>NHH!$C$93</f>
        <v>0</v>
      </c>
      <c r="E271" s="17">
        <f t="shared" ref="E271:E293" si="17">IF(E$267&lt;&gt;0,(($B271*B$267+$C271*C$267))/E$267,0)</f>
        <v>0.105216404286006</v>
      </c>
      <c r="F271" s="25">
        <f>0.01*Input!$F$14*(D271*$D$267)+10*(B271*$B$267+C271*$C$267)</f>
        <v>46182.668411693048</v>
      </c>
      <c r="G271" s="17">
        <f t="shared" ref="G271:G293" si="18">IF($E$267&lt;&gt;0,0.1*F271/$E$267,"")</f>
        <v>0.105216404286006</v>
      </c>
      <c r="H271" s="29">
        <f t="shared" ref="H271:H293" si="19">IF($D$267&lt;&gt;0,F271/$D$267,"")</f>
        <v>132.42215584173093</v>
      </c>
      <c r="I271" s="6"/>
    </row>
    <row r="272" spans="1:9" x14ac:dyDescent="0.2">
      <c r="A272" s="5" t="s">
        <v>339</v>
      </c>
      <c r="B272" s="20">
        <f>Standing!$D$88</f>
        <v>0.12048563780700838</v>
      </c>
      <c r="C272" s="20">
        <f>Standing!$D$113</f>
        <v>1.1135887521445009E-2</v>
      </c>
      <c r="D272" s="30">
        <f>NHH!$D$93</f>
        <v>0</v>
      </c>
      <c r="E272" s="17">
        <f t="shared" si="17"/>
        <v>9.7050012657696902E-2</v>
      </c>
      <c r="F272" s="25">
        <f>0.01*Input!$F$14*(D272*$D$267)+10*(B272*$B$267+C272*$C$267)</f>
        <v>42598.19164450527</v>
      </c>
      <c r="G272" s="17">
        <f t="shared" si="18"/>
        <v>9.7050012657696902E-2</v>
      </c>
      <c r="H272" s="29">
        <f t="shared" si="19"/>
        <v>122.14418452911134</v>
      </c>
      <c r="I272" s="6"/>
    </row>
    <row r="273" spans="1:9" x14ac:dyDescent="0.2">
      <c r="A273" s="5" t="s">
        <v>340</v>
      </c>
      <c r="B273" s="20">
        <f>Standing!$E$88</f>
        <v>0.18423221782405896</v>
      </c>
      <c r="C273" s="20">
        <f>Standing!$E$113</f>
        <v>1.8270735859144002E-2</v>
      </c>
      <c r="D273" s="30">
        <f>NHH!$E$93</f>
        <v>0</v>
      </c>
      <c r="E273" s="17">
        <f t="shared" si="17"/>
        <v>0.14866367678581341</v>
      </c>
      <c r="F273" s="25">
        <f>0.01*Input!$F$14*(D273*$D$267)+10*(B273*$B$267+C273*$C$267)</f>
        <v>65252.992976262358</v>
      </c>
      <c r="G273" s="17">
        <f t="shared" si="18"/>
        <v>0.14866367678581341</v>
      </c>
      <c r="H273" s="29">
        <f t="shared" si="19"/>
        <v>187.10356725195584</v>
      </c>
      <c r="I273" s="6"/>
    </row>
    <row r="274" spans="1:9" x14ac:dyDescent="0.2">
      <c r="A274" s="5" t="s">
        <v>341</v>
      </c>
      <c r="B274" s="20">
        <f>Standing!$F$88</f>
        <v>0.22813524998433138</v>
      </c>
      <c r="C274" s="20">
        <f>Standing!$F$113</f>
        <v>2.2624701270242093E-2</v>
      </c>
      <c r="D274" s="30">
        <f>NHH!$F$93</f>
        <v>0</v>
      </c>
      <c r="E274" s="17">
        <f t="shared" si="17"/>
        <v>0.18409063011720611</v>
      </c>
      <c r="F274" s="25">
        <f>0.01*Input!$F$14*(D274*$D$267)+10*(B274*$B$267+C274*$C$267)</f>
        <v>80802.956402999989</v>
      </c>
      <c r="G274" s="17">
        <f t="shared" si="18"/>
        <v>0.18409063011720611</v>
      </c>
      <c r="H274" s="29">
        <f t="shared" si="19"/>
        <v>231.69084969030249</v>
      </c>
      <c r="I274" s="6"/>
    </row>
    <row r="275" spans="1:9" x14ac:dyDescent="0.2">
      <c r="A275" s="5" t="s">
        <v>342</v>
      </c>
      <c r="B275" s="20">
        <f>Standing!$G$88</f>
        <v>0</v>
      </c>
      <c r="C275" s="20">
        <f>Standing!$G$113</f>
        <v>0</v>
      </c>
      <c r="D275" s="30">
        <f>NHH!$G$93</f>
        <v>0</v>
      </c>
      <c r="E275" s="17">
        <f t="shared" si="17"/>
        <v>0</v>
      </c>
      <c r="F275" s="25">
        <f>0.01*Input!$F$14*(D275*$D$267)+10*(B275*$B$267+C275*$C$267)</f>
        <v>0</v>
      </c>
      <c r="G275" s="17">
        <f t="shared" si="18"/>
        <v>0</v>
      </c>
      <c r="H275" s="29">
        <f t="shared" si="19"/>
        <v>0</v>
      </c>
      <c r="I275" s="6"/>
    </row>
    <row r="276" spans="1:9" x14ac:dyDescent="0.2">
      <c r="A276" s="5" t="s">
        <v>343</v>
      </c>
      <c r="B276" s="20">
        <f>Standing!$H$88</f>
        <v>0.23199845220953211</v>
      </c>
      <c r="C276" s="20">
        <f>Standing!$H$113</f>
        <v>2.3007823984937448E-2</v>
      </c>
      <c r="D276" s="30">
        <f>NHH!$H$93</f>
        <v>0</v>
      </c>
      <c r="E276" s="17">
        <f t="shared" si="17"/>
        <v>0.187207988491049</v>
      </c>
      <c r="F276" s="25">
        <f>0.01*Input!$F$14*(D276*$D$267)+10*(B276*$B$267+C276*$C$267)</f>
        <v>82171.259464452814</v>
      </c>
      <c r="G276" s="17">
        <f t="shared" si="18"/>
        <v>0.187207988491049</v>
      </c>
      <c r="H276" s="29">
        <f t="shared" si="19"/>
        <v>235.61426181597659</v>
      </c>
      <c r="I276" s="6"/>
    </row>
    <row r="277" spans="1:9" x14ac:dyDescent="0.2">
      <c r="A277" s="5" t="s">
        <v>344</v>
      </c>
      <c r="B277" s="20">
        <f>Standing!$I$88</f>
        <v>0</v>
      </c>
      <c r="C277" s="20">
        <f>Standing!$I$113</f>
        <v>0</v>
      </c>
      <c r="D277" s="30">
        <f>NHH!$I$93</f>
        <v>1.8445227834988087</v>
      </c>
      <c r="E277" s="17">
        <f t="shared" si="17"/>
        <v>0</v>
      </c>
      <c r="F277" s="25">
        <f>0.01*Input!$F$14*(D277*$D$267)+10*(B277*$B$267+C277*$C$267)</f>
        <v>2347.9846702791874</v>
      </c>
      <c r="G277" s="17">
        <f t="shared" si="18"/>
        <v>5.3493336964238617E-3</v>
      </c>
      <c r="H277" s="29">
        <f t="shared" si="19"/>
        <v>6.7325081597706511</v>
      </c>
      <c r="I277" s="6"/>
    </row>
    <row r="278" spans="1:9" x14ac:dyDescent="0.2">
      <c r="A278" s="5" t="s">
        <v>345</v>
      </c>
      <c r="B278" s="20">
        <f>Standing!$J$88</f>
        <v>0</v>
      </c>
      <c r="C278" s="20">
        <f>Standing!$J$113</f>
        <v>0</v>
      </c>
      <c r="D278" s="30">
        <f>NHH!$J$93</f>
        <v>0</v>
      </c>
      <c r="E278" s="17">
        <f t="shared" si="17"/>
        <v>0</v>
      </c>
      <c r="F278" s="25">
        <f>0.01*Input!$F$14*(D278*$D$267)+10*(B278*$B$267+C278*$C$267)</f>
        <v>0</v>
      </c>
      <c r="G278" s="17">
        <f t="shared" si="18"/>
        <v>0</v>
      </c>
      <c r="H278" s="29">
        <f t="shared" si="19"/>
        <v>0</v>
      </c>
      <c r="I278" s="6"/>
    </row>
    <row r="279" spans="1:9" x14ac:dyDescent="0.2">
      <c r="A279" s="5" t="s">
        <v>1493</v>
      </c>
      <c r="B279" s="21"/>
      <c r="C279" s="21"/>
      <c r="D279" s="30">
        <f>SM!$B$115</f>
        <v>0</v>
      </c>
      <c r="E279" s="17">
        <f t="shared" si="17"/>
        <v>0</v>
      </c>
      <c r="F279" s="25">
        <f>0.01*Input!$F$14*(D279*$D$267)+10*(B279*$B$267+C279*$C$267)</f>
        <v>0</v>
      </c>
      <c r="G279" s="17">
        <f t="shared" si="18"/>
        <v>0</v>
      </c>
      <c r="H279" s="29">
        <f t="shared" si="19"/>
        <v>0</v>
      </c>
      <c r="I279" s="6"/>
    </row>
    <row r="280" spans="1:9" x14ac:dyDescent="0.2">
      <c r="A280" s="5" t="s">
        <v>1494</v>
      </c>
      <c r="B280" s="21"/>
      <c r="C280" s="21"/>
      <c r="D280" s="30">
        <f>SM!$C$115</f>
        <v>0</v>
      </c>
      <c r="E280" s="17">
        <f t="shared" si="17"/>
        <v>0</v>
      </c>
      <c r="F280" s="25">
        <f>0.01*Input!$F$14*(D280*$D$267)+10*(B280*$B$267+C280*$C$267)</f>
        <v>0</v>
      </c>
      <c r="G280" s="17">
        <f t="shared" si="18"/>
        <v>0</v>
      </c>
      <c r="H280" s="29">
        <f t="shared" si="19"/>
        <v>0</v>
      </c>
      <c r="I280" s="6"/>
    </row>
    <row r="281" spans="1:9" x14ac:dyDescent="0.2">
      <c r="A281" s="5" t="s">
        <v>1495</v>
      </c>
      <c r="B281" s="20">
        <f>Standing!$K$88</f>
        <v>8.9939203132984077E-2</v>
      </c>
      <c r="C281" s="20">
        <f>Standing!$K$113</f>
        <v>7.1062333529978722E-3</v>
      </c>
      <c r="D281" s="30">
        <f>NHH!$K$93</f>
        <v>0</v>
      </c>
      <c r="E281" s="17">
        <f t="shared" si="17"/>
        <v>7.2186602649686127E-2</v>
      </c>
      <c r="F281" s="25">
        <f>0.01*Input!$F$14*(D281*$D$267)+10*(B281*$B$267+C281*$C$267)</f>
        <v>31684.887509318691</v>
      </c>
      <c r="G281" s="17">
        <f t="shared" si="18"/>
        <v>7.2186602649686127E-2</v>
      </c>
      <c r="H281" s="29">
        <f t="shared" si="19"/>
        <v>90.851855379676977</v>
      </c>
      <c r="I281" s="6"/>
    </row>
    <row r="282" spans="1:9" x14ac:dyDescent="0.2">
      <c r="A282" s="5" t="s">
        <v>1496</v>
      </c>
      <c r="B282" s="20">
        <f>Standing!$L$88</f>
        <v>4.3125234837058705E-2</v>
      </c>
      <c r="C282" s="20">
        <f>Standing!$L$113</f>
        <v>3.9858507057133523E-3</v>
      </c>
      <c r="D282" s="30">
        <f>NHH!$L$93</f>
        <v>0</v>
      </c>
      <c r="E282" s="17">
        <f t="shared" si="17"/>
        <v>3.4736958387576788E-2</v>
      </c>
      <c r="F282" s="25">
        <f>0.01*Input!$F$14*(D282*$D$267)+10*(B282*$B$267+C282*$C$267)</f>
        <v>15247.103735682465</v>
      </c>
      <c r="G282" s="17">
        <f t="shared" si="18"/>
        <v>3.4736958387576795E-2</v>
      </c>
      <c r="H282" s="29">
        <f t="shared" si="19"/>
        <v>43.718875856692037</v>
      </c>
      <c r="I282" s="6"/>
    </row>
    <row r="283" spans="1:9" x14ac:dyDescent="0.2">
      <c r="A283" s="5" t="s">
        <v>1497</v>
      </c>
      <c r="B283" s="20">
        <f>Standing!$M$88</f>
        <v>3.9778061369840544E-2</v>
      </c>
      <c r="C283" s="20">
        <f>Standing!$M$113</f>
        <v>3.6764881300227039E-3</v>
      </c>
      <c r="D283" s="30">
        <f>NHH!$M$93</f>
        <v>0</v>
      </c>
      <c r="E283" s="17">
        <f t="shared" si="17"/>
        <v>3.2040842624124898E-2</v>
      </c>
      <c r="F283" s="25">
        <f>0.01*Input!$F$14*(D283*$D$267)+10*(B283*$B$267+C283*$C$267)</f>
        <v>14063.696821637239</v>
      </c>
      <c r="G283" s="17">
        <f t="shared" si="18"/>
        <v>3.2040842624124904E-2</v>
      </c>
      <c r="H283" s="29">
        <f t="shared" si="19"/>
        <v>40.325626826581825</v>
      </c>
      <c r="I283" s="6"/>
    </row>
    <row r="284" spans="1:9" x14ac:dyDescent="0.2">
      <c r="A284" s="5" t="s">
        <v>1498</v>
      </c>
      <c r="B284" s="20">
        <f>Standing!$N$88</f>
        <v>6.0823850877942315E-2</v>
      </c>
      <c r="C284" s="20">
        <f>Standing!$N$113</f>
        <v>6.0320422044103711E-3</v>
      </c>
      <c r="D284" s="30">
        <f>NHH!$N$93</f>
        <v>0</v>
      </c>
      <c r="E284" s="17">
        <f t="shared" si="17"/>
        <v>4.9080977337103364E-2</v>
      </c>
      <c r="F284" s="25">
        <f>0.01*Input!$F$14*(D284*$D$267)+10*(B284*$B$267+C284*$C$267)</f>
        <v>21543.128346410718</v>
      </c>
      <c r="G284" s="17">
        <f t="shared" si="18"/>
        <v>4.9080977337103364E-2</v>
      </c>
      <c r="H284" s="29">
        <f t="shared" si="19"/>
        <v>61.771820410544102</v>
      </c>
      <c r="I284" s="6"/>
    </row>
    <row r="285" spans="1:9" x14ac:dyDescent="0.2">
      <c r="A285" s="5" t="s">
        <v>1499</v>
      </c>
      <c r="B285" s="20">
        <f>Standing!$O$88</f>
        <v>7.5318337850661138E-2</v>
      </c>
      <c r="C285" s="20">
        <f>Standing!$O$113</f>
        <v>7.4694940574041623E-3</v>
      </c>
      <c r="D285" s="30">
        <f>NHH!$O$93</f>
        <v>0</v>
      </c>
      <c r="E285" s="17">
        <f t="shared" si="17"/>
        <v>6.0777106016107189E-2</v>
      </c>
      <c r="F285" s="25">
        <f>0.01*Input!$F$14*(D285*$D$267)+10*(B285*$B$267+C285*$C$267)</f>
        <v>26676.913673408148</v>
      </c>
      <c r="G285" s="17">
        <f t="shared" si="18"/>
        <v>6.0777106016107189E-2</v>
      </c>
      <c r="H285" s="29">
        <f t="shared" si="19"/>
        <v>76.492211068125059</v>
      </c>
      <c r="I285" s="6"/>
    </row>
    <row r="286" spans="1:9" x14ac:dyDescent="0.2">
      <c r="A286" s="5" t="s">
        <v>1500</v>
      </c>
      <c r="B286" s="20">
        <f>Standing!$P$88</f>
        <v>0</v>
      </c>
      <c r="C286" s="20">
        <f>Standing!$P$113</f>
        <v>0</v>
      </c>
      <c r="D286" s="30">
        <f>NHH!$P$93</f>
        <v>0</v>
      </c>
      <c r="E286" s="17">
        <f t="shared" si="17"/>
        <v>0</v>
      </c>
      <c r="F286" s="25">
        <f>0.01*Input!$F$14*(D286*$D$267)+10*(B286*$B$267+C286*$C$267)</f>
        <v>0</v>
      </c>
      <c r="G286" s="17">
        <f t="shared" si="18"/>
        <v>0</v>
      </c>
      <c r="H286" s="29">
        <f t="shared" si="19"/>
        <v>0</v>
      </c>
      <c r="I286" s="6"/>
    </row>
    <row r="287" spans="1:9" x14ac:dyDescent="0.2">
      <c r="A287" s="5" t="s">
        <v>1501</v>
      </c>
      <c r="B287" s="20">
        <f>Standing!$Q$88</f>
        <v>0.1094196647793555</v>
      </c>
      <c r="C287" s="20">
        <f>Standing!$Q$113</f>
        <v>1.0851401652716865E-2</v>
      </c>
      <c r="D287" s="30">
        <f>NHH!$Q$93</f>
        <v>0</v>
      </c>
      <c r="E287" s="17">
        <f t="shared" si="17"/>
        <v>8.8294706924197261E-2</v>
      </c>
      <c r="F287" s="25">
        <f>0.01*Input!$F$14*(D287*$D$267)+10*(B287*$B$267+C287*$C$267)</f>
        <v>38755.222629577744</v>
      </c>
      <c r="G287" s="17">
        <f t="shared" si="18"/>
        <v>8.8294706924197275E-2</v>
      </c>
      <c r="H287" s="29">
        <f t="shared" si="19"/>
        <v>111.12502389393184</v>
      </c>
      <c r="I287" s="6"/>
    </row>
    <row r="288" spans="1:9" x14ac:dyDescent="0.2">
      <c r="A288" s="5" t="s">
        <v>1502</v>
      </c>
      <c r="B288" s="20">
        <f>Standing!$R$88</f>
        <v>0</v>
      </c>
      <c r="C288" s="20">
        <f>Standing!$R$113</f>
        <v>0</v>
      </c>
      <c r="D288" s="30">
        <f>NHH!$R$93</f>
        <v>20.298834454612141</v>
      </c>
      <c r="E288" s="17">
        <f t="shared" si="17"/>
        <v>0</v>
      </c>
      <c r="F288" s="25">
        <f>0.01*Input!$F$14*(D288*$D$267)+10*(B288*$B$267+C288*$C$267)</f>
        <v>25839.394639277481</v>
      </c>
      <c r="G288" s="17">
        <f t="shared" si="18"/>
        <v>5.886901485717351E-2</v>
      </c>
      <c r="H288" s="29">
        <f t="shared" si="19"/>
        <v>74.090745759334311</v>
      </c>
      <c r="I288" s="6"/>
    </row>
    <row r="289" spans="1:9" x14ac:dyDescent="0.2">
      <c r="A289" s="5" t="s">
        <v>1503</v>
      </c>
      <c r="B289" s="20">
        <f>Standing!$S$88</f>
        <v>0</v>
      </c>
      <c r="C289" s="20">
        <f>Standing!$S$113</f>
        <v>0</v>
      </c>
      <c r="D289" s="30">
        <f>NHH!$S$93</f>
        <v>0</v>
      </c>
      <c r="E289" s="17">
        <f t="shared" si="17"/>
        <v>0</v>
      </c>
      <c r="F289" s="25">
        <f>0.01*Input!$F$14*(D289*$D$267)+10*(B289*$B$267+C289*$C$267)</f>
        <v>0</v>
      </c>
      <c r="G289" s="17">
        <f t="shared" si="18"/>
        <v>0</v>
      </c>
      <c r="H289" s="29">
        <f t="shared" si="19"/>
        <v>0</v>
      </c>
      <c r="I289" s="6"/>
    </row>
    <row r="290" spans="1:9" x14ac:dyDescent="0.2">
      <c r="A290" s="5" t="s">
        <v>1504</v>
      </c>
      <c r="B290" s="21"/>
      <c r="C290" s="21"/>
      <c r="D290" s="30">
        <f>Otex!$B$128</f>
        <v>34.941041615624705</v>
      </c>
      <c r="E290" s="17">
        <f t="shared" si="17"/>
        <v>0</v>
      </c>
      <c r="F290" s="25">
        <f>0.01*Input!$F$14*(D290*$D$267)+10*(B290*$B$267+C290*$C$267)</f>
        <v>44478.18742658916</v>
      </c>
      <c r="G290" s="17">
        <f t="shared" si="18"/>
        <v>0.10133314317108323</v>
      </c>
      <c r="H290" s="29">
        <f t="shared" si="19"/>
        <v>127.53480189703019</v>
      </c>
      <c r="I290" s="6"/>
    </row>
    <row r="291" spans="1:9" x14ac:dyDescent="0.2">
      <c r="A291" s="5" t="s">
        <v>1505</v>
      </c>
      <c r="B291" s="21"/>
      <c r="C291" s="21"/>
      <c r="D291" s="30">
        <f>Otex!$C$128</f>
        <v>0</v>
      </c>
      <c r="E291" s="17">
        <f t="shared" si="17"/>
        <v>0</v>
      </c>
      <c r="F291" s="25">
        <f>0.01*Input!$F$14*(D291*$D$267)+10*(B291*$B$267+C291*$C$267)</f>
        <v>0</v>
      </c>
      <c r="G291" s="17">
        <f t="shared" si="18"/>
        <v>0</v>
      </c>
      <c r="H291" s="29">
        <f t="shared" si="19"/>
        <v>0</v>
      </c>
      <c r="I291" s="6"/>
    </row>
    <row r="292" spans="1:9" x14ac:dyDescent="0.2">
      <c r="A292" s="5" t="s">
        <v>1506</v>
      </c>
      <c r="B292" s="20">
        <f>Scaler!$B$414</f>
        <v>0.7556836206254588</v>
      </c>
      <c r="C292" s="20">
        <f>Scaler!$C$414</f>
        <v>5.970771323449077E-2</v>
      </c>
      <c r="D292" s="30">
        <f>Scaler!$E$414</f>
        <v>0</v>
      </c>
      <c r="E292" s="17">
        <f t="shared" si="17"/>
        <v>0.60652342194213338</v>
      </c>
      <c r="F292" s="25">
        <f>0.01*Input!$F$14*(D292*$D$267)+10*(B292*$B$267+C292*$C$267)</f>
        <v>266221.51051026216</v>
      </c>
      <c r="G292" s="17">
        <f t="shared" si="18"/>
        <v>0.60652342194213338</v>
      </c>
      <c r="H292" s="29">
        <f t="shared" si="19"/>
        <v>763.35187128955567</v>
      </c>
      <c r="I292" s="6"/>
    </row>
    <row r="293" spans="1:9" x14ac:dyDescent="0.2">
      <c r="A293" s="5" t="s">
        <v>1507</v>
      </c>
      <c r="B293" s="20">
        <f>Adjust!$B$80</f>
        <v>4.3642001799781838E-4</v>
      </c>
      <c r="C293" s="20">
        <f>Adjust!$C$80</f>
        <v>5.8697673828711494E-5</v>
      </c>
      <c r="D293" s="30">
        <f>Adjust!$E$80</f>
        <v>-4.3988537356582924E-3</v>
      </c>
      <c r="E293" s="17">
        <f t="shared" si="17"/>
        <v>3.5546730209906895E-4</v>
      </c>
      <c r="F293" s="25">
        <f>0.01*Input!$F$14*(D293*$D$267)+10*(B293*$B$267+C293*$C$267)</f>
        <v>150.42585187013609</v>
      </c>
      <c r="G293" s="17">
        <f t="shared" si="18"/>
        <v>3.4271010727105936E-4</v>
      </c>
      <c r="H293" s="29">
        <f t="shared" si="19"/>
        <v>0.43132448349235691</v>
      </c>
      <c r="I293" s="6"/>
    </row>
    <row r="296" spans="1:9" x14ac:dyDescent="0.2">
      <c r="A296" s="5" t="s">
        <v>1508</v>
      </c>
      <c r="B296" s="17">
        <f>SUM($B$271:$B$293)</f>
        <v>2.0699999999999998</v>
      </c>
      <c r="C296" s="17">
        <f>SUM($C$271:$C$293)</f>
        <v>0.186</v>
      </c>
      <c r="D296" s="29">
        <f>SUM($D$271:$D$293)</f>
        <v>57.08</v>
      </c>
      <c r="E296" s="17">
        <f>SUM(E$271:E$293)</f>
        <v>1.6662247955207994</v>
      </c>
      <c r="F296" s="25">
        <f>SUM($F$271:$F$293)</f>
        <v>804016.5247142266</v>
      </c>
      <c r="G296" s="17">
        <f>SUM($G$271:$G$293)</f>
        <v>1.8317635300506523</v>
      </c>
      <c r="H296" s="29">
        <f>SUM($H$271:$H$293)</f>
        <v>2305.4016841538123</v>
      </c>
      <c r="I296" s="6"/>
    </row>
    <row r="298" spans="1:9" ht="16.5" x14ac:dyDescent="0.25">
      <c r="A298" s="3" t="s">
        <v>72</v>
      </c>
    </row>
    <row r="300" spans="1:9" x14ac:dyDescent="0.2">
      <c r="B300" s="4" t="s">
        <v>105</v>
      </c>
      <c r="C300" s="4" t="s">
        <v>106</v>
      </c>
      <c r="D300" s="4" t="s">
        <v>108</v>
      </c>
      <c r="E300" s="4" t="s">
        <v>1489</v>
      </c>
      <c r="F300" s="4" t="s">
        <v>1490</v>
      </c>
    </row>
    <row r="301" spans="1:9" x14ac:dyDescent="0.2">
      <c r="A301" s="5" t="s">
        <v>72</v>
      </c>
      <c r="B301" s="27">
        <f>Loads!B$306</f>
        <v>8641.9161673928411</v>
      </c>
      <c r="C301" s="27">
        <f>Loads!C$306</f>
        <v>2565.3353644297385</v>
      </c>
      <c r="D301" s="27">
        <f>Loads!E$306</f>
        <v>68.555558952026317</v>
      </c>
      <c r="E301" s="27">
        <f>Multi!B$123</f>
        <v>11207.25153182258</v>
      </c>
      <c r="F301" s="17">
        <f>IF(D301,E301/D301,"")</f>
        <v>163.47691862107303</v>
      </c>
      <c r="G301" s="6"/>
    </row>
    <row r="304" spans="1:9" ht="25.5" x14ac:dyDescent="0.2">
      <c r="B304" s="4" t="s">
        <v>1319</v>
      </c>
      <c r="C304" s="4" t="s">
        <v>1320</v>
      </c>
      <c r="D304" s="4" t="s">
        <v>1322</v>
      </c>
      <c r="E304" s="4" t="s">
        <v>1509</v>
      </c>
      <c r="F304" s="4" t="s">
        <v>1491</v>
      </c>
      <c r="G304" s="4" t="s">
        <v>1461</v>
      </c>
      <c r="H304" s="4" t="s">
        <v>1492</v>
      </c>
    </row>
    <row r="305" spans="1:9" x14ac:dyDescent="0.2">
      <c r="A305" s="5" t="s">
        <v>338</v>
      </c>
      <c r="B305" s="20">
        <f>Standing!$C$89</f>
        <v>0.13698372920211929</v>
      </c>
      <c r="C305" s="20">
        <f>Standing!$C$114</f>
        <v>1.2720056224500566E-2</v>
      </c>
      <c r="D305" s="30">
        <f>NHH!$C$94</f>
        <v>0</v>
      </c>
      <c r="E305" s="17">
        <f t="shared" ref="E305:E327" si="20">IF(E$301&lt;&gt;0,(($B305*B$301+$C305*C$301))/E$301,0)</f>
        <v>0.10853982447683862</v>
      </c>
      <c r="F305" s="25">
        <f>0.01*Input!$F$14*(D305*$D$301)+10*(B305*$B$301+C305*$C$301)</f>
        <v>12164.331141318034</v>
      </c>
      <c r="G305" s="17">
        <f t="shared" ref="G305:G327" si="21">IF($E$301&lt;&gt;0,0.1*F305/$E$301,"")</f>
        <v>0.10853982447683862</v>
      </c>
      <c r="H305" s="29">
        <f t="shared" ref="H305:H327" si="22">IF($D$301&lt;&gt;0,F305/$D$301,"")</f>
        <v>177.43756053145694</v>
      </c>
      <c r="I305" s="6"/>
    </row>
    <row r="306" spans="1:9" x14ac:dyDescent="0.2">
      <c r="A306" s="5" t="s">
        <v>339</v>
      </c>
      <c r="B306" s="20">
        <f>Standing!$D$89</f>
        <v>0.12635171048828897</v>
      </c>
      <c r="C306" s="20">
        <f>Standing!$D$114</f>
        <v>1.1732786593226935E-2</v>
      </c>
      <c r="D306" s="30">
        <f>NHH!$D$94</f>
        <v>0</v>
      </c>
      <c r="E306" s="17">
        <f t="shared" si="20"/>
        <v>0.10011548494574814</v>
      </c>
      <c r="F306" s="25">
        <f>0.01*Input!$F$14*(D306*$D$301)+10*(B306*$B$301+C306*$C$301)</f>
        <v>11220.194220173962</v>
      </c>
      <c r="G306" s="17">
        <f t="shared" si="21"/>
        <v>0.10011548494574814</v>
      </c>
      <c r="H306" s="29">
        <f t="shared" si="22"/>
        <v>163.66570985185328</v>
      </c>
      <c r="I306" s="6"/>
    </row>
    <row r="307" spans="1:9" x14ac:dyDescent="0.2">
      <c r="A307" s="5" t="s">
        <v>340</v>
      </c>
      <c r="B307" s="20">
        <f>Standing!$E$89</f>
        <v>0.15491082102260359</v>
      </c>
      <c r="C307" s="20">
        <f>Standing!$E$114</f>
        <v>1.5400058186560334E-2</v>
      </c>
      <c r="D307" s="30">
        <f>NHH!$E$94</f>
        <v>17.145086654202117</v>
      </c>
      <c r="E307" s="17">
        <f t="shared" si="20"/>
        <v>0.1229768635660719</v>
      </c>
      <c r="F307" s="25">
        <f>0.01*Input!$F$14*(D307*$D$301)+10*(B307*$B$301+C307*$C$301)</f>
        <v>18072.503571634054</v>
      </c>
      <c r="G307" s="17">
        <f t="shared" si="21"/>
        <v>0.1612572317157141</v>
      </c>
      <c r="H307" s="29">
        <f t="shared" si="22"/>
        <v>263.61835346249308</v>
      </c>
      <c r="I307" s="6"/>
    </row>
    <row r="308" spans="1:9" x14ac:dyDescent="0.2">
      <c r="A308" s="5" t="s">
        <v>341</v>
      </c>
      <c r="B308" s="20">
        <f>Standing!$F$89</f>
        <v>0</v>
      </c>
      <c r="C308" s="20">
        <f>Standing!$F$114</f>
        <v>0</v>
      </c>
      <c r="D308" s="30">
        <f>NHH!$F$94</f>
        <v>45.646234700538713</v>
      </c>
      <c r="E308" s="17">
        <f t="shared" si="20"/>
        <v>0</v>
      </c>
      <c r="F308" s="25">
        <f>0.01*Input!$F$14*(D308*$D$301)+10*(B308*$B$301+C308*$C$301)</f>
        <v>11421.956438920461</v>
      </c>
      <c r="G308" s="17">
        <f t="shared" si="21"/>
        <v>0.10191576771957186</v>
      </c>
      <c r="H308" s="29">
        <f t="shared" si="22"/>
        <v>166.60875665696631</v>
      </c>
      <c r="I308" s="6"/>
    </row>
    <row r="309" spans="1:9" x14ac:dyDescent="0.2">
      <c r="A309" s="5" t="s">
        <v>342</v>
      </c>
      <c r="B309" s="20">
        <f>Standing!$G$89</f>
        <v>0</v>
      </c>
      <c r="C309" s="20">
        <f>Standing!$G$114</f>
        <v>0</v>
      </c>
      <c r="D309" s="30">
        <f>NHH!$G$94</f>
        <v>0</v>
      </c>
      <c r="E309" s="17">
        <f t="shared" si="20"/>
        <v>0</v>
      </c>
      <c r="F309" s="25">
        <f>0.01*Input!$F$14*(D309*$D$301)+10*(B309*$B$301+C309*$C$301)</f>
        <v>0</v>
      </c>
      <c r="G309" s="17">
        <f t="shared" si="21"/>
        <v>0</v>
      </c>
      <c r="H309" s="29">
        <f t="shared" si="22"/>
        <v>0</v>
      </c>
      <c r="I309" s="6"/>
    </row>
    <row r="310" spans="1:9" x14ac:dyDescent="0.2">
      <c r="A310" s="5" t="s">
        <v>343</v>
      </c>
      <c r="B310" s="20">
        <f>Standing!$H$89</f>
        <v>0</v>
      </c>
      <c r="C310" s="20">
        <f>Standing!$H$114</f>
        <v>0</v>
      </c>
      <c r="D310" s="30">
        <f>NHH!$H$94</f>
        <v>10.403561191647627</v>
      </c>
      <c r="E310" s="17">
        <f t="shared" si="20"/>
        <v>0</v>
      </c>
      <c r="F310" s="25">
        <f>0.01*Input!$F$14*(D310*$D$301)+10*(B310*$B$301+C310*$C$301)</f>
        <v>2603.260126935294</v>
      </c>
      <c r="G310" s="17">
        <f t="shared" si="21"/>
        <v>2.3228354601870341E-2</v>
      </c>
      <c r="H310" s="29">
        <f t="shared" si="22"/>
        <v>37.972998349513837</v>
      </c>
      <c r="I310" s="6"/>
    </row>
    <row r="311" spans="1:9" x14ac:dyDescent="0.2">
      <c r="A311" s="5" t="s">
        <v>344</v>
      </c>
      <c r="B311" s="20">
        <f>Standing!$I$89</f>
        <v>0</v>
      </c>
      <c r="C311" s="20">
        <f>Standing!$I$114</f>
        <v>0</v>
      </c>
      <c r="D311" s="30">
        <f>NHH!$I$94</f>
        <v>0</v>
      </c>
      <c r="E311" s="17">
        <f t="shared" si="20"/>
        <v>0</v>
      </c>
      <c r="F311" s="25">
        <f>0.01*Input!$F$14*(D311*$D$301)+10*(B311*$B$301+C311*$C$301)</f>
        <v>0</v>
      </c>
      <c r="G311" s="17">
        <f t="shared" si="21"/>
        <v>0</v>
      </c>
      <c r="H311" s="29">
        <f t="shared" si="22"/>
        <v>0</v>
      </c>
      <c r="I311" s="6"/>
    </row>
    <row r="312" spans="1:9" x14ac:dyDescent="0.2">
      <c r="A312" s="5" t="s">
        <v>345</v>
      </c>
      <c r="B312" s="20">
        <f>Standing!$J$89</f>
        <v>0</v>
      </c>
      <c r="C312" s="20">
        <f>Standing!$J$114</f>
        <v>0</v>
      </c>
      <c r="D312" s="30">
        <f>NHH!$J$94</f>
        <v>0</v>
      </c>
      <c r="E312" s="17">
        <f t="shared" si="20"/>
        <v>0</v>
      </c>
      <c r="F312" s="25">
        <f>0.01*Input!$F$14*(D312*$D$301)+10*(B312*$B$301+C312*$C$301)</f>
        <v>0</v>
      </c>
      <c r="G312" s="17">
        <f t="shared" si="21"/>
        <v>0</v>
      </c>
      <c r="H312" s="29">
        <f t="shared" si="22"/>
        <v>0</v>
      </c>
      <c r="I312" s="6"/>
    </row>
    <row r="313" spans="1:9" x14ac:dyDescent="0.2">
      <c r="A313" s="5" t="s">
        <v>1493</v>
      </c>
      <c r="B313" s="21"/>
      <c r="C313" s="21"/>
      <c r="D313" s="30">
        <f>SM!$B$116</f>
        <v>0</v>
      </c>
      <c r="E313" s="17">
        <f t="shared" si="20"/>
        <v>0</v>
      </c>
      <c r="F313" s="25">
        <f>0.01*Input!$F$14*(D313*$D$301)+10*(B313*$B$301+C313*$C$301)</f>
        <v>0</v>
      </c>
      <c r="G313" s="17">
        <f t="shared" si="21"/>
        <v>0</v>
      </c>
      <c r="H313" s="29">
        <f t="shared" si="22"/>
        <v>0</v>
      </c>
      <c r="I313" s="6"/>
    </row>
    <row r="314" spans="1:9" x14ac:dyDescent="0.2">
      <c r="A314" s="5" t="s">
        <v>1494</v>
      </c>
      <c r="B314" s="21"/>
      <c r="C314" s="21"/>
      <c r="D314" s="30">
        <f>SM!$C$116</f>
        <v>0</v>
      </c>
      <c r="E314" s="17">
        <f t="shared" si="20"/>
        <v>0</v>
      </c>
      <c r="F314" s="25">
        <f>0.01*Input!$F$14*(D314*$D$301)+10*(B314*$B$301+C314*$C$301)</f>
        <v>0</v>
      </c>
      <c r="G314" s="17">
        <f t="shared" si="21"/>
        <v>0</v>
      </c>
      <c r="H314" s="29">
        <f t="shared" si="22"/>
        <v>0</v>
      </c>
      <c r="I314" s="6"/>
    </row>
    <row r="315" spans="1:9" x14ac:dyDescent="0.2">
      <c r="A315" s="5" t="s">
        <v>1495</v>
      </c>
      <c r="B315" s="20">
        <f>Standing!$K$89</f>
        <v>9.4014268889402841E-2</v>
      </c>
      <c r="C315" s="20">
        <f>Standing!$K$114</f>
        <v>7.48713735226167E-3</v>
      </c>
      <c r="D315" s="30">
        <f>NHH!$K$94</f>
        <v>0</v>
      </c>
      <c r="E315" s="17">
        <f t="shared" si="20"/>
        <v>7.4208243309927521E-2</v>
      </c>
      <c r="F315" s="25">
        <f>0.01*Input!$F$14*(D315*$D$301)+10*(B315*$B$301+C315*$C$301)</f>
        <v>8316.7044850904786</v>
      </c>
      <c r="G315" s="17">
        <f t="shared" si="21"/>
        <v>7.4208243309927521E-2</v>
      </c>
      <c r="H315" s="29">
        <f t="shared" si="22"/>
        <v>121.31334952589806</v>
      </c>
      <c r="I315" s="6"/>
    </row>
    <row r="316" spans="1:9" x14ac:dyDescent="0.2">
      <c r="A316" s="5" t="s">
        <v>1496</v>
      </c>
      <c r="B316" s="20">
        <f>Standing!$L$89</f>
        <v>4.5224869005545197E-2</v>
      </c>
      <c r="C316" s="20">
        <f>Standing!$L$114</f>
        <v>4.1994978516565898E-3</v>
      </c>
      <c r="D316" s="30">
        <f>NHH!$L$94</f>
        <v>0</v>
      </c>
      <c r="E316" s="17">
        <f t="shared" si="20"/>
        <v>3.5834178062177854E-2</v>
      </c>
      <c r="F316" s="25">
        <f>0.01*Input!$F$14*(D316*$D$301)+10*(B316*$B$301+C316*$C$301)</f>
        <v>4016.0264697894581</v>
      </c>
      <c r="G316" s="17">
        <f t="shared" si="21"/>
        <v>3.5834178062177854E-2</v>
      </c>
      <c r="H316" s="29">
        <f t="shared" si="22"/>
        <v>58.580610109236886</v>
      </c>
      <c r="I316" s="6"/>
    </row>
    <row r="317" spans="1:9" x14ac:dyDescent="0.2">
      <c r="A317" s="5" t="s">
        <v>1497</v>
      </c>
      <c r="B317" s="20">
        <f>Standing!$M$89</f>
        <v>4.171473202505744E-2</v>
      </c>
      <c r="C317" s="20">
        <f>Standing!$M$114</f>
        <v>3.8735530112907449E-3</v>
      </c>
      <c r="D317" s="30">
        <f>NHH!$M$94</f>
        <v>0</v>
      </c>
      <c r="E317" s="17">
        <f t="shared" si="20"/>
        <v>3.305290138084549E-2</v>
      </c>
      <c r="F317" s="25">
        <f>0.01*Input!$F$14*(D317*$D$301)+10*(B317*$B$301+C317*$C$301)</f>
        <v>3704.3217963166126</v>
      </c>
      <c r="G317" s="17">
        <f t="shared" si="21"/>
        <v>3.305290138084549E-2</v>
      </c>
      <c r="H317" s="29">
        <f t="shared" si="22"/>
        <v>54.033864692268295</v>
      </c>
      <c r="I317" s="6"/>
    </row>
    <row r="318" spans="1:9" x14ac:dyDescent="0.2">
      <c r="A318" s="5" t="s">
        <v>1498</v>
      </c>
      <c r="B318" s="20">
        <f>Standing!$N$89</f>
        <v>5.1143457906242473E-2</v>
      </c>
      <c r="C318" s="20">
        <f>Standing!$N$114</f>
        <v>5.084294450308992E-3</v>
      </c>
      <c r="D318" s="30">
        <f>NHH!$N$94</f>
        <v>5.6604116601390935</v>
      </c>
      <c r="E318" s="17">
        <f t="shared" si="20"/>
        <v>4.0600533931166784E-2</v>
      </c>
      <c r="F318" s="25">
        <f>0.01*Input!$F$14*(D318*$D$301)+10*(B318*$B$301+C318*$C$301)</f>
        <v>5966.5962621256558</v>
      </c>
      <c r="G318" s="17">
        <f t="shared" si="21"/>
        <v>5.3238711071878109E-2</v>
      </c>
      <c r="H318" s="29">
        <f t="shared" si="22"/>
        <v>87.033004373882349</v>
      </c>
      <c r="I318" s="6"/>
    </row>
    <row r="319" spans="1:9" x14ac:dyDescent="0.2">
      <c r="A319" s="5" t="s">
        <v>1499</v>
      </c>
      <c r="B319" s="20">
        <f>Standing!$O$89</f>
        <v>0</v>
      </c>
      <c r="C319" s="20">
        <f>Standing!$O$114</f>
        <v>0</v>
      </c>
      <c r="D319" s="30">
        <f>NHH!$O$94</f>
        <v>35.046514783133134</v>
      </c>
      <c r="E319" s="17">
        <f t="shared" si="20"/>
        <v>0</v>
      </c>
      <c r="F319" s="25">
        <f>0.01*Input!$F$14*(D319*$D$301)+10*(B319*$B$301+C319*$C$301)</f>
        <v>8769.61194751523</v>
      </c>
      <c r="G319" s="17">
        <f t="shared" si="21"/>
        <v>7.8249443430570276E-2</v>
      </c>
      <c r="H319" s="29">
        <f t="shared" si="22"/>
        <v>127.91977895843593</v>
      </c>
      <c r="I319" s="6"/>
    </row>
    <row r="320" spans="1:9" x14ac:dyDescent="0.2">
      <c r="A320" s="5" t="s">
        <v>1500</v>
      </c>
      <c r="B320" s="20">
        <f>Standing!$P$89</f>
        <v>0</v>
      </c>
      <c r="C320" s="20">
        <f>Standing!$P$114</f>
        <v>0</v>
      </c>
      <c r="D320" s="30">
        <f>NHH!$P$94</f>
        <v>0</v>
      </c>
      <c r="E320" s="17">
        <f t="shared" si="20"/>
        <v>0</v>
      </c>
      <c r="F320" s="25">
        <f>0.01*Input!$F$14*(D320*$D$301)+10*(B320*$B$301+C320*$C$301)</f>
        <v>0</v>
      </c>
      <c r="G320" s="17">
        <f t="shared" si="21"/>
        <v>0</v>
      </c>
      <c r="H320" s="29">
        <f t="shared" si="22"/>
        <v>0</v>
      </c>
      <c r="I320" s="6"/>
    </row>
    <row r="321" spans="1:10" x14ac:dyDescent="0.2">
      <c r="A321" s="5" t="s">
        <v>1501</v>
      </c>
      <c r="B321" s="20">
        <f>Standing!$Q$89</f>
        <v>0</v>
      </c>
      <c r="C321" s="20">
        <f>Standing!$Q$114</f>
        <v>0</v>
      </c>
      <c r="D321" s="30">
        <f>NHH!$Q$94</f>
        <v>38.163469391091496</v>
      </c>
      <c r="E321" s="17">
        <f t="shared" si="20"/>
        <v>0</v>
      </c>
      <c r="F321" s="25">
        <f>0.01*Input!$F$14*(D321*$D$301)+10*(B321*$B$301+C321*$C$301)</f>
        <v>9549.5606111401103</v>
      </c>
      <c r="G321" s="17">
        <f t="shared" si="21"/>
        <v>8.5208764914613391E-2</v>
      </c>
      <c r="H321" s="29">
        <f t="shared" si="22"/>
        <v>139.29666327748396</v>
      </c>
      <c r="I321" s="6"/>
    </row>
    <row r="322" spans="1:10" x14ac:dyDescent="0.2">
      <c r="A322" s="5" t="s">
        <v>1502</v>
      </c>
      <c r="B322" s="20">
        <f>Standing!$R$89</f>
        <v>0</v>
      </c>
      <c r="C322" s="20">
        <f>Standing!$R$114</f>
        <v>0</v>
      </c>
      <c r="D322" s="30">
        <f>NHH!$R$94</f>
        <v>0</v>
      </c>
      <c r="E322" s="17">
        <f t="shared" si="20"/>
        <v>0</v>
      </c>
      <c r="F322" s="25">
        <f>0.01*Input!$F$14*(D322*$D$301)+10*(B322*$B$301+C322*$C$301)</f>
        <v>0</v>
      </c>
      <c r="G322" s="17">
        <f t="shared" si="21"/>
        <v>0</v>
      </c>
      <c r="H322" s="29">
        <f t="shared" si="22"/>
        <v>0</v>
      </c>
      <c r="I322" s="6"/>
    </row>
    <row r="323" spans="1:10" x14ac:dyDescent="0.2">
      <c r="A323" s="5" t="s">
        <v>1503</v>
      </c>
      <c r="B323" s="20">
        <f>Standing!$S$89</f>
        <v>0</v>
      </c>
      <c r="C323" s="20">
        <f>Standing!$S$114</f>
        <v>0</v>
      </c>
      <c r="D323" s="30">
        <f>NHH!$S$94</f>
        <v>0</v>
      </c>
      <c r="E323" s="17">
        <f t="shared" si="20"/>
        <v>0</v>
      </c>
      <c r="F323" s="25">
        <f>0.01*Input!$F$14*(D323*$D$301)+10*(B323*$B$301+C323*$C$301)</f>
        <v>0</v>
      </c>
      <c r="G323" s="17">
        <f t="shared" si="21"/>
        <v>0</v>
      </c>
      <c r="H323" s="29">
        <f t="shared" si="22"/>
        <v>0</v>
      </c>
      <c r="I323" s="6"/>
    </row>
    <row r="324" spans="1:10" x14ac:dyDescent="0.2">
      <c r="A324" s="5" t="s">
        <v>1504</v>
      </c>
      <c r="B324" s="21"/>
      <c r="C324" s="21"/>
      <c r="D324" s="30">
        <f>Otex!$B$129</f>
        <v>0</v>
      </c>
      <c r="E324" s="17">
        <f t="shared" si="20"/>
        <v>0</v>
      </c>
      <c r="F324" s="25">
        <f>0.01*Input!$F$14*(D324*$D$301)+10*(B324*$B$301+C324*$C$301)</f>
        <v>0</v>
      </c>
      <c r="G324" s="17">
        <f t="shared" si="21"/>
        <v>0</v>
      </c>
      <c r="H324" s="29">
        <f t="shared" si="22"/>
        <v>0</v>
      </c>
      <c r="I324" s="6"/>
    </row>
    <row r="325" spans="1:10" x14ac:dyDescent="0.2">
      <c r="A325" s="5" t="s">
        <v>1505</v>
      </c>
      <c r="B325" s="21"/>
      <c r="C325" s="21"/>
      <c r="D325" s="30">
        <f>Otex!$C$129</f>
        <v>102.60147313251026</v>
      </c>
      <c r="E325" s="17">
        <f t="shared" si="20"/>
        <v>0</v>
      </c>
      <c r="F325" s="25">
        <f>0.01*Input!$F$14*(D325*$D$301)+10*(B325*$B$301+C325*$C$301)</f>
        <v>25673.739890637014</v>
      </c>
      <c r="G325" s="17">
        <f t="shared" si="21"/>
        <v>0.22908149975698658</v>
      </c>
      <c r="H325" s="29">
        <f t="shared" si="22"/>
        <v>374.4953769336625</v>
      </c>
      <c r="I325" s="6"/>
    </row>
    <row r="326" spans="1:10" x14ac:dyDescent="0.2">
      <c r="A326" s="5" t="s">
        <v>1506</v>
      </c>
      <c r="B326" s="20">
        <f>Scaler!$B$415</f>
        <v>0.7899229771888483</v>
      </c>
      <c r="C326" s="20">
        <f>Scaler!$C$415</f>
        <v>6.2908129774192356E-2</v>
      </c>
      <c r="D326" s="30">
        <f>Scaler!$E$415</f>
        <v>0</v>
      </c>
      <c r="E326" s="17">
        <f t="shared" si="20"/>
        <v>0.62350957125764361</v>
      </c>
      <c r="F326" s="25">
        <f>0.01*Input!$F$14*(D326*$D$301)+10*(B326*$B$301+C326*$C$301)</f>
        <v>69878.285975832667</v>
      </c>
      <c r="G326" s="17">
        <f t="shared" si="21"/>
        <v>0.62350957125764361</v>
      </c>
      <c r="H326" s="29">
        <f t="shared" si="22"/>
        <v>1019.2942343994594</v>
      </c>
      <c r="I326" s="6"/>
    </row>
    <row r="327" spans="1:10" x14ac:dyDescent="0.2">
      <c r="A327" s="5" t="s">
        <v>1507</v>
      </c>
      <c r="B327" s="20">
        <f>Adjust!$B$81</f>
        <v>-2.6656572810823675E-4</v>
      </c>
      <c r="C327" s="20">
        <f>Adjust!$C$81</f>
        <v>-4.0551344399819556E-4</v>
      </c>
      <c r="D327" s="30">
        <f>Adjust!$E$81</f>
        <v>3.248486737533085E-3</v>
      </c>
      <c r="E327" s="17">
        <f t="shared" si="20"/>
        <v>-2.9837080434545044E-4</v>
      </c>
      <c r="F327" s="25">
        <f>0.01*Input!$F$14*(D327*$D$301)+10*(B327*$B$301+C327*$C$301)</f>
        <v>-32.626304882771493</v>
      </c>
      <c r="G327" s="17">
        <f t="shared" si="21"/>
        <v>-2.911178069853282E-4</v>
      </c>
      <c r="H327" s="29">
        <f t="shared" si="22"/>
        <v>-0.47591042041685733</v>
      </c>
      <c r="I327" s="6"/>
    </row>
    <row r="330" spans="1:10" x14ac:dyDescent="0.2">
      <c r="A330" s="5" t="s">
        <v>1508</v>
      </c>
      <c r="B330" s="17">
        <f>SUM($B$305:$B$327)</f>
        <v>1.44</v>
      </c>
      <c r="C330" s="17">
        <f>SUM($C$305:$C$327)</f>
        <v>0.123</v>
      </c>
      <c r="D330" s="29">
        <f>SUM($D$305:$D$327)</f>
        <v>254.67</v>
      </c>
      <c r="E330" s="17">
        <f>SUM(E$305:E$327)</f>
        <v>1.1385392301260746</v>
      </c>
      <c r="F330" s="25">
        <f>SUM($F$305:$F$327)</f>
        <v>191324.46663254625</v>
      </c>
      <c r="G330" s="17">
        <f>SUM($G$305:$G$327)</f>
        <v>1.7071488588374004</v>
      </c>
      <c r="H330" s="29">
        <f>SUM($H$305:$H$327)</f>
        <v>2790.7943507021942</v>
      </c>
      <c r="I330" s="6"/>
    </row>
    <row r="332" spans="1:10" ht="16.5" x14ac:dyDescent="0.25">
      <c r="A332" s="3" t="s">
        <v>59</v>
      </c>
    </row>
    <row r="334" spans="1:10" ht="25.5" x14ac:dyDescent="0.2">
      <c r="B334" s="4" t="s">
        <v>105</v>
      </c>
      <c r="C334" s="4" t="s">
        <v>106</v>
      </c>
      <c r="D334" s="4" t="s">
        <v>107</v>
      </c>
      <c r="E334" s="4" t="s">
        <v>108</v>
      </c>
      <c r="F334" s="4" t="s">
        <v>109</v>
      </c>
      <c r="G334" s="4" t="s">
        <v>110</v>
      </c>
      <c r="H334" s="4" t="s">
        <v>1489</v>
      </c>
      <c r="I334" s="4" t="s">
        <v>1490</v>
      </c>
    </row>
    <row r="335" spans="1:10" x14ac:dyDescent="0.2">
      <c r="A335" s="5" t="s">
        <v>59</v>
      </c>
      <c r="B335" s="27">
        <f>Loads!B$307</f>
        <v>115710.04138381009</v>
      </c>
      <c r="C335" s="27">
        <f>Loads!C$307</f>
        <v>661020.25327785639</v>
      </c>
      <c r="D335" s="27">
        <f>Loads!D$307</f>
        <v>808010.335403773</v>
      </c>
      <c r="E335" s="27">
        <f>Loads!E$307</f>
        <v>4948.4112120990931</v>
      </c>
      <c r="F335" s="27">
        <f>Loads!F$307</f>
        <v>752209.79678130196</v>
      </c>
      <c r="G335" s="27">
        <f>Loads!G$307</f>
        <v>116363.06440213854</v>
      </c>
      <c r="H335" s="27">
        <f>Multi!B$124</f>
        <v>1584740.6300654395</v>
      </c>
      <c r="I335" s="17">
        <f>IF(E335,H335/E335,"")</f>
        <v>320.25241277254321</v>
      </c>
      <c r="J335" s="6"/>
    </row>
    <row r="338" spans="1:13" ht="25.5" x14ac:dyDescent="0.2">
      <c r="B338" s="4" t="s">
        <v>1319</v>
      </c>
      <c r="C338" s="4" t="s">
        <v>1320</v>
      </c>
      <c r="D338" s="4" t="s">
        <v>1321</v>
      </c>
      <c r="E338" s="4" t="s">
        <v>1322</v>
      </c>
      <c r="F338" s="4" t="s">
        <v>1323</v>
      </c>
      <c r="G338" s="4" t="s">
        <v>957</v>
      </c>
      <c r="H338" s="4" t="s">
        <v>1509</v>
      </c>
      <c r="I338" s="4" t="s">
        <v>1491</v>
      </c>
      <c r="J338" s="4" t="s">
        <v>1461</v>
      </c>
      <c r="K338" s="4" t="s">
        <v>1492</v>
      </c>
      <c r="L338" s="4" t="s">
        <v>1510</v>
      </c>
    </row>
    <row r="339" spans="1:13" x14ac:dyDescent="0.2">
      <c r="A339" s="5" t="s">
        <v>338</v>
      </c>
      <c r="B339" s="20">
        <f>Standing!$C$90</f>
        <v>0.73783183893234017</v>
      </c>
      <c r="C339" s="20">
        <f>Standing!$C$115</f>
        <v>6.384665506149162E-2</v>
      </c>
      <c r="D339" s="20">
        <f>Standing!$C$131</f>
        <v>9.5408988286650228E-3</v>
      </c>
      <c r="E339" s="21"/>
      <c r="F339" s="30">
        <f>Standing!$C$34</f>
        <v>0</v>
      </c>
      <c r="G339" s="20">
        <f>Reactive!$C$22</f>
        <v>2.0401458574918707E-2</v>
      </c>
      <c r="H339" s="17">
        <f t="shared" ref="H339:H361" si="23">IF(H$335&lt;&gt;0,(($B339*B$335+$C339*C$335+$D339*D$335+$G339*G$335))/H$335,0)</f>
        <v>8.686696308897833E-2</v>
      </c>
      <c r="I339" s="25">
        <f>0.01*Input!$F$14*(E339*$E$335+F339*$F$335)+10*(B339*$B$335+C339*$C$335+D339*$D$335+G339*$G$335)</f>
        <v>1376616.0581749878</v>
      </c>
      <c r="J339" s="17">
        <f t="shared" ref="J339:J361" si="24">IF($H$335&lt;&gt;0,0.1*I339/$H$335,"")</f>
        <v>8.686696308897833E-2</v>
      </c>
      <c r="K339" s="29">
        <f t="shared" ref="K339:K361" si="25">IF($E$335&lt;&gt;0,I339/$E$335,"")</f>
        <v>278.1935451946876</v>
      </c>
      <c r="L339" s="29">
        <f>IF($F$335&lt;&gt;0,I339/$F$335*100/Input!$F$14,"")</f>
        <v>0.50139613448980092</v>
      </c>
      <c r="M339" s="6"/>
    </row>
    <row r="340" spans="1:13" x14ac:dyDescent="0.2">
      <c r="A340" s="5" t="s">
        <v>339</v>
      </c>
      <c r="B340" s="20">
        <f>Standing!$D$90</f>
        <v>0.6805648776305806</v>
      </c>
      <c r="C340" s="20">
        <f>Standing!$D$115</f>
        <v>5.8891184544057749E-2</v>
      </c>
      <c r="D340" s="20">
        <f>Standing!$D$131</f>
        <v>8.8003801153552479E-3</v>
      </c>
      <c r="E340" s="21"/>
      <c r="F340" s="30">
        <f>Standing!$D$34</f>
        <v>0</v>
      </c>
      <c r="G340" s="20">
        <f>Reactive!$D$22</f>
        <v>1.8697253762905489E-2</v>
      </c>
      <c r="H340" s="17">
        <f t="shared" si="23"/>
        <v>8.011590117769013E-2</v>
      </c>
      <c r="I340" s="25">
        <f>0.01*Input!$F$14*(E340*$E$335+F340*$F$335)+10*(B340*$B$335+C340*$C$335+D340*$D$335+G340*$G$335)</f>
        <v>1269629.2371059314</v>
      </c>
      <c r="J340" s="17">
        <f t="shared" si="24"/>
        <v>8.011590117769013E-2</v>
      </c>
      <c r="K340" s="29">
        <f t="shared" si="25"/>
        <v>256.573106536019</v>
      </c>
      <c r="L340" s="29">
        <f>IF($F$335&lt;&gt;0,I340/$F$335*100/Input!$F$14,"")</f>
        <v>0.46242900330836428</v>
      </c>
      <c r="M340" s="6"/>
    </row>
    <row r="341" spans="1:13" x14ac:dyDescent="0.2">
      <c r="A341" s="5" t="s">
        <v>340</v>
      </c>
      <c r="B341" s="20">
        <f>Standing!$E$90</f>
        <v>0.93511949657095617</v>
      </c>
      <c r="C341" s="20">
        <f>Standing!$E$115</f>
        <v>0.10750401332804257</v>
      </c>
      <c r="D341" s="20">
        <f>Standing!$E$131</f>
        <v>1.443885098857884E-2</v>
      </c>
      <c r="E341" s="21"/>
      <c r="F341" s="30">
        <f>Standing!$E$34</f>
        <v>0</v>
      </c>
      <c r="G341" s="20">
        <f>Reactive!$E$22</f>
        <v>2.8499209139663299E-2</v>
      </c>
      <c r="H341" s="17">
        <f t="shared" si="23"/>
        <v>0.12257402771086644</v>
      </c>
      <c r="I341" s="25">
        <f>0.01*Input!$F$14*(E341*$E$335+F341*$F$335)+10*(B341*$B$335+C341*$C$335+D341*$D$335+G341*$G$335)</f>
        <v>1942480.419041771</v>
      </c>
      <c r="J341" s="17">
        <f t="shared" si="24"/>
        <v>0.12257402771086644</v>
      </c>
      <c r="K341" s="29">
        <f t="shared" si="25"/>
        <v>392.54628117653539</v>
      </c>
      <c r="L341" s="29">
        <f>IF($F$335&lt;&gt;0,I341/$F$335*100/Input!$F$14,"")</f>
        <v>0.70749732116365394</v>
      </c>
      <c r="M341" s="6"/>
    </row>
    <row r="342" spans="1:13" x14ac:dyDescent="0.2">
      <c r="A342" s="5" t="s">
        <v>341</v>
      </c>
      <c r="B342" s="20">
        <f>Standing!$F$90</f>
        <v>1.1579609833453239</v>
      </c>
      <c r="C342" s="20">
        <f>Standing!$F$115</f>
        <v>0.13312250834614389</v>
      </c>
      <c r="D342" s="20">
        <f>Standing!$F$131</f>
        <v>1.7879667946633045E-2</v>
      </c>
      <c r="E342" s="21"/>
      <c r="F342" s="30">
        <f>Standing!$F$34</f>
        <v>0</v>
      </c>
      <c r="G342" s="20">
        <f>Reactive!$F$22</f>
        <v>3.7090426297063855E-2</v>
      </c>
      <c r="H342" s="17">
        <f t="shared" si="23"/>
        <v>0.15191590035532201</v>
      </c>
      <c r="I342" s="25">
        <f>0.01*Input!$F$14*(E342*$E$335+F342*$F$335)+10*(B342*$B$335+C342*$C$335+D342*$D$335+G342*$G$335)</f>
        <v>2407472.9964605151</v>
      </c>
      <c r="J342" s="17">
        <f t="shared" si="24"/>
        <v>0.15191590035532201</v>
      </c>
      <c r="K342" s="29">
        <f t="shared" si="25"/>
        <v>486.51433627305119</v>
      </c>
      <c r="L342" s="29">
        <f>IF($F$335&lt;&gt;0,I342/$F$335*100/Input!$F$14,"")</f>
        <v>0.87685861801885279</v>
      </c>
      <c r="M342" s="6"/>
    </row>
    <row r="343" spans="1:13" x14ac:dyDescent="0.2">
      <c r="A343" s="5" t="s">
        <v>342</v>
      </c>
      <c r="B343" s="20">
        <f>Standing!$G$90</f>
        <v>0</v>
      </c>
      <c r="C343" s="20">
        <f>Standing!$G$115</f>
        <v>0</v>
      </c>
      <c r="D343" s="20">
        <f>Standing!$G$131</f>
        <v>0</v>
      </c>
      <c r="E343" s="21"/>
      <c r="F343" s="30">
        <f>Standing!$G$34</f>
        <v>0</v>
      </c>
      <c r="G343" s="20">
        <f>Reactive!$G$22</f>
        <v>0</v>
      </c>
      <c r="H343" s="17">
        <f t="shared" si="23"/>
        <v>0</v>
      </c>
      <c r="I343" s="25">
        <f>0.01*Input!$F$14*(E343*$E$335+F343*$F$335)+10*(B343*$B$335+C343*$C$335+D343*$D$335+G343*$G$335)</f>
        <v>0</v>
      </c>
      <c r="J343" s="17">
        <f t="shared" si="24"/>
        <v>0</v>
      </c>
      <c r="K343" s="29">
        <f t="shared" si="25"/>
        <v>0</v>
      </c>
      <c r="L343" s="29">
        <f>IF($F$335&lt;&gt;0,I343/$F$335*100/Input!$F$14,"")</f>
        <v>0</v>
      </c>
      <c r="M343" s="6"/>
    </row>
    <row r="344" spans="1:13" x14ac:dyDescent="0.2">
      <c r="A344" s="5" t="s">
        <v>343</v>
      </c>
      <c r="B344" s="20">
        <f>Standing!$H$90</f>
        <v>0.94205575288726795</v>
      </c>
      <c r="C344" s="20">
        <f>Standing!$H$115</f>
        <v>0.10830142520343373</v>
      </c>
      <c r="D344" s="20">
        <f>Standing!$H$131</f>
        <v>1.4545951280827116E-2</v>
      </c>
      <c r="E344" s="21"/>
      <c r="F344" s="30">
        <f>Standing!$H$34</f>
        <v>0.36013126770993864</v>
      </c>
      <c r="G344" s="20">
        <f>Reactive!$H$22</f>
        <v>3.0174807245444232E-2</v>
      </c>
      <c r="H344" s="17">
        <f t="shared" si="23"/>
        <v>0.12359073400843694</v>
      </c>
      <c r="I344" s="25">
        <f>0.01*Input!$F$14*(E344*$E$335+F344*$F$335)+10*(B344*$B$335+C344*$C$335+D344*$D$335+G344*$G$335)</f>
        <v>2947356.6539280075</v>
      </c>
      <c r="J344" s="17">
        <f t="shared" si="24"/>
        <v>0.18598353560268729</v>
      </c>
      <c r="K344" s="29">
        <f t="shared" si="25"/>
        <v>595.61676012728788</v>
      </c>
      <c r="L344" s="29">
        <f>IF($F$335&lt;&gt;0,I344/$F$335*100/Input!$F$14,"")</f>
        <v>1.0734970178986885</v>
      </c>
      <c r="M344" s="6"/>
    </row>
    <row r="345" spans="1:13" x14ac:dyDescent="0.2">
      <c r="A345" s="5" t="s">
        <v>344</v>
      </c>
      <c r="B345" s="20">
        <f>Standing!$I$90</f>
        <v>0</v>
      </c>
      <c r="C345" s="20">
        <f>Standing!$I$115</f>
        <v>0</v>
      </c>
      <c r="D345" s="20">
        <f>Standing!$I$131</f>
        <v>0</v>
      </c>
      <c r="E345" s="21"/>
      <c r="F345" s="30">
        <f>Standing!$I$34</f>
        <v>1.5564019507428997</v>
      </c>
      <c r="G345" s="20">
        <f>Reactive!$I$22</f>
        <v>0</v>
      </c>
      <c r="H345" s="17">
        <f t="shared" si="23"/>
        <v>0</v>
      </c>
      <c r="I345" s="25">
        <f>0.01*Input!$F$14*(E345*$E$335+F345*$F$335)+10*(B345*$B$335+C345*$C$335+D345*$D$335+G345*$G$335)</f>
        <v>4273203.9020359358</v>
      </c>
      <c r="J345" s="17">
        <f t="shared" si="24"/>
        <v>0.26964689495337041</v>
      </c>
      <c r="K345" s="29">
        <f t="shared" si="25"/>
        <v>863.55068705441363</v>
      </c>
      <c r="L345" s="29">
        <f>IF($F$335&lt;&gt;0,I345/$F$335*100/Input!$F$14,"")</f>
        <v>1.5564019507428997</v>
      </c>
      <c r="M345" s="6"/>
    </row>
    <row r="346" spans="1:13" x14ac:dyDescent="0.2">
      <c r="A346" s="5" t="s">
        <v>345</v>
      </c>
      <c r="B346" s="20">
        <f>Standing!$J$90</f>
        <v>0</v>
      </c>
      <c r="C346" s="20">
        <f>Standing!$J$115</f>
        <v>0</v>
      </c>
      <c r="D346" s="20">
        <f>Standing!$J$131</f>
        <v>0</v>
      </c>
      <c r="E346" s="21"/>
      <c r="F346" s="30">
        <f>Standing!$J$34</f>
        <v>4.3701409904045252E-2</v>
      </c>
      <c r="G346" s="20">
        <f>Reactive!$J$22</f>
        <v>0</v>
      </c>
      <c r="H346" s="17">
        <f t="shared" si="23"/>
        <v>0</v>
      </c>
      <c r="I346" s="25">
        <f>0.01*Input!$F$14*(E346*$E$335+F346*$F$335)+10*(B346*$B$335+C346*$C$335+D346*$D$335+G346*$G$335)</f>
        <v>119985.09461987062</v>
      </c>
      <c r="J346" s="17">
        <f t="shared" si="24"/>
        <v>7.5712764816862196E-3</v>
      </c>
      <c r="K346" s="29">
        <f t="shared" si="25"/>
        <v>24.247195610280233</v>
      </c>
      <c r="L346" s="29">
        <f>IF($F$335&lt;&gt;0,I346/$F$335*100/Input!$F$14,"")</f>
        <v>4.3701409904045252E-2</v>
      </c>
      <c r="M346" s="6"/>
    </row>
    <row r="347" spans="1:13" x14ac:dyDescent="0.2">
      <c r="A347" s="5" t="s">
        <v>1493</v>
      </c>
      <c r="B347" s="21"/>
      <c r="C347" s="21"/>
      <c r="D347" s="21"/>
      <c r="E347" s="30">
        <f>SM!$B$117</f>
        <v>0</v>
      </c>
      <c r="F347" s="21"/>
      <c r="G347" s="21"/>
      <c r="H347" s="17">
        <f t="shared" si="23"/>
        <v>0</v>
      </c>
      <c r="I347" s="25">
        <f>0.01*Input!$F$14*(E347*$E$335+F347*$F$335)+10*(B347*$B$335+C347*$C$335+D347*$D$335+G347*$G$335)</f>
        <v>0</v>
      </c>
      <c r="J347" s="17">
        <f t="shared" si="24"/>
        <v>0</v>
      </c>
      <c r="K347" s="29">
        <f t="shared" si="25"/>
        <v>0</v>
      </c>
      <c r="L347" s="29">
        <f>IF($F$335&lt;&gt;0,I347/$F$335*100/Input!$F$14,"")</f>
        <v>0</v>
      </c>
      <c r="M347" s="6"/>
    </row>
    <row r="348" spans="1:13" x14ac:dyDescent="0.2">
      <c r="A348" s="5" t="s">
        <v>1494</v>
      </c>
      <c r="B348" s="21"/>
      <c r="C348" s="21"/>
      <c r="D348" s="21"/>
      <c r="E348" s="30">
        <f>SM!$C$117</f>
        <v>0</v>
      </c>
      <c r="F348" s="21"/>
      <c r="G348" s="21"/>
      <c r="H348" s="17">
        <f t="shared" si="23"/>
        <v>0</v>
      </c>
      <c r="I348" s="25">
        <f>0.01*Input!$F$14*(E348*$E$335+F348*$F$335)+10*(B348*$B$335+C348*$C$335+D348*$D$335+G348*$G$335)</f>
        <v>0</v>
      </c>
      <c r="J348" s="17">
        <f t="shared" si="24"/>
        <v>0</v>
      </c>
      <c r="K348" s="29">
        <f t="shared" si="25"/>
        <v>0</v>
      </c>
      <c r="L348" s="29">
        <f>IF($F$335&lt;&gt;0,I348/$F$335*100/Input!$F$14,"")</f>
        <v>0</v>
      </c>
      <c r="M348" s="6"/>
    </row>
    <row r="349" spans="1:13" x14ac:dyDescent="0.2">
      <c r="A349" s="5" t="s">
        <v>1495</v>
      </c>
      <c r="B349" s="20">
        <f>Standing!$K$90</f>
        <v>0.58284576698462587</v>
      </c>
      <c r="C349" s="20">
        <f>Standing!$K$115</f>
        <v>3.1775523491637418E-2</v>
      </c>
      <c r="D349" s="20">
        <f>Standing!$K$131</f>
        <v>5.615857252003008E-3</v>
      </c>
      <c r="E349" s="21"/>
      <c r="F349" s="30">
        <f>Standing!$K$34</f>
        <v>0</v>
      </c>
      <c r="G349" s="20">
        <f>Reactive!$K$22</f>
        <v>1.4081187443783899E-2</v>
      </c>
      <c r="H349" s="17">
        <f t="shared" si="23"/>
        <v>5.9707924080858107E-2</v>
      </c>
      <c r="I349" s="25">
        <f>0.01*Input!$F$14*(E349*$E$335+F349*$F$335)+10*(B349*$B$335+C349*$C$335+D349*$D$335+G349*$G$335)</f>
        <v>946215.73227798508</v>
      </c>
      <c r="J349" s="17">
        <f t="shared" si="24"/>
        <v>5.9707924080858107E-2</v>
      </c>
      <c r="K349" s="29">
        <f t="shared" si="25"/>
        <v>191.21606748534643</v>
      </c>
      <c r="L349" s="29">
        <f>IF($F$335&lt;&gt;0,I349/$F$335*100/Input!$F$14,"")</f>
        <v>0.34463415397505942</v>
      </c>
      <c r="M349" s="6"/>
    </row>
    <row r="350" spans="1:13" x14ac:dyDescent="0.2">
      <c r="A350" s="5" t="s">
        <v>1496</v>
      </c>
      <c r="B350" s="20">
        <f>Standing!$L$90</f>
        <v>0.24359351623871084</v>
      </c>
      <c r="C350" s="20">
        <f>Standing!$L$115</f>
        <v>2.1078829058141277E-2</v>
      </c>
      <c r="D350" s="20">
        <f>Standing!$L$131</f>
        <v>3.1499062132034567E-3</v>
      </c>
      <c r="E350" s="21"/>
      <c r="F350" s="30">
        <f>Standing!$L$34</f>
        <v>0</v>
      </c>
      <c r="G350" s="20">
        <f>Reactive!$L$22</f>
        <v>6.7354954996982309E-3</v>
      </c>
      <c r="H350" s="17">
        <f t="shared" si="23"/>
        <v>2.867893179351258E-2</v>
      </c>
      <c r="I350" s="25">
        <f>0.01*Input!$F$14*(E350*$E$335+F350*$F$335)+10*(B350*$B$335+C350*$C$335+D350*$D$335+G350*$G$335)</f>
        <v>454486.68440054893</v>
      </c>
      <c r="J350" s="17">
        <f t="shared" si="24"/>
        <v>2.8678931793512583E-2</v>
      </c>
      <c r="K350" s="29">
        <f t="shared" si="25"/>
        <v>91.844971026116028</v>
      </c>
      <c r="L350" s="29">
        <f>IF($F$335&lt;&gt;0,I350/$F$335*100/Input!$F$14,"")</f>
        <v>0.16553480208390448</v>
      </c>
      <c r="M350" s="6"/>
    </row>
    <row r="351" spans="1:13" x14ac:dyDescent="0.2">
      <c r="A351" s="5" t="s">
        <v>1497</v>
      </c>
      <c r="B351" s="20">
        <f>Standing!$M$90</f>
        <v>0.22468695822409937</v>
      </c>
      <c r="C351" s="20">
        <f>Standing!$M$115</f>
        <v>1.9442791651967928E-2</v>
      </c>
      <c r="D351" s="20">
        <f>Standing!$M$131</f>
        <v>2.9054256314536703E-3</v>
      </c>
      <c r="E351" s="21"/>
      <c r="F351" s="30">
        <f>Standing!$M$34</f>
        <v>0</v>
      </c>
      <c r="G351" s="20">
        <f>Reactive!$M$22</f>
        <v>6.1728561276294695E-3</v>
      </c>
      <c r="H351" s="17">
        <f t="shared" si="23"/>
        <v>2.6450083941547319E-2</v>
      </c>
      <c r="I351" s="25">
        <f>0.01*Input!$F$14*(E351*$E$335+F351*$F$335)+10*(B351*$B$335+C351*$C$335+D351*$D$335+G351*$G$335)</f>
        <v>419165.22690811462</v>
      </c>
      <c r="J351" s="17">
        <f t="shared" si="24"/>
        <v>2.6450083941547319E-2</v>
      </c>
      <c r="K351" s="29">
        <f t="shared" si="25"/>
        <v>84.70703200316828</v>
      </c>
      <c r="L351" s="29">
        <f>IF($F$335&lt;&gt;0,I351/$F$335*100/Input!$F$14,"")</f>
        <v>0.15266989167836192</v>
      </c>
      <c r="M351" s="6"/>
    </row>
    <row r="352" spans="1:13" x14ac:dyDescent="0.2">
      <c r="A352" s="5" t="s">
        <v>1498</v>
      </c>
      <c r="B352" s="20">
        <f>Standing!$N$90</f>
        <v>0.30872759110356152</v>
      </c>
      <c r="C352" s="20">
        <f>Standing!$N$115</f>
        <v>3.5492207349366658E-2</v>
      </c>
      <c r="D352" s="20">
        <f>Standing!$N$131</f>
        <v>4.7669540634681607E-3</v>
      </c>
      <c r="E352" s="21"/>
      <c r="F352" s="30">
        <f>Standing!$N$34</f>
        <v>0</v>
      </c>
      <c r="G352" s="20">
        <f>Reactive!$N$22</f>
        <v>9.4089495709463351E-3</v>
      </c>
      <c r="H352" s="17">
        <f t="shared" si="23"/>
        <v>4.0467538582824911E-2</v>
      </c>
      <c r="I352" s="25">
        <f>0.01*Input!$F$14*(E352*$E$335+F352*$F$335)+10*(B352*$B$335+C352*$C$335+D352*$D$335+G352*$G$335)</f>
        <v>641305.52590943431</v>
      </c>
      <c r="J352" s="17">
        <f t="shared" si="24"/>
        <v>4.0467538582824911E-2</v>
      </c>
      <c r="K352" s="29">
        <f t="shared" si="25"/>
        <v>129.5982687011566</v>
      </c>
      <c r="L352" s="29">
        <f>IF($F$335&lt;&gt;0,I352/$F$335*100/Input!$F$14,"")</f>
        <v>0.23357864366642875</v>
      </c>
      <c r="M352" s="6"/>
    </row>
    <row r="353" spans="1:13" x14ac:dyDescent="0.2">
      <c r="A353" s="5" t="s">
        <v>1499</v>
      </c>
      <c r="B353" s="20">
        <f>Standing!$O$90</f>
        <v>0.38229820497918232</v>
      </c>
      <c r="C353" s="20">
        <f>Standing!$O$115</f>
        <v>4.3950095655235041E-2</v>
      </c>
      <c r="D353" s="20">
        <f>Standing!$O$131</f>
        <v>5.9029320157872808E-3</v>
      </c>
      <c r="E353" s="21"/>
      <c r="F353" s="30">
        <f>Standing!$O$34</f>
        <v>0</v>
      </c>
      <c r="G353" s="20">
        <f>Reactive!$O$22</f>
        <v>1.2245320523939939E-2</v>
      </c>
      <c r="H353" s="17">
        <f t="shared" si="23"/>
        <v>5.0154691607874592E-2</v>
      </c>
      <c r="I353" s="25">
        <f>0.01*Input!$F$14*(E353*$E$335+F353*$F$335)+10*(B353*$B$335+C353*$C$335+D353*$D$335+G353*$G$335)</f>
        <v>794821.77579400991</v>
      </c>
      <c r="J353" s="17">
        <f t="shared" si="24"/>
        <v>5.0154691607874599E-2</v>
      </c>
      <c r="K353" s="29">
        <f t="shared" si="25"/>
        <v>160.6216099928466</v>
      </c>
      <c r="L353" s="29">
        <f>IF($F$335&lt;&gt;0,I353/$F$335*100/Input!$F$14,"")</f>
        <v>0.28949289355215274</v>
      </c>
      <c r="M353" s="6"/>
    </row>
    <row r="354" spans="1:13" x14ac:dyDescent="0.2">
      <c r="A354" s="5" t="s">
        <v>1500</v>
      </c>
      <c r="B354" s="20">
        <f>Standing!$P$90</f>
        <v>0</v>
      </c>
      <c r="C354" s="20">
        <f>Standing!$P$115</f>
        <v>0</v>
      </c>
      <c r="D354" s="20">
        <f>Standing!$P$131</f>
        <v>0</v>
      </c>
      <c r="E354" s="21"/>
      <c r="F354" s="30">
        <f>Standing!$P$34</f>
        <v>0</v>
      </c>
      <c r="G354" s="20">
        <f>Reactive!$P$22</f>
        <v>0</v>
      </c>
      <c r="H354" s="17">
        <f t="shared" si="23"/>
        <v>0</v>
      </c>
      <c r="I354" s="25">
        <f>0.01*Input!$F$14*(E354*$E$335+F354*$F$335)+10*(B354*$B$335+C354*$C$335+D354*$D$335+G354*$G$335)</f>
        <v>0</v>
      </c>
      <c r="J354" s="17">
        <f t="shared" si="24"/>
        <v>0</v>
      </c>
      <c r="K354" s="29">
        <f t="shared" si="25"/>
        <v>0</v>
      </c>
      <c r="L354" s="29">
        <f>IF($F$335&lt;&gt;0,I354/$F$335*100/Input!$F$14,"")</f>
        <v>0</v>
      </c>
      <c r="M354" s="6"/>
    </row>
    <row r="355" spans="1:13" x14ac:dyDescent="0.2">
      <c r="A355" s="5" t="s">
        <v>1501</v>
      </c>
      <c r="B355" s="20">
        <f>Standing!$Q$90</f>
        <v>0.44431082924333831</v>
      </c>
      <c r="C355" s="20">
        <f>Standing!$Q$115</f>
        <v>5.1079244400231684E-2</v>
      </c>
      <c r="D355" s="20">
        <f>Standing!$Q$131</f>
        <v>6.8604471188775697E-3</v>
      </c>
      <c r="E355" s="21"/>
      <c r="F355" s="30">
        <f>Standing!$Q$34</f>
        <v>0.16985217881452214</v>
      </c>
      <c r="G355" s="20">
        <f>Reactive!$Q$22</f>
        <v>1.4231635005030942E-2</v>
      </c>
      <c r="H355" s="17">
        <f t="shared" si="23"/>
        <v>5.8290288388751735E-2</v>
      </c>
      <c r="I355" s="25">
        <f>0.01*Input!$F$14*(E355*$E$335+F355*$F$335)+10*(B355*$B$335+C355*$C$335+D355*$D$335+G355*$G$335)</f>
        <v>1390090.2095964716</v>
      </c>
      <c r="J355" s="17">
        <f t="shared" si="24"/>
        <v>8.7717206413712639E-2</v>
      </c>
      <c r="K355" s="29">
        <f t="shared" si="25"/>
        <v>280.9164699565867</v>
      </c>
      <c r="L355" s="29">
        <f>IF($F$335&lt;&gt;0,I355/$F$335*100/Input!$F$14,"")</f>
        <v>0.50630373919057625</v>
      </c>
      <c r="M355" s="6"/>
    </row>
    <row r="356" spans="1:13" x14ac:dyDescent="0.2">
      <c r="A356" s="5" t="s">
        <v>1502</v>
      </c>
      <c r="B356" s="20">
        <f>Standing!$R$90</f>
        <v>0</v>
      </c>
      <c r="C356" s="20">
        <f>Standing!$R$115</f>
        <v>0</v>
      </c>
      <c r="D356" s="20">
        <f>Standing!$R$131</f>
        <v>0</v>
      </c>
      <c r="E356" s="21"/>
      <c r="F356" s="30">
        <f>Standing!$R$34</f>
        <v>0.73406084433017538</v>
      </c>
      <c r="G356" s="20">
        <f>Reactive!$R$22</f>
        <v>0</v>
      </c>
      <c r="H356" s="17">
        <f t="shared" si="23"/>
        <v>0</v>
      </c>
      <c r="I356" s="25">
        <f>0.01*Input!$F$14*(E356*$E$335+F356*$F$335)+10*(B356*$B$335+C356*$C$335+D356*$D$335+G356*$G$335)</f>
        <v>2015412.3186662993</v>
      </c>
      <c r="J356" s="17">
        <f t="shared" si="24"/>
        <v>0.12717616248553404</v>
      </c>
      <c r="K356" s="29">
        <f t="shared" si="25"/>
        <v>407.2847288314527</v>
      </c>
      <c r="L356" s="29">
        <f>IF($F$335&lt;&gt;0,I356/$F$335*100/Input!$F$14,"")</f>
        <v>0.73406084433017538</v>
      </c>
      <c r="M356" s="6"/>
    </row>
    <row r="357" spans="1:13" x14ac:dyDescent="0.2">
      <c r="A357" s="5" t="s">
        <v>1503</v>
      </c>
      <c r="B357" s="20">
        <f>Standing!$S$90</f>
        <v>0</v>
      </c>
      <c r="C357" s="20">
        <f>Standing!$S$115</f>
        <v>0</v>
      </c>
      <c r="D357" s="20">
        <f>Standing!$S$131</f>
        <v>0</v>
      </c>
      <c r="E357" s="21"/>
      <c r="F357" s="30">
        <f>Standing!$S$34</f>
        <v>0.48093072799712311</v>
      </c>
      <c r="G357" s="20">
        <f>Reactive!$S$22</f>
        <v>0</v>
      </c>
      <c r="H357" s="17">
        <f t="shared" si="23"/>
        <v>0</v>
      </c>
      <c r="I357" s="25">
        <f>0.01*Input!$F$14*(E357*$E$335+F357*$F$335)+10*(B357*$B$335+C357*$C$335+D357*$D$335+G357*$G$335)</f>
        <v>1320426.9388799884</v>
      </c>
      <c r="J357" s="17">
        <f t="shared" si="24"/>
        <v>8.3321328034951903E-2</v>
      </c>
      <c r="K357" s="29">
        <f t="shared" si="25"/>
        <v>266.83856338605892</v>
      </c>
      <c r="L357" s="29">
        <f>IF($F$335&lt;&gt;0,I357/$F$335*100/Input!$F$14,"")</f>
        <v>0.48093072799712311</v>
      </c>
      <c r="M357" s="6"/>
    </row>
    <row r="358" spans="1:13" x14ac:dyDescent="0.2">
      <c r="A358" s="5" t="s">
        <v>1504</v>
      </c>
      <c r="B358" s="21"/>
      <c r="C358" s="21"/>
      <c r="D358" s="21"/>
      <c r="E358" s="30">
        <f>Otex!$B$130</f>
        <v>11.930669489218699</v>
      </c>
      <c r="F358" s="21"/>
      <c r="G358" s="21"/>
      <c r="H358" s="17">
        <f t="shared" si="23"/>
        <v>0</v>
      </c>
      <c r="I358" s="25">
        <f>0.01*Input!$F$14*(E358*$E$335+F358*$F$335)+10*(B358*$B$335+C358*$C$335+D358*$D$335+G358*$G$335)</f>
        <v>215488.18413928905</v>
      </c>
      <c r="J358" s="17">
        <f t="shared" si="24"/>
        <v>1.3597694162128651E-2</v>
      </c>
      <c r="K358" s="29">
        <f t="shared" si="25"/>
        <v>43.546943635648255</v>
      </c>
      <c r="L358" s="29">
        <f>IF($F$335&lt;&gt;0,I358/$F$335*100/Input!$F$14,"")</f>
        <v>7.8485894388667585E-2</v>
      </c>
      <c r="M358" s="6"/>
    </row>
    <row r="359" spans="1:13" x14ac:dyDescent="0.2">
      <c r="A359" s="5" t="s">
        <v>1505</v>
      </c>
      <c r="B359" s="21"/>
      <c r="C359" s="21"/>
      <c r="D359" s="21"/>
      <c r="E359" s="30">
        <f>Otex!$C$130</f>
        <v>0</v>
      </c>
      <c r="F359" s="21"/>
      <c r="G359" s="21"/>
      <c r="H359" s="17">
        <f t="shared" si="23"/>
        <v>0</v>
      </c>
      <c r="I359" s="25">
        <f>0.01*Input!$F$14*(E359*$E$335+F359*$F$335)+10*(B359*$B$335+C359*$C$335+D359*$D$335+G359*$G$335)</f>
        <v>0</v>
      </c>
      <c r="J359" s="17">
        <f t="shared" si="24"/>
        <v>0</v>
      </c>
      <c r="K359" s="29">
        <f t="shared" si="25"/>
        <v>0</v>
      </c>
      <c r="L359" s="29">
        <f>IF($F$335&lt;&gt;0,I359/$F$335*100/Input!$F$14,"")</f>
        <v>0</v>
      </c>
      <c r="M359" s="6"/>
    </row>
    <row r="360" spans="1:13" x14ac:dyDescent="0.2">
      <c r="A360" s="5" t="s">
        <v>1506</v>
      </c>
      <c r="B360" s="20">
        <f>Scaler!$B$416</f>
        <v>4.8971636852276736</v>
      </c>
      <c r="C360" s="20">
        <f>Scaler!$C$416</f>
        <v>0.26698304858144439</v>
      </c>
      <c r="D360" s="20">
        <f>Scaler!$D$416</f>
        <v>4.7185334017630504E-2</v>
      </c>
      <c r="E360" s="30">
        <f>Scaler!$E$416</f>
        <v>0</v>
      </c>
      <c r="F360" s="30">
        <f>Scaler!$F$416</f>
        <v>0</v>
      </c>
      <c r="G360" s="20">
        <f>Scaler!$G$416</f>
        <v>0.11831239703659262</v>
      </c>
      <c r="H360" s="17">
        <f t="shared" si="23"/>
        <v>0.50167556168735461</v>
      </c>
      <c r="I360" s="25">
        <f>0.01*Input!$F$14*(E360*$E$335+F360*$F$335)+10*(B360*$B$335+C360*$C$335+D360*$D$335+G360*$G$335)</f>
        <v>7950256.4571685167</v>
      </c>
      <c r="J360" s="17">
        <f t="shared" si="24"/>
        <v>0.50167556168735461</v>
      </c>
      <c r="K360" s="29">
        <f t="shared" si="25"/>
        <v>1606.6280905939616</v>
      </c>
      <c r="L360" s="29">
        <f>IF($F$335&lt;&gt;0,I360/$F$335*100/Input!$F$14,"")</f>
        <v>2.895671478009278</v>
      </c>
      <c r="M360" s="6"/>
    </row>
    <row r="361" spans="1:13" x14ac:dyDescent="0.2">
      <c r="A361" s="5" t="s">
        <v>1507</v>
      </c>
      <c r="B361" s="20">
        <f>Adjust!$B$82</f>
        <v>-1.5950136766029743E-4</v>
      </c>
      <c r="C361" s="20">
        <f>Adjust!$C$82</f>
        <v>-4.6752667119398517E-4</v>
      </c>
      <c r="D361" s="20">
        <f>Adjust!$D$82</f>
        <v>4.0739452751706318E-4</v>
      </c>
      <c r="E361" s="30">
        <f>Adjust!$E$82</f>
        <v>-6.6948921869958156E-4</v>
      </c>
      <c r="F361" s="30">
        <f>Adjust!$F$82</f>
        <v>4.9216205012956316E-3</v>
      </c>
      <c r="G361" s="20">
        <f>Adjust!$G$82</f>
        <v>-5.0996227617006173E-5</v>
      </c>
      <c r="H361" s="17">
        <f t="shared" si="23"/>
        <v>-2.6853586489498209E-6</v>
      </c>
      <c r="I361" s="25">
        <f>0.01*Input!$F$14*(E361*$E$335+F361*$F$335)+10*(B361*$B$335+C361*$C$335+D361*$D$335+G361*$G$335)</f>
        <v>13457.984639854123</v>
      </c>
      <c r="J361" s="17">
        <f t="shared" si="24"/>
        <v>8.4922317157340736E-4</v>
      </c>
      <c r="K361" s="29">
        <f t="shared" si="25"/>
        <v>2.7196576967873511</v>
      </c>
      <c r="L361" s="29">
        <f>IF($F$335&lt;&gt;0,I361/$F$335*100/Input!$F$14,"")</f>
        <v>4.9017163764540602E-3</v>
      </c>
      <c r="M361" s="6"/>
    </row>
    <row r="364" spans="1:13" x14ac:dyDescent="0.2">
      <c r="A364" s="5" t="s">
        <v>1508</v>
      </c>
      <c r="B364" s="17">
        <f>SUM($B$339:$B$361)</f>
        <v>11.537000000000001</v>
      </c>
      <c r="C364" s="17">
        <f>SUM($C$339:$C$361)</f>
        <v>0.94099999999999995</v>
      </c>
      <c r="D364" s="17">
        <f>SUM($D$339:$D$361)</f>
        <v>0.14199999999999999</v>
      </c>
      <c r="E364" s="29">
        <f>SUM($E$339:$E$361)</f>
        <v>11.93</v>
      </c>
      <c r="F364" s="29">
        <f>SUM($F$339:$F$361)</f>
        <v>3.35</v>
      </c>
      <c r="G364" s="17">
        <f>SUM($G$339:$G$361)</f>
        <v>0.316</v>
      </c>
      <c r="H364" s="17">
        <f>SUM(H$339:H$361)</f>
        <v>1.3304858610653687</v>
      </c>
      <c r="I364" s="25">
        <f>SUM($I$339:$I$361)</f>
        <v>30497871.399747524</v>
      </c>
      <c r="J364" s="17">
        <f>SUM($J$339:$J$361)</f>
        <v>1.9244708453324733</v>
      </c>
      <c r="K364" s="29">
        <f>SUM($K$339:$K$361)</f>
        <v>6163.1643152814031</v>
      </c>
      <c r="L364" s="29">
        <f>SUM($L$339:$L$361)</f>
        <v>11.108046240774486</v>
      </c>
      <c r="M364" s="6"/>
    </row>
    <row r="366" spans="1:13" ht="16.5" x14ac:dyDescent="0.25">
      <c r="A366" s="3" t="s">
        <v>60</v>
      </c>
    </row>
    <row r="368" spans="1:13" ht="25.5" x14ac:dyDescent="0.2">
      <c r="B368" s="4" t="s">
        <v>105</v>
      </c>
      <c r="C368" s="4" t="s">
        <v>106</v>
      </c>
      <c r="D368" s="4" t="s">
        <v>107</v>
      </c>
      <c r="E368" s="4" t="s">
        <v>108</v>
      </c>
      <c r="F368" s="4" t="s">
        <v>109</v>
      </c>
      <c r="G368" s="4" t="s">
        <v>110</v>
      </c>
      <c r="H368" s="4" t="s">
        <v>1489</v>
      </c>
      <c r="I368" s="4" t="s">
        <v>1490</v>
      </c>
    </row>
    <row r="369" spans="1:13" x14ac:dyDescent="0.2">
      <c r="A369" s="5" t="s">
        <v>60</v>
      </c>
      <c r="B369" s="27">
        <f>Loads!B$308</f>
        <v>93144.042828731064</v>
      </c>
      <c r="C369" s="27">
        <f>Loads!C$308</f>
        <v>545943.1064019521</v>
      </c>
      <c r="D369" s="27">
        <f>Loads!D$308</f>
        <v>688947.02480521007</v>
      </c>
      <c r="E369" s="27">
        <f>Loads!E$308</f>
        <v>1830.2774665284201</v>
      </c>
      <c r="F369" s="27">
        <f>Loads!F$308</f>
        <v>631754.01391039649</v>
      </c>
      <c r="G369" s="27">
        <f>Loads!G$308</f>
        <v>99562.514593088417</v>
      </c>
      <c r="H369" s="27">
        <f>Multi!B$125</f>
        <v>1328034.1740358933</v>
      </c>
      <c r="I369" s="17">
        <f>IF(E369,H369/E369,"")</f>
        <v>725.59171946472304</v>
      </c>
      <c r="J369" s="6"/>
    </row>
    <row r="372" spans="1:13" ht="25.5" x14ac:dyDescent="0.2">
      <c r="B372" s="4" t="s">
        <v>1319</v>
      </c>
      <c r="C372" s="4" t="s">
        <v>1320</v>
      </c>
      <c r="D372" s="4" t="s">
        <v>1321</v>
      </c>
      <c r="E372" s="4" t="s">
        <v>1322</v>
      </c>
      <c r="F372" s="4" t="s">
        <v>1323</v>
      </c>
      <c r="G372" s="4" t="s">
        <v>957</v>
      </c>
      <c r="H372" s="4" t="s">
        <v>1509</v>
      </c>
      <c r="I372" s="4" t="s">
        <v>1491</v>
      </c>
      <c r="J372" s="4" t="s">
        <v>1461</v>
      </c>
      <c r="K372" s="4" t="s">
        <v>1492</v>
      </c>
      <c r="L372" s="4" t="s">
        <v>1510</v>
      </c>
    </row>
    <row r="373" spans="1:13" x14ac:dyDescent="0.2">
      <c r="A373" s="5" t="s">
        <v>338</v>
      </c>
      <c r="B373" s="20">
        <f>Standing!$C$91</f>
        <v>0.83930643242805658</v>
      </c>
      <c r="C373" s="20">
        <f>Standing!$C$116</f>
        <v>7.2627535780601146E-2</v>
      </c>
      <c r="D373" s="20">
        <f>Standing!$C$132</f>
        <v>1.085306615343579E-2</v>
      </c>
      <c r="E373" s="21"/>
      <c r="F373" s="30">
        <f>Standing!$C$35</f>
        <v>0</v>
      </c>
      <c r="G373" s="20">
        <f>Reactive!$C$23</f>
        <v>2.2292427069097256E-2</v>
      </c>
      <c r="H373" s="17">
        <f t="shared" ref="H373:H395" si="26">IF(H$369&lt;&gt;0,(($B373*B$369+$C373*C$369+$D373*D$369+$G373*G$369))/H$369,0)</f>
        <v>9.6024317000179951E-2</v>
      </c>
      <c r="I373" s="25">
        <f>0.01*Input!$F$14*(E373*$E$369+F373*$F$369)+10*(B373*$B$369+C373*$C$369+D373*$D$369+G373*$G$369)</f>
        <v>1275235.7451469477</v>
      </c>
      <c r="J373" s="17">
        <f t="shared" ref="J373:J395" si="27">IF($H$369&lt;&gt;0,0.1*I373/$H$369,"")</f>
        <v>9.6024317000179951E-2</v>
      </c>
      <c r="K373" s="29">
        <f t="shared" ref="K373:K395" si="28">IF($E$369&lt;&gt;0,I373/$E$369,"")</f>
        <v>696.74449282586204</v>
      </c>
      <c r="L373" s="29">
        <f>IF($F$369&lt;&gt;0,I373/$F$369*100/Input!$F$14,"")</f>
        <v>0.55303116167331035</v>
      </c>
      <c r="M373" s="6"/>
    </row>
    <row r="374" spans="1:13" x14ac:dyDescent="0.2">
      <c r="A374" s="5" t="s">
        <v>339</v>
      </c>
      <c r="B374" s="20">
        <f>Standing!$D$91</f>
        <v>0.77416350086830465</v>
      </c>
      <c r="C374" s="20">
        <f>Standing!$D$116</f>
        <v>6.6990535502857315E-2</v>
      </c>
      <c r="D374" s="20">
        <f>Standing!$D$132</f>
        <v>1.001070331868255E-2</v>
      </c>
      <c r="E374" s="21"/>
      <c r="F374" s="30">
        <f>Standing!$D$35</f>
        <v>0</v>
      </c>
      <c r="G374" s="20">
        <f>Reactive!$D$23</f>
        <v>2.0430263080032537E-2</v>
      </c>
      <c r="H374" s="17">
        <f t="shared" si="26"/>
        <v>8.8561480017877559E-2</v>
      </c>
      <c r="I374" s="25">
        <f>0.01*Input!$F$14*(E374*$E$369+F374*$F$369)+10*(B374*$B$369+C374*$C$369+D374*$D$369+G374*$G$369)</f>
        <v>1176126.7196693828</v>
      </c>
      <c r="J374" s="17">
        <f t="shared" si="27"/>
        <v>8.8561480017877559E-2</v>
      </c>
      <c r="K374" s="29">
        <f t="shared" si="28"/>
        <v>642.59476564512477</v>
      </c>
      <c r="L374" s="29">
        <f>IF($F$369&lt;&gt;0,I374/$F$369*100/Input!$F$14,"")</f>
        <v>0.51005057576928869</v>
      </c>
      <c r="M374" s="6"/>
    </row>
    <row r="375" spans="1:13" x14ac:dyDescent="0.2">
      <c r="A375" s="5" t="s">
        <v>340</v>
      </c>
      <c r="B375" s="20">
        <f>Standing!$E$91</f>
        <v>1.0637272168907606</v>
      </c>
      <c r="C375" s="20">
        <f>Standing!$E$116</f>
        <v>0.12228912488870215</v>
      </c>
      <c r="D375" s="20">
        <f>Standing!$E$132</f>
        <v>1.6424637528681812E-2</v>
      </c>
      <c r="E375" s="21"/>
      <c r="F375" s="30">
        <f>Standing!$E$35</f>
        <v>0</v>
      </c>
      <c r="G375" s="20">
        <f>Reactive!$E$23</f>
        <v>3.1140741184747633E-2</v>
      </c>
      <c r="H375" s="17">
        <f t="shared" si="26"/>
        <v>0.13573364100925439</v>
      </c>
      <c r="I375" s="25">
        <f>0.01*Input!$F$14*(E375*$E$369+F375*$F$369)+10*(B375*$B$369+C375*$C$369+D375*$D$369+G375*$G$369)</f>
        <v>1802589.1382660961</v>
      </c>
      <c r="J375" s="17">
        <f t="shared" si="27"/>
        <v>0.13573364100925439</v>
      </c>
      <c r="K375" s="29">
        <f t="shared" si="28"/>
        <v>984.87205969112335</v>
      </c>
      <c r="L375" s="29">
        <f>IF($F$369&lt;&gt;0,I375/$F$369*100/Input!$F$14,"")</f>
        <v>0.78172837371345583</v>
      </c>
      <c r="M375" s="6"/>
    </row>
    <row r="376" spans="1:13" x14ac:dyDescent="0.2">
      <c r="A376" s="5" t="s">
        <v>341</v>
      </c>
      <c r="B376" s="20">
        <f>Standing!$F$91</f>
        <v>1.3172162687215931</v>
      </c>
      <c r="C376" s="20">
        <f>Standing!$F$116</f>
        <v>0.15143095168887402</v>
      </c>
      <c r="D376" s="20">
        <f>Standing!$F$132</f>
        <v>2.0338672750964022E-2</v>
      </c>
      <c r="E376" s="21"/>
      <c r="F376" s="30">
        <f>Standing!$F$35</f>
        <v>0</v>
      </c>
      <c r="G376" s="20">
        <f>Reactive!$F$23</f>
        <v>4.0528260278680471E-2</v>
      </c>
      <c r="H376" s="17">
        <f t="shared" si="26"/>
        <v>0.16822676755800645</v>
      </c>
      <c r="I376" s="25">
        <f>0.01*Input!$F$14*(E376*$E$369+F376*$F$369)+10*(B376*$B$369+C376*$C$369+D376*$D$369+G376*$G$369)</f>
        <v>2234108.9630462527</v>
      </c>
      <c r="J376" s="17">
        <f t="shared" si="27"/>
        <v>0.16822676755800645</v>
      </c>
      <c r="K376" s="29">
        <f t="shared" si="28"/>
        <v>1220.6394953240615</v>
      </c>
      <c r="L376" s="29">
        <f>IF($F$369&lt;&gt;0,I376/$F$369*100/Input!$F$14,"")</f>
        <v>0.96886546651486094</v>
      </c>
      <c r="M376" s="6"/>
    </row>
    <row r="377" spans="1:13" x14ac:dyDescent="0.2">
      <c r="A377" s="5" t="s">
        <v>342</v>
      </c>
      <c r="B377" s="20">
        <f>Standing!$G$91</f>
        <v>0</v>
      </c>
      <c r="C377" s="20">
        <f>Standing!$G$116</f>
        <v>0</v>
      </c>
      <c r="D377" s="20">
        <f>Standing!$G$132</f>
        <v>0</v>
      </c>
      <c r="E377" s="21"/>
      <c r="F377" s="30">
        <f>Standing!$G$35</f>
        <v>0</v>
      </c>
      <c r="G377" s="20">
        <f>Reactive!$G$23</f>
        <v>0</v>
      </c>
      <c r="H377" s="17">
        <f t="shared" si="26"/>
        <v>0</v>
      </c>
      <c r="I377" s="25">
        <f>0.01*Input!$F$14*(E377*$E$369+F377*$F$369)+10*(B377*$B$369+C377*$C$369+D377*$D$369+G377*$G$369)</f>
        <v>0</v>
      </c>
      <c r="J377" s="17">
        <f t="shared" si="27"/>
        <v>0</v>
      </c>
      <c r="K377" s="29">
        <f t="shared" si="28"/>
        <v>0</v>
      </c>
      <c r="L377" s="29">
        <f>IF($F$369&lt;&gt;0,I377/$F$369*100/Input!$F$14,"")</f>
        <v>0</v>
      </c>
      <c r="M377" s="6"/>
    </row>
    <row r="378" spans="1:13" x14ac:dyDescent="0.2">
      <c r="A378" s="5" t="s">
        <v>343</v>
      </c>
      <c r="B378" s="20">
        <f>Standing!$H$91</f>
        <v>0</v>
      </c>
      <c r="C378" s="20">
        <f>Standing!$H$116</f>
        <v>0</v>
      </c>
      <c r="D378" s="20">
        <f>Standing!$H$132</f>
        <v>0</v>
      </c>
      <c r="E378" s="21"/>
      <c r="F378" s="30">
        <f>Standing!$H$35</f>
        <v>1.7189568676536087</v>
      </c>
      <c r="G378" s="20">
        <f>Reactive!$H$23</f>
        <v>0</v>
      </c>
      <c r="H378" s="17">
        <f t="shared" si="26"/>
        <v>0</v>
      </c>
      <c r="I378" s="25">
        <f>0.01*Input!$F$14*(E378*$E$369+F378*$F$369)+10*(B378*$B$369+C378*$C$369+D378*$D$369+G378*$G$369)</f>
        <v>3963746.3382083843</v>
      </c>
      <c r="J378" s="17">
        <f t="shared" si="27"/>
        <v>0.2984671942712564</v>
      </c>
      <c r="K378" s="29">
        <f t="shared" si="28"/>
        <v>2165.6532469509243</v>
      </c>
      <c r="L378" s="29">
        <f>IF($F$369&lt;&gt;0,I378/$F$369*100/Input!$F$14,"")</f>
        <v>1.7189568676536087</v>
      </c>
      <c r="M378" s="6"/>
    </row>
    <row r="379" spans="1:13" x14ac:dyDescent="0.2">
      <c r="A379" s="5" t="s">
        <v>344</v>
      </c>
      <c r="B379" s="20">
        <f>Standing!$I$91</f>
        <v>0</v>
      </c>
      <c r="C379" s="20">
        <f>Standing!$I$116</f>
        <v>0</v>
      </c>
      <c r="D379" s="20">
        <f>Standing!$I$132</f>
        <v>0</v>
      </c>
      <c r="E379" s="21"/>
      <c r="F379" s="30">
        <f>Standing!$I$35</f>
        <v>6.3676491528968052E-2</v>
      </c>
      <c r="G379" s="20">
        <f>Reactive!$I$23</f>
        <v>0</v>
      </c>
      <c r="H379" s="17">
        <f t="shared" si="26"/>
        <v>0</v>
      </c>
      <c r="I379" s="25">
        <f>0.01*Input!$F$14*(E379*$E$369+F379*$F$369)+10*(B379*$B$369+C379*$C$369+D379*$D$369+G379*$G$369)</f>
        <v>146831.75877032278</v>
      </c>
      <c r="J379" s="17">
        <f t="shared" si="27"/>
        <v>1.1056323823663464E-2</v>
      </c>
      <c r="K379" s="29">
        <f t="shared" si="28"/>
        <v>80.223770141707533</v>
      </c>
      <c r="L379" s="29">
        <f>IF($F$369&lt;&gt;0,I379/$F$369*100/Input!$F$14,"")</f>
        <v>6.3676491528968052E-2</v>
      </c>
      <c r="M379" s="6"/>
    </row>
    <row r="380" spans="1:13" x14ac:dyDescent="0.2">
      <c r="A380" s="5" t="s">
        <v>345</v>
      </c>
      <c r="B380" s="20">
        <f>Standing!$J$91</f>
        <v>0</v>
      </c>
      <c r="C380" s="20">
        <f>Standing!$J$116</f>
        <v>0</v>
      </c>
      <c r="D380" s="20">
        <f>Standing!$J$132</f>
        <v>0</v>
      </c>
      <c r="E380" s="21"/>
      <c r="F380" s="30">
        <f>Standing!$J$35</f>
        <v>0</v>
      </c>
      <c r="G380" s="20">
        <f>Reactive!$J$23</f>
        <v>0</v>
      </c>
      <c r="H380" s="17">
        <f t="shared" si="26"/>
        <v>0</v>
      </c>
      <c r="I380" s="25">
        <f>0.01*Input!$F$14*(E380*$E$369+F380*$F$369)+10*(B380*$B$369+C380*$C$369+D380*$D$369+G380*$G$369)</f>
        <v>0</v>
      </c>
      <c r="J380" s="17">
        <f t="shared" si="27"/>
        <v>0</v>
      </c>
      <c r="K380" s="29">
        <f t="shared" si="28"/>
        <v>0</v>
      </c>
      <c r="L380" s="29">
        <f>IF($F$369&lt;&gt;0,I380/$F$369*100/Input!$F$14,"")</f>
        <v>0</v>
      </c>
      <c r="M380" s="6"/>
    </row>
    <row r="381" spans="1:13" x14ac:dyDescent="0.2">
      <c r="A381" s="5" t="s">
        <v>1493</v>
      </c>
      <c r="B381" s="21"/>
      <c r="C381" s="21"/>
      <c r="D381" s="21"/>
      <c r="E381" s="30">
        <f>SM!$B$118</f>
        <v>0</v>
      </c>
      <c r="F381" s="21"/>
      <c r="G381" s="21"/>
      <c r="H381" s="17">
        <f t="shared" si="26"/>
        <v>0</v>
      </c>
      <c r="I381" s="25">
        <f>0.01*Input!$F$14*(E381*$E$369+F381*$F$369)+10*(B381*$B$369+C381*$C$369+D381*$D$369+G381*$G$369)</f>
        <v>0</v>
      </c>
      <c r="J381" s="17">
        <f t="shared" si="27"/>
        <v>0</v>
      </c>
      <c r="K381" s="29">
        <f t="shared" si="28"/>
        <v>0</v>
      </c>
      <c r="L381" s="29">
        <f>IF($F$369&lt;&gt;0,I381/$F$369*100/Input!$F$14,"")</f>
        <v>0</v>
      </c>
      <c r="M381" s="6"/>
    </row>
    <row r="382" spans="1:13" x14ac:dyDescent="0.2">
      <c r="A382" s="5" t="s">
        <v>1494</v>
      </c>
      <c r="B382" s="21"/>
      <c r="C382" s="21"/>
      <c r="D382" s="21"/>
      <c r="E382" s="30">
        <f>SM!$C$118</f>
        <v>0</v>
      </c>
      <c r="F382" s="21"/>
      <c r="G382" s="21"/>
      <c r="H382" s="17">
        <f t="shared" si="26"/>
        <v>0</v>
      </c>
      <c r="I382" s="25">
        <f>0.01*Input!$F$14*(E382*$E$369+F382*$F$369)+10*(B382*$B$369+C382*$C$369+D382*$D$369+G382*$G$369)</f>
        <v>0</v>
      </c>
      <c r="J382" s="17">
        <f t="shared" si="27"/>
        <v>0</v>
      </c>
      <c r="K382" s="29">
        <f t="shared" si="28"/>
        <v>0</v>
      </c>
      <c r="L382" s="29">
        <f>IF($F$369&lt;&gt;0,I382/$F$369*100/Input!$F$14,"")</f>
        <v>0</v>
      </c>
      <c r="M382" s="6"/>
    </row>
    <row r="383" spans="1:13" x14ac:dyDescent="0.2">
      <c r="A383" s="5" t="s">
        <v>1495</v>
      </c>
      <c r="B383" s="20">
        <f>Standing!$K$91</f>
        <v>0.6630050040284583</v>
      </c>
      <c r="C383" s="20">
        <f>Standing!$K$116</f>
        <v>3.6145636245369088E-2</v>
      </c>
      <c r="D383" s="20">
        <f>Standing!$K$132</f>
        <v>6.388210519654873E-3</v>
      </c>
      <c r="E383" s="21"/>
      <c r="F383" s="30">
        <f>Standing!$K$35</f>
        <v>0</v>
      </c>
      <c r="G383" s="20">
        <f>Reactive!$K$23</f>
        <v>1.5386343235416999E-2</v>
      </c>
      <c r="H383" s="17">
        <f t="shared" si="26"/>
        <v>6.5827725512622837E-2</v>
      </c>
      <c r="I383" s="25">
        <f>0.01*Input!$F$14*(E383*$E$369+F383*$F$369)+10*(B383*$B$369+C383*$C$369+D383*$D$369+G383*$G$369)</f>
        <v>874214.69079817575</v>
      </c>
      <c r="J383" s="17">
        <f t="shared" si="27"/>
        <v>6.5827725512622851E-2</v>
      </c>
      <c r="K383" s="29">
        <f t="shared" si="28"/>
        <v>477.64052543155822</v>
      </c>
      <c r="L383" s="29">
        <f>IF($F$369&lt;&gt;0,I383/$F$369*100/Input!$F$14,"")</f>
        <v>0.37912046289784485</v>
      </c>
      <c r="M383" s="6"/>
    </row>
    <row r="384" spans="1:13" x14ac:dyDescent="0.2">
      <c r="A384" s="5" t="s">
        <v>1496</v>
      </c>
      <c r="B384" s="20">
        <f>Standing!$L$91</f>
        <v>0.27709512423963917</v>
      </c>
      <c r="C384" s="20">
        <f>Standing!$L$116</f>
        <v>2.3977817007937153E-2</v>
      </c>
      <c r="D384" s="20">
        <f>Standing!$L$132</f>
        <v>3.5831152937399833E-3</v>
      </c>
      <c r="E384" s="21"/>
      <c r="F384" s="30">
        <f>Standing!$L$35</f>
        <v>0</v>
      </c>
      <c r="G384" s="20">
        <f>Reactive!$L$23</f>
        <v>7.359794479883352E-3</v>
      </c>
      <c r="H384" s="17">
        <f t="shared" si="26"/>
        <v>3.170221151792748E-2</v>
      </c>
      <c r="I384" s="25">
        <f>0.01*Input!$F$14*(E384*$E$369+F384*$F$369)+10*(B384*$B$369+C384*$C$369+D384*$D$369+G384*$G$369)</f>
        <v>421016.20288322004</v>
      </c>
      <c r="J384" s="17">
        <f t="shared" si="27"/>
        <v>3.1702211517927487E-2</v>
      </c>
      <c r="K384" s="29">
        <f t="shared" si="28"/>
        <v>230.02862166127346</v>
      </c>
      <c r="L384" s="29">
        <f>IF($F$369&lt;&gt;0,I384/$F$369*100/Input!$F$14,"")</f>
        <v>0.18258198976140155</v>
      </c>
      <c r="M384" s="6"/>
    </row>
    <row r="385" spans="1:13" x14ac:dyDescent="0.2">
      <c r="A385" s="5" t="s">
        <v>1497</v>
      </c>
      <c r="B385" s="20">
        <f>Standing!$M$91</f>
        <v>0.25558833242146617</v>
      </c>
      <c r="C385" s="20">
        <f>Standing!$M$116</f>
        <v>2.2116774089700985E-2</v>
      </c>
      <c r="D385" s="20">
        <f>Standing!$M$132</f>
        <v>3.3050111051713929E-3</v>
      </c>
      <c r="E385" s="21"/>
      <c r="F385" s="30">
        <f>Standing!$M$35</f>
        <v>0</v>
      </c>
      <c r="G385" s="20">
        <f>Reactive!$M$23</f>
        <v>6.7450052420459537E-3</v>
      </c>
      <c r="H385" s="17">
        <f t="shared" si="26"/>
        <v>2.9238372732838098E-2</v>
      </c>
      <c r="I385" s="25">
        <f>0.01*Input!$F$14*(E385*$E$369+F385*$F$369)+10*(B385*$B$369+C385*$C$369+D385*$D$369+G385*$G$369)</f>
        <v>388295.58182408224</v>
      </c>
      <c r="J385" s="17">
        <f t="shared" si="27"/>
        <v>2.9238372732838098E-2</v>
      </c>
      <c r="K385" s="29">
        <f t="shared" si="28"/>
        <v>212.15121145570464</v>
      </c>
      <c r="L385" s="29">
        <f>IF($F$369&lt;&gt;0,I385/$F$369*100/Input!$F$14,"")</f>
        <v>0.16839204633809984</v>
      </c>
      <c r="M385" s="6"/>
    </row>
    <row r="386" spans="1:13" x14ac:dyDescent="0.2">
      <c r="A386" s="5" t="s">
        <v>1498</v>
      </c>
      <c r="B386" s="20">
        <f>Standing!$N$91</f>
        <v>0.35118713968237864</v>
      </c>
      <c r="C386" s="20">
        <f>Standing!$N$116</f>
        <v>4.0373478559151015E-2</v>
      </c>
      <c r="D386" s="20">
        <f>Standing!$N$132</f>
        <v>5.4225570074982639E-3</v>
      </c>
      <c r="E386" s="21"/>
      <c r="F386" s="30">
        <f>Standing!$N$35</f>
        <v>0</v>
      </c>
      <c r="G386" s="20">
        <f>Reactive!$N$23</f>
        <v>1.0281045413341032E-2</v>
      </c>
      <c r="H386" s="17">
        <f t="shared" si="26"/>
        <v>4.481215521028651E-2</v>
      </c>
      <c r="I386" s="25">
        <f>0.01*Input!$F$14*(E386*$E$369+F386*$F$369)+10*(B386*$B$369+C386*$C$369+D386*$D$369+G386*$G$369)</f>
        <v>595120.73531461088</v>
      </c>
      <c r="J386" s="17">
        <f t="shared" si="27"/>
        <v>4.481215521028651E-2</v>
      </c>
      <c r="K386" s="29">
        <f t="shared" si="28"/>
        <v>325.1532875195183</v>
      </c>
      <c r="L386" s="29">
        <f>IF($F$369&lt;&gt;0,I386/$F$369*100/Input!$F$14,"")</f>
        <v>0.25808585811636636</v>
      </c>
      <c r="M386" s="6"/>
    </row>
    <row r="387" spans="1:13" x14ac:dyDescent="0.2">
      <c r="A387" s="5" t="s">
        <v>1499</v>
      </c>
      <c r="B387" s="20">
        <f>Standing!$O$91</f>
        <v>0.43487597798575234</v>
      </c>
      <c r="C387" s="20">
        <f>Standing!$O$116</f>
        <v>4.9994586900240556E-2</v>
      </c>
      <c r="D387" s="20">
        <f>Standing!$O$132</f>
        <v>6.7147669016355644E-3</v>
      </c>
      <c r="E387" s="21"/>
      <c r="F387" s="30">
        <f>Standing!$O$35</f>
        <v>0</v>
      </c>
      <c r="G387" s="20">
        <f>Reactive!$O$23</f>
        <v>1.3380313653321164E-2</v>
      </c>
      <c r="H387" s="17">
        <f t="shared" si="26"/>
        <v>5.5539687599039607E-2</v>
      </c>
      <c r="I387" s="25">
        <f>0.01*Input!$F$14*(E387*$E$369+F387*$F$369)+10*(B387*$B$369+C387*$C$369+D387*$D$369+G387*$G$369)</f>
        <v>737586.0314680211</v>
      </c>
      <c r="J387" s="17">
        <f t="shared" si="27"/>
        <v>5.5539687599039607E-2</v>
      </c>
      <c r="K387" s="29">
        <f t="shared" si="28"/>
        <v>402.99137423520699</v>
      </c>
      <c r="L387" s="29">
        <f>IF($F$369&lt;&gt;0,I387/$F$369*100/Input!$F$14,"")</f>
        <v>0.31986874691138972</v>
      </c>
      <c r="M387" s="6"/>
    </row>
    <row r="388" spans="1:13" x14ac:dyDescent="0.2">
      <c r="A388" s="5" t="s">
        <v>1500</v>
      </c>
      <c r="B388" s="20">
        <f>Standing!$P$91</f>
        <v>0</v>
      </c>
      <c r="C388" s="20">
        <f>Standing!$P$116</f>
        <v>0</v>
      </c>
      <c r="D388" s="20">
        <f>Standing!$P$132</f>
        <v>0</v>
      </c>
      <c r="E388" s="21"/>
      <c r="F388" s="30">
        <f>Standing!$P$35</f>
        <v>0</v>
      </c>
      <c r="G388" s="20">
        <f>Reactive!$P$23</f>
        <v>0</v>
      </c>
      <c r="H388" s="17">
        <f t="shared" si="26"/>
        <v>0</v>
      </c>
      <c r="I388" s="25">
        <f>0.01*Input!$F$14*(E388*$E$369+F388*$F$369)+10*(B388*$B$369+C388*$C$369+D388*$D$369+G388*$G$369)</f>
        <v>0</v>
      </c>
      <c r="J388" s="17">
        <f t="shared" si="27"/>
        <v>0</v>
      </c>
      <c r="K388" s="29">
        <f t="shared" si="28"/>
        <v>0</v>
      </c>
      <c r="L388" s="29">
        <f>IF($F$369&lt;&gt;0,I388/$F$369*100/Input!$F$14,"")</f>
        <v>0</v>
      </c>
      <c r="M388" s="6"/>
    </row>
    <row r="389" spans="1:13" x14ac:dyDescent="0.2">
      <c r="A389" s="5" t="s">
        <v>1501</v>
      </c>
      <c r="B389" s="20">
        <f>Standing!$Q$91</f>
        <v>0</v>
      </c>
      <c r="C389" s="20">
        <f>Standing!$Q$116</f>
        <v>0</v>
      </c>
      <c r="D389" s="20">
        <f>Standing!$Q$132</f>
        <v>0</v>
      </c>
      <c r="E389" s="21"/>
      <c r="F389" s="30">
        <f>Standing!$Q$35</f>
        <v>0.81072818563011473</v>
      </c>
      <c r="G389" s="20">
        <f>Reactive!$Q$23</f>
        <v>0</v>
      </c>
      <c r="H389" s="17">
        <f t="shared" si="26"/>
        <v>0</v>
      </c>
      <c r="I389" s="25">
        <f>0.01*Input!$F$14*(E389*$E$369+F389*$F$369)+10*(B389*$B$369+C389*$C$369+D389*$D$369+G389*$G$369)</f>
        <v>1869459.8669367307</v>
      </c>
      <c r="J389" s="17">
        <f t="shared" si="27"/>
        <v>0.14076895786916732</v>
      </c>
      <c r="K389" s="29">
        <f t="shared" si="28"/>
        <v>1021.4079018754626</v>
      </c>
      <c r="L389" s="29">
        <f>IF($F$369&lt;&gt;0,I389/$F$369*100/Input!$F$14,"")</f>
        <v>0.81072818563011473</v>
      </c>
      <c r="M389" s="6"/>
    </row>
    <row r="390" spans="1:13" x14ac:dyDescent="0.2">
      <c r="A390" s="5" t="s">
        <v>1502</v>
      </c>
      <c r="B390" s="20">
        <f>Standing!$R$91</f>
        <v>0</v>
      </c>
      <c r="C390" s="20">
        <f>Standing!$R$116</f>
        <v>0</v>
      </c>
      <c r="D390" s="20">
        <f>Standing!$R$132</f>
        <v>0</v>
      </c>
      <c r="E390" s="21"/>
      <c r="F390" s="30">
        <f>Standing!$R$35</f>
        <v>0.70075499839867905</v>
      </c>
      <c r="G390" s="20">
        <f>Reactive!$R$23</f>
        <v>0</v>
      </c>
      <c r="H390" s="17">
        <f t="shared" si="26"/>
        <v>0</v>
      </c>
      <c r="I390" s="25">
        <f>0.01*Input!$F$14*(E390*$E$369+F390*$F$369)+10*(B390*$B$369+C390*$C$369+D390*$D$369+G390*$G$369)</f>
        <v>1615872.4579724073</v>
      </c>
      <c r="J390" s="17">
        <f t="shared" si="27"/>
        <v>0.1216740118261998</v>
      </c>
      <c r="K390" s="29">
        <f t="shared" si="28"/>
        <v>882.85655455143342</v>
      </c>
      <c r="L390" s="29">
        <f>IF($F$369&lt;&gt;0,I390/$F$369*100/Input!$F$14,"")</f>
        <v>0.70075499839867905</v>
      </c>
      <c r="M390" s="6"/>
    </row>
    <row r="391" spans="1:13" x14ac:dyDescent="0.2">
      <c r="A391" s="5" t="s">
        <v>1503</v>
      </c>
      <c r="B391" s="20">
        <f>Standing!$S$91</f>
        <v>0</v>
      </c>
      <c r="C391" s="20">
        <f>Standing!$S$116</f>
        <v>0</v>
      </c>
      <c r="D391" s="20">
        <f>Standing!$S$132</f>
        <v>0</v>
      </c>
      <c r="E391" s="21"/>
      <c r="F391" s="30">
        <f>Standing!$S$35</f>
        <v>0</v>
      </c>
      <c r="G391" s="20">
        <f>Reactive!$S$23</f>
        <v>0</v>
      </c>
      <c r="H391" s="17">
        <f t="shared" si="26"/>
        <v>0</v>
      </c>
      <c r="I391" s="25">
        <f>0.01*Input!$F$14*(E391*$E$369+F391*$F$369)+10*(B391*$B$369+C391*$C$369+D391*$D$369+G391*$G$369)</f>
        <v>0</v>
      </c>
      <c r="J391" s="17">
        <f t="shared" si="27"/>
        <v>0</v>
      </c>
      <c r="K391" s="29">
        <f t="shared" si="28"/>
        <v>0</v>
      </c>
      <c r="L391" s="29">
        <f>IF($F$369&lt;&gt;0,I391/$F$369*100/Input!$F$14,"")</f>
        <v>0</v>
      </c>
      <c r="M391" s="6"/>
    </row>
    <row r="392" spans="1:13" x14ac:dyDescent="0.2">
      <c r="A392" s="5" t="s">
        <v>1504</v>
      </c>
      <c r="B392" s="21"/>
      <c r="C392" s="21"/>
      <c r="D392" s="21"/>
      <c r="E392" s="30">
        <f>Otex!$B$131</f>
        <v>34.941041615624705</v>
      </c>
      <c r="F392" s="21"/>
      <c r="G392" s="21"/>
      <c r="H392" s="17">
        <f t="shared" si="26"/>
        <v>0</v>
      </c>
      <c r="I392" s="25">
        <f>0.01*Input!$F$14*(E392*$E$369+F392*$F$369)+10*(B392*$B$369+C392*$C$369+D392*$D$369+G392*$G$369)</f>
        <v>233424.07411030031</v>
      </c>
      <c r="J392" s="17">
        <f t="shared" si="27"/>
        <v>1.7576661705995488E-2</v>
      </c>
      <c r="K392" s="29">
        <f t="shared" si="28"/>
        <v>127.53480189703016</v>
      </c>
      <c r="L392" s="29">
        <f>IF($F$369&lt;&gt;0,I392/$F$369*100/Input!$F$14,"")</f>
        <v>0.1012289589270107</v>
      </c>
      <c r="M392" s="6"/>
    </row>
    <row r="393" spans="1:13" x14ac:dyDescent="0.2">
      <c r="A393" s="5" t="s">
        <v>1505</v>
      </c>
      <c r="B393" s="21"/>
      <c r="C393" s="21"/>
      <c r="D393" s="21"/>
      <c r="E393" s="30">
        <f>Otex!$C$131</f>
        <v>0</v>
      </c>
      <c r="F393" s="21"/>
      <c r="G393" s="21"/>
      <c r="H393" s="17">
        <f t="shared" si="26"/>
        <v>0</v>
      </c>
      <c r="I393" s="25">
        <f>0.01*Input!$F$14*(E393*$E$369+F393*$F$369)+10*(B393*$B$369+C393*$C$369+D393*$D$369+G393*$G$369)</f>
        <v>0</v>
      </c>
      <c r="J393" s="17">
        <f t="shared" si="27"/>
        <v>0</v>
      </c>
      <c r="K393" s="29">
        <f t="shared" si="28"/>
        <v>0</v>
      </c>
      <c r="L393" s="29">
        <f>IF($F$369&lt;&gt;0,I393/$F$369*100/Input!$F$14,"")</f>
        <v>0</v>
      </c>
      <c r="M393" s="6"/>
    </row>
    <row r="394" spans="1:13" x14ac:dyDescent="0.2">
      <c r="A394" s="5" t="s">
        <v>1506</v>
      </c>
      <c r="B394" s="20">
        <f>Scaler!$B$417</f>
        <v>5.5706744610157521</v>
      </c>
      <c r="C394" s="20">
        <f>Scaler!$C$417</f>
        <v>0.30370143737346522</v>
      </c>
      <c r="D394" s="20">
        <f>Scaler!$D$417</f>
        <v>5.3674770140808882E-2</v>
      </c>
      <c r="E394" s="30">
        <f>Scaler!$E$417</f>
        <v>0</v>
      </c>
      <c r="F394" s="30">
        <f>Scaler!$F$417</f>
        <v>0</v>
      </c>
      <c r="G394" s="20">
        <f>Scaler!$G$417</f>
        <v>0.12927852548497643</v>
      </c>
      <c r="H394" s="17">
        <f t="shared" si="26"/>
        <v>0.55309511559008229</v>
      </c>
      <c r="I394" s="25">
        <f>0.01*Input!$F$14*(E394*$E$369+F394*$F$369)+10*(B394*$B$369+C394*$C$369+D394*$D$369+G394*$G$369)</f>
        <v>7345292.1499596182</v>
      </c>
      <c r="J394" s="17">
        <f t="shared" si="27"/>
        <v>0.55309511559008229</v>
      </c>
      <c r="K394" s="29">
        <f t="shared" si="28"/>
        <v>4013.2123594854752</v>
      </c>
      <c r="L394" s="29">
        <f>IF($F$369&lt;&gt;0,I394/$F$369*100/Input!$F$14,"")</f>
        <v>3.1854309808841839</v>
      </c>
      <c r="M394" s="6"/>
    </row>
    <row r="395" spans="1:13" x14ac:dyDescent="0.2">
      <c r="A395" s="5" t="s">
        <v>1507</v>
      </c>
      <c r="B395" s="20">
        <f>Adjust!$B$83</f>
        <v>1.6054171783963511E-4</v>
      </c>
      <c r="C395" s="20">
        <f>Adjust!$C$83</f>
        <v>3.5212196310141497E-4</v>
      </c>
      <c r="D395" s="20">
        <f>Adjust!$D$83</f>
        <v>2.8448927972685167E-4</v>
      </c>
      <c r="E395" s="30">
        <f>Adjust!$E$83</f>
        <v>-1.0416156247075037E-3</v>
      </c>
      <c r="F395" s="30">
        <f>Adjust!$F$83</f>
        <v>-4.1165432113707823E-3</v>
      </c>
      <c r="G395" s="20">
        <f>Adjust!$G$83</f>
        <v>1.7728087845714224E-4</v>
      </c>
      <c r="H395" s="17">
        <f t="shared" si="26"/>
        <v>3.1688991453925888E-4</v>
      </c>
      <c r="I395" s="25">
        <f>0.01*Input!$F$14*(E395*$E$369+F395*$F$369)+10*(B395*$B$369+C395*$C$369+D395*$D$369+G395*$G$369)</f>
        <v>-5290.8980121595705</v>
      </c>
      <c r="J395" s="17">
        <f t="shared" si="27"/>
        <v>-3.984007426616547E-4</v>
      </c>
      <c r="K395" s="29">
        <f t="shared" si="28"/>
        <v>-2.8907627990389262</v>
      </c>
      <c r="L395" s="29">
        <f>IF($F$369&lt;&gt;0,I395/$F$369*100/Input!$F$14,"")</f>
        <v>-2.2945023969842093E-3</v>
      </c>
      <c r="M395" s="6"/>
    </row>
    <row r="398" spans="1:13" x14ac:dyDescent="0.2">
      <c r="A398" s="5" t="s">
        <v>1508</v>
      </c>
      <c r="B398" s="17">
        <f>SUM($B$373:$B$395)</f>
        <v>11.547000000000001</v>
      </c>
      <c r="C398" s="17">
        <f>SUM($C$373:$C$395)</f>
        <v>0.89</v>
      </c>
      <c r="D398" s="17">
        <f>SUM($D$373:$D$395)</f>
        <v>0.13700000000000001</v>
      </c>
      <c r="E398" s="29">
        <f>SUM($E$373:$E$395)</f>
        <v>34.94</v>
      </c>
      <c r="F398" s="29">
        <f>SUM($F$373:$F$395)</f>
        <v>3.29</v>
      </c>
      <c r="G398" s="17">
        <f>SUM($G$373:$G$395)</f>
        <v>0.29699999999999999</v>
      </c>
      <c r="H398" s="17">
        <f>SUM(H$373:H$395)</f>
        <v>1.2690783636626544</v>
      </c>
      <c r="I398" s="25">
        <f>SUM($I$373:$I$395)</f>
        <v>24673629.556362391</v>
      </c>
      <c r="J398" s="17">
        <f>SUM($J$373:$J$395)</f>
        <v>1.8579062225017362</v>
      </c>
      <c r="K398" s="29">
        <f>SUM($K$373:$K$395)</f>
        <v>13480.813705892428</v>
      </c>
      <c r="L398" s="29">
        <f>SUM($L$373:$L$395)</f>
        <v>10.7002066623216</v>
      </c>
      <c r="M398" s="6"/>
    </row>
    <row r="400" spans="1:13" ht="16.5" x14ac:dyDescent="0.25">
      <c r="A400" s="3" t="s">
        <v>73</v>
      </c>
    </row>
    <row r="402" spans="1:13" ht="25.5" x14ac:dyDescent="0.2">
      <c r="B402" s="4" t="s">
        <v>105</v>
      </c>
      <c r="C402" s="4" t="s">
        <v>106</v>
      </c>
      <c r="D402" s="4" t="s">
        <v>107</v>
      </c>
      <c r="E402" s="4" t="s">
        <v>108</v>
      </c>
      <c r="F402" s="4" t="s">
        <v>109</v>
      </c>
      <c r="G402" s="4" t="s">
        <v>110</v>
      </c>
      <c r="H402" s="4" t="s">
        <v>1489</v>
      </c>
      <c r="I402" s="4" t="s">
        <v>1490</v>
      </c>
    </row>
    <row r="403" spans="1:13" x14ac:dyDescent="0.2">
      <c r="A403" s="5" t="s">
        <v>73</v>
      </c>
      <c r="B403" s="27">
        <f>Loads!B$309</f>
        <v>348070.46558944526</v>
      </c>
      <c r="C403" s="27">
        <f>Loads!C$309</f>
        <v>1911997.1742103195</v>
      </c>
      <c r="D403" s="27">
        <f>Loads!D$309</f>
        <v>2977880.4572311277</v>
      </c>
      <c r="E403" s="27">
        <f>Loads!E$309</f>
        <v>1964.4374527396105</v>
      </c>
      <c r="F403" s="27">
        <f>Loads!F$309</f>
        <v>1834857.0806551576</v>
      </c>
      <c r="G403" s="27">
        <f>Loads!G$309</f>
        <v>309733.7512243017</v>
      </c>
      <c r="H403" s="27">
        <f>Multi!B$126</f>
        <v>5237948.097030893</v>
      </c>
      <c r="I403" s="17">
        <f>IF(E403,H403/E403,"")</f>
        <v>2666.385783739785</v>
      </c>
      <c r="J403" s="6"/>
    </row>
    <row r="406" spans="1:13" ht="25.5" x14ac:dyDescent="0.2">
      <c r="B406" s="4" t="s">
        <v>1319</v>
      </c>
      <c r="C406" s="4" t="s">
        <v>1320</v>
      </c>
      <c r="D406" s="4" t="s">
        <v>1321</v>
      </c>
      <c r="E406" s="4" t="s">
        <v>1322</v>
      </c>
      <c r="F406" s="4" t="s">
        <v>1323</v>
      </c>
      <c r="G406" s="4" t="s">
        <v>957</v>
      </c>
      <c r="H406" s="4" t="s">
        <v>1509</v>
      </c>
      <c r="I406" s="4" t="s">
        <v>1491</v>
      </c>
      <c r="J406" s="4" t="s">
        <v>1461</v>
      </c>
      <c r="K406" s="4" t="s">
        <v>1492</v>
      </c>
      <c r="L406" s="4" t="s">
        <v>1510</v>
      </c>
    </row>
    <row r="407" spans="1:13" x14ac:dyDescent="0.2">
      <c r="A407" s="5" t="s">
        <v>338</v>
      </c>
      <c r="B407" s="20">
        <f>Standing!$C$92</f>
        <v>0.77850449373732833</v>
      </c>
      <c r="C407" s="20">
        <f>Standing!$C$117</f>
        <v>6.7366173771238338E-2</v>
      </c>
      <c r="D407" s="20">
        <f>Standing!$C$133</f>
        <v>1.0066836669934024E-2</v>
      </c>
      <c r="E407" s="21"/>
      <c r="F407" s="30">
        <f>Standing!$C$36</f>
        <v>0</v>
      </c>
      <c r="G407" s="20">
        <f>Reactive!$C$24</f>
        <v>1.9591066412911681E-2</v>
      </c>
      <c r="H407" s="17">
        <f t="shared" ref="H407:H429" si="29">IF(H$403&lt;&gt;0,(($B407*B$403+$C407*C$403+$D407*D$403+$G407*G$403))/H$403,0)</f>
        <v>8.3205140274248038E-2</v>
      </c>
      <c r="I407" s="25">
        <f>0.01*Input!$F$14*(E407*$E$403+F407*$F$403)+10*(B407*$B$403+C407*$C$403+D407*$D$403+G407*$G$403)</f>
        <v>4358242.0616268609</v>
      </c>
      <c r="J407" s="17">
        <f t="shared" ref="J407:J429" si="30">IF($H$403&lt;&gt;0,0.1*I407/$H$403,"")</f>
        <v>8.3205140274248052E-2</v>
      </c>
      <c r="K407" s="29">
        <f t="shared" ref="K407:K429" si="31">IF($E$403&lt;&gt;0,I407/$E$403,"")</f>
        <v>2218.5700316132961</v>
      </c>
      <c r="L407" s="29">
        <f>IF($F$403&lt;&gt;0,I407/$F$403*100/Input!$F$14,"")</f>
        <v>0.65075309329668052</v>
      </c>
      <c r="M407" s="6"/>
    </row>
    <row r="408" spans="1:13" x14ac:dyDescent="0.2">
      <c r="A408" s="5" t="s">
        <v>339</v>
      </c>
      <c r="B408" s="20">
        <f>Standing!$D$92</f>
        <v>0.71808071644328586</v>
      </c>
      <c r="C408" s="20">
        <f>Standing!$D$117</f>
        <v>6.2137535126438839E-2</v>
      </c>
      <c r="D408" s="20">
        <f>Standing!$D$133</f>
        <v>9.2854971890538682E-3</v>
      </c>
      <c r="E408" s="21"/>
      <c r="F408" s="30">
        <f>Standing!$D$36</f>
        <v>0</v>
      </c>
      <c r="G408" s="20">
        <f>Reactive!$D$24</f>
        <v>1.7954556477568114E-2</v>
      </c>
      <c r="H408" s="17">
        <f t="shared" si="29"/>
        <v>7.6740301006330419E-2</v>
      </c>
      <c r="I408" s="25">
        <f>0.01*Input!$F$14*(E408*$E$403+F408*$F$403)+10*(B408*$B$403+C408*$C$403+D408*$D$403+G408*$G$403)</f>
        <v>4019617.1362168631</v>
      </c>
      <c r="J408" s="17">
        <f t="shared" si="30"/>
        <v>7.6740301006330419E-2</v>
      </c>
      <c r="K408" s="29">
        <f t="shared" si="31"/>
        <v>2046.1924764319131</v>
      </c>
      <c r="L408" s="29">
        <f>IF($F$403&lt;&gt;0,I408/$F$403*100/Input!$F$14,"")</f>
        <v>0.60019114318882971</v>
      </c>
      <c r="M408" s="6"/>
    </row>
    <row r="409" spans="1:13" x14ac:dyDescent="0.2">
      <c r="A409" s="5" t="s">
        <v>340</v>
      </c>
      <c r="B409" s="20">
        <f>Standing!$E$92</f>
        <v>0.78933403721401141</v>
      </c>
      <c r="C409" s="20">
        <f>Standing!$E$117</f>
        <v>9.074409973067421E-2</v>
      </c>
      <c r="D409" s="20">
        <f>Standing!$E$133</f>
        <v>1.2187829026492391E-2</v>
      </c>
      <c r="E409" s="21"/>
      <c r="F409" s="30">
        <f>Standing!$E$36</f>
        <v>0.35972193021495469</v>
      </c>
      <c r="G409" s="20">
        <f>Reactive!$E$24</f>
        <v>2.1893724781305853E-2</v>
      </c>
      <c r="H409" s="17">
        <f t="shared" si="29"/>
        <v>9.3800366551425277E-2</v>
      </c>
      <c r="I409" s="25">
        <f>0.01*Input!$F$14*(E409*$E$403+F409*$F$403)+10*(B409*$B$403+C409*$C$403+D409*$D$403+G409*$G$403)</f>
        <v>7322354.4219231345</v>
      </c>
      <c r="J409" s="17">
        <f t="shared" si="30"/>
        <v>0.13979432950230603</v>
      </c>
      <c r="K409" s="29">
        <f t="shared" si="31"/>
        <v>3727.4561283238395</v>
      </c>
      <c r="L409" s="29">
        <f>IF($F$403&lt;&gt;0,I409/$F$403*100/Input!$F$14,"")</f>
        <v>1.0933410129363932</v>
      </c>
      <c r="M409" s="6"/>
    </row>
    <row r="410" spans="1:13" x14ac:dyDescent="0.2">
      <c r="A410" s="5" t="s">
        <v>341</v>
      </c>
      <c r="B410" s="20">
        <f>Standing!$F$92</f>
        <v>0</v>
      </c>
      <c r="C410" s="20">
        <f>Standing!$F$117</f>
        <v>0</v>
      </c>
      <c r="D410" s="20">
        <f>Standing!$F$133</f>
        <v>0</v>
      </c>
      <c r="E410" s="21"/>
      <c r="F410" s="30">
        <f>Standing!$F$36</f>
        <v>0.95770595883796472</v>
      </c>
      <c r="G410" s="20">
        <f>Reactive!$F$24</f>
        <v>0</v>
      </c>
      <c r="H410" s="17">
        <f t="shared" si="29"/>
        <v>0</v>
      </c>
      <c r="I410" s="25">
        <f>0.01*Input!$F$14*(E410*$E$403+F410*$F$403)+10*(B410*$B$403+C410*$C$403+D410*$D$403+G410*$G$403)</f>
        <v>6413975.4931220887</v>
      </c>
      <c r="J410" s="17">
        <f t="shared" si="30"/>
        <v>0.12245206279836605</v>
      </c>
      <c r="K410" s="29">
        <f t="shared" si="31"/>
        <v>3265.0443943517462</v>
      </c>
      <c r="L410" s="29">
        <f>IF($F$403&lt;&gt;0,I410/$F$403*100/Input!$F$14,"")</f>
        <v>0.95770595883796461</v>
      </c>
      <c r="M410" s="6"/>
    </row>
    <row r="411" spans="1:13" x14ac:dyDescent="0.2">
      <c r="A411" s="5" t="s">
        <v>342</v>
      </c>
      <c r="B411" s="20">
        <f>Standing!$G$92</f>
        <v>0</v>
      </c>
      <c r="C411" s="20">
        <f>Standing!$G$117</f>
        <v>0</v>
      </c>
      <c r="D411" s="20">
        <f>Standing!$G$133</f>
        <v>0</v>
      </c>
      <c r="E411" s="21"/>
      <c r="F411" s="30">
        <f>Standing!$G$36</f>
        <v>0</v>
      </c>
      <c r="G411" s="20">
        <f>Reactive!$G$24</f>
        <v>0</v>
      </c>
      <c r="H411" s="17">
        <f t="shared" si="29"/>
        <v>0</v>
      </c>
      <c r="I411" s="25">
        <f>0.01*Input!$F$14*(E411*$E$403+F411*$F$403)+10*(B411*$B$403+C411*$C$403+D411*$D$403+G411*$G$403)</f>
        <v>0</v>
      </c>
      <c r="J411" s="17">
        <f t="shared" si="30"/>
        <v>0</v>
      </c>
      <c r="K411" s="29">
        <f t="shared" si="31"/>
        <v>0</v>
      </c>
      <c r="L411" s="29">
        <f>IF($F$403&lt;&gt;0,I411/$F$403*100/Input!$F$14,"")</f>
        <v>0</v>
      </c>
      <c r="M411" s="6"/>
    </row>
    <row r="412" spans="1:13" x14ac:dyDescent="0.2">
      <c r="A412" s="5" t="s">
        <v>343</v>
      </c>
      <c r="B412" s="20">
        <f>Standing!$H$92</f>
        <v>0</v>
      </c>
      <c r="C412" s="20">
        <f>Standing!$H$117</f>
        <v>0</v>
      </c>
      <c r="D412" s="20">
        <f>Standing!$H$133</f>
        <v>0</v>
      </c>
      <c r="E412" s="21"/>
      <c r="F412" s="30">
        <f>Standing!$H$36</f>
        <v>0.21827764352836623</v>
      </c>
      <c r="G412" s="20">
        <f>Reactive!$H$24</f>
        <v>0</v>
      </c>
      <c r="H412" s="17">
        <f t="shared" si="29"/>
        <v>0</v>
      </c>
      <c r="I412" s="25">
        <f>0.01*Input!$F$14*(E412*$E$403+F412*$F$403)+10*(B412*$B$403+C412*$C$403+D412*$D$403+G412*$G$403)</f>
        <v>1461855.2211851198</v>
      </c>
      <c r="J412" s="17">
        <f t="shared" si="30"/>
        <v>2.7908929109354212E-2</v>
      </c>
      <c r="K412" s="29">
        <f t="shared" si="31"/>
        <v>744.15971816583522</v>
      </c>
      <c r="L412" s="29">
        <f>IF($F$403&lt;&gt;0,I412/$F$403*100/Input!$F$14,"")</f>
        <v>0.21827764352836621</v>
      </c>
      <c r="M412" s="6"/>
    </row>
    <row r="413" spans="1:13" x14ac:dyDescent="0.2">
      <c r="A413" s="5" t="s">
        <v>344</v>
      </c>
      <c r="B413" s="20">
        <f>Standing!$I$92</f>
        <v>0</v>
      </c>
      <c r="C413" s="20">
        <f>Standing!$I$117</f>
        <v>0</v>
      </c>
      <c r="D413" s="20">
        <f>Standing!$I$133</f>
        <v>0</v>
      </c>
      <c r="E413" s="21"/>
      <c r="F413" s="30">
        <f>Standing!$I$36</f>
        <v>0</v>
      </c>
      <c r="G413" s="20">
        <f>Reactive!$I$24</f>
        <v>0</v>
      </c>
      <c r="H413" s="17">
        <f t="shared" si="29"/>
        <v>0</v>
      </c>
      <c r="I413" s="25">
        <f>0.01*Input!$F$14*(E413*$E$403+F413*$F$403)+10*(B413*$B$403+C413*$C$403+D413*$D$403+G413*$G$403)</f>
        <v>0</v>
      </c>
      <c r="J413" s="17">
        <f t="shared" si="30"/>
        <v>0</v>
      </c>
      <c r="K413" s="29">
        <f t="shared" si="31"/>
        <v>0</v>
      </c>
      <c r="L413" s="29">
        <f>IF($F$403&lt;&gt;0,I413/$F$403*100/Input!$F$14,"")</f>
        <v>0</v>
      </c>
      <c r="M413" s="6"/>
    </row>
    <row r="414" spans="1:13" x14ac:dyDescent="0.2">
      <c r="A414" s="5" t="s">
        <v>345</v>
      </c>
      <c r="B414" s="20">
        <f>Standing!$J$92</f>
        <v>0</v>
      </c>
      <c r="C414" s="20">
        <f>Standing!$J$117</f>
        <v>0</v>
      </c>
      <c r="D414" s="20">
        <f>Standing!$J$133</f>
        <v>0</v>
      </c>
      <c r="E414" s="21"/>
      <c r="F414" s="30">
        <f>Standing!$J$36</f>
        <v>0</v>
      </c>
      <c r="G414" s="20">
        <f>Reactive!$J$24</f>
        <v>0</v>
      </c>
      <c r="H414" s="17">
        <f t="shared" si="29"/>
        <v>0</v>
      </c>
      <c r="I414" s="25">
        <f>0.01*Input!$F$14*(E414*$E$403+F414*$F$403)+10*(B414*$B$403+C414*$C$403+D414*$D$403+G414*$G$403)</f>
        <v>0</v>
      </c>
      <c r="J414" s="17">
        <f t="shared" si="30"/>
        <v>0</v>
      </c>
      <c r="K414" s="29">
        <f t="shared" si="31"/>
        <v>0</v>
      </c>
      <c r="L414" s="29">
        <f>IF($F$403&lt;&gt;0,I414/$F$403*100/Input!$F$14,"")</f>
        <v>0</v>
      </c>
      <c r="M414" s="6"/>
    </row>
    <row r="415" spans="1:13" x14ac:dyDescent="0.2">
      <c r="A415" s="5" t="s">
        <v>1493</v>
      </c>
      <c r="B415" s="21"/>
      <c r="C415" s="21"/>
      <c r="D415" s="21"/>
      <c r="E415" s="30">
        <f>SM!$B$119</f>
        <v>0</v>
      </c>
      <c r="F415" s="21"/>
      <c r="G415" s="21"/>
      <c r="H415" s="17">
        <f t="shared" si="29"/>
        <v>0</v>
      </c>
      <c r="I415" s="25">
        <f>0.01*Input!$F$14*(E415*$E$403+F415*$F$403)+10*(B415*$B$403+C415*$C$403+D415*$D$403+G415*$G$403)</f>
        <v>0</v>
      </c>
      <c r="J415" s="17">
        <f t="shared" si="30"/>
        <v>0</v>
      </c>
      <c r="K415" s="29">
        <f t="shared" si="31"/>
        <v>0</v>
      </c>
      <c r="L415" s="29">
        <f>IF($F$403&lt;&gt;0,I415/$F$403*100/Input!$F$14,"")</f>
        <v>0</v>
      </c>
      <c r="M415" s="6"/>
    </row>
    <row r="416" spans="1:13" x14ac:dyDescent="0.2">
      <c r="A416" s="5" t="s">
        <v>1494</v>
      </c>
      <c r="B416" s="21"/>
      <c r="C416" s="21"/>
      <c r="D416" s="21"/>
      <c r="E416" s="30">
        <f>SM!$C$119</f>
        <v>0</v>
      </c>
      <c r="F416" s="21"/>
      <c r="G416" s="21"/>
      <c r="H416" s="17">
        <f t="shared" si="29"/>
        <v>0</v>
      </c>
      <c r="I416" s="25">
        <f>0.01*Input!$F$14*(E416*$E$403+F416*$F$403)+10*(B416*$B$403+C416*$C$403+D416*$D$403+G416*$G$403)</f>
        <v>0</v>
      </c>
      <c r="J416" s="17">
        <f t="shared" si="30"/>
        <v>0</v>
      </c>
      <c r="K416" s="29">
        <f t="shared" si="31"/>
        <v>0</v>
      </c>
      <c r="L416" s="29">
        <f>IF($F$403&lt;&gt;0,I416/$F$403*100/Input!$F$14,"")</f>
        <v>0</v>
      </c>
      <c r="M416" s="6"/>
    </row>
    <row r="417" spans="1:13" x14ac:dyDescent="0.2">
      <c r="A417" s="5" t="s">
        <v>1495</v>
      </c>
      <c r="B417" s="20">
        <f>Standing!$K$92</f>
        <v>0.61497488290813673</v>
      </c>
      <c r="C417" s="20">
        <f>Standing!$K$117</f>
        <v>3.3527135214022952E-2</v>
      </c>
      <c r="D417" s="20">
        <f>Standing!$K$133</f>
        <v>5.9254289069417881E-3</v>
      </c>
      <c r="E417" s="21"/>
      <c r="F417" s="30">
        <f>Standing!$K$36</f>
        <v>0</v>
      </c>
      <c r="G417" s="20">
        <f>Reactive!$K$24</f>
        <v>1.35218507721293E-2</v>
      </c>
      <c r="H417" s="17">
        <f t="shared" si="29"/>
        <v>5.7272765700774907E-2</v>
      </c>
      <c r="I417" s="25">
        <f>0.01*Input!$F$14*(E417*$E$403+F417*$F$403)+10*(B417*$B$403+C417*$C$403+D417*$D$403+G417*$G$403)</f>
        <v>2999917.7411407009</v>
      </c>
      <c r="J417" s="17">
        <f t="shared" si="30"/>
        <v>5.7272765700774907E-2</v>
      </c>
      <c r="K417" s="29">
        <f t="shared" si="31"/>
        <v>1527.1128826000574</v>
      </c>
      <c r="L417" s="29">
        <f>IF($F$403&lt;&gt;0,I417/$F$403*100/Input!$F$14,"")</f>
        <v>0.44793421798929978</v>
      </c>
      <c r="M417" s="6"/>
    </row>
    <row r="418" spans="1:13" x14ac:dyDescent="0.2">
      <c r="A418" s="5" t="s">
        <v>1496</v>
      </c>
      <c r="B418" s="20">
        <f>Standing!$L$92</f>
        <v>0.25702150141897478</v>
      </c>
      <c r="C418" s="20">
        <f>Standing!$L$117</f>
        <v>2.2240790216141334E-2</v>
      </c>
      <c r="D418" s="20">
        <f>Standing!$L$133</f>
        <v>3.3235434043866106E-3</v>
      </c>
      <c r="E418" s="21"/>
      <c r="F418" s="30">
        <f>Standing!$L$36</f>
        <v>0</v>
      </c>
      <c r="G418" s="20">
        <f>Reactive!$L$24</f>
        <v>6.467946356574732E-3</v>
      </c>
      <c r="H418" s="17">
        <f t="shared" si="29"/>
        <v>2.7469989256451527E-2</v>
      </c>
      <c r="I418" s="25">
        <f>0.01*Input!$F$14*(E418*$E$403+F418*$F$403)+10*(B418*$B$403+C418*$C$403+D418*$D$403+G418*$G$403)</f>
        <v>1438863.7795128934</v>
      </c>
      <c r="J418" s="17">
        <f t="shared" si="30"/>
        <v>2.7469989256451527E-2</v>
      </c>
      <c r="K418" s="29">
        <f t="shared" si="31"/>
        <v>732.45588832886972</v>
      </c>
      <c r="L418" s="29">
        <f>IF($F$403&lt;&gt;0,I418/$F$403*100/Input!$F$14,"")</f>
        <v>0.21484466491543286</v>
      </c>
      <c r="M418" s="6"/>
    </row>
    <row r="419" spans="1:13" x14ac:dyDescent="0.2">
      <c r="A419" s="5" t="s">
        <v>1497</v>
      </c>
      <c r="B419" s="20">
        <f>Standing!$M$92</f>
        <v>0.2370727277298656</v>
      </c>
      <c r="C419" s="20">
        <f>Standing!$M$117</f>
        <v>2.0514566969295097E-2</v>
      </c>
      <c r="D419" s="20">
        <f>Standing!$M$133</f>
        <v>3.0655859383613756E-3</v>
      </c>
      <c r="E419" s="21"/>
      <c r="F419" s="30">
        <f>Standing!$M$36</f>
        <v>0</v>
      </c>
      <c r="G419" s="20">
        <f>Reactive!$M$24</f>
        <v>5.9276562952420989E-3</v>
      </c>
      <c r="H419" s="17">
        <f t="shared" si="29"/>
        <v>2.5335637164152408E-2</v>
      </c>
      <c r="I419" s="25">
        <f>0.01*Input!$F$14*(E419*$E$403+F419*$F$403)+10*(B419*$B$403+C419*$C$403+D419*$D$403+G419*$G$403)</f>
        <v>1327067.5247103726</v>
      </c>
      <c r="J419" s="17">
        <f t="shared" si="30"/>
        <v>2.5335637164152408E-2</v>
      </c>
      <c r="K419" s="29">
        <f t="shared" si="31"/>
        <v>675.54582756485331</v>
      </c>
      <c r="L419" s="29">
        <f>IF($F$403&lt;&gt;0,I419/$F$403*100/Input!$F$14,"")</f>
        <v>0.19815175121238643</v>
      </c>
      <c r="M419" s="6"/>
    </row>
    <row r="420" spans="1:13" x14ac:dyDescent="0.2">
      <c r="A420" s="5" t="s">
        <v>1498</v>
      </c>
      <c r="B420" s="20">
        <f>Standing!$N$92</f>
        <v>0.26059685075407862</v>
      </c>
      <c r="C420" s="20">
        <f>Standing!$N$117</f>
        <v>2.9958959704554301E-2</v>
      </c>
      <c r="D420" s="20">
        <f>Standing!$N$133</f>
        <v>4.0237842435419131E-3</v>
      </c>
      <c r="E420" s="21"/>
      <c r="F420" s="30">
        <f>Standing!$N$36</f>
        <v>0.11876138332012581</v>
      </c>
      <c r="G420" s="20">
        <f>Reactive!$N$24</f>
        <v>7.2281638194932234E-3</v>
      </c>
      <c r="H420" s="17">
        <f t="shared" si="29"/>
        <v>3.09679792970237E-2</v>
      </c>
      <c r="I420" s="25">
        <f>0.01*Input!$F$14*(E420*$E$403+F420*$F$403)+10*(B420*$B$403+C420*$C$403+D420*$D$403+G420*$G$403)</f>
        <v>2417458.7848680438</v>
      </c>
      <c r="J420" s="17">
        <f t="shared" si="30"/>
        <v>4.6152782350752375E-2</v>
      </c>
      <c r="K420" s="29">
        <f t="shared" si="31"/>
        <v>1230.6112274008258</v>
      </c>
      <c r="L420" s="29">
        <f>IF($F$403&lt;&gt;0,I420/$F$403*100/Input!$F$14,"")</f>
        <v>0.36096406760455968</v>
      </c>
      <c r="M420" s="6"/>
    </row>
    <row r="421" spans="1:13" x14ac:dyDescent="0.2">
      <c r="A421" s="5" t="s">
        <v>1499</v>
      </c>
      <c r="B421" s="20">
        <f>Standing!$O$92</f>
        <v>0</v>
      </c>
      <c r="C421" s="20">
        <f>Standing!$O$117</f>
        <v>0</v>
      </c>
      <c r="D421" s="20">
        <f>Standing!$O$133</f>
        <v>0</v>
      </c>
      <c r="E421" s="21"/>
      <c r="F421" s="30">
        <f>Standing!$O$36</f>
        <v>0.73531269916362452</v>
      </c>
      <c r="G421" s="20">
        <f>Reactive!$O$24</f>
        <v>0</v>
      </c>
      <c r="H421" s="17">
        <f t="shared" si="29"/>
        <v>0</v>
      </c>
      <c r="I421" s="25">
        <f>0.01*Input!$F$14*(E421*$E$403+F421*$F$403)+10*(B421*$B$403+C421*$C$403+D421*$D$403+G421*$G$403)</f>
        <v>4924557.0508295177</v>
      </c>
      <c r="J421" s="17">
        <f t="shared" si="30"/>
        <v>9.4016911958730187E-2</v>
      </c>
      <c r="K421" s="29">
        <f t="shared" si="31"/>
        <v>2506.8535747787314</v>
      </c>
      <c r="L421" s="29">
        <f>IF($F$403&lt;&gt;0,I421/$F$403*100/Input!$F$14,"")</f>
        <v>0.73531269916362452</v>
      </c>
      <c r="M421" s="6"/>
    </row>
    <row r="422" spans="1:13" x14ac:dyDescent="0.2">
      <c r="A422" s="5" t="s">
        <v>1500</v>
      </c>
      <c r="B422" s="20">
        <f>Standing!$P$92</f>
        <v>0</v>
      </c>
      <c r="C422" s="20">
        <f>Standing!$P$117</f>
        <v>0</v>
      </c>
      <c r="D422" s="20">
        <f>Standing!$P$133</f>
        <v>0</v>
      </c>
      <c r="E422" s="21"/>
      <c r="F422" s="30">
        <f>Standing!$P$36</f>
        <v>0</v>
      </c>
      <c r="G422" s="20">
        <f>Reactive!$P$24</f>
        <v>0</v>
      </c>
      <c r="H422" s="17">
        <f t="shared" si="29"/>
        <v>0</v>
      </c>
      <c r="I422" s="25">
        <f>0.01*Input!$F$14*(E422*$E$403+F422*$F$403)+10*(B422*$B$403+C422*$C$403+D422*$D$403+G422*$G$403)</f>
        <v>0</v>
      </c>
      <c r="J422" s="17">
        <f t="shared" si="30"/>
        <v>0</v>
      </c>
      <c r="K422" s="29">
        <f t="shared" si="31"/>
        <v>0</v>
      </c>
      <c r="L422" s="29">
        <f>IF($F$403&lt;&gt;0,I422/$F$403*100/Input!$F$14,"")</f>
        <v>0</v>
      </c>
      <c r="M422" s="6"/>
    </row>
    <row r="423" spans="1:13" x14ac:dyDescent="0.2">
      <c r="A423" s="5" t="s">
        <v>1501</v>
      </c>
      <c r="B423" s="20">
        <f>Standing!$Q$92</f>
        <v>0</v>
      </c>
      <c r="C423" s="20">
        <f>Standing!$Q$117</f>
        <v>0</v>
      </c>
      <c r="D423" s="20">
        <f>Standing!$Q$133</f>
        <v>0</v>
      </c>
      <c r="E423" s="21"/>
      <c r="F423" s="30">
        <f>Standing!$Q$36</f>
        <v>0.80070968143506582</v>
      </c>
      <c r="G423" s="20">
        <f>Reactive!$Q$24</f>
        <v>0</v>
      </c>
      <c r="H423" s="17">
        <f t="shared" si="29"/>
        <v>0</v>
      </c>
      <c r="I423" s="25">
        <f>0.01*Input!$F$14*(E423*$E$403+F423*$F$403)+10*(B423*$B$403+C423*$C$403+D423*$D$403+G423*$G$403)</f>
        <v>5362535.5741354711</v>
      </c>
      <c r="J423" s="17">
        <f t="shared" si="30"/>
        <v>0.10237855501422782</v>
      </c>
      <c r="K423" s="29">
        <f t="shared" si="31"/>
        <v>2729.8072364975847</v>
      </c>
      <c r="L423" s="29">
        <f>IF($F$403&lt;&gt;0,I423/$F$403*100/Input!$F$14,"")</f>
        <v>0.80070968143506582</v>
      </c>
      <c r="M423" s="6"/>
    </row>
    <row r="424" spans="1:13" x14ac:dyDescent="0.2">
      <c r="A424" s="5" t="s">
        <v>1502</v>
      </c>
      <c r="B424" s="20">
        <f>Standing!$R$92</f>
        <v>0</v>
      </c>
      <c r="C424" s="20">
        <f>Standing!$R$117</f>
        <v>0</v>
      </c>
      <c r="D424" s="20">
        <f>Standing!$R$133</f>
        <v>0</v>
      </c>
      <c r="E424" s="21"/>
      <c r="F424" s="30">
        <f>Standing!$R$36</f>
        <v>0</v>
      </c>
      <c r="G424" s="20">
        <f>Reactive!$R$24</f>
        <v>0</v>
      </c>
      <c r="H424" s="17">
        <f t="shared" si="29"/>
        <v>0</v>
      </c>
      <c r="I424" s="25">
        <f>0.01*Input!$F$14*(E424*$E$403+F424*$F$403)+10*(B424*$B$403+C424*$C$403+D424*$D$403+G424*$G$403)</f>
        <v>0</v>
      </c>
      <c r="J424" s="17">
        <f t="shared" si="30"/>
        <v>0</v>
      </c>
      <c r="K424" s="29">
        <f t="shared" si="31"/>
        <v>0</v>
      </c>
      <c r="L424" s="29">
        <f>IF($F$403&lt;&gt;0,I424/$F$403*100/Input!$F$14,"")</f>
        <v>0</v>
      </c>
      <c r="M424" s="6"/>
    </row>
    <row r="425" spans="1:13" x14ac:dyDescent="0.2">
      <c r="A425" s="5" t="s">
        <v>1503</v>
      </c>
      <c r="B425" s="20">
        <f>Standing!$S$92</f>
        <v>0</v>
      </c>
      <c r="C425" s="20">
        <f>Standing!$S$117</f>
        <v>0</v>
      </c>
      <c r="D425" s="20">
        <f>Standing!$S$133</f>
        <v>0</v>
      </c>
      <c r="E425" s="21"/>
      <c r="F425" s="30">
        <f>Standing!$S$36</f>
        <v>0</v>
      </c>
      <c r="G425" s="20">
        <f>Reactive!$S$24</f>
        <v>0</v>
      </c>
      <c r="H425" s="17">
        <f t="shared" si="29"/>
        <v>0</v>
      </c>
      <c r="I425" s="25">
        <f>0.01*Input!$F$14*(E425*$E$403+F425*$F$403)+10*(B425*$B$403+C425*$C$403+D425*$D$403+G425*$G$403)</f>
        <v>0</v>
      </c>
      <c r="J425" s="17">
        <f t="shared" si="30"/>
        <v>0</v>
      </c>
      <c r="K425" s="29">
        <f t="shared" si="31"/>
        <v>0</v>
      </c>
      <c r="L425" s="29">
        <f>IF($F$403&lt;&gt;0,I425/$F$403*100/Input!$F$14,"")</f>
        <v>0</v>
      </c>
      <c r="M425" s="6"/>
    </row>
    <row r="426" spans="1:13" x14ac:dyDescent="0.2">
      <c r="A426" s="5" t="s">
        <v>1504</v>
      </c>
      <c r="B426" s="21"/>
      <c r="C426" s="21"/>
      <c r="D426" s="21"/>
      <c r="E426" s="30">
        <f>Otex!$B$132</f>
        <v>0</v>
      </c>
      <c r="F426" s="21"/>
      <c r="G426" s="21"/>
      <c r="H426" s="17">
        <f t="shared" si="29"/>
        <v>0</v>
      </c>
      <c r="I426" s="25">
        <f>0.01*Input!$F$14*(E426*$E$403+F426*$F$403)+10*(B426*$B$403+C426*$C$403+D426*$D$403+G426*$G$403)</f>
        <v>0</v>
      </c>
      <c r="J426" s="17">
        <f t="shared" si="30"/>
        <v>0</v>
      </c>
      <c r="K426" s="29">
        <f t="shared" si="31"/>
        <v>0</v>
      </c>
      <c r="L426" s="29">
        <f>IF($F$403&lt;&gt;0,I426/$F$403*100/Input!$F$14,"")</f>
        <v>0</v>
      </c>
      <c r="M426" s="6"/>
    </row>
    <row r="427" spans="1:13" x14ac:dyDescent="0.2">
      <c r="A427" s="5" t="s">
        <v>1505</v>
      </c>
      <c r="B427" s="21"/>
      <c r="C427" s="21"/>
      <c r="D427" s="21"/>
      <c r="E427" s="30">
        <f>Otex!$C$132</f>
        <v>102.60147313251026</v>
      </c>
      <c r="F427" s="21"/>
      <c r="G427" s="21"/>
      <c r="H427" s="17">
        <f t="shared" si="29"/>
        <v>0</v>
      </c>
      <c r="I427" s="25">
        <f>0.01*Input!$F$14*(E427*$E$403+F427*$F$403)+10*(B427*$B$403+C427*$C$403+D427*$D$403+G427*$G$403)</f>
        <v>735672.7443263242</v>
      </c>
      <c r="J427" s="17">
        <f t="shared" si="30"/>
        <v>1.4045056016178108E-2</v>
      </c>
      <c r="K427" s="29">
        <f t="shared" si="31"/>
        <v>374.49537693366244</v>
      </c>
      <c r="L427" s="29">
        <f>IF($F$403&lt;&gt;0,I427/$F$403*100/Input!$F$14,"")</f>
        <v>0.10984734378101685</v>
      </c>
      <c r="M427" s="6"/>
    </row>
    <row r="428" spans="1:13" x14ac:dyDescent="0.2">
      <c r="A428" s="5" t="s">
        <v>1506</v>
      </c>
      <c r="B428" s="20">
        <f>Scaler!$B$418</f>
        <v>5.1671176741758984</v>
      </c>
      <c r="C428" s="20">
        <f>Scaler!$C$418</f>
        <v>0.28170037141946347</v>
      </c>
      <c r="D428" s="20">
        <f>Scaler!$D$418</f>
        <v>4.978640475094856E-2</v>
      </c>
      <c r="E428" s="30">
        <f>Scaler!$E$418</f>
        <v>0</v>
      </c>
      <c r="F428" s="30">
        <f>Scaler!$F$418</f>
        <v>0</v>
      </c>
      <c r="G428" s="20">
        <f>Scaler!$G$418</f>
        <v>0.11361276054371015</v>
      </c>
      <c r="H428" s="17">
        <f t="shared" si="29"/>
        <v>0.48121497011710501</v>
      </c>
      <c r="I428" s="25">
        <f>0.01*Input!$F$14*(E428*$E$403+F428*$F$403)+10*(B428*$B$403+C428*$C$403+D428*$D$403+G428*$G$403)</f>
        <v>25205790.369876683</v>
      </c>
      <c r="J428" s="17">
        <f t="shared" si="30"/>
        <v>0.48121497011710501</v>
      </c>
      <c r="K428" s="29">
        <f t="shared" si="31"/>
        <v>12831.047552430142</v>
      </c>
      <c r="L428" s="29">
        <f>IF($F$403&lt;&gt;0,I428/$F$403*100/Input!$F$14,"")</f>
        <v>3.7636151962752735</v>
      </c>
      <c r="M428" s="6"/>
    </row>
    <row r="429" spans="1:13" x14ac:dyDescent="0.2">
      <c r="A429" s="5" t="s">
        <v>1507</v>
      </c>
      <c r="B429" s="20">
        <f>Adjust!$B$84</f>
        <v>2.9711561841949674E-4</v>
      </c>
      <c r="C429" s="20">
        <f>Adjust!$C$84</f>
        <v>-1.8963215182854487E-4</v>
      </c>
      <c r="D429" s="20">
        <f>Adjust!$D$84</f>
        <v>3.3508987033947779E-4</v>
      </c>
      <c r="E429" s="30">
        <f>Adjust!$E$84</f>
        <v>-1.4731325102701476E-3</v>
      </c>
      <c r="F429" s="30">
        <f>Adjust!$F$84</f>
        <v>-4.8929650010220982E-4</v>
      </c>
      <c r="G429" s="20">
        <f>Adjust!$G$84</f>
        <v>-1.9772545893514959E-4</v>
      </c>
      <c r="H429" s="17">
        <f t="shared" si="29"/>
        <v>1.2933621121161856E-4</v>
      </c>
      <c r="I429" s="25">
        <f>0.01*Input!$F$14*(E429*$E$403+F429*$F$403)+10*(B429*$B$403+C429*$C$403+D429*$D$403+G429*$G$403)</f>
        <v>3487.0705747673546</v>
      </c>
      <c r="J429" s="17">
        <f t="shared" si="30"/>
        <v>6.6573217415880561E-5</v>
      </c>
      <c r="K429" s="29">
        <f t="shared" si="31"/>
        <v>1.7750988049552177</v>
      </c>
      <c r="L429" s="29">
        <f>IF($F$403&lt;&gt;0,I429/$F$403*100/Input!$F$14,"")</f>
        <v>5.2067368700182428E-4</v>
      </c>
      <c r="M429" s="6"/>
    </row>
    <row r="432" spans="1:13" x14ac:dyDescent="0.2">
      <c r="A432" s="5" t="s">
        <v>1508</v>
      </c>
      <c r="B432" s="17">
        <f>SUM($B$407:$B$429)</f>
        <v>8.8230000000000004</v>
      </c>
      <c r="C432" s="17">
        <f>SUM($C$407:$C$429)</f>
        <v>0.60799999999999998</v>
      </c>
      <c r="D432" s="17">
        <f>SUM($D$407:$D$429)</f>
        <v>9.8000000000000004E-2</v>
      </c>
      <c r="E432" s="29">
        <f>SUM($E$407:$E$429)</f>
        <v>102.6</v>
      </c>
      <c r="F432" s="29">
        <f>SUM($F$407:$F$429)</f>
        <v>3.19</v>
      </c>
      <c r="G432" s="17">
        <f>SUM($G$407:$G$429)</f>
        <v>0.20599999999999999</v>
      </c>
      <c r="H432" s="17">
        <f>SUM(H$407:H$429)</f>
        <v>0.87613648557872281</v>
      </c>
      <c r="I432" s="25">
        <f>SUM($I$407:$I$429)</f>
        <v>67991394.974048823</v>
      </c>
      <c r="J432" s="17">
        <f>SUM($J$407:$J$429)</f>
        <v>1.298054003486393</v>
      </c>
      <c r="K432" s="29">
        <f>SUM($K$407:$K$429)</f>
        <v>34611.127414226306</v>
      </c>
      <c r="L432" s="29">
        <f>SUM($L$407:$L$429)</f>
        <v>10.152169147851895</v>
      </c>
      <c r="M432" s="6"/>
    </row>
    <row r="434" spans="1:13" ht="16.5" x14ac:dyDescent="0.25">
      <c r="A434" s="3" t="s">
        <v>74</v>
      </c>
    </row>
    <row r="436" spans="1:13" ht="25.5" x14ac:dyDescent="0.2">
      <c r="B436" s="4" t="s">
        <v>105</v>
      </c>
      <c r="C436" s="4" t="s">
        <v>106</v>
      </c>
      <c r="D436" s="4" t="s">
        <v>107</v>
      </c>
      <c r="E436" s="4" t="s">
        <v>108</v>
      </c>
      <c r="F436" s="4" t="s">
        <v>109</v>
      </c>
      <c r="G436" s="4" t="s">
        <v>110</v>
      </c>
      <c r="H436" s="4" t="s">
        <v>1489</v>
      </c>
      <c r="I436" s="4" t="s">
        <v>1490</v>
      </c>
    </row>
    <row r="437" spans="1:13" x14ac:dyDescent="0.2">
      <c r="A437" s="5" t="s">
        <v>74</v>
      </c>
      <c r="B437" s="27">
        <f>Loads!B$310</f>
        <v>0</v>
      </c>
      <c r="C437" s="27">
        <f>Loads!C$310</f>
        <v>0</v>
      </c>
      <c r="D437" s="27">
        <f>Loads!D$310</f>
        <v>0</v>
      </c>
      <c r="E437" s="27">
        <f>Loads!E$310</f>
        <v>0</v>
      </c>
      <c r="F437" s="27">
        <f>Loads!F$310</f>
        <v>0</v>
      </c>
      <c r="G437" s="27">
        <f>Loads!G$310</f>
        <v>0</v>
      </c>
      <c r="H437" s="27">
        <f>Multi!B$127</f>
        <v>0</v>
      </c>
      <c r="I437" s="17" t="str">
        <f>IF(E437,H437/E437,"")</f>
        <v/>
      </c>
      <c r="J437" s="6"/>
    </row>
    <row r="440" spans="1:13" ht="25.5" x14ac:dyDescent="0.2">
      <c r="B440" s="4" t="s">
        <v>1319</v>
      </c>
      <c r="C440" s="4" t="s">
        <v>1320</v>
      </c>
      <c r="D440" s="4" t="s">
        <v>1321</v>
      </c>
      <c r="E440" s="4" t="s">
        <v>1322</v>
      </c>
      <c r="F440" s="4" t="s">
        <v>1323</v>
      </c>
      <c r="G440" s="4" t="s">
        <v>957</v>
      </c>
      <c r="H440" s="4" t="s">
        <v>1509</v>
      </c>
      <c r="I440" s="4" t="s">
        <v>1491</v>
      </c>
      <c r="J440" s="4" t="s">
        <v>1461</v>
      </c>
      <c r="K440" s="4" t="s">
        <v>1492</v>
      </c>
      <c r="L440" s="4" t="s">
        <v>1510</v>
      </c>
    </row>
    <row r="441" spans="1:13" x14ac:dyDescent="0.2">
      <c r="A441" s="5" t="s">
        <v>338</v>
      </c>
      <c r="B441" s="20">
        <f>Standing!$C$93</f>
        <v>0.72183178144771754</v>
      </c>
      <c r="C441" s="20">
        <f>Standing!$C$118</f>
        <v>6.2462125284811161E-2</v>
      </c>
      <c r="D441" s="20">
        <f>Standing!$C$134</f>
        <v>9.3340021868306162E-3</v>
      </c>
      <c r="E441" s="21"/>
      <c r="F441" s="30">
        <f>Standing!$C$37</f>
        <v>0</v>
      </c>
      <c r="G441" s="20">
        <f>Reactive!$C$25</f>
        <v>1.9364798080905E-2</v>
      </c>
      <c r="H441" s="17">
        <f t="shared" ref="H441:H463" si="32">IF(H$437&lt;&gt;0,(($B441*B$437+$C441*C$437+$D441*D$437+$G441*G$437))/H$437,0)</f>
        <v>0</v>
      </c>
      <c r="I441" s="25">
        <f>0.01*Input!$F$14*(E441*$E$437+F441*$F$437)+10*(B441*$B$437+C441*$C$437+D441*$D$437+G441*$G$437)</f>
        <v>0</v>
      </c>
      <c r="J441" s="17" t="str">
        <f t="shared" ref="J441:J463" si="33">IF($H$437&lt;&gt;0,0.1*I441/$H$437,"")</f>
        <v/>
      </c>
      <c r="K441" s="29" t="str">
        <f t="shared" ref="K441:K463" si="34">IF($E$437&lt;&gt;0,I441/$E$437,"")</f>
        <v/>
      </c>
      <c r="L441" s="29" t="str">
        <f>IF($F$437&lt;&gt;0,I441/$F$437*100/Input!$F$14,"")</f>
        <v/>
      </c>
      <c r="M441" s="6"/>
    </row>
    <row r="442" spans="1:13" x14ac:dyDescent="0.2">
      <c r="A442" s="5" t="s">
        <v>339</v>
      </c>
      <c r="B442" s="20">
        <f>Standing!$D$93</f>
        <v>0.66580666771128372</v>
      </c>
      <c r="C442" s="20">
        <f>Standing!$D$118</f>
        <v>5.7614115314562439E-2</v>
      </c>
      <c r="D442" s="20">
        <f>Standing!$D$134</f>
        <v>8.6095417965101825E-3</v>
      </c>
      <c r="E442" s="21"/>
      <c r="F442" s="30">
        <f>Standing!$D$37</f>
        <v>0</v>
      </c>
      <c r="G442" s="20">
        <f>Reactive!$D$25</f>
        <v>1.7747189126527872E-2</v>
      </c>
      <c r="H442" s="17">
        <f t="shared" si="32"/>
        <v>0</v>
      </c>
      <c r="I442" s="25">
        <f>0.01*Input!$F$14*(E442*$E$437+F442*$F$437)+10*(B442*$B$437+C442*$C$437+D442*$D$437+G442*$G$437)</f>
        <v>0</v>
      </c>
      <c r="J442" s="17" t="str">
        <f t="shared" si="33"/>
        <v/>
      </c>
      <c r="K442" s="29" t="str">
        <f t="shared" si="34"/>
        <v/>
      </c>
      <c r="L442" s="29" t="str">
        <f>IF($F$437&lt;&gt;0,I442/$F$437*100/Input!$F$14,"")</f>
        <v/>
      </c>
      <c r="M442" s="6"/>
    </row>
    <row r="443" spans="1:13" x14ac:dyDescent="0.2">
      <c r="A443" s="5" t="s">
        <v>340</v>
      </c>
      <c r="B443" s="20">
        <f>Standing!$E$93</f>
        <v>0</v>
      </c>
      <c r="C443" s="20">
        <f>Standing!$E$118</f>
        <v>0</v>
      </c>
      <c r="D443" s="20">
        <f>Standing!$E$134</f>
        <v>0</v>
      </c>
      <c r="E443" s="21"/>
      <c r="F443" s="30">
        <f>Standing!$E$37</f>
        <v>0.7644696900973349</v>
      </c>
      <c r="G443" s="20">
        <f>Reactive!$E$25</f>
        <v>0</v>
      </c>
      <c r="H443" s="17">
        <f t="shared" si="32"/>
        <v>0</v>
      </c>
      <c r="I443" s="25">
        <f>0.01*Input!$F$14*(E443*$E$437+F443*$F$437)+10*(B443*$B$437+C443*$C$437+D443*$D$437+G443*$G$437)</f>
        <v>0</v>
      </c>
      <c r="J443" s="17" t="str">
        <f t="shared" si="33"/>
        <v/>
      </c>
      <c r="K443" s="29" t="str">
        <f t="shared" si="34"/>
        <v/>
      </c>
      <c r="L443" s="29" t="str">
        <f>IF($F$437&lt;&gt;0,I443/$F$437*100/Input!$F$14,"")</f>
        <v/>
      </c>
      <c r="M443" s="6"/>
    </row>
    <row r="444" spans="1:13" x14ac:dyDescent="0.2">
      <c r="A444" s="5" t="s">
        <v>341</v>
      </c>
      <c r="B444" s="20">
        <f>Standing!$F$93</f>
        <v>0</v>
      </c>
      <c r="C444" s="20">
        <f>Standing!$F$118</f>
        <v>0</v>
      </c>
      <c r="D444" s="20">
        <f>Standing!$F$134</f>
        <v>0</v>
      </c>
      <c r="E444" s="21"/>
      <c r="F444" s="30">
        <f>Standing!$F$37</f>
        <v>0.17611997577753008</v>
      </c>
      <c r="G444" s="20">
        <f>Reactive!$F$25</f>
        <v>0</v>
      </c>
      <c r="H444" s="17">
        <f t="shared" si="32"/>
        <v>0</v>
      </c>
      <c r="I444" s="25">
        <f>0.01*Input!$F$14*(E444*$E$437+F444*$F$437)+10*(B444*$B$437+C444*$C$437+D444*$D$437+G444*$G$437)</f>
        <v>0</v>
      </c>
      <c r="J444" s="17" t="str">
        <f t="shared" si="33"/>
        <v/>
      </c>
      <c r="K444" s="29" t="str">
        <f t="shared" si="34"/>
        <v/>
      </c>
      <c r="L444" s="29" t="str">
        <f>IF($F$437&lt;&gt;0,I444/$F$437*100/Input!$F$14,"")</f>
        <v/>
      </c>
      <c r="M444" s="6"/>
    </row>
    <row r="445" spans="1:13" x14ac:dyDescent="0.2">
      <c r="A445" s="5" t="s">
        <v>342</v>
      </c>
      <c r="B445" s="20">
        <f>Standing!$G$93</f>
        <v>0</v>
      </c>
      <c r="C445" s="20">
        <f>Standing!$G$118</f>
        <v>0</v>
      </c>
      <c r="D445" s="20">
        <f>Standing!$G$134</f>
        <v>0</v>
      </c>
      <c r="E445" s="21"/>
      <c r="F445" s="30">
        <f>Standing!$G$37</f>
        <v>0</v>
      </c>
      <c r="G445" s="20">
        <f>Reactive!$G$25</f>
        <v>0</v>
      </c>
      <c r="H445" s="17">
        <f t="shared" si="32"/>
        <v>0</v>
      </c>
      <c r="I445" s="25">
        <f>0.01*Input!$F$14*(E445*$E$437+F445*$F$437)+10*(B445*$B$437+C445*$C$437+D445*$D$437+G445*$G$437)</f>
        <v>0</v>
      </c>
      <c r="J445" s="17" t="str">
        <f t="shared" si="33"/>
        <v/>
      </c>
      <c r="K445" s="29" t="str">
        <f t="shared" si="34"/>
        <v/>
      </c>
      <c r="L445" s="29" t="str">
        <f>IF($F$437&lt;&gt;0,I445/$F$437*100/Input!$F$14,"")</f>
        <v/>
      </c>
      <c r="M445" s="6"/>
    </row>
    <row r="446" spans="1:13" x14ac:dyDescent="0.2">
      <c r="A446" s="5" t="s">
        <v>343</v>
      </c>
      <c r="B446" s="20">
        <f>Standing!$H$93</f>
        <v>0</v>
      </c>
      <c r="C446" s="20">
        <f>Standing!$H$118</f>
        <v>0</v>
      </c>
      <c r="D446" s="20">
        <f>Standing!$H$134</f>
        <v>0</v>
      </c>
      <c r="E446" s="21"/>
      <c r="F446" s="30">
        <f>Standing!$H$37</f>
        <v>0</v>
      </c>
      <c r="G446" s="20">
        <f>Reactive!$H$25</f>
        <v>0</v>
      </c>
      <c r="H446" s="17">
        <f t="shared" si="32"/>
        <v>0</v>
      </c>
      <c r="I446" s="25">
        <f>0.01*Input!$F$14*(E446*$E$437+F446*$F$437)+10*(B446*$B$437+C446*$C$437+D446*$D$437+G446*$G$437)</f>
        <v>0</v>
      </c>
      <c r="J446" s="17" t="str">
        <f t="shared" si="33"/>
        <v/>
      </c>
      <c r="K446" s="29" t="str">
        <f t="shared" si="34"/>
        <v/>
      </c>
      <c r="L446" s="29" t="str">
        <f>IF($F$437&lt;&gt;0,I446/$F$437*100/Input!$F$14,"")</f>
        <v/>
      </c>
      <c r="M446" s="6"/>
    </row>
    <row r="447" spans="1:13" x14ac:dyDescent="0.2">
      <c r="A447" s="5" t="s">
        <v>344</v>
      </c>
      <c r="B447" s="20">
        <f>Standing!$I$93</f>
        <v>0</v>
      </c>
      <c r="C447" s="20">
        <f>Standing!$I$118</f>
        <v>0</v>
      </c>
      <c r="D447" s="20">
        <f>Standing!$I$134</f>
        <v>0</v>
      </c>
      <c r="E447" s="21"/>
      <c r="F447" s="30">
        <f>Standing!$I$37</f>
        <v>0</v>
      </c>
      <c r="G447" s="20">
        <f>Reactive!$I$25</f>
        <v>0</v>
      </c>
      <c r="H447" s="17">
        <f t="shared" si="32"/>
        <v>0</v>
      </c>
      <c r="I447" s="25">
        <f>0.01*Input!$F$14*(E447*$E$437+F447*$F$437)+10*(B447*$B$437+C447*$C$437+D447*$D$437+G447*$G$437)</f>
        <v>0</v>
      </c>
      <c r="J447" s="17" t="str">
        <f t="shared" si="33"/>
        <v/>
      </c>
      <c r="K447" s="29" t="str">
        <f t="shared" si="34"/>
        <v/>
      </c>
      <c r="L447" s="29" t="str">
        <f>IF($F$437&lt;&gt;0,I447/$F$437*100/Input!$F$14,"")</f>
        <v/>
      </c>
      <c r="M447" s="6"/>
    </row>
    <row r="448" spans="1:13" x14ac:dyDescent="0.2">
      <c r="A448" s="5" t="s">
        <v>345</v>
      </c>
      <c r="B448" s="20">
        <f>Standing!$J$93</f>
        <v>0</v>
      </c>
      <c r="C448" s="20">
        <f>Standing!$J$118</f>
        <v>0</v>
      </c>
      <c r="D448" s="20">
        <f>Standing!$J$134</f>
        <v>0</v>
      </c>
      <c r="E448" s="21"/>
      <c r="F448" s="30">
        <f>Standing!$J$37</f>
        <v>0</v>
      </c>
      <c r="G448" s="20">
        <f>Reactive!$J$25</f>
        <v>0</v>
      </c>
      <c r="H448" s="17">
        <f t="shared" si="32"/>
        <v>0</v>
      </c>
      <c r="I448" s="25">
        <f>0.01*Input!$F$14*(E448*$E$437+F448*$F$437)+10*(B448*$B$437+C448*$C$437+D448*$D$437+G448*$G$437)</f>
        <v>0</v>
      </c>
      <c r="J448" s="17" t="str">
        <f t="shared" si="33"/>
        <v/>
      </c>
      <c r="K448" s="29" t="str">
        <f t="shared" si="34"/>
        <v/>
      </c>
      <c r="L448" s="29" t="str">
        <f>IF($F$437&lt;&gt;0,I448/$F$437*100/Input!$F$14,"")</f>
        <v/>
      </c>
      <c r="M448" s="6"/>
    </row>
    <row r="449" spans="1:13" x14ac:dyDescent="0.2">
      <c r="A449" s="5" t="s">
        <v>1493</v>
      </c>
      <c r="B449" s="21"/>
      <c r="C449" s="21"/>
      <c r="D449" s="21"/>
      <c r="E449" s="30">
        <f>SM!$B$120</f>
        <v>0</v>
      </c>
      <c r="F449" s="21"/>
      <c r="G449" s="21"/>
      <c r="H449" s="17">
        <f t="shared" si="32"/>
        <v>0</v>
      </c>
      <c r="I449" s="25">
        <f>0.01*Input!$F$14*(E449*$E$437+F449*$F$437)+10*(B449*$B$437+C449*$C$437+D449*$D$437+G449*$G$437)</f>
        <v>0</v>
      </c>
      <c r="J449" s="17" t="str">
        <f t="shared" si="33"/>
        <v/>
      </c>
      <c r="K449" s="29" t="str">
        <f t="shared" si="34"/>
        <v/>
      </c>
      <c r="L449" s="29" t="str">
        <f>IF($F$437&lt;&gt;0,I449/$F$437*100/Input!$F$14,"")</f>
        <v/>
      </c>
      <c r="M449" s="6"/>
    </row>
    <row r="450" spans="1:13" x14ac:dyDescent="0.2">
      <c r="A450" s="5" t="s">
        <v>1494</v>
      </c>
      <c r="B450" s="21"/>
      <c r="C450" s="21"/>
      <c r="D450" s="21"/>
      <c r="E450" s="30">
        <f>SM!$C$120</f>
        <v>0</v>
      </c>
      <c r="F450" s="21"/>
      <c r="G450" s="21"/>
      <c r="H450" s="17">
        <f t="shared" si="32"/>
        <v>0</v>
      </c>
      <c r="I450" s="25">
        <f>0.01*Input!$F$14*(E450*$E$437+F450*$F$437)+10*(B450*$B$437+C450*$C$437+D450*$D$437+G450*$G$437)</f>
        <v>0</v>
      </c>
      <c r="J450" s="17" t="str">
        <f t="shared" si="33"/>
        <v/>
      </c>
      <c r="K450" s="29" t="str">
        <f t="shared" si="34"/>
        <v/>
      </c>
      <c r="L450" s="29" t="str">
        <f>IF($F$437&lt;&gt;0,I450/$F$437*100/Input!$F$14,"")</f>
        <v/>
      </c>
      <c r="M450" s="6"/>
    </row>
    <row r="451" spans="1:13" x14ac:dyDescent="0.2">
      <c r="A451" s="5" t="s">
        <v>1495</v>
      </c>
      <c r="B451" s="20">
        <f>Standing!$K$93</f>
        <v>0.57020661903200132</v>
      </c>
      <c r="C451" s="20">
        <f>Standing!$K$118</f>
        <v>3.1086463768752792E-2</v>
      </c>
      <c r="D451" s="20">
        <f>Standing!$K$134</f>
        <v>5.4940760626909502E-3</v>
      </c>
      <c r="E451" s="21"/>
      <c r="F451" s="30">
        <f>Standing!$K$37</f>
        <v>0</v>
      </c>
      <c r="G451" s="20">
        <f>Reactive!$K$25</f>
        <v>1.3365679252143207E-2</v>
      </c>
      <c r="H451" s="17">
        <f t="shared" si="32"/>
        <v>0</v>
      </c>
      <c r="I451" s="25">
        <f>0.01*Input!$F$14*(E451*$E$437+F451*$F$437)+10*(B451*$B$437+C451*$C$437+D451*$D$437+G451*$G$437)</f>
        <v>0</v>
      </c>
      <c r="J451" s="17" t="str">
        <f t="shared" si="33"/>
        <v/>
      </c>
      <c r="K451" s="29" t="str">
        <f t="shared" si="34"/>
        <v/>
      </c>
      <c r="L451" s="29" t="str">
        <f>IF($F$437&lt;&gt;0,I451/$F$437*100/Input!$F$14,"")</f>
        <v/>
      </c>
      <c r="M451" s="6"/>
    </row>
    <row r="452" spans="1:13" x14ac:dyDescent="0.2">
      <c r="A452" s="5" t="s">
        <v>1496</v>
      </c>
      <c r="B452" s="20">
        <f>Standing!$L$93</f>
        <v>0.23831113337442489</v>
      </c>
      <c r="C452" s="20">
        <f>Standing!$L$118</f>
        <v>2.0621729677438465E-2</v>
      </c>
      <c r="D452" s="20">
        <f>Standing!$L$134</f>
        <v>3.0815997538951238E-3</v>
      </c>
      <c r="E452" s="21"/>
      <c r="F452" s="30">
        <f>Standing!$L$37</f>
        <v>0</v>
      </c>
      <c r="G452" s="20">
        <f>Reactive!$L$25</f>
        <v>6.3932443774805097E-3</v>
      </c>
      <c r="H452" s="17">
        <f t="shared" si="32"/>
        <v>0</v>
      </c>
      <c r="I452" s="25">
        <f>0.01*Input!$F$14*(E452*$E$437+F452*$F$437)+10*(B452*$B$437+C452*$C$437+D452*$D$437+G452*$G$437)</f>
        <v>0</v>
      </c>
      <c r="J452" s="17" t="str">
        <f t="shared" si="33"/>
        <v/>
      </c>
      <c r="K452" s="29" t="str">
        <f t="shared" si="34"/>
        <v/>
      </c>
      <c r="L452" s="29" t="str">
        <f>IF($F$437&lt;&gt;0,I452/$F$437*100/Input!$F$14,"")</f>
        <v/>
      </c>
      <c r="M452" s="6"/>
    </row>
    <row r="453" spans="1:13" x14ac:dyDescent="0.2">
      <c r="A453" s="5" t="s">
        <v>1497</v>
      </c>
      <c r="B453" s="20">
        <f>Standing!$M$93</f>
        <v>0.21981456853049028</v>
      </c>
      <c r="C453" s="20">
        <f>Standing!$M$118</f>
        <v>1.902117012836552E-2</v>
      </c>
      <c r="D453" s="20">
        <f>Standing!$M$134</f>
        <v>2.8424207912344929E-3</v>
      </c>
      <c r="E453" s="21"/>
      <c r="F453" s="30">
        <f>Standing!$M$37</f>
        <v>0</v>
      </c>
      <c r="G453" s="20">
        <f>Reactive!$M$25</f>
        <v>5.8591944323519102E-3</v>
      </c>
      <c r="H453" s="17">
        <f t="shared" si="32"/>
        <v>0</v>
      </c>
      <c r="I453" s="25">
        <f>0.01*Input!$F$14*(E453*$E$437+F453*$F$437)+10*(B453*$B$437+C453*$C$437+D453*$D$437+G453*$G$437)</f>
        <v>0</v>
      </c>
      <c r="J453" s="17" t="str">
        <f t="shared" si="33"/>
        <v/>
      </c>
      <c r="K453" s="29" t="str">
        <f t="shared" si="34"/>
        <v/>
      </c>
      <c r="L453" s="29" t="str">
        <f>IF($F$437&lt;&gt;0,I453/$F$437*100/Input!$F$14,"")</f>
        <v/>
      </c>
      <c r="M453" s="6"/>
    </row>
    <row r="454" spans="1:13" x14ac:dyDescent="0.2">
      <c r="A454" s="5" t="s">
        <v>1498</v>
      </c>
      <c r="B454" s="20">
        <f>Standing!$N$93</f>
        <v>0</v>
      </c>
      <c r="C454" s="20">
        <f>Standing!$N$118</f>
        <v>0</v>
      </c>
      <c r="D454" s="20">
        <f>Standing!$N$134</f>
        <v>0</v>
      </c>
      <c r="E454" s="21"/>
      <c r="F454" s="30">
        <f>Standing!$N$37</f>
        <v>0.58694870389686837</v>
      </c>
      <c r="G454" s="20">
        <f>Reactive!$N$25</f>
        <v>0</v>
      </c>
      <c r="H454" s="17">
        <f t="shared" si="32"/>
        <v>0</v>
      </c>
      <c r="I454" s="25">
        <f>0.01*Input!$F$14*(E454*$E$437+F454*$F$437)+10*(B454*$B$437+C454*$C$437+D454*$D$437+G454*$G$437)</f>
        <v>0</v>
      </c>
      <c r="J454" s="17" t="str">
        <f t="shared" si="33"/>
        <v/>
      </c>
      <c r="K454" s="29" t="str">
        <f t="shared" si="34"/>
        <v/>
      </c>
      <c r="L454" s="29" t="str">
        <f>IF($F$437&lt;&gt;0,I454/$F$437*100/Input!$F$14,"")</f>
        <v/>
      </c>
      <c r="M454" s="6"/>
    </row>
    <row r="455" spans="1:13" x14ac:dyDescent="0.2">
      <c r="A455" s="5" t="s">
        <v>1499</v>
      </c>
      <c r="B455" s="20">
        <f>Standing!$O$93</f>
        <v>0</v>
      </c>
      <c r="C455" s="20">
        <f>Standing!$O$118</f>
        <v>0</v>
      </c>
      <c r="D455" s="20">
        <f>Standing!$O$134</f>
        <v>0</v>
      </c>
      <c r="E455" s="21"/>
      <c r="F455" s="30">
        <f>Standing!$O$37</f>
        <v>0.72682015595865479</v>
      </c>
      <c r="G455" s="20">
        <f>Reactive!$O$25</f>
        <v>0</v>
      </c>
      <c r="H455" s="17">
        <f t="shared" si="32"/>
        <v>0</v>
      </c>
      <c r="I455" s="25">
        <f>0.01*Input!$F$14*(E455*$E$437+F455*$F$437)+10*(B455*$B$437+C455*$C$437+D455*$D$437+G455*$G$437)</f>
        <v>0</v>
      </c>
      <c r="J455" s="17" t="str">
        <f t="shared" si="33"/>
        <v/>
      </c>
      <c r="K455" s="29" t="str">
        <f t="shared" si="34"/>
        <v/>
      </c>
      <c r="L455" s="29" t="str">
        <f>IF($F$437&lt;&gt;0,I455/$F$437*100/Input!$F$14,"")</f>
        <v/>
      </c>
      <c r="M455" s="6"/>
    </row>
    <row r="456" spans="1:13" x14ac:dyDescent="0.2">
      <c r="A456" s="5" t="s">
        <v>1500</v>
      </c>
      <c r="B456" s="20">
        <f>Standing!$P$93</f>
        <v>0</v>
      </c>
      <c r="C456" s="20">
        <f>Standing!$P$118</f>
        <v>0</v>
      </c>
      <c r="D456" s="20">
        <f>Standing!$P$134</f>
        <v>0</v>
      </c>
      <c r="E456" s="21"/>
      <c r="F456" s="30">
        <f>Standing!$P$37</f>
        <v>0</v>
      </c>
      <c r="G456" s="20">
        <f>Reactive!$P$25</f>
        <v>0</v>
      </c>
      <c r="H456" s="17">
        <f t="shared" si="32"/>
        <v>0</v>
      </c>
      <c r="I456" s="25">
        <f>0.01*Input!$F$14*(E456*$E$437+F456*$F$437)+10*(B456*$B$437+C456*$C$437+D456*$D$437+G456*$G$437)</f>
        <v>0</v>
      </c>
      <c r="J456" s="17" t="str">
        <f t="shared" si="33"/>
        <v/>
      </c>
      <c r="K456" s="29" t="str">
        <f t="shared" si="34"/>
        <v/>
      </c>
      <c r="L456" s="29" t="str">
        <f>IF($F$437&lt;&gt;0,I456/$F$437*100/Input!$F$14,"")</f>
        <v/>
      </c>
      <c r="M456" s="6"/>
    </row>
    <row r="457" spans="1:13" x14ac:dyDescent="0.2">
      <c r="A457" s="5" t="s">
        <v>1501</v>
      </c>
      <c r="B457" s="20">
        <f>Standing!$Q$93</f>
        <v>0</v>
      </c>
      <c r="C457" s="20">
        <f>Standing!$Q$118</f>
        <v>0</v>
      </c>
      <c r="D457" s="20">
        <f>Standing!$Q$134</f>
        <v>0</v>
      </c>
      <c r="E457" s="21"/>
      <c r="F457" s="30">
        <f>Standing!$Q$37</f>
        <v>0</v>
      </c>
      <c r="G457" s="20">
        <f>Reactive!$Q$25</f>
        <v>0</v>
      </c>
      <c r="H457" s="17">
        <f t="shared" si="32"/>
        <v>0</v>
      </c>
      <c r="I457" s="25">
        <f>0.01*Input!$F$14*(E457*$E$437+F457*$F$437)+10*(B457*$B$437+C457*$C$437+D457*$D$437+G457*$G$437)</f>
        <v>0</v>
      </c>
      <c r="J457" s="17" t="str">
        <f t="shared" si="33"/>
        <v/>
      </c>
      <c r="K457" s="29" t="str">
        <f t="shared" si="34"/>
        <v/>
      </c>
      <c r="L457" s="29" t="str">
        <f>IF($F$437&lt;&gt;0,I457/$F$437*100/Input!$F$14,"")</f>
        <v/>
      </c>
      <c r="M457" s="6"/>
    </row>
    <row r="458" spans="1:13" x14ac:dyDescent="0.2">
      <c r="A458" s="5" t="s">
        <v>1502</v>
      </c>
      <c r="B458" s="20">
        <f>Standing!$R$93</f>
        <v>0</v>
      </c>
      <c r="C458" s="20">
        <f>Standing!$R$118</f>
        <v>0</v>
      </c>
      <c r="D458" s="20">
        <f>Standing!$R$134</f>
        <v>0</v>
      </c>
      <c r="E458" s="21"/>
      <c r="F458" s="30">
        <f>Standing!$R$37</f>
        <v>0</v>
      </c>
      <c r="G458" s="20">
        <f>Reactive!$R$25</f>
        <v>0</v>
      </c>
      <c r="H458" s="17">
        <f t="shared" si="32"/>
        <v>0</v>
      </c>
      <c r="I458" s="25">
        <f>0.01*Input!$F$14*(E458*$E$437+F458*$F$437)+10*(B458*$B$437+C458*$C$437+D458*$D$437+G458*$G$437)</f>
        <v>0</v>
      </c>
      <c r="J458" s="17" t="str">
        <f t="shared" si="33"/>
        <v/>
      </c>
      <c r="K458" s="29" t="str">
        <f t="shared" si="34"/>
        <v/>
      </c>
      <c r="L458" s="29" t="str">
        <f>IF($F$437&lt;&gt;0,I458/$F$437*100/Input!$F$14,"")</f>
        <v/>
      </c>
      <c r="M458" s="6"/>
    </row>
    <row r="459" spans="1:13" x14ac:dyDescent="0.2">
      <c r="A459" s="5" t="s">
        <v>1503</v>
      </c>
      <c r="B459" s="20">
        <f>Standing!$S$93</f>
        <v>0</v>
      </c>
      <c r="C459" s="20">
        <f>Standing!$S$118</f>
        <v>0</v>
      </c>
      <c r="D459" s="20">
        <f>Standing!$S$134</f>
        <v>0</v>
      </c>
      <c r="E459" s="21"/>
      <c r="F459" s="30">
        <f>Standing!$S$37</f>
        <v>0</v>
      </c>
      <c r="G459" s="20">
        <f>Reactive!$S$25</f>
        <v>0</v>
      </c>
      <c r="H459" s="17">
        <f t="shared" si="32"/>
        <v>0</v>
      </c>
      <c r="I459" s="25">
        <f>0.01*Input!$F$14*(E459*$E$437+F459*$F$437)+10*(B459*$B$437+C459*$C$437+D459*$D$437+G459*$G$437)</f>
        <v>0</v>
      </c>
      <c r="J459" s="17" t="str">
        <f t="shared" si="33"/>
        <v/>
      </c>
      <c r="K459" s="29" t="str">
        <f t="shared" si="34"/>
        <v/>
      </c>
      <c r="L459" s="29" t="str">
        <f>IF($F$437&lt;&gt;0,I459/$F$437*100/Input!$F$14,"")</f>
        <v/>
      </c>
      <c r="M459" s="6"/>
    </row>
    <row r="460" spans="1:13" x14ac:dyDescent="0.2">
      <c r="A460" s="5" t="s">
        <v>1504</v>
      </c>
      <c r="B460" s="21"/>
      <c r="C460" s="21"/>
      <c r="D460" s="21"/>
      <c r="E460" s="30">
        <f>Otex!$B$133</f>
        <v>0</v>
      </c>
      <c r="F460" s="21"/>
      <c r="G460" s="21"/>
      <c r="H460" s="17">
        <f t="shared" si="32"/>
        <v>0</v>
      </c>
      <c r="I460" s="25">
        <f>0.01*Input!$F$14*(E460*$E$437+F460*$F$437)+10*(B460*$B$437+C460*$C$437+D460*$D$437+G460*$G$437)</f>
        <v>0</v>
      </c>
      <c r="J460" s="17" t="str">
        <f t="shared" si="33"/>
        <v/>
      </c>
      <c r="K460" s="29" t="str">
        <f t="shared" si="34"/>
        <v/>
      </c>
      <c r="L460" s="29" t="str">
        <f>IF($F$437&lt;&gt;0,I460/$F$437*100/Input!$F$14,"")</f>
        <v/>
      </c>
      <c r="M460" s="6"/>
    </row>
    <row r="461" spans="1:13" x14ac:dyDescent="0.2">
      <c r="A461" s="5" t="s">
        <v>1505</v>
      </c>
      <c r="B461" s="21"/>
      <c r="C461" s="21"/>
      <c r="D461" s="21"/>
      <c r="E461" s="30">
        <f>Otex!$C$133</f>
        <v>134.65836535031045</v>
      </c>
      <c r="F461" s="21"/>
      <c r="G461" s="21"/>
      <c r="H461" s="17">
        <f t="shared" si="32"/>
        <v>0</v>
      </c>
      <c r="I461" s="25">
        <f>0.01*Input!$F$14*(E461*$E$437+F461*$F$437)+10*(B461*$B$437+C461*$C$437+D461*$D$437+G461*$G$437)</f>
        <v>0</v>
      </c>
      <c r="J461" s="17" t="str">
        <f t="shared" si="33"/>
        <v/>
      </c>
      <c r="K461" s="29" t="str">
        <f t="shared" si="34"/>
        <v/>
      </c>
      <c r="L461" s="29" t="str">
        <f>IF($F$437&lt;&gt;0,I461/$F$437*100/Input!$F$14,"")</f>
        <v/>
      </c>
      <c r="M461" s="6"/>
    </row>
    <row r="462" spans="1:13" x14ac:dyDescent="0.2">
      <c r="A462" s="5" t="s">
        <v>1506</v>
      </c>
      <c r="B462" s="20">
        <f>Scaler!$B$419</f>
        <v>4.7909675354537224</v>
      </c>
      <c r="C462" s="20">
        <f>Scaler!$C$419</f>
        <v>0.26119345819062556</v>
      </c>
      <c r="D462" s="20">
        <f>Scaler!$D$419</f>
        <v>4.6162108918256006E-2</v>
      </c>
      <c r="E462" s="30">
        <f>Scaler!$E$419</f>
        <v>0</v>
      </c>
      <c r="F462" s="30">
        <f>Scaler!$F$419</f>
        <v>0</v>
      </c>
      <c r="G462" s="20">
        <f>Scaler!$G$419</f>
        <v>0.11230058236611197</v>
      </c>
      <c r="H462" s="17">
        <f t="shared" si="32"/>
        <v>0</v>
      </c>
      <c r="I462" s="25">
        <f>0.01*Input!$F$14*(E462*$E$437+F462*$F$437)+10*(B462*$B$437+C462*$C$437+D462*$D$437+G462*$G$437)</f>
        <v>0</v>
      </c>
      <c r="J462" s="17" t="str">
        <f t="shared" si="33"/>
        <v/>
      </c>
      <c r="K462" s="29" t="str">
        <f t="shared" si="34"/>
        <v/>
      </c>
      <c r="L462" s="29" t="str">
        <f>IF($F$437&lt;&gt;0,I462/$F$437*100/Input!$F$14,"")</f>
        <v/>
      </c>
      <c r="M462" s="6"/>
    </row>
    <row r="463" spans="1:13" x14ac:dyDescent="0.2">
      <c r="A463" s="5" t="s">
        <v>1507</v>
      </c>
      <c r="B463" s="20">
        <f>Adjust!$B$85</f>
        <v>6.1694450359972564E-5</v>
      </c>
      <c r="C463" s="20">
        <f>Adjust!$C$85</f>
        <v>9.3763544406488819E-7</v>
      </c>
      <c r="D463" s="20">
        <f>Adjust!$D$85</f>
        <v>4.7625049058262758E-4</v>
      </c>
      <c r="E463" s="30">
        <f>Adjust!$E$85</f>
        <v>1.6346496895494056E-3</v>
      </c>
      <c r="F463" s="30">
        <f>Adjust!$F$85</f>
        <v>-4.3585257303879743E-3</v>
      </c>
      <c r="G463" s="20">
        <f>Adjust!$G$85</f>
        <v>-3.0687635520498802E-5</v>
      </c>
      <c r="H463" s="17">
        <f t="shared" si="32"/>
        <v>0</v>
      </c>
      <c r="I463" s="25">
        <f>0.01*Input!$F$14*(E463*$E$437+F463*$F$437)+10*(B463*$B$437+C463*$C$437+D463*$D$437+G463*$G$437)</f>
        <v>0</v>
      </c>
      <c r="J463" s="17" t="str">
        <f t="shared" si="33"/>
        <v/>
      </c>
      <c r="K463" s="29" t="str">
        <f t="shared" si="34"/>
        <v/>
      </c>
      <c r="L463" s="29" t="str">
        <f>IF($F$437&lt;&gt;0,I463/$F$437*100/Input!$F$14,"")</f>
        <v/>
      </c>
      <c r="M463" s="6"/>
    </row>
    <row r="466" spans="1:13" x14ac:dyDescent="0.2">
      <c r="A466" s="5" t="s">
        <v>1508</v>
      </c>
      <c r="B466" s="17">
        <f>SUM($B$441:$B$463)</f>
        <v>7.2069999999999999</v>
      </c>
      <c r="C466" s="17">
        <f>SUM($C$441:$C$463)</f>
        <v>0.45200000000000001</v>
      </c>
      <c r="D466" s="17">
        <f>SUM($D$441:$D$463)</f>
        <v>7.5999999999999998E-2</v>
      </c>
      <c r="E466" s="29">
        <f>SUM($E$441:$E$463)</f>
        <v>134.66</v>
      </c>
      <c r="F466" s="29">
        <f>SUM($F$441:$F$463)</f>
        <v>2.25</v>
      </c>
      <c r="G466" s="17">
        <f>SUM($G$441:$G$463)</f>
        <v>0.17499999999999999</v>
      </c>
      <c r="H466" s="17">
        <f>SUM(H$441:H$463)</f>
        <v>0</v>
      </c>
      <c r="I466" s="25">
        <f>SUM($I$441:$I$463)</f>
        <v>0</v>
      </c>
      <c r="J466" s="17">
        <f>SUM($J$441:$J$463)</f>
        <v>0</v>
      </c>
      <c r="K466" s="29">
        <f>SUM($K$441:$K$463)</f>
        <v>0</v>
      </c>
      <c r="L466" s="29">
        <f>SUM($L$441:$L$463)</f>
        <v>0</v>
      </c>
      <c r="M466" s="6"/>
    </row>
    <row r="468" spans="1:13" ht="16.5" x14ac:dyDescent="0.25">
      <c r="A468" s="3" t="s">
        <v>96</v>
      </c>
    </row>
    <row r="470" spans="1:13" x14ac:dyDescent="0.2">
      <c r="B470" s="4" t="s">
        <v>105</v>
      </c>
      <c r="C470" s="4" t="s">
        <v>1489</v>
      </c>
    </row>
    <row r="471" spans="1:13" x14ac:dyDescent="0.2">
      <c r="A471" s="5" t="s">
        <v>96</v>
      </c>
      <c r="B471" s="27">
        <f>Loads!B$311</f>
        <v>43147.28153507517</v>
      </c>
      <c r="C471" s="27">
        <f>Multi!B$128</f>
        <v>43147.28153507517</v>
      </c>
      <c r="D471" s="6"/>
    </row>
    <row r="474" spans="1:13" x14ac:dyDescent="0.2">
      <c r="B474" s="4" t="s">
        <v>1319</v>
      </c>
      <c r="C474" s="4" t="s">
        <v>1491</v>
      </c>
      <c r="D474" s="4" t="s">
        <v>1461</v>
      </c>
    </row>
    <row r="475" spans="1:13" x14ac:dyDescent="0.2">
      <c r="A475" s="5" t="s">
        <v>338</v>
      </c>
      <c r="B475" s="20">
        <f>Yard!$C$80</f>
        <v>6.8383530034273901E-2</v>
      </c>
      <c r="C475" s="25">
        <f t="shared" ref="C475:C495" si="35">0+10*(B475*$B$471)</f>
        <v>29505.634227510847</v>
      </c>
      <c r="D475" s="17">
        <f t="shared" ref="D475:D495" si="36">IF($C$471&lt;&gt;0,0.1*C475/$C$471,"")</f>
        <v>6.8383530034273915E-2</v>
      </c>
      <c r="E475" s="6"/>
    </row>
    <row r="476" spans="1:13" x14ac:dyDescent="0.2">
      <c r="A476" s="5" t="s">
        <v>339</v>
      </c>
      <c r="B476" s="20">
        <f>Yard!$D$80</f>
        <v>6.3075929085774335E-2</v>
      </c>
      <c r="C476" s="25">
        <f t="shared" si="35"/>
        <v>27215.548703503417</v>
      </c>
      <c r="D476" s="17">
        <f t="shared" si="36"/>
        <v>6.3075929085774335E-2</v>
      </c>
      <c r="E476" s="6"/>
    </row>
    <row r="477" spans="1:13" x14ac:dyDescent="0.2">
      <c r="A477" s="5" t="s">
        <v>340</v>
      </c>
      <c r="B477" s="20">
        <f>Yard!$E$80</f>
        <v>9.6143215334673349E-2</v>
      </c>
      <c r="C477" s="25">
        <f t="shared" si="35"/>
        <v>41483.183797325073</v>
      </c>
      <c r="D477" s="17">
        <f t="shared" si="36"/>
        <v>9.6143215334673349E-2</v>
      </c>
      <c r="E477" s="6"/>
    </row>
    <row r="478" spans="1:13" x14ac:dyDescent="0.2">
      <c r="A478" s="5" t="s">
        <v>341</v>
      </c>
      <c r="B478" s="20">
        <f>Yard!$F$80</f>
        <v>0.11905440168787235</v>
      </c>
      <c r="C478" s="25">
        <f t="shared" si="35"/>
        <v>51368.737876165571</v>
      </c>
      <c r="D478" s="17">
        <f t="shared" si="36"/>
        <v>0.11905440168787237</v>
      </c>
      <c r="E478" s="6"/>
    </row>
    <row r="479" spans="1:13" x14ac:dyDescent="0.2">
      <c r="A479" s="5" t="s">
        <v>342</v>
      </c>
      <c r="B479" s="20">
        <f>Yard!$G$80</f>
        <v>0</v>
      </c>
      <c r="C479" s="25">
        <f t="shared" si="35"/>
        <v>0</v>
      </c>
      <c r="D479" s="17">
        <f t="shared" si="36"/>
        <v>0</v>
      </c>
      <c r="E479" s="6"/>
    </row>
    <row r="480" spans="1:13" x14ac:dyDescent="0.2">
      <c r="A480" s="5" t="s">
        <v>343</v>
      </c>
      <c r="B480" s="20">
        <f>Yard!$H$80</f>
        <v>0.12107044800054047</v>
      </c>
      <c r="C480" s="25">
        <f t="shared" si="35"/>
        <v>52238.607054569984</v>
      </c>
      <c r="D480" s="17">
        <f t="shared" si="36"/>
        <v>0.12107044800054047</v>
      </c>
      <c r="E480" s="6"/>
    </row>
    <row r="481" spans="1:5" x14ac:dyDescent="0.2">
      <c r="A481" s="5" t="s">
        <v>344</v>
      </c>
      <c r="B481" s="20">
        <f>Yard!$I$80</f>
        <v>0.10464755401196045</v>
      </c>
      <c r="C481" s="25">
        <f t="shared" si="35"/>
        <v>45152.574749110427</v>
      </c>
      <c r="D481" s="17">
        <f t="shared" si="36"/>
        <v>0.10464755401196045</v>
      </c>
      <c r="E481" s="6"/>
    </row>
    <row r="482" spans="1:5" x14ac:dyDescent="0.2">
      <c r="A482" s="5" t="s">
        <v>345</v>
      </c>
      <c r="B482" s="20">
        <f>Yard!$J$80</f>
        <v>2.6664879981730099E-3</v>
      </c>
      <c r="C482" s="25">
        <f t="shared" si="35"/>
        <v>1150.5170836706986</v>
      </c>
      <c r="D482" s="17">
        <f t="shared" si="36"/>
        <v>2.6664879981730099E-3</v>
      </c>
      <c r="E482" s="6"/>
    </row>
    <row r="483" spans="1:5" x14ac:dyDescent="0.2">
      <c r="A483" s="5" t="s">
        <v>1493</v>
      </c>
      <c r="B483" s="21"/>
      <c r="C483" s="25">
        <f t="shared" si="35"/>
        <v>0</v>
      </c>
      <c r="D483" s="17">
        <f t="shared" si="36"/>
        <v>0</v>
      </c>
      <c r="E483" s="6"/>
    </row>
    <row r="484" spans="1:5" x14ac:dyDescent="0.2">
      <c r="A484" s="5" t="s">
        <v>1495</v>
      </c>
      <c r="B484" s="20">
        <f>Yard!$K$80</f>
        <v>4.7198650083971935E-2</v>
      </c>
      <c r="C484" s="25">
        <f t="shared" si="35"/>
        <v>20364.934432486363</v>
      </c>
      <c r="D484" s="17">
        <f t="shared" si="36"/>
        <v>4.7198650083971935E-2</v>
      </c>
      <c r="E484" s="6"/>
    </row>
    <row r="485" spans="1:5" x14ac:dyDescent="0.2">
      <c r="A485" s="5" t="s">
        <v>1496</v>
      </c>
      <c r="B485" s="20">
        <f>Yard!$L$80</f>
        <v>2.2576668090073845E-2</v>
      </c>
      <c r="C485" s="25">
        <f t="shared" si="35"/>
        <v>9741.2185420636397</v>
      </c>
      <c r="D485" s="17">
        <f t="shared" si="36"/>
        <v>2.2576668090073845E-2</v>
      </c>
      <c r="E485" s="6"/>
    </row>
    <row r="486" spans="1:5" x14ac:dyDescent="0.2">
      <c r="A486" s="5" t="s">
        <v>1497</v>
      </c>
      <c r="B486" s="20">
        <f>Yard!$M$80</f>
        <v>2.0824375616889476E-2</v>
      </c>
      <c r="C486" s="25">
        <f t="shared" si="35"/>
        <v>8985.1519753408484</v>
      </c>
      <c r="D486" s="17">
        <f t="shared" si="36"/>
        <v>2.0824375616889476E-2</v>
      </c>
      <c r="E486" s="6"/>
    </row>
    <row r="487" spans="1:5" x14ac:dyDescent="0.2">
      <c r="A487" s="5" t="s">
        <v>1498</v>
      </c>
      <c r="B487" s="20">
        <f>Yard!$N$80</f>
        <v>3.1741465534691093E-2</v>
      </c>
      <c r="C487" s="25">
        <f t="shared" si="35"/>
        <v>13695.579497612018</v>
      </c>
      <c r="D487" s="17">
        <f t="shared" si="36"/>
        <v>3.1741465534691093E-2</v>
      </c>
      <c r="E487" s="6"/>
    </row>
    <row r="488" spans="1:5" x14ac:dyDescent="0.2">
      <c r="A488" s="5" t="s">
        <v>1499</v>
      </c>
      <c r="B488" s="20">
        <f>Yard!$O$80</f>
        <v>3.9305541995598464E-2</v>
      </c>
      <c r="C488" s="25">
        <f t="shared" si="35"/>
        <v>16959.272863728071</v>
      </c>
      <c r="D488" s="17">
        <f t="shared" si="36"/>
        <v>3.9305541995598464E-2</v>
      </c>
      <c r="E488" s="6"/>
    </row>
    <row r="489" spans="1:5" x14ac:dyDescent="0.2">
      <c r="A489" s="5" t="s">
        <v>1500</v>
      </c>
      <c r="B489" s="20">
        <f>Yard!$P$80</f>
        <v>0</v>
      </c>
      <c r="C489" s="25">
        <f t="shared" si="35"/>
        <v>0</v>
      </c>
      <c r="D489" s="17">
        <f t="shared" si="36"/>
        <v>0</v>
      </c>
      <c r="E489" s="6"/>
    </row>
    <row r="490" spans="1:5" x14ac:dyDescent="0.2">
      <c r="A490" s="5" t="s">
        <v>1501</v>
      </c>
      <c r="B490" s="20">
        <f>Yard!$Q$80</f>
        <v>5.7101621621772305E-2</v>
      </c>
      <c r="C490" s="25">
        <f t="shared" si="35"/>
        <v>24637.797442239455</v>
      </c>
      <c r="D490" s="17">
        <f t="shared" si="36"/>
        <v>5.7101621621772319E-2</v>
      </c>
      <c r="E490" s="6"/>
    </row>
    <row r="491" spans="1:5" x14ac:dyDescent="0.2">
      <c r="A491" s="5" t="s">
        <v>1502</v>
      </c>
      <c r="B491" s="20">
        <f>Yard!$R$80</f>
        <v>4.9355933933673629E-2</v>
      </c>
      <c r="C491" s="25">
        <f t="shared" si="35"/>
        <v>21295.743768627864</v>
      </c>
      <c r="D491" s="17">
        <f t="shared" si="36"/>
        <v>4.9355933933673643E-2</v>
      </c>
      <c r="E491" s="6"/>
    </row>
    <row r="492" spans="1:5" x14ac:dyDescent="0.2">
      <c r="A492" s="5" t="s">
        <v>1503</v>
      </c>
      <c r="B492" s="20">
        <f>Yard!$S$80</f>
        <v>2.9344499799266913E-2</v>
      </c>
      <c r="C492" s="25">
        <f t="shared" si="35"/>
        <v>12661.353943449263</v>
      </c>
      <c r="D492" s="17">
        <f t="shared" si="36"/>
        <v>2.9344499799266916E-2</v>
      </c>
      <c r="E492" s="6"/>
    </row>
    <row r="493" spans="1:5" x14ac:dyDescent="0.2">
      <c r="A493" s="5" t="s">
        <v>1504</v>
      </c>
      <c r="B493" s="20">
        <f>Otex!$B$157</f>
        <v>1.4498443118306583</v>
      </c>
      <c r="C493" s="25">
        <f t="shared" si="35"/>
        <v>625568.40704584727</v>
      </c>
      <c r="D493" s="17">
        <f t="shared" si="36"/>
        <v>1.4498443118306583</v>
      </c>
      <c r="E493" s="6"/>
    </row>
    <row r="494" spans="1:5" x14ac:dyDescent="0.2">
      <c r="A494" s="5" t="s">
        <v>1506</v>
      </c>
      <c r="B494" s="20">
        <f>Scaler!$B$420</f>
        <v>0.39657063373524054</v>
      </c>
      <c r="C494" s="25">
        <f t="shared" si="35"/>
        <v>171109.44782317601</v>
      </c>
      <c r="D494" s="17">
        <f t="shared" si="36"/>
        <v>0.39657063373524054</v>
      </c>
      <c r="E494" s="6"/>
    </row>
    <row r="495" spans="1:5" x14ac:dyDescent="0.2">
      <c r="A495" s="5" t="s">
        <v>1507</v>
      </c>
      <c r="B495" s="20">
        <f>Adjust!$B$86</f>
        <v>9.4731604895592625E-5</v>
      </c>
      <c r="C495" s="25">
        <f t="shared" si="35"/>
        <v>40.874112266996399</v>
      </c>
      <c r="D495" s="17">
        <f t="shared" si="36"/>
        <v>9.4731604895592611E-5</v>
      </c>
      <c r="E495" s="6"/>
    </row>
    <row r="498" spans="1:5" x14ac:dyDescent="0.2">
      <c r="A498" s="5" t="s">
        <v>1508</v>
      </c>
      <c r="B498" s="17">
        <f>SUM($B$475:$B$495)</f>
        <v>2.7189999999999999</v>
      </c>
      <c r="C498" s="25">
        <f>SUM($C$475:$C$495)</f>
        <v>1173174.5849386938</v>
      </c>
      <c r="D498" s="17">
        <f>SUM($D$475:$D$495)</f>
        <v>2.7189999999999999</v>
      </c>
      <c r="E498" s="6"/>
    </row>
    <row r="500" spans="1:5" ht="16.5" x14ac:dyDescent="0.25">
      <c r="A500" s="3" t="s">
        <v>97</v>
      </c>
    </row>
    <row r="502" spans="1:5" x14ac:dyDescent="0.2">
      <c r="B502" s="4" t="s">
        <v>105</v>
      </c>
      <c r="C502" s="4" t="s">
        <v>1489</v>
      </c>
    </row>
    <row r="503" spans="1:5" x14ac:dyDescent="0.2">
      <c r="A503" s="5" t="s">
        <v>97</v>
      </c>
      <c r="B503" s="27">
        <f>Loads!B$312</f>
        <v>13480.007420349682</v>
      </c>
      <c r="C503" s="27">
        <f>Multi!B$129</f>
        <v>13480.007420349682</v>
      </c>
      <c r="D503" s="6"/>
    </row>
    <row r="506" spans="1:5" x14ac:dyDescent="0.2">
      <c r="B506" s="4" t="s">
        <v>1319</v>
      </c>
      <c r="C506" s="4" t="s">
        <v>1491</v>
      </c>
      <c r="D506" s="4" t="s">
        <v>1461</v>
      </c>
    </row>
    <row r="507" spans="1:5" x14ac:dyDescent="0.2">
      <c r="A507" s="5" t="s">
        <v>338</v>
      </c>
      <c r="B507" s="20">
        <f>Yard!$C$81</f>
        <v>9.2166799774346761E-2</v>
      </c>
      <c r="C507" s="25">
        <f t="shared" ref="C507:C527" si="37">0+10*(B507*$B$503)</f>
        <v>12424.091448680778</v>
      </c>
      <c r="D507" s="17">
        <f t="shared" ref="D507:D527" si="38">IF($C$503&lt;&gt;0,0.1*C507/$C$503,"")</f>
        <v>9.2166799774346775E-2</v>
      </c>
      <c r="E507" s="6"/>
    </row>
    <row r="508" spans="1:5" x14ac:dyDescent="0.2">
      <c r="A508" s="5" t="s">
        <v>339</v>
      </c>
      <c r="B508" s="20">
        <f>Yard!$D$81</f>
        <v>8.5013255731544154E-2</v>
      </c>
      <c r="C508" s="25">
        <f t="shared" si="37"/>
        <v>11459.793180893004</v>
      </c>
      <c r="D508" s="17">
        <f t="shared" si="38"/>
        <v>8.5013255731544168E-2</v>
      </c>
      <c r="E508" s="6"/>
    </row>
    <row r="509" spans="1:5" x14ac:dyDescent="0.2">
      <c r="A509" s="5" t="s">
        <v>340</v>
      </c>
      <c r="B509" s="20">
        <f>Yard!$E$81</f>
        <v>0.1234435411933323</v>
      </c>
      <c r="C509" s="25">
        <f t="shared" si="37"/>
        <v>16640.19851280361</v>
      </c>
      <c r="D509" s="17">
        <f t="shared" si="38"/>
        <v>0.1234435411933323</v>
      </c>
      <c r="E509" s="6"/>
    </row>
    <row r="510" spans="1:5" x14ac:dyDescent="0.2">
      <c r="A510" s="5" t="s">
        <v>341</v>
      </c>
      <c r="B510" s="20">
        <f>Yard!$F$81</f>
        <v>0.15286046849843821</v>
      </c>
      <c r="C510" s="25">
        <f t="shared" si="37"/>
        <v>20605.602496370757</v>
      </c>
      <c r="D510" s="17">
        <f t="shared" si="38"/>
        <v>0.15286046849843818</v>
      </c>
      <c r="E510" s="6"/>
    </row>
    <row r="511" spans="1:5" x14ac:dyDescent="0.2">
      <c r="A511" s="5" t="s">
        <v>342</v>
      </c>
      <c r="B511" s="20">
        <f>Yard!$G$81</f>
        <v>0</v>
      </c>
      <c r="C511" s="25">
        <f t="shared" si="37"/>
        <v>0</v>
      </c>
      <c r="D511" s="17">
        <f t="shared" si="38"/>
        <v>0</v>
      </c>
      <c r="E511" s="6"/>
    </row>
    <row r="512" spans="1:5" x14ac:dyDescent="0.2">
      <c r="A512" s="5" t="s">
        <v>343</v>
      </c>
      <c r="B512" s="20">
        <f>Yard!$H$81</f>
        <v>0.15544898080457659</v>
      </c>
      <c r="C512" s="25">
        <f t="shared" si="37"/>
        <v>20954.534147314876</v>
      </c>
      <c r="D512" s="17">
        <f t="shared" si="38"/>
        <v>0.15544898080457659</v>
      </c>
      <c r="E512" s="6"/>
    </row>
    <row r="513" spans="1:5" x14ac:dyDescent="0.2">
      <c r="A513" s="5" t="s">
        <v>344</v>
      </c>
      <c r="B513" s="20">
        <f>Yard!$I$81</f>
        <v>0.13436272751529346</v>
      </c>
      <c r="C513" s="25">
        <f t="shared" si="37"/>
        <v>18112.105639245783</v>
      </c>
      <c r="D513" s="17">
        <f t="shared" si="38"/>
        <v>0.13436272751529346</v>
      </c>
      <c r="E513" s="6"/>
    </row>
    <row r="514" spans="1:5" x14ac:dyDescent="0.2">
      <c r="A514" s="5" t="s">
        <v>345</v>
      </c>
      <c r="B514" s="20">
        <f>Yard!$J$81</f>
        <v>3.4236500193819356E-3</v>
      </c>
      <c r="C514" s="25">
        <f t="shared" si="37"/>
        <v>461.50827665948827</v>
      </c>
      <c r="D514" s="17">
        <f t="shared" si="38"/>
        <v>3.423650019381936E-3</v>
      </c>
      <c r="E514" s="6"/>
    </row>
    <row r="515" spans="1:5" x14ac:dyDescent="0.2">
      <c r="A515" s="5" t="s">
        <v>1493</v>
      </c>
      <c r="B515" s="21"/>
      <c r="C515" s="25">
        <f t="shared" si="37"/>
        <v>0</v>
      </c>
      <c r="D515" s="17">
        <f t="shared" si="38"/>
        <v>0</v>
      </c>
      <c r="E515" s="6"/>
    </row>
    <row r="516" spans="1:5" x14ac:dyDescent="0.2">
      <c r="A516" s="5" t="s">
        <v>1495</v>
      </c>
      <c r="B516" s="20">
        <f>Yard!$K$81</f>
        <v>7.0411786598146842E-2</v>
      </c>
      <c r="C516" s="25">
        <f t="shared" si="37"/>
        <v>9491.5140582309778</v>
      </c>
      <c r="D516" s="17">
        <f t="shared" si="38"/>
        <v>7.0411786598146842E-2</v>
      </c>
      <c r="E516" s="6"/>
    </row>
    <row r="517" spans="1:5" x14ac:dyDescent="0.2">
      <c r="A517" s="5" t="s">
        <v>1496</v>
      </c>
      <c r="B517" s="20">
        <f>Yard!$L$81</f>
        <v>3.0428660912749175E-2</v>
      </c>
      <c r="C517" s="25">
        <f t="shared" si="37"/>
        <v>4101.7857489516318</v>
      </c>
      <c r="D517" s="17">
        <f t="shared" si="38"/>
        <v>3.0428660912749175E-2</v>
      </c>
      <c r="E517" s="6"/>
    </row>
    <row r="518" spans="1:5" x14ac:dyDescent="0.2">
      <c r="A518" s="5" t="s">
        <v>1497</v>
      </c>
      <c r="B518" s="20">
        <f>Yard!$M$81</f>
        <v>2.8066934493520258E-2</v>
      </c>
      <c r="C518" s="25">
        <f t="shared" si="37"/>
        <v>3783.4248523912152</v>
      </c>
      <c r="D518" s="17">
        <f t="shared" si="38"/>
        <v>2.8066934493520258E-2</v>
      </c>
      <c r="E518" s="6"/>
    </row>
    <row r="519" spans="1:5" x14ac:dyDescent="0.2">
      <c r="A519" s="5" t="s">
        <v>1498</v>
      </c>
      <c r="B519" s="20">
        <f>Yard!$N$81</f>
        <v>4.0754606496453197E-2</v>
      </c>
      <c r="C519" s="25">
        <f t="shared" si="37"/>
        <v>5493.7239798562041</v>
      </c>
      <c r="D519" s="17">
        <f t="shared" si="38"/>
        <v>4.075460649645319E-2</v>
      </c>
      <c r="E519" s="6"/>
    </row>
    <row r="520" spans="1:5" x14ac:dyDescent="0.2">
      <c r="A520" s="5" t="s">
        <v>1499</v>
      </c>
      <c r="B520" s="20">
        <f>Yard!$O$81</f>
        <v>5.0466538648308211E-2</v>
      </c>
      <c r="C520" s="25">
        <f t="shared" si="37"/>
        <v>6802.8931545855867</v>
      </c>
      <c r="D520" s="17">
        <f t="shared" si="38"/>
        <v>5.0466538648308211E-2</v>
      </c>
      <c r="E520" s="6"/>
    </row>
    <row r="521" spans="1:5" x14ac:dyDescent="0.2">
      <c r="A521" s="5" t="s">
        <v>1500</v>
      </c>
      <c r="B521" s="20">
        <f>Yard!$P$81</f>
        <v>0</v>
      </c>
      <c r="C521" s="25">
        <f t="shared" si="37"/>
        <v>0</v>
      </c>
      <c r="D521" s="17">
        <f t="shared" si="38"/>
        <v>0</v>
      </c>
      <c r="E521" s="6"/>
    </row>
    <row r="522" spans="1:5" x14ac:dyDescent="0.2">
      <c r="A522" s="5" t="s">
        <v>1501</v>
      </c>
      <c r="B522" s="20">
        <f>Yard!$Q$81</f>
        <v>7.331590020508931E-2</v>
      </c>
      <c r="C522" s="25">
        <f t="shared" si="37"/>
        <v>9882.9887879422076</v>
      </c>
      <c r="D522" s="17">
        <f t="shared" si="38"/>
        <v>7.3315900205089324E-2</v>
      </c>
      <c r="E522" s="6"/>
    </row>
    <row r="523" spans="1:5" x14ac:dyDescent="0.2">
      <c r="A523" s="5" t="s">
        <v>1502</v>
      </c>
      <c r="B523" s="20">
        <f>Yard!$R$81</f>
        <v>6.3370787449414032E-2</v>
      </c>
      <c r="C523" s="25">
        <f t="shared" si="37"/>
        <v>8542.3868505150367</v>
      </c>
      <c r="D523" s="17">
        <f t="shared" si="38"/>
        <v>6.3370787449414032E-2</v>
      </c>
      <c r="E523" s="6"/>
    </row>
    <row r="524" spans="1:5" x14ac:dyDescent="0.2">
      <c r="A524" s="5" t="s">
        <v>1503</v>
      </c>
      <c r="B524" s="20">
        <f>Yard!$S$81</f>
        <v>3.7677010875484501E-2</v>
      </c>
      <c r="C524" s="25">
        <f t="shared" si="37"/>
        <v>5078.8638617812676</v>
      </c>
      <c r="D524" s="17">
        <f t="shared" si="38"/>
        <v>3.7677010875484501E-2</v>
      </c>
      <c r="E524" s="6"/>
    </row>
    <row r="525" spans="1:5" x14ac:dyDescent="0.2">
      <c r="A525" s="5" t="s">
        <v>1504</v>
      </c>
      <c r="B525" s="20">
        <f>Otex!$B$158</f>
        <v>1.4498443118306583</v>
      </c>
      <c r="C525" s="25">
        <f t="shared" si="37"/>
        <v>195439.12081829054</v>
      </c>
      <c r="D525" s="17">
        <f t="shared" si="38"/>
        <v>1.4498443118306583</v>
      </c>
      <c r="E525" s="6"/>
    </row>
    <row r="526" spans="1:5" x14ac:dyDescent="0.2">
      <c r="A526" s="5" t="s">
        <v>1506</v>
      </c>
      <c r="B526" s="20">
        <f>Scaler!$B$421</f>
        <v>0.59161113260609954</v>
      </c>
      <c r="C526" s="25">
        <f t="shared" si="37"/>
        <v>79749.224574917011</v>
      </c>
      <c r="D526" s="17">
        <f t="shared" si="38"/>
        <v>0.59161113260609954</v>
      </c>
      <c r="E526" s="6"/>
    </row>
    <row r="527" spans="1:5" x14ac:dyDescent="0.2">
      <c r="A527" s="5" t="s">
        <v>1507</v>
      </c>
      <c r="B527" s="20">
        <f>Adjust!$B$87</f>
        <v>3.329063471628757E-4</v>
      </c>
      <c r="C527" s="25">
        <f t="shared" si="37"/>
        <v>44.87580030037072</v>
      </c>
      <c r="D527" s="17">
        <f t="shared" si="38"/>
        <v>3.329063471628757E-4</v>
      </c>
      <c r="E527" s="6"/>
    </row>
    <row r="530" spans="1:5" x14ac:dyDescent="0.2">
      <c r="A530" s="5" t="s">
        <v>1508</v>
      </c>
      <c r="B530" s="17">
        <f>SUM($B$507:$B$527)</f>
        <v>3.1829999999999998</v>
      </c>
      <c r="C530" s="25">
        <f>SUM($C$507:$C$527)</f>
        <v>429068.63618973037</v>
      </c>
      <c r="D530" s="17">
        <f>SUM($D$507:$D$527)</f>
        <v>3.1829999999999998</v>
      </c>
      <c r="E530" s="6"/>
    </row>
    <row r="532" spans="1:5" ht="16.5" x14ac:dyDescent="0.25">
      <c r="A532" s="3" t="s">
        <v>98</v>
      </c>
    </row>
    <row r="534" spans="1:5" x14ac:dyDescent="0.2">
      <c r="B534" s="4" t="s">
        <v>105</v>
      </c>
      <c r="C534" s="4" t="s">
        <v>1489</v>
      </c>
    </row>
    <row r="535" spans="1:5" x14ac:dyDescent="0.2">
      <c r="A535" s="5" t="s">
        <v>98</v>
      </c>
      <c r="B535" s="27">
        <f>Loads!B$313</f>
        <v>1.3947031837786772</v>
      </c>
      <c r="C535" s="27">
        <f>Multi!B$130</f>
        <v>1.3947031837786772</v>
      </c>
      <c r="D535" s="6"/>
    </row>
    <row r="538" spans="1:5" x14ac:dyDescent="0.2">
      <c r="B538" s="4" t="s">
        <v>1319</v>
      </c>
      <c r="C538" s="4" t="s">
        <v>1491</v>
      </c>
      <c r="D538" s="4" t="s">
        <v>1461</v>
      </c>
    </row>
    <row r="539" spans="1:5" x14ac:dyDescent="0.2">
      <c r="A539" s="5" t="s">
        <v>338</v>
      </c>
      <c r="B539" s="20">
        <f>Yard!$C$82</f>
        <v>0.16664509724887627</v>
      </c>
      <c r="C539" s="25">
        <f t="shared" ref="C539:C559" si="39">0+10*(B539*$B$535)</f>
        <v>2.3242044769411501</v>
      </c>
      <c r="D539" s="17">
        <f t="shared" ref="D539:D559" si="40">IF($C$535&lt;&gt;0,0.1*C539/$C$535,"")</f>
        <v>0.16664509724887627</v>
      </c>
      <c r="E539" s="6"/>
    </row>
    <row r="540" spans="1:5" x14ac:dyDescent="0.2">
      <c r="A540" s="5" t="s">
        <v>339</v>
      </c>
      <c r="B540" s="20">
        <f>Yard!$D$82</f>
        <v>0.15371090570044887</v>
      </c>
      <c r="C540" s="25">
        <f t="shared" si="39"/>
        <v>2.1438108956192008</v>
      </c>
      <c r="D540" s="17">
        <f t="shared" si="40"/>
        <v>0.1537109057004489</v>
      </c>
      <c r="E540" s="6"/>
    </row>
    <row r="541" spans="1:5" x14ac:dyDescent="0.2">
      <c r="A541" s="5" t="s">
        <v>340</v>
      </c>
      <c r="B541" s="20">
        <f>Yard!$E$82</f>
        <v>0.22180897365565044</v>
      </c>
      <c r="C541" s="25">
        <f t="shared" si="39"/>
        <v>3.0935768174821643</v>
      </c>
      <c r="D541" s="17">
        <f t="shared" si="40"/>
        <v>0.22180897365565047</v>
      </c>
      <c r="E541" s="6"/>
    </row>
    <row r="542" spans="1:5" x14ac:dyDescent="0.2">
      <c r="A542" s="5" t="s">
        <v>341</v>
      </c>
      <c r="B542" s="20">
        <f>Yard!$F$82</f>
        <v>0.27466664762199705</v>
      </c>
      <c r="C542" s="25">
        <f t="shared" si="39"/>
        <v>3.830784479162153</v>
      </c>
      <c r="D542" s="17">
        <f t="shared" si="40"/>
        <v>0.27466664762199705</v>
      </c>
      <c r="E542" s="6"/>
    </row>
    <row r="543" spans="1:5" x14ac:dyDescent="0.2">
      <c r="A543" s="5" t="s">
        <v>342</v>
      </c>
      <c r="B543" s="20">
        <f>Yard!$G$82</f>
        <v>0</v>
      </c>
      <c r="C543" s="25">
        <f t="shared" si="39"/>
        <v>0</v>
      </c>
      <c r="D543" s="17">
        <f t="shared" si="40"/>
        <v>0</v>
      </c>
      <c r="E543" s="6"/>
    </row>
    <row r="544" spans="1:5" x14ac:dyDescent="0.2">
      <c r="A544" s="5" t="s">
        <v>343</v>
      </c>
      <c r="B544" s="20">
        <f>Yard!$H$82</f>
        <v>0.2793178043562351</v>
      </c>
      <c r="C544" s="25">
        <f t="shared" si="39"/>
        <v>3.8956543102171075</v>
      </c>
      <c r="D544" s="17">
        <f t="shared" si="40"/>
        <v>0.2793178043562351</v>
      </c>
      <c r="E544" s="6"/>
    </row>
    <row r="545" spans="1:5" x14ac:dyDescent="0.2">
      <c r="A545" s="5" t="s">
        <v>344</v>
      </c>
      <c r="B545" s="20">
        <f>Yard!$I$82</f>
        <v>0.24142906465284439</v>
      </c>
      <c r="C545" s="25">
        <f t="shared" si="39"/>
        <v>3.3672188512803016</v>
      </c>
      <c r="D545" s="17">
        <f t="shared" si="40"/>
        <v>0.24142906465284442</v>
      </c>
      <c r="E545" s="6"/>
    </row>
    <row r="546" spans="1:5" x14ac:dyDescent="0.2">
      <c r="A546" s="5" t="s">
        <v>345</v>
      </c>
      <c r="B546" s="20">
        <f>Yard!$J$82</f>
        <v>6.1517701907621005E-3</v>
      </c>
      <c r="C546" s="25">
        <f t="shared" si="39"/>
        <v>8.5798934709306621E-2</v>
      </c>
      <c r="D546" s="17">
        <f t="shared" si="40"/>
        <v>6.1517701907621005E-3</v>
      </c>
      <c r="E546" s="6"/>
    </row>
    <row r="547" spans="1:5" x14ac:dyDescent="0.2">
      <c r="A547" s="5" t="s">
        <v>1493</v>
      </c>
      <c r="B547" s="21"/>
      <c r="C547" s="25">
        <f t="shared" si="39"/>
        <v>0</v>
      </c>
      <c r="D547" s="17">
        <f t="shared" si="40"/>
        <v>0</v>
      </c>
      <c r="E547" s="6"/>
    </row>
    <row r="548" spans="1:5" x14ac:dyDescent="0.2">
      <c r="A548" s="5" t="s">
        <v>1495</v>
      </c>
      <c r="B548" s="20">
        <f>Yard!$K$82</f>
        <v>0.12869898732759896</v>
      </c>
      <c r="C548" s="25">
        <f t="shared" si="39"/>
        <v>1.7949688737489391</v>
      </c>
      <c r="D548" s="17">
        <f t="shared" si="40"/>
        <v>0.12869898732759896</v>
      </c>
      <c r="E548" s="6"/>
    </row>
    <row r="549" spans="1:5" x14ac:dyDescent="0.2">
      <c r="A549" s="5" t="s">
        <v>1496</v>
      </c>
      <c r="B549" s="20">
        <f>Yard!$L$82</f>
        <v>5.501750271652097E-2</v>
      </c>
      <c r="C549" s="25">
        <f t="shared" si="39"/>
        <v>0.76733086202283818</v>
      </c>
      <c r="D549" s="17">
        <f t="shared" si="40"/>
        <v>5.501750271652097E-2</v>
      </c>
      <c r="E549" s="6"/>
    </row>
    <row r="550" spans="1:5" x14ac:dyDescent="0.2">
      <c r="A550" s="5" t="s">
        <v>1497</v>
      </c>
      <c r="B550" s="20">
        <f>Yard!$M$82</f>
        <v>5.074730857100191E-2</v>
      </c>
      <c r="C550" s="25">
        <f t="shared" si="39"/>
        <v>0.70777432832175313</v>
      </c>
      <c r="D550" s="17">
        <f t="shared" si="40"/>
        <v>5.074730857100191E-2</v>
      </c>
      <c r="E550" s="6"/>
    </row>
    <row r="551" spans="1:5" x14ac:dyDescent="0.2">
      <c r="A551" s="5" t="s">
        <v>1498</v>
      </c>
      <c r="B551" s="20">
        <f>Yard!$N$82</f>
        <v>7.3229731999995981E-2</v>
      </c>
      <c r="C551" s="25">
        <f t="shared" si="39"/>
        <v>1.0213374036765368</v>
      </c>
      <c r="D551" s="17">
        <f t="shared" si="40"/>
        <v>7.3229731999995995E-2</v>
      </c>
      <c r="E551" s="6"/>
    </row>
    <row r="552" spans="1:5" x14ac:dyDescent="0.2">
      <c r="A552" s="5" t="s">
        <v>1499</v>
      </c>
      <c r="B552" s="20">
        <f>Yard!$O$82</f>
        <v>9.0680573753170124E-2</v>
      </c>
      <c r="C552" s="25">
        <f t="shared" si="39"/>
        <v>1.2647248492042351</v>
      </c>
      <c r="D552" s="17">
        <f t="shared" si="40"/>
        <v>9.068057375317011E-2</v>
      </c>
      <c r="E552" s="6"/>
    </row>
    <row r="553" spans="1:5" x14ac:dyDescent="0.2">
      <c r="A553" s="5" t="s">
        <v>1500</v>
      </c>
      <c r="B553" s="20">
        <f>Yard!$P$82</f>
        <v>0</v>
      </c>
      <c r="C553" s="25">
        <f t="shared" si="39"/>
        <v>0</v>
      </c>
      <c r="D553" s="17">
        <f t="shared" si="40"/>
        <v>0</v>
      </c>
      <c r="E553" s="6"/>
    </row>
    <row r="554" spans="1:5" x14ac:dyDescent="0.2">
      <c r="A554" s="5" t="s">
        <v>1501</v>
      </c>
      <c r="B554" s="20">
        <f>Yard!$Q$82</f>
        <v>0.13173734664385456</v>
      </c>
      <c r="C554" s="25">
        <f t="shared" si="39"/>
        <v>1.8373449678673919</v>
      </c>
      <c r="D554" s="17">
        <f t="shared" si="40"/>
        <v>0.13173734664385456</v>
      </c>
      <c r="E554" s="6"/>
    </row>
    <row r="555" spans="1:5" x14ac:dyDescent="0.2">
      <c r="A555" s="5" t="s">
        <v>1502</v>
      </c>
      <c r="B555" s="20">
        <f>Yard!$R$82</f>
        <v>0.11386751536794162</v>
      </c>
      <c r="C555" s="25">
        <f t="shared" si="39"/>
        <v>1.5881138621263564</v>
      </c>
      <c r="D555" s="17">
        <f t="shared" si="40"/>
        <v>0.11386751536794164</v>
      </c>
      <c r="E555" s="6"/>
    </row>
    <row r="556" spans="1:5" x14ac:dyDescent="0.2">
      <c r="A556" s="5" t="s">
        <v>1503</v>
      </c>
      <c r="B556" s="20">
        <f>Yard!$S$82</f>
        <v>6.7699768103828523E-2</v>
      </c>
      <c r="C556" s="25">
        <f t="shared" si="39"/>
        <v>0.94421082115487776</v>
      </c>
      <c r="D556" s="17">
        <f t="shared" si="40"/>
        <v>6.7699768103828523E-2</v>
      </c>
      <c r="E556" s="6"/>
    </row>
    <row r="557" spans="1:5" x14ac:dyDescent="0.2">
      <c r="A557" s="5" t="s">
        <v>1504</v>
      </c>
      <c r="B557" s="20">
        <f>Otex!$B$159</f>
        <v>1.4498443118306583</v>
      </c>
      <c r="C557" s="25">
        <f t="shared" si="39"/>
        <v>20.221024776936247</v>
      </c>
      <c r="D557" s="17">
        <f t="shared" si="40"/>
        <v>1.4498443118306588</v>
      </c>
      <c r="E557" s="6"/>
    </row>
    <row r="558" spans="1:5" x14ac:dyDescent="0.2">
      <c r="A558" s="5" t="s">
        <v>1506</v>
      </c>
      <c r="B558" s="20">
        <f>Scaler!$B$422</f>
        <v>1.0813495486584173</v>
      </c>
      <c r="C558" s="25">
        <f t="shared" si="39"/>
        <v>15.081616582915302</v>
      </c>
      <c r="D558" s="17">
        <f t="shared" si="40"/>
        <v>1.0813495486584173</v>
      </c>
      <c r="E558" s="6"/>
    </row>
    <row r="559" spans="1:5" x14ac:dyDescent="0.2">
      <c r="A559" s="5" t="s">
        <v>1507</v>
      </c>
      <c r="B559" s="20">
        <f>Adjust!$B$88</f>
        <v>3.9714160019777012E-4</v>
      </c>
      <c r="C559" s="25">
        <f t="shared" si="39"/>
        <v>5.5389465420678857E-3</v>
      </c>
      <c r="D559" s="17">
        <f t="shared" si="40"/>
        <v>3.9714160019777012E-4</v>
      </c>
      <c r="E559" s="6"/>
    </row>
    <row r="562" spans="1:5" x14ac:dyDescent="0.2">
      <c r="A562" s="5" t="s">
        <v>1508</v>
      </c>
      <c r="B562" s="17">
        <f>SUM($B$539:$B$559)</f>
        <v>4.5869999999999997</v>
      </c>
      <c r="C562" s="25">
        <f>SUM($C$539:$C$559)</f>
        <v>63.975035039927931</v>
      </c>
      <c r="D562" s="17">
        <f>SUM($D$539:$D$559)</f>
        <v>4.5870000000000006</v>
      </c>
      <c r="E562" s="6"/>
    </row>
    <row r="564" spans="1:5" ht="16.5" x14ac:dyDescent="0.25">
      <c r="A564" s="3" t="s">
        <v>99</v>
      </c>
    </row>
    <row r="566" spans="1:5" x14ac:dyDescent="0.2">
      <c r="B566" s="4" t="s">
        <v>105</v>
      </c>
      <c r="C566" s="4" t="s">
        <v>1489</v>
      </c>
    </row>
    <row r="567" spans="1:5" x14ac:dyDescent="0.2">
      <c r="A567" s="5" t="s">
        <v>99</v>
      </c>
      <c r="B567" s="27">
        <f>Loads!B$314</f>
        <v>0</v>
      </c>
      <c r="C567" s="27">
        <f>Multi!B$131</f>
        <v>0</v>
      </c>
      <c r="D567" s="6"/>
    </row>
    <row r="570" spans="1:5" x14ac:dyDescent="0.2">
      <c r="B570" s="4" t="s">
        <v>1319</v>
      </c>
      <c r="C570" s="4" t="s">
        <v>1491</v>
      </c>
      <c r="D570" s="4" t="s">
        <v>1461</v>
      </c>
    </row>
    <row r="571" spans="1:5" x14ac:dyDescent="0.2">
      <c r="A571" s="5" t="s">
        <v>338</v>
      </c>
      <c r="B571" s="20">
        <f>Yard!$C$83</f>
        <v>5.4210912122901266E-2</v>
      </c>
      <c r="C571" s="25">
        <f t="shared" ref="C571:C591" si="41">0+10*(B571*$B$567)</f>
        <v>0</v>
      </c>
      <c r="D571" s="17" t="str">
        <f t="shared" ref="D571:D591" si="42">IF($C$567&lt;&gt;0,0.1*C571/$C$567,"")</f>
        <v/>
      </c>
      <c r="E571" s="6"/>
    </row>
    <row r="572" spans="1:5" x14ac:dyDescent="0.2">
      <c r="A572" s="5" t="s">
        <v>339</v>
      </c>
      <c r="B572" s="20">
        <f>Yard!$D$83</f>
        <v>5.0003321662766671E-2</v>
      </c>
      <c r="C572" s="25">
        <f t="shared" si="41"/>
        <v>0</v>
      </c>
      <c r="D572" s="17" t="str">
        <f t="shared" si="42"/>
        <v/>
      </c>
      <c r="E572" s="6"/>
    </row>
    <row r="573" spans="1:5" x14ac:dyDescent="0.2">
      <c r="A573" s="5" t="s">
        <v>340</v>
      </c>
      <c r="B573" s="20">
        <f>Yard!$E$83</f>
        <v>8.0732080888853641E-2</v>
      </c>
      <c r="C573" s="25">
        <f t="shared" si="41"/>
        <v>0</v>
      </c>
      <c r="D573" s="17" t="str">
        <f t="shared" si="42"/>
        <v/>
      </c>
      <c r="E573" s="6"/>
    </row>
    <row r="574" spans="1:5" x14ac:dyDescent="0.2">
      <c r="A574" s="5" t="s">
        <v>341</v>
      </c>
      <c r="B574" s="20">
        <f>Yard!$F$83</f>
        <v>9.9970752525613354E-2</v>
      </c>
      <c r="C574" s="25">
        <f t="shared" si="41"/>
        <v>0</v>
      </c>
      <c r="D574" s="17" t="str">
        <f t="shared" si="42"/>
        <v/>
      </c>
      <c r="E574" s="6"/>
    </row>
    <row r="575" spans="1:5" x14ac:dyDescent="0.2">
      <c r="A575" s="5" t="s">
        <v>342</v>
      </c>
      <c r="B575" s="20">
        <f>Yard!$G$83</f>
        <v>0</v>
      </c>
      <c r="C575" s="25">
        <f t="shared" si="41"/>
        <v>0</v>
      </c>
      <c r="D575" s="17" t="str">
        <f t="shared" si="42"/>
        <v/>
      </c>
      <c r="E575" s="6"/>
    </row>
    <row r="576" spans="1:5" x14ac:dyDescent="0.2">
      <c r="A576" s="5" t="s">
        <v>343</v>
      </c>
      <c r="B576" s="20">
        <f>Yard!$H$83</f>
        <v>0.10166363967759209</v>
      </c>
      <c r="C576" s="25">
        <f t="shared" si="41"/>
        <v>0</v>
      </c>
      <c r="D576" s="17" t="str">
        <f t="shared" si="42"/>
        <v/>
      </c>
      <c r="E576" s="6"/>
    </row>
    <row r="577" spans="1:5" x14ac:dyDescent="0.2">
      <c r="A577" s="5" t="s">
        <v>344</v>
      </c>
      <c r="B577" s="20">
        <f>Yard!$I$83</f>
        <v>8.7873229181127777E-2</v>
      </c>
      <c r="C577" s="25">
        <f t="shared" si="41"/>
        <v>0</v>
      </c>
      <c r="D577" s="17" t="str">
        <f t="shared" si="42"/>
        <v/>
      </c>
      <c r="E577" s="6"/>
    </row>
    <row r="578" spans="1:5" x14ac:dyDescent="0.2">
      <c r="A578" s="5" t="s">
        <v>345</v>
      </c>
      <c r="B578" s="20">
        <f>Yard!$J$83</f>
        <v>2.2390672499177887E-3</v>
      </c>
      <c r="C578" s="25">
        <f t="shared" si="41"/>
        <v>0</v>
      </c>
      <c r="D578" s="17" t="str">
        <f t="shared" si="42"/>
        <v/>
      </c>
      <c r="E578" s="6"/>
    </row>
    <row r="579" spans="1:5" x14ac:dyDescent="0.2">
      <c r="A579" s="5" t="s">
        <v>1493</v>
      </c>
      <c r="B579" s="21"/>
      <c r="C579" s="25">
        <f t="shared" si="41"/>
        <v>0</v>
      </c>
      <c r="D579" s="17" t="str">
        <f t="shared" si="42"/>
        <v/>
      </c>
      <c r="E579" s="6"/>
    </row>
    <row r="580" spans="1:5" x14ac:dyDescent="0.2">
      <c r="A580" s="5" t="s">
        <v>1495</v>
      </c>
      <c r="B580" s="20">
        <f>Yard!$K$83</f>
        <v>3.2406405502906334E-2</v>
      </c>
      <c r="C580" s="25">
        <f t="shared" si="41"/>
        <v>0</v>
      </c>
      <c r="D580" s="17" t="str">
        <f t="shared" si="42"/>
        <v/>
      </c>
      <c r="E580" s="6"/>
    </row>
    <row r="581" spans="1:5" x14ac:dyDescent="0.2">
      <c r="A581" s="5" t="s">
        <v>1496</v>
      </c>
      <c r="B581" s="20">
        <f>Yard!$L$83</f>
        <v>1.7897610276121769E-2</v>
      </c>
      <c r="C581" s="25">
        <f t="shared" si="41"/>
        <v>0</v>
      </c>
      <c r="D581" s="17" t="str">
        <f t="shared" si="42"/>
        <v/>
      </c>
      <c r="E581" s="6"/>
    </row>
    <row r="582" spans="1:5" x14ac:dyDescent="0.2">
      <c r="A582" s="5" t="s">
        <v>1497</v>
      </c>
      <c r="B582" s="20">
        <f>Yard!$M$83</f>
        <v>1.6508483782800811E-2</v>
      </c>
      <c r="C582" s="25">
        <f t="shared" si="41"/>
        <v>0</v>
      </c>
      <c r="D582" s="17" t="str">
        <f t="shared" si="42"/>
        <v/>
      </c>
      <c r="E582" s="6"/>
    </row>
    <row r="583" spans="1:5" x14ac:dyDescent="0.2">
      <c r="A583" s="5" t="s">
        <v>1498</v>
      </c>
      <c r="B583" s="20">
        <f>Yard!$N$83</f>
        <v>2.6653514282388206E-2</v>
      </c>
      <c r="C583" s="25">
        <f t="shared" si="41"/>
        <v>0</v>
      </c>
      <c r="D583" s="17" t="str">
        <f t="shared" si="42"/>
        <v/>
      </c>
      <c r="E583" s="6"/>
    </row>
    <row r="584" spans="1:5" x14ac:dyDescent="0.2">
      <c r="A584" s="5" t="s">
        <v>1499</v>
      </c>
      <c r="B584" s="20">
        <f>Yard!$O$83</f>
        <v>3.3005118299018352E-2</v>
      </c>
      <c r="C584" s="25">
        <f t="shared" si="41"/>
        <v>0</v>
      </c>
      <c r="D584" s="17" t="str">
        <f t="shared" si="42"/>
        <v/>
      </c>
      <c r="E584" s="6"/>
    </row>
    <row r="585" spans="1:5" x14ac:dyDescent="0.2">
      <c r="A585" s="5" t="s">
        <v>1500</v>
      </c>
      <c r="B585" s="20">
        <f>Yard!$P$83</f>
        <v>0</v>
      </c>
      <c r="C585" s="25">
        <f t="shared" si="41"/>
        <v>0</v>
      </c>
      <c r="D585" s="17" t="str">
        <f t="shared" si="42"/>
        <v/>
      </c>
      <c r="E585" s="6"/>
    </row>
    <row r="586" spans="1:5" x14ac:dyDescent="0.2">
      <c r="A586" s="5" t="s">
        <v>1501</v>
      </c>
      <c r="B586" s="20">
        <f>Yard!$Q$83</f>
        <v>4.7948601673103164E-2</v>
      </c>
      <c r="C586" s="25">
        <f t="shared" si="41"/>
        <v>0</v>
      </c>
      <c r="D586" s="17" t="str">
        <f t="shared" si="42"/>
        <v/>
      </c>
      <c r="E586" s="6"/>
    </row>
    <row r="587" spans="1:5" x14ac:dyDescent="0.2">
      <c r="A587" s="5" t="s">
        <v>1502</v>
      </c>
      <c r="B587" s="20">
        <f>Yard!$R$83</f>
        <v>4.1444497532227176E-2</v>
      </c>
      <c r="C587" s="25">
        <f t="shared" si="41"/>
        <v>0</v>
      </c>
      <c r="D587" s="17" t="str">
        <f t="shared" si="42"/>
        <v/>
      </c>
      <c r="E587" s="6"/>
    </row>
    <row r="588" spans="1:5" x14ac:dyDescent="0.2">
      <c r="A588" s="5" t="s">
        <v>1503</v>
      </c>
      <c r="B588" s="20">
        <f>Yard!$S$83</f>
        <v>2.4640766622904781E-2</v>
      </c>
      <c r="C588" s="25">
        <f t="shared" si="41"/>
        <v>0</v>
      </c>
      <c r="D588" s="17" t="str">
        <f t="shared" si="42"/>
        <v/>
      </c>
      <c r="E588" s="6"/>
    </row>
    <row r="589" spans="1:5" x14ac:dyDescent="0.2">
      <c r="A589" s="5" t="s">
        <v>1504</v>
      </c>
      <c r="B589" s="20">
        <f>Otex!$B$160</f>
        <v>1.4498443118306583</v>
      </c>
      <c r="C589" s="25">
        <f t="shared" si="41"/>
        <v>0</v>
      </c>
      <c r="D589" s="17" t="str">
        <f t="shared" si="42"/>
        <v/>
      </c>
      <c r="E589" s="6"/>
    </row>
    <row r="590" spans="1:5" x14ac:dyDescent="0.2">
      <c r="A590" s="5" t="s">
        <v>1506</v>
      </c>
      <c r="B590" s="20">
        <f>Scaler!$B$423</f>
        <v>0.27228382050131844</v>
      </c>
      <c r="C590" s="25">
        <f t="shared" si="41"/>
        <v>0</v>
      </c>
      <c r="D590" s="17" t="str">
        <f t="shared" si="42"/>
        <v/>
      </c>
      <c r="E590" s="6"/>
    </row>
    <row r="591" spans="1:5" x14ac:dyDescent="0.2">
      <c r="A591" s="5" t="s">
        <v>1507</v>
      </c>
      <c r="B591" s="20">
        <f>Adjust!$B$89</f>
        <v>-3.261336122197811E-4</v>
      </c>
      <c r="C591" s="25">
        <f t="shared" si="41"/>
        <v>0</v>
      </c>
      <c r="D591" s="17" t="str">
        <f t="shared" si="42"/>
        <v/>
      </c>
      <c r="E591" s="6"/>
    </row>
    <row r="594" spans="1:8" x14ac:dyDescent="0.2">
      <c r="A594" s="5" t="s">
        <v>1508</v>
      </c>
      <c r="B594" s="17">
        <f>SUM($B$571:$B$591)</f>
        <v>2.4390000000000001</v>
      </c>
      <c r="C594" s="25">
        <f>SUM($C$571:$C$591)</f>
        <v>0</v>
      </c>
      <c r="D594" s="17">
        <f>SUM($D$571:$D$591)</f>
        <v>0</v>
      </c>
      <c r="E594" s="6"/>
    </row>
    <row r="596" spans="1:8" ht="16.5" x14ac:dyDescent="0.25">
      <c r="A596" s="3" t="s">
        <v>100</v>
      </c>
    </row>
    <row r="598" spans="1:8" x14ac:dyDescent="0.2">
      <c r="B598" s="4" t="s">
        <v>105</v>
      </c>
      <c r="C598" s="4" t="s">
        <v>106</v>
      </c>
      <c r="D598" s="4" t="s">
        <v>107</v>
      </c>
      <c r="E598" s="4" t="s">
        <v>1489</v>
      </c>
    </row>
    <row r="599" spans="1:8" x14ac:dyDescent="0.2">
      <c r="A599" s="5" t="s">
        <v>100</v>
      </c>
      <c r="B599" s="27">
        <f>Loads!B$315</f>
        <v>9424.2315778324828</v>
      </c>
      <c r="C599" s="27">
        <f>Loads!C$315</f>
        <v>33565.973169766723</v>
      </c>
      <c r="D599" s="27">
        <f>Loads!D$315</f>
        <v>236161.06999327819</v>
      </c>
      <c r="E599" s="27">
        <f>Multi!B$132</f>
        <v>279151.27474087739</v>
      </c>
      <c r="F599" s="6"/>
    </row>
    <row r="602" spans="1:8" ht="25.5" x14ac:dyDescent="0.2">
      <c r="B602" s="4" t="s">
        <v>1319</v>
      </c>
      <c r="C602" s="4" t="s">
        <v>1320</v>
      </c>
      <c r="D602" s="4" t="s">
        <v>1321</v>
      </c>
      <c r="E602" s="4" t="s">
        <v>1509</v>
      </c>
      <c r="F602" s="4" t="s">
        <v>1491</v>
      </c>
      <c r="G602" s="4" t="s">
        <v>1461</v>
      </c>
    </row>
    <row r="603" spans="1:8" x14ac:dyDescent="0.2">
      <c r="A603" s="5" t="s">
        <v>338</v>
      </c>
      <c r="B603" s="20">
        <f>Yard!$C$84</f>
        <v>2.1711707173295904</v>
      </c>
      <c r="C603" s="20">
        <f>Yard!$C$112</f>
        <v>5.714137030271698E-2</v>
      </c>
      <c r="D603" s="20">
        <f>Yard!$C$135</f>
        <v>9.3741910503643694E-3</v>
      </c>
      <c r="E603" s="17">
        <f t="shared" ref="E603:E623" si="43">IF(E$599&lt;&gt;0,(($B603*B$599+$C603*C$599+$D603*D$599))/E$599,0)</f>
        <v>8.810076310484985E-2</v>
      </c>
      <c r="F603" s="25">
        <f t="shared" ref="F603:F623" si="44">0+10*(B603*$B$599+C603*$C$599+D603*$D$599)</f>
        <v>245934.40326362895</v>
      </c>
      <c r="G603" s="17">
        <f t="shared" ref="G603:G623" si="45">IF($E$599&lt;&gt;0,0.1*F603/$E$599,"")</f>
        <v>8.810076310484985E-2</v>
      </c>
      <c r="H603" s="6"/>
    </row>
    <row r="604" spans="1:8" x14ac:dyDescent="0.2">
      <c r="A604" s="5" t="s">
        <v>339</v>
      </c>
      <c r="B604" s="20">
        <f>Yard!$D$84</f>
        <v>2.00265488094505</v>
      </c>
      <c r="C604" s="20">
        <f>Yard!$D$112</f>
        <v>5.2706331762512056E-2</v>
      </c>
      <c r="D604" s="20">
        <f>Yard!$D$135</f>
        <v>8.6466113936050134E-3</v>
      </c>
      <c r="E604" s="17">
        <f t="shared" si="43"/>
        <v>8.1262805286871256E-2</v>
      </c>
      <c r="F604" s="25">
        <f t="shared" si="44"/>
        <v>226846.15684849821</v>
      </c>
      <c r="G604" s="17">
        <f t="shared" si="45"/>
        <v>8.1262805286871256E-2</v>
      </c>
      <c r="H604" s="6"/>
    </row>
    <row r="605" spans="1:8" x14ac:dyDescent="0.2">
      <c r="A605" s="5" t="s">
        <v>340</v>
      </c>
      <c r="B605" s="20">
        <f>Yard!$E$84</f>
        <v>2.833170628369444</v>
      </c>
      <c r="C605" s="20">
        <f>Yard!$E$112</f>
        <v>9.0919081090155243E-2</v>
      </c>
      <c r="D605" s="20">
        <f>Yard!$E$135</f>
        <v>1.418656147029065E-2</v>
      </c>
      <c r="E605" s="17">
        <f t="shared" si="43"/>
        <v>0.118582861944068</v>
      </c>
      <c r="F605" s="25">
        <f t="shared" si="44"/>
        <v>331025.57074108056</v>
      </c>
      <c r="G605" s="17">
        <f t="shared" si="45"/>
        <v>0.118582861944068</v>
      </c>
      <c r="H605" s="6"/>
    </row>
    <row r="606" spans="1:8" x14ac:dyDescent="0.2">
      <c r="A606" s="5" t="s">
        <v>341</v>
      </c>
      <c r="B606" s="20">
        <f>Yard!$F$84</f>
        <v>3.5083227960083856</v>
      </c>
      <c r="C606" s="20">
        <f>Yard!$F$112</f>
        <v>0.11258534222638869</v>
      </c>
      <c r="D606" s="20">
        <f>Yard!$F$135</f>
        <v>1.7567257158754086E-2</v>
      </c>
      <c r="E606" s="17">
        <f t="shared" si="43"/>
        <v>0.14684147633343295</v>
      </c>
      <c r="F606" s="25">
        <f t="shared" si="44"/>
        <v>409909.85303310183</v>
      </c>
      <c r="G606" s="17">
        <f t="shared" si="45"/>
        <v>0.14684147633343295</v>
      </c>
      <c r="H606" s="6"/>
    </row>
    <row r="607" spans="1:8" x14ac:dyDescent="0.2">
      <c r="A607" s="5" t="s">
        <v>342</v>
      </c>
      <c r="B607" s="20">
        <f>Yard!$G$84</f>
        <v>0</v>
      </c>
      <c r="C607" s="20">
        <f>Yard!$G$112</f>
        <v>0</v>
      </c>
      <c r="D607" s="20">
        <f>Yard!$G$135</f>
        <v>0</v>
      </c>
      <c r="E607" s="17">
        <f t="shared" si="43"/>
        <v>0</v>
      </c>
      <c r="F607" s="25">
        <f t="shared" si="44"/>
        <v>0</v>
      </c>
      <c r="G607" s="17">
        <f t="shared" si="45"/>
        <v>0</v>
      </c>
      <c r="H607" s="6"/>
    </row>
    <row r="608" spans="1:8" x14ac:dyDescent="0.2">
      <c r="A608" s="5" t="s">
        <v>343</v>
      </c>
      <c r="B608" s="20">
        <f>Yard!$H$84</f>
        <v>3.567732117598069</v>
      </c>
      <c r="C608" s="20">
        <f>Yard!$H$112</f>
        <v>0.11449184262316578</v>
      </c>
      <c r="D608" s="20">
        <f>Yard!$H$135</f>
        <v>1.7864738003783659E-2</v>
      </c>
      <c r="E608" s="17">
        <f t="shared" si="43"/>
        <v>0.14932806408417307</v>
      </c>
      <c r="F608" s="25">
        <f t="shared" si="44"/>
        <v>416851.19443684345</v>
      </c>
      <c r="G608" s="17">
        <f t="shared" si="45"/>
        <v>0.1493280640841731</v>
      </c>
      <c r="H608" s="6"/>
    </row>
    <row r="609" spans="1:8" x14ac:dyDescent="0.2">
      <c r="A609" s="5" t="s">
        <v>344</v>
      </c>
      <c r="B609" s="20">
        <f>Yard!$I$84</f>
        <v>3.0837784582649204</v>
      </c>
      <c r="C609" s="20">
        <f>Yard!$I$112</f>
        <v>9.8961319485520768E-2</v>
      </c>
      <c r="D609" s="20">
        <f>Yard!$I$135</f>
        <v>1.5441432372928257E-2</v>
      </c>
      <c r="E609" s="17">
        <f t="shared" si="43"/>
        <v>0.12907209736004471</v>
      </c>
      <c r="F609" s="25">
        <f t="shared" si="44"/>
        <v>360306.40511535114</v>
      </c>
      <c r="G609" s="17">
        <f t="shared" si="45"/>
        <v>0.12907209736004471</v>
      </c>
      <c r="H609" s="6"/>
    </row>
    <row r="610" spans="1:8" x14ac:dyDescent="0.2">
      <c r="A610" s="5" t="s">
        <v>345</v>
      </c>
      <c r="B610" s="20">
        <f>Yard!$J$84</f>
        <v>7.8576688443650261E-2</v>
      </c>
      <c r="C610" s="20">
        <f>Yard!$J$112</f>
        <v>2.5215990300293738E-3</v>
      </c>
      <c r="D610" s="20">
        <f>Yard!$J$135</f>
        <v>3.9345777821340626E-4</v>
      </c>
      <c r="E610" s="17">
        <f t="shared" si="43"/>
        <v>3.2888413088971147E-3</v>
      </c>
      <c r="F610" s="25">
        <f t="shared" si="44"/>
        <v>9180.842437990852</v>
      </c>
      <c r="G610" s="17">
        <f t="shared" si="45"/>
        <v>3.2888413088971147E-3</v>
      </c>
      <c r="H610" s="6"/>
    </row>
    <row r="611" spans="1:8" x14ac:dyDescent="0.2">
      <c r="A611" s="5" t="s">
        <v>1493</v>
      </c>
      <c r="B611" s="21"/>
      <c r="C611" s="21"/>
      <c r="D611" s="21"/>
      <c r="E611" s="17">
        <f t="shared" si="43"/>
        <v>0</v>
      </c>
      <c r="F611" s="25">
        <f t="shared" si="44"/>
        <v>0</v>
      </c>
      <c r="G611" s="17">
        <f t="shared" si="45"/>
        <v>0</v>
      </c>
      <c r="H611" s="6"/>
    </row>
    <row r="612" spans="1:8" x14ac:dyDescent="0.2">
      <c r="A612" s="5" t="s">
        <v>1495</v>
      </c>
      <c r="B612" s="20">
        <f>Yard!$K$84</f>
        <v>1.7378147809429405</v>
      </c>
      <c r="C612" s="20">
        <f>Yard!$K$112</f>
        <v>2.7631230704539999E-2</v>
      </c>
      <c r="D612" s="20">
        <f>Yard!$K$135</f>
        <v>5.5177315824463521E-3</v>
      </c>
      <c r="E612" s="17">
        <f t="shared" si="43"/>
        <v>6.6659597005895688E-2</v>
      </c>
      <c r="F612" s="25">
        <f t="shared" si="44"/>
        <v>186081.11477908955</v>
      </c>
      <c r="G612" s="17">
        <f t="shared" si="45"/>
        <v>6.6659597005895688E-2</v>
      </c>
      <c r="H612" s="6"/>
    </row>
    <row r="613" spans="1:8" x14ac:dyDescent="0.2">
      <c r="A613" s="5" t="s">
        <v>1496</v>
      </c>
      <c r="B613" s="20">
        <f>Yard!$L$84</f>
        <v>0.71680711170467415</v>
      </c>
      <c r="C613" s="20">
        <f>Yard!$L$112</f>
        <v>1.8865094429753239E-2</v>
      </c>
      <c r="D613" s="20">
        <f>Yard!$L$135</f>
        <v>3.0948680164791706E-3</v>
      </c>
      <c r="E613" s="17">
        <f t="shared" si="43"/>
        <v>2.9086268083901475E-2</v>
      </c>
      <c r="F613" s="25">
        <f t="shared" si="44"/>
        <v>81194.68813075994</v>
      </c>
      <c r="G613" s="17">
        <f t="shared" si="45"/>
        <v>2.9086268083901475E-2</v>
      </c>
      <c r="H613" s="6"/>
    </row>
    <row r="614" spans="1:8" x14ac:dyDescent="0.2">
      <c r="A614" s="5" t="s">
        <v>1497</v>
      </c>
      <c r="B614" s="20">
        <f>Yard!$M$84</f>
        <v>0.66117198868502114</v>
      </c>
      <c r="C614" s="20">
        <f>Yard!$M$112</f>
        <v>1.7400876466177686E-2</v>
      </c>
      <c r="D614" s="20">
        <f>Yard!$M$135</f>
        <v>2.8546592350443298E-3</v>
      </c>
      <c r="E614" s="17">
        <f t="shared" si="43"/>
        <v>2.6828731744478026E-2</v>
      </c>
      <c r="F614" s="25">
        <f t="shared" si="44"/>
        <v>74892.74666152084</v>
      </c>
      <c r="G614" s="17">
        <f t="shared" si="45"/>
        <v>2.6828731744478026E-2</v>
      </c>
      <c r="H614" s="6"/>
    </row>
    <row r="615" spans="1:8" x14ac:dyDescent="0.2">
      <c r="A615" s="5" t="s">
        <v>1498</v>
      </c>
      <c r="B615" s="20">
        <f>Yard!$N$84</f>
        <v>0.93536488811244856</v>
      </c>
      <c r="C615" s="20">
        <f>Yard!$N$112</f>
        <v>3.0016729405430712E-2</v>
      </c>
      <c r="D615" s="20">
        <f>Yard!$N$135</f>
        <v>4.6836612484563852E-3</v>
      </c>
      <c r="E615" s="17">
        <f t="shared" si="43"/>
        <v>3.9149864213509494E-2</v>
      </c>
      <c r="F615" s="25">
        <f t="shared" si="44"/>
        <v>109287.34501133433</v>
      </c>
      <c r="G615" s="17">
        <f t="shared" si="45"/>
        <v>3.9149864213509494E-2</v>
      </c>
      <c r="H615" s="6"/>
    </row>
    <row r="616" spans="1:8" x14ac:dyDescent="0.2">
      <c r="A616" s="5" t="s">
        <v>1499</v>
      </c>
      <c r="B616" s="20">
        <f>Yard!$O$84</f>
        <v>1.1582648523500165</v>
      </c>
      <c r="C616" s="20">
        <f>Yard!$O$112</f>
        <v>3.7169796615919064E-2</v>
      </c>
      <c r="D616" s="20">
        <f>Yard!$O$135</f>
        <v>5.7997902993218295E-3</v>
      </c>
      <c r="E616" s="17">
        <f t="shared" si="43"/>
        <v>4.8479381970699259E-2</v>
      </c>
      <c r="F616" s="25">
        <f t="shared" si="44"/>
        <v>135330.81275770607</v>
      </c>
      <c r="G616" s="17">
        <f t="shared" si="45"/>
        <v>4.8479381970699266E-2</v>
      </c>
      <c r="H616" s="6"/>
    </row>
    <row r="617" spans="1:8" x14ac:dyDescent="0.2">
      <c r="A617" s="5" t="s">
        <v>1500</v>
      </c>
      <c r="B617" s="20">
        <f>Yard!$P$84</f>
        <v>0</v>
      </c>
      <c r="C617" s="20">
        <f>Yard!$P$112</f>
        <v>0</v>
      </c>
      <c r="D617" s="20">
        <f>Yard!$P$135</f>
        <v>0</v>
      </c>
      <c r="E617" s="17">
        <f t="shared" si="43"/>
        <v>0</v>
      </c>
      <c r="F617" s="25">
        <f t="shared" si="44"/>
        <v>0</v>
      </c>
      <c r="G617" s="17">
        <f t="shared" si="45"/>
        <v>0</v>
      </c>
      <c r="H617" s="6"/>
    </row>
    <row r="618" spans="1:8" x14ac:dyDescent="0.2">
      <c r="A618" s="5" t="s">
        <v>1501</v>
      </c>
      <c r="B618" s="20">
        <f>Yard!$Q$84</f>
        <v>1.6826838653972769</v>
      </c>
      <c r="C618" s="20">
        <f>Yard!$Q$112</f>
        <v>5.3998890598127881E-2</v>
      </c>
      <c r="D618" s="20">
        <f>Yard!$Q$135</f>
        <v>8.425718469792039E-3</v>
      </c>
      <c r="E618" s="17">
        <f t="shared" si="43"/>
        <v>7.0429033291494497E-2</v>
      </c>
      <c r="F618" s="25">
        <f t="shared" si="44"/>
        <v>196603.54422088381</v>
      </c>
      <c r="G618" s="17">
        <f t="shared" si="45"/>
        <v>7.0429033291494497E-2</v>
      </c>
      <c r="H618" s="6"/>
    </row>
    <row r="619" spans="1:8" x14ac:dyDescent="0.2">
      <c r="A619" s="5" t="s">
        <v>1502</v>
      </c>
      <c r="B619" s="20">
        <f>Yard!$R$84</f>
        <v>1.4544321392816664</v>
      </c>
      <c r="C619" s="20">
        <f>Yard!$R$112</f>
        <v>4.6674080370366702E-2</v>
      </c>
      <c r="D619" s="20">
        <f>Yard!$R$135</f>
        <v>7.282791492216157E-3</v>
      </c>
      <c r="E619" s="17">
        <f t="shared" si="43"/>
        <v>6.0875516586416913E-2</v>
      </c>
      <c r="F619" s="25">
        <f t="shared" si="44"/>
        <v>169934.78055607705</v>
      </c>
      <c r="G619" s="17">
        <f t="shared" si="45"/>
        <v>6.0875516586416913E-2</v>
      </c>
      <c r="H619" s="6"/>
    </row>
    <row r="620" spans="1:8" x14ac:dyDescent="0.2">
      <c r="A620" s="5" t="s">
        <v>1503</v>
      </c>
      <c r="B620" s="20">
        <f>Yard!$S$84</f>
        <v>0.86473054438707719</v>
      </c>
      <c r="C620" s="20">
        <f>Yard!$S$112</f>
        <v>2.7750007605969951E-2</v>
      </c>
      <c r="D620" s="20">
        <f>Yard!$S$135</f>
        <v>4.3299732463503021E-3</v>
      </c>
      <c r="E620" s="17">
        <f t="shared" si="43"/>
        <v>3.6193451159306632E-2</v>
      </c>
      <c r="F620" s="25">
        <f t="shared" si="44"/>
        <v>101034.48028392132</v>
      </c>
      <c r="G620" s="17">
        <f t="shared" si="45"/>
        <v>3.6193451159306632E-2</v>
      </c>
      <c r="H620" s="6"/>
    </row>
    <row r="621" spans="1:8" x14ac:dyDescent="0.2">
      <c r="A621" s="5" t="s">
        <v>1504</v>
      </c>
      <c r="B621" s="20">
        <f>Otex!$B$161</f>
        <v>1.4498443118306583</v>
      </c>
      <c r="C621" s="20">
        <f>Otex!$B$161</f>
        <v>1.4498443118306583</v>
      </c>
      <c r="D621" s="20">
        <f>Otex!$B$161</f>
        <v>1.4498443118306583</v>
      </c>
      <c r="E621" s="17">
        <f t="shared" si="43"/>
        <v>1.4498443118306585</v>
      </c>
      <c r="F621" s="25">
        <f t="shared" si="44"/>
        <v>4047258.8782333843</v>
      </c>
      <c r="G621" s="17">
        <f t="shared" si="45"/>
        <v>1.4498443118306585</v>
      </c>
      <c r="H621" s="6"/>
    </row>
    <row r="622" spans="1:8" x14ac:dyDescent="0.2">
      <c r="A622" s="5" t="s">
        <v>1506</v>
      </c>
      <c r="B622" s="20">
        <f>Scaler!$B$424</f>
        <v>14.601398721507978</v>
      </c>
      <c r="C622" s="20">
        <f>Scaler!$C$424</f>
        <v>0.23216203539484645</v>
      </c>
      <c r="D622" s="20">
        <f>Scaler!$D$424</f>
        <v>4.6360866392125409E-2</v>
      </c>
      <c r="E622" s="17">
        <f t="shared" si="43"/>
        <v>0.56008463339804038</v>
      </c>
      <c r="F622" s="25">
        <f t="shared" si="44"/>
        <v>1563483.3937583994</v>
      </c>
      <c r="G622" s="17">
        <f t="shared" si="45"/>
        <v>0.56008463339804038</v>
      </c>
      <c r="H622" s="6"/>
    </row>
    <row r="623" spans="1:8" x14ac:dyDescent="0.2">
      <c r="A623" s="5" t="s">
        <v>1507</v>
      </c>
      <c r="B623" s="20">
        <f>Adjust!$B$90</f>
        <v>8.050884113686152E-5</v>
      </c>
      <c r="C623" s="20">
        <f>Adjust!$C$90</f>
        <v>1.6006005772117859E-4</v>
      </c>
      <c r="D623" s="20">
        <f>Adjust!$D$90</f>
        <v>3.3137895917034754E-4</v>
      </c>
      <c r="E623" s="17">
        <f t="shared" si="43"/>
        <v>3.0230961766239644E-4</v>
      </c>
      <c r="F623" s="25">
        <f t="shared" si="44"/>
        <v>843.90115136885231</v>
      </c>
      <c r="G623" s="17">
        <f t="shared" si="45"/>
        <v>3.023096176623965E-4</v>
      </c>
      <c r="H623" s="6"/>
    </row>
    <row r="626" spans="1:8" x14ac:dyDescent="0.2">
      <c r="A626" s="5" t="s">
        <v>1508</v>
      </c>
      <c r="B626" s="17">
        <f>SUM($B$603:$B$623)</f>
        <v>42.508000000000003</v>
      </c>
      <c r="C626" s="17">
        <f>SUM($C$603:$C$623)</f>
        <v>2.4710000000000001</v>
      </c>
      <c r="D626" s="17">
        <f>SUM($D$603:$D$623)</f>
        <v>1.6220000000000001</v>
      </c>
      <c r="E626" s="17">
        <f>SUM(E$603:E$623)</f>
        <v>3.1044100083244004</v>
      </c>
      <c r="F626" s="25">
        <f>SUM($F$603:$F$623)</f>
        <v>8666000.1114209406</v>
      </c>
      <c r="G626" s="17">
        <f>SUM($G$603:$G$623)</f>
        <v>3.1044100083244004</v>
      </c>
      <c r="H626" s="6"/>
    </row>
    <row r="628" spans="1:8" ht="16.5" x14ac:dyDescent="0.25">
      <c r="A628" s="3" t="s">
        <v>61</v>
      </c>
    </row>
    <row r="630" spans="1:8" x14ac:dyDescent="0.2">
      <c r="B630" s="4" t="s">
        <v>105</v>
      </c>
      <c r="C630" s="4" t="s">
        <v>108</v>
      </c>
      <c r="D630" s="4" t="s">
        <v>1489</v>
      </c>
      <c r="E630" s="4" t="s">
        <v>1490</v>
      </c>
    </row>
    <row r="631" spans="1:8" x14ac:dyDescent="0.2">
      <c r="A631" s="5" t="s">
        <v>61</v>
      </c>
      <c r="B631" s="27">
        <f>Loads!B$316</f>
        <v>878.96280862633739</v>
      </c>
      <c r="C631" s="27">
        <f>Loads!E$316</f>
        <v>51</v>
      </c>
      <c r="D631" s="27">
        <f>Multi!B$133</f>
        <v>878.96280862633739</v>
      </c>
      <c r="E631" s="17">
        <f>IF(C631,D631/C631,"")</f>
        <v>17.234564875026223</v>
      </c>
      <c r="F631" s="6"/>
    </row>
    <row r="634" spans="1:8" ht="25.5" x14ac:dyDescent="0.2">
      <c r="B634" s="4" t="s">
        <v>1319</v>
      </c>
      <c r="C634" s="4" t="s">
        <v>1322</v>
      </c>
      <c r="D634" s="4" t="s">
        <v>1491</v>
      </c>
      <c r="E634" s="4" t="s">
        <v>1461</v>
      </c>
      <c r="F634" s="4" t="s">
        <v>1492</v>
      </c>
    </row>
    <row r="635" spans="1:8" x14ac:dyDescent="0.2">
      <c r="A635" s="5" t="s">
        <v>338</v>
      </c>
      <c r="B635" s="20">
        <f>Yard!$C$41</f>
        <v>-7.3062876189217529E-2</v>
      </c>
      <c r="C635" s="21"/>
      <c r="D635" s="25">
        <f>0.01*Input!$F$14*(C635*$C$631)+10*(B635*$B$631)</f>
        <v>-642.19550861592995</v>
      </c>
      <c r="E635" s="17">
        <f t="shared" ref="E635:E657" si="46">IF($D$631&lt;&gt;0,0.1*D635/$D$631,"")</f>
        <v>-7.3062876189217529E-2</v>
      </c>
      <c r="F635" s="29">
        <f t="shared" ref="F635:F657" si="47">IF($C$631&lt;&gt;0,D635/$C$631,"")</f>
        <v>-12.592068796390784</v>
      </c>
      <c r="G635" s="6"/>
    </row>
    <row r="636" spans="1:8" x14ac:dyDescent="0.2">
      <c r="A636" s="5" t="s">
        <v>339</v>
      </c>
      <c r="B636" s="20">
        <f>Yard!$D$41</f>
        <v>-6.7392086881212551E-2</v>
      </c>
      <c r="C636" s="21"/>
      <c r="D636" s="25">
        <f>0.01*Input!$F$14*(C636*$C$631)+10*(B636*$B$631)</f>
        <v>-592.35137964300736</v>
      </c>
      <c r="E636" s="17">
        <f t="shared" si="46"/>
        <v>-6.7392086881212565E-2</v>
      </c>
      <c r="F636" s="29">
        <f t="shared" si="47"/>
        <v>-11.614732934176615</v>
      </c>
      <c r="G636" s="6"/>
    </row>
    <row r="637" spans="1:8" x14ac:dyDescent="0.2">
      <c r="A637" s="5" t="s">
        <v>340</v>
      </c>
      <c r="B637" s="20">
        <f>Yard!$E$41</f>
        <v>-0.10272210040794662</v>
      </c>
      <c r="C637" s="21"/>
      <c r="D637" s="25">
        <f>0.01*Input!$F$14*(C637*$C$631)+10*(B637*$B$631)</f>
        <v>-902.88905882565405</v>
      </c>
      <c r="E637" s="17">
        <f t="shared" si="46"/>
        <v>-0.10272210040794665</v>
      </c>
      <c r="F637" s="29">
        <f t="shared" si="47"/>
        <v>-17.703707035797137</v>
      </c>
      <c r="G637" s="6"/>
    </row>
    <row r="638" spans="1:8" x14ac:dyDescent="0.2">
      <c r="A638" s="5" t="s">
        <v>341</v>
      </c>
      <c r="B638" s="20">
        <f>Yard!$F$41</f>
        <v>-0.12720105273803078</v>
      </c>
      <c r="C638" s="21"/>
      <c r="D638" s="25">
        <f>0.01*Input!$F$14*(C638*$C$631)+10*(B638*$B$631)</f>
        <v>-1118.0499457484641</v>
      </c>
      <c r="E638" s="17">
        <f t="shared" si="46"/>
        <v>-0.12720105273803081</v>
      </c>
      <c r="F638" s="29">
        <f t="shared" si="47"/>
        <v>-21.922547955852238</v>
      </c>
      <c r="G638" s="6"/>
    </row>
    <row r="639" spans="1:8" x14ac:dyDescent="0.2">
      <c r="A639" s="5" t="s">
        <v>342</v>
      </c>
      <c r="B639" s="20">
        <f>Yard!$G$41</f>
        <v>0</v>
      </c>
      <c r="C639" s="21"/>
      <c r="D639" s="25">
        <f>0.01*Input!$F$14*(C639*$C$631)+10*(B639*$B$631)</f>
        <v>0</v>
      </c>
      <c r="E639" s="17">
        <f t="shared" si="46"/>
        <v>0</v>
      </c>
      <c r="F639" s="29">
        <f t="shared" si="47"/>
        <v>0</v>
      </c>
      <c r="G639" s="6"/>
    </row>
    <row r="640" spans="1:8" x14ac:dyDescent="0.2">
      <c r="A640" s="5" t="s">
        <v>343</v>
      </c>
      <c r="B640" s="20">
        <f>Yard!$H$41</f>
        <v>-0.12935505300769179</v>
      </c>
      <c r="C640" s="21"/>
      <c r="D640" s="25">
        <f>0.01*Input!$F$14*(C640*$C$631)+10*(B640*$B$631)</f>
        <v>-1136.9828070164951</v>
      </c>
      <c r="E640" s="17">
        <f t="shared" si="46"/>
        <v>-0.12935505300769179</v>
      </c>
      <c r="F640" s="29">
        <f t="shared" si="47"/>
        <v>-22.293780529735198</v>
      </c>
      <c r="G640" s="6"/>
    </row>
    <row r="641" spans="1:7" x14ac:dyDescent="0.2">
      <c r="A641" s="5" t="s">
        <v>344</v>
      </c>
      <c r="B641" s="20">
        <f>Yard!$I$41</f>
        <v>-0.11180837371876251</v>
      </c>
      <c r="C641" s="21"/>
      <c r="D641" s="25">
        <f>0.01*Input!$F$14*(C641*$C$631)+10*(B641*$B$631)</f>
        <v>-982.75402191786668</v>
      </c>
      <c r="E641" s="17">
        <f t="shared" si="46"/>
        <v>-0.11180837371876251</v>
      </c>
      <c r="F641" s="29">
        <f t="shared" si="47"/>
        <v>-19.269686704271894</v>
      </c>
      <c r="G641" s="6"/>
    </row>
    <row r="642" spans="1:7" x14ac:dyDescent="0.2">
      <c r="A642" s="5" t="s">
        <v>345</v>
      </c>
      <c r="B642" s="20">
        <f>Yard!$J$41</f>
        <v>0</v>
      </c>
      <c r="C642" s="21"/>
      <c r="D642" s="25">
        <f>0.01*Input!$F$14*(C642*$C$631)+10*(B642*$B$631)</f>
        <v>0</v>
      </c>
      <c r="E642" s="17">
        <f t="shared" si="46"/>
        <v>0</v>
      </c>
      <c r="F642" s="29">
        <f t="shared" si="47"/>
        <v>0</v>
      </c>
      <c r="G642" s="6"/>
    </row>
    <row r="643" spans="1:7" x14ac:dyDescent="0.2">
      <c r="A643" s="5" t="s">
        <v>1493</v>
      </c>
      <c r="B643" s="21"/>
      <c r="C643" s="30">
        <f>SM!$B$126</f>
        <v>0</v>
      </c>
      <c r="D643" s="25">
        <f>0.01*Input!$F$14*(C643*$C$631)+10*(B643*$B$631)</f>
        <v>0</v>
      </c>
      <c r="E643" s="17">
        <f t="shared" si="46"/>
        <v>0</v>
      </c>
      <c r="F643" s="29">
        <f t="shared" si="47"/>
        <v>0</v>
      </c>
      <c r="G643" s="6"/>
    </row>
    <row r="644" spans="1:7" x14ac:dyDescent="0.2">
      <c r="A644" s="5" t="s">
        <v>1494</v>
      </c>
      <c r="B644" s="21"/>
      <c r="C644" s="30">
        <f>SM!$C$126</f>
        <v>0</v>
      </c>
      <c r="D644" s="25">
        <f>0.01*Input!$F$14*(C644*$C$631)+10*(B644*$B$631)</f>
        <v>0</v>
      </c>
      <c r="E644" s="17">
        <f t="shared" si="46"/>
        <v>0</v>
      </c>
      <c r="F644" s="29">
        <f t="shared" si="47"/>
        <v>0</v>
      </c>
      <c r="G644" s="6"/>
    </row>
    <row r="645" spans="1:7" x14ac:dyDescent="0.2">
      <c r="A645" s="5" t="s">
        <v>1495</v>
      </c>
      <c r="B645" s="20">
        <f>Yard!$K$41</f>
        <v>-5.0428357905113505E-2</v>
      </c>
      <c r="C645" s="21"/>
      <c r="D645" s="25">
        <f>0.01*Input!$F$14*(C645*$C$631)+10*(B645*$B$631)</f>
        <v>-443.24651098692732</v>
      </c>
      <c r="E645" s="17">
        <f t="shared" si="46"/>
        <v>-5.0428357905113512E-2</v>
      </c>
      <c r="F645" s="29">
        <f t="shared" si="47"/>
        <v>-8.6911080585672025</v>
      </c>
      <c r="G645" s="6"/>
    </row>
    <row r="646" spans="1:7" x14ac:dyDescent="0.2">
      <c r="A646" s="5" t="s">
        <v>1496</v>
      </c>
      <c r="B646" s="20">
        <f>Yard!$L$41</f>
        <v>-2.4121543661220535E-2</v>
      </c>
      <c r="C646" s="21"/>
      <c r="D646" s="25">
        <f>0.01*Input!$F$14*(C646*$C$631)+10*(B646*$B$631)</f>
        <v>-212.01939764869226</v>
      </c>
      <c r="E646" s="17">
        <f t="shared" si="46"/>
        <v>-2.4121543661220535E-2</v>
      </c>
      <c r="F646" s="29">
        <f t="shared" si="47"/>
        <v>-4.1572430911508285</v>
      </c>
      <c r="G646" s="6"/>
    </row>
    <row r="647" spans="1:7" x14ac:dyDescent="0.2">
      <c r="A647" s="5" t="s">
        <v>1497</v>
      </c>
      <c r="B647" s="20">
        <f>Yard!$M$41</f>
        <v>-2.2249345370909987E-2</v>
      </c>
      <c r="C647" s="21"/>
      <c r="D647" s="25">
        <f>0.01*Input!$F$14*(C647*$C$631)+10*(B647*$B$631)</f>
        <v>-195.5634709731244</v>
      </c>
      <c r="E647" s="17">
        <f t="shared" si="46"/>
        <v>-2.2249345370909987E-2</v>
      </c>
      <c r="F647" s="29">
        <f t="shared" si="47"/>
        <v>-3.8345778622181252</v>
      </c>
      <c r="G647" s="6"/>
    </row>
    <row r="648" spans="1:7" x14ac:dyDescent="0.2">
      <c r="A648" s="5" t="s">
        <v>1498</v>
      </c>
      <c r="B648" s="20">
        <f>Yard!$N$41</f>
        <v>-3.3913469592211802E-2</v>
      </c>
      <c r="C648" s="21"/>
      <c r="D648" s="25">
        <f>0.01*Input!$F$14*(C648*$C$631)+10*(B648*$B$631)</f>
        <v>-298.08678483034373</v>
      </c>
      <c r="E648" s="17">
        <f t="shared" si="46"/>
        <v>-3.3913469592211802E-2</v>
      </c>
      <c r="F648" s="29">
        <f t="shared" si="47"/>
        <v>-5.8448389182420337</v>
      </c>
      <c r="G648" s="6"/>
    </row>
    <row r="649" spans="1:7" x14ac:dyDescent="0.2">
      <c r="A649" s="5" t="s">
        <v>1499</v>
      </c>
      <c r="B649" s="20">
        <f>Yard!$O$41</f>
        <v>-4.1995140451731042E-2</v>
      </c>
      <c r="C649" s="21"/>
      <c r="D649" s="25">
        <f>0.01*Input!$F$14*(C649*$C$631)+10*(B649*$B$631)</f>
        <v>-369.12166600111027</v>
      </c>
      <c r="E649" s="17">
        <f t="shared" si="46"/>
        <v>-4.1995140451731035E-2</v>
      </c>
      <c r="F649" s="29">
        <f t="shared" si="47"/>
        <v>-7.237679725511966</v>
      </c>
      <c r="G649" s="6"/>
    </row>
    <row r="650" spans="1:7" x14ac:dyDescent="0.2">
      <c r="A650" s="5" t="s">
        <v>1500</v>
      </c>
      <c r="B650" s="20">
        <f>Yard!$P$41</f>
        <v>0</v>
      </c>
      <c r="C650" s="21"/>
      <c r="D650" s="25">
        <f>0.01*Input!$F$14*(C650*$C$631)+10*(B650*$B$631)</f>
        <v>0</v>
      </c>
      <c r="E650" s="17">
        <f t="shared" si="46"/>
        <v>0</v>
      </c>
      <c r="F650" s="29">
        <f t="shared" si="47"/>
        <v>0</v>
      </c>
      <c r="G650" s="6"/>
    </row>
    <row r="651" spans="1:7" x14ac:dyDescent="0.2">
      <c r="A651" s="5" t="s">
        <v>1501</v>
      </c>
      <c r="B651" s="20">
        <f>Yard!$Q$41</f>
        <v>-6.100896968413419E-2</v>
      </c>
      <c r="C651" s="21"/>
      <c r="D651" s="25">
        <f>0.01*Input!$F$14*(C651*$C$631)+10*(B651*$B$631)</f>
        <v>-536.24615344965662</v>
      </c>
      <c r="E651" s="17">
        <f t="shared" si="46"/>
        <v>-6.100896968413419E-2</v>
      </c>
      <c r="F651" s="29">
        <f t="shared" si="47"/>
        <v>-10.514630459797189</v>
      </c>
      <c r="G651" s="6"/>
    </row>
    <row r="652" spans="1:7" x14ac:dyDescent="0.2">
      <c r="A652" s="5" t="s">
        <v>1502</v>
      </c>
      <c r="B652" s="20">
        <f>Yard!$R$41</f>
        <v>-5.2733260309782509E-2</v>
      </c>
      <c r="C652" s="21"/>
      <c r="D652" s="25">
        <f>0.01*Input!$F$14*(C652*$C$631)+10*(B652*$B$631)</f>
        <v>-463.50574589910195</v>
      </c>
      <c r="E652" s="17">
        <f t="shared" si="46"/>
        <v>-5.2733260309782509E-2</v>
      </c>
      <c r="F652" s="29">
        <f t="shared" si="47"/>
        <v>-9.0883479588059206</v>
      </c>
      <c r="G652" s="6"/>
    </row>
    <row r="653" spans="1:7" x14ac:dyDescent="0.2">
      <c r="A653" s="5" t="s">
        <v>1503</v>
      </c>
      <c r="B653" s="20">
        <f>Yard!$S$41</f>
        <v>0</v>
      </c>
      <c r="C653" s="21"/>
      <c r="D653" s="25">
        <f>0.01*Input!$F$14*(C653*$C$631)+10*(B653*$B$631)</f>
        <v>0</v>
      </c>
      <c r="E653" s="17">
        <f t="shared" si="46"/>
        <v>0</v>
      </c>
      <c r="F653" s="29">
        <f t="shared" si="47"/>
        <v>0</v>
      </c>
      <c r="G653" s="6"/>
    </row>
    <row r="654" spans="1:7" x14ac:dyDescent="0.2">
      <c r="A654" s="5" t="s">
        <v>1504</v>
      </c>
      <c r="B654" s="21"/>
      <c r="C654" s="30">
        <f>Otex!$B$139</f>
        <v>0</v>
      </c>
      <c r="D654" s="25">
        <f>0.01*Input!$F$14*(C654*$C$631)+10*(B654*$B$631)</f>
        <v>0</v>
      </c>
      <c r="E654" s="17">
        <f t="shared" si="46"/>
        <v>0</v>
      </c>
      <c r="F654" s="29">
        <f t="shared" si="47"/>
        <v>0</v>
      </c>
      <c r="G654" s="6"/>
    </row>
    <row r="655" spans="1:7" x14ac:dyDescent="0.2">
      <c r="A655" s="5" t="s">
        <v>1505</v>
      </c>
      <c r="B655" s="21"/>
      <c r="C655" s="30">
        <f>Otex!$C$139</f>
        <v>0</v>
      </c>
      <c r="D655" s="25">
        <f>0.01*Input!$F$14*(C655*$C$631)+10*(B655*$B$631)</f>
        <v>0</v>
      </c>
      <c r="E655" s="17">
        <f t="shared" si="46"/>
        <v>0</v>
      </c>
      <c r="F655" s="29">
        <f t="shared" si="47"/>
        <v>0</v>
      </c>
      <c r="G655" s="6"/>
    </row>
    <row r="656" spans="1:7" x14ac:dyDescent="0.2">
      <c r="A656" s="5" t="s">
        <v>1506</v>
      </c>
      <c r="B656" s="20">
        <f>Scaler!$B$425</f>
        <v>0</v>
      </c>
      <c r="C656" s="30">
        <f>Scaler!$E$425</f>
        <v>0</v>
      </c>
      <c r="D656" s="25">
        <f>0.01*Input!$F$14*(C656*$C$631)+10*(B656*$B$631)</f>
        <v>0</v>
      </c>
      <c r="E656" s="17">
        <f t="shared" si="46"/>
        <v>0</v>
      </c>
      <c r="F656" s="29">
        <f t="shared" si="47"/>
        <v>0</v>
      </c>
      <c r="G656" s="6"/>
    </row>
    <row r="657" spans="1:7" x14ac:dyDescent="0.2">
      <c r="A657" s="5" t="s">
        <v>1507</v>
      </c>
      <c r="B657" s="20">
        <f>Adjust!$B$91</f>
        <v>-8.3700820348031613E-6</v>
      </c>
      <c r="C657" s="30">
        <f>Adjust!$E$91</f>
        <v>0</v>
      </c>
      <c r="D657" s="25">
        <f>0.01*Input!$F$14*(C657*$C$631)+10*(B657*$B$631)</f>
        <v>-7.3569908137434359E-2</v>
      </c>
      <c r="E657" s="17">
        <f t="shared" si="46"/>
        <v>-8.3700820348031613E-6</v>
      </c>
      <c r="F657" s="29">
        <f t="shared" si="47"/>
        <v>-1.4425472183810658E-3</v>
      </c>
      <c r="G657" s="6"/>
    </row>
    <row r="660" spans="1:7" x14ac:dyDescent="0.2">
      <c r="A660" s="5" t="s">
        <v>1508</v>
      </c>
      <c r="B660" s="17">
        <f>SUM($B$635:$B$657)</f>
        <v>-0.89800000000000002</v>
      </c>
      <c r="C660" s="29">
        <f>SUM($C$635:$C$657)</f>
        <v>0</v>
      </c>
      <c r="D660" s="25">
        <f>SUM($D$635:$D$657)</f>
        <v>-7893.0860214645127</v>
      </c>
      <c r="E660" s="17">
        <f>SUM($E$635:$E$657)</f>
        <v>-0.89800000000000013</v>
      </c>
      <c r="F660" s="29">
        <f>SUM($F$635:$F$657)</f>
        <v>-154.7663925777355</v>
      </c>
      <c r="G660" s="6"/>
    </row>
    <row r="662" spans="1:7" ht="16.5" x14ac:dyDescent="0.25">
      <c r="A662" s="3" t="s">
        <v>62</v>
      </c>
    </row>
    <row r="664" spans="1:7" x14ac:dyDescent="0.2">
      <c r="B664" s="4" t="s">
        <v>105</v>
      </c>
      <c r="C664" s="4" t="s">
        <v>108</v>
      </c>
      <c r="D664" s="4" t="s">
        <v>1489</v>
      </c>
      <c r="E664" s="4" t="s">
        <v>1490</v>
      </c>
    </row>
    <row r="665" spans="1:7" x14ac:dyDescent="0.2">
      <c r="A665" s="5" t="s">
        <v>62</v>
      </c>
      <c r="B665" s="27">
        <f>Loads!B$317</f>
        <v>0</v>
      </c>
      <c r="C665" s="27">
        <f>Loads!E$317</f>
        <v>0</v>
      </c>
      <c r="D665" s="27">
        <f>Multi!B$134</f>
        <v>0</v>
      </c>
      <c r="E665" s="17" t="str">
        <f>IF(C665,D665/C665,"")</f>
        <v/>
      </c>
      <c r="F665" s="6"/>
    </row>
    <row r="668" spans="1:7" ht="25.5" x14ac:dyDescent="0.2">
      <c r="B668" s="4" t="s">
        <v>1319</v>
      </c>
      <c r="C668" s="4" t="s">
        <v>1322</v>
      </c>
      <c r="D668" s="4" t="s">
        <v>1491</v>
      </c>
      <c r="E668" s="4" t="s">
        <v>1461</v>
      </c>
      <c r="F668" s="4" t="s">
        <v>1492</v>
      </c>
    </row>
    <row r="669" spans="1:7" x14ac:dyDescent="0.2">
      <c r="A669" s="5" t="s">
        <v>338</v>
      </c>
      <c r="B669" s="20">
        <f>Yard!$C$42</f>
        <v>-6.9747863657946316E-2</v>
      </c>
      <c r="C669" s="21"/>
      <c r="D669" s="25">
        <f>0.01*Input!$F$14*(C669*$C$665)+10*(B669*$B$665)</f>
        <v>0</v>
      </c>
      <c r="E669" s="17" t="str">
        <f t="shared" ref="E669:E691" si="48">IF($D$665&lt;&gt;0,0.1*D669/$D$665,"")</f>
        <v/>
      </c>
      <c r="F669" s="29" t="str">
        <f t="shared" ref="F669:F691" si="49">IF($C$665&lt;&gt;0,D669/$C$665,"")</f>
        <v/>
      </c>
      <c r="G669" s="6"/>
    </row>
    <row r="670" spans="1:7" x14ac:dyDescent="0.2">
      <c r="A670" s="5" t="s">
        <v>339</v>
      </c>
      <c r="B670" s="20">
        <f>Yard!$D$42</f>
        <v>-6.4334369690594931E-2</v>
      </c>
      <c r="C670" s="21"/>
      <c r="D670" s="25">
        <f>0.01*Input!$F$14*(C670*$C$665)+10*(B670*$B$665)</f>
        <v>0</v>
      </c>
      <c r="E670" s="17" t="str">
        <f t="shared" si="48"/>
        <v/>
      </c>
      <c r="F670" s="29" t="str">
        <f t="shared" si="49"/>
        <v/>
      </c>
      <c r="G670" s="6"/>
    </row>
    <row r="671" spans="1:7" x14ac:dyDescent="0.2">
      <c r="A671" s="5" t="s">
        <v>340</v>
      </c>
      <c r="B671" s="20">
        <f>Yard!$E$42</f>
        <v>-9.806138804823944E-2</v>
      </c>
      <c r="C671" s="21"/>
      <c r="D671" s="25">
        <f>0.01*Input!$F$14*(C671*$C$665)+10*(B671*$B$665)</f>
        <v>0</v>
      </c>
      <c r="E671" s="17" t="str">
        <f t="shared" si="48"/>
        <v/>
      </c>
      <c r="F671" s="29" t="str">
        <f t="shared" si="49"/>
        <v/>
      </c>
      <c r="G671" s="6"/>
    </row>
    <row r="672" spans="1:7" x14ac:dyDescent="0.2">
      <c r="A672" s="5" t="s">
        <v>341</v>
      </c>
      <c r="B672" s="20">
        <f>Yard!$F$42</f>
        <v>-0.1214296801092635</v>
      </c>
      <c r="C672" s="21"/>
      <c r="D672" s="25">
        <f>0.01*Input!$F$14*(C672*$C$665)+10*(B672*$B$665)</f>
        <v>0</v>
      </c>
      <c r="E672" s="17" t="str">
        <f t="shared" si="48"/>
        <v/>
      </c>
      <c r="F672" s="29" t="str">
        <f t="shared" si="49"/>
        <v/>
      </c>
      <c r="G672" s="6"/>
    </row>
    <row r="673" spans="1:7" x14ac:dyDescent="0.2">
      <c r="A673" s="5" t="s">
        <v>342</v>
      </c>
      <c r="B673" s="20">
        <f>Yard!$G$42</f>
        <v>0</v>
      </c>
      <c r="C673" s="21"/>
      <c r="D673" s="25">
        <f>0.01*Input!$F$14*(C673*$C$665)+10*(B673*$B$665)</f>
        <v>0</v>
      </c>
      <c r="E673" s="17" t="str">
        <f t="shared" si="48"/>
        <v/>
      </c>
      <c r="F673" s="29" t="str">
        <f t="shared" si="49"/>
        <v/>
      </c>
      <c r="G673" s="6"/>
    </row>
    <row r="674" spans="1:7" x14ac:dyDescent="0.2">
      <c r="A674" s="5" t="s">
        <v>343</v>
      </c>
      <c r="B674" s="20">
        <f>Yard!$H$42</f>
        <v>-0.12348594896923028</v>
      </c>
      <c r="C674" s="21"/>
      <c r="D674" s="25">
        <f>0.01*Input!$F$14*(C674*$C$665)+10*(B674*$B$665)</f>
        <v>0</v>
      </c>
      <c r="E674" s="17" t="str">
        <f t="shared" si="48"/>
        <v/>
      </c>
      <c r="F674" s="29" t="str">
        <f t="shared" si="49"/>
        <v/>
      </c>
      <c r="G674" s="6"/>
    </row>
    <row r="675" spans="1:7" x14ac:dyDescent="0.2">
      <c r="A675" s="5" t="s">
        <v>344</v>
      </c>
      <c r="B675" s="20">
        <f>Yard!$I$42</f>
        <v>0</v>
      </c>
      <c r="C675" s="21"/>
      <c r="D675" s="25">
        <f>0.01*Input!$F$14*(C675*$C$665)+10*(B675*$B$665)</f>
        <v>0</v>
      </c>
      <c r="E675" s="17" t="str">
        <f t="shared" si="48"/>
        <v/>
      </c>
      <c r="F675" s="29" t="str">
        <f t="shared" si="49"/>
        <v/>
      </c>
      <c r="G675" s="6"/>
    </row>
    <row r="676" spans="1:7" x14ac:dyDescent="0.2">
      <c r="A676" s="5" t="s">
        <v>345</v>
      </c>
      <c r="B676" s="20">
        <f>Yard!$J$42</f>
        <v>0</v>
      </c>
      <c r="C676" s="21"/>
      <c r="D676" s="25">
        <f>0.01*Input!$F$14*(C676*$C$665)+10*(B676*$B$665)</f>
        <v>0</v>
      </c>
      <c r="E676" s="17" t="str">
        <f t="shared" si="48"/>
        <v/>
      </c>
      <c r="F676" s="29" t="str">
        <f t="shared" si="49"/>
        <v/>
      </c>
      <c r="G676" s="6"/>
    </row>
    <row r="677" spans="1:7" x14ac:dyDescent="0.2">
      <c r="A677" s="5" t="s">
        <v>1493</v>
      </c>
      <c r="B677" s="21"/>
      <c r="C677" s="30">
        <f>SM!$B$127</f>
        <v>0</v>
      </c>
      <c r="D677" s="25">
        <f>0.01*Input!$F$14*(C677*$C$665)+10*(B677*$B$665)</f>
        <v>0</v>
      </c>
      <c r="E677" s="17" t="str">
        <f t="shared" si="48"/>
        <v/>
      </c>
      <c r="F677" s="29" t="str">
        <f t="shared" si="49"/>
        <v/>
      </c>
      <c r="G677" s="6"/>
    </row>
    <row r="678" spans="1:7" x14ac:dyDescent="0.2">
      <c r="A678" s="5" t="s">
        <v>1494</v>
      </c>
      <c r="B678" s="21"/>
      <c r="C678" s="30">
        <f>SM!$C$127</f>
        <v>0</v>
      </c>
      <c r="D678" s="25">
        <f>0.01*Input!$F$14*(C678*$C$665)+10*(B678*$B$665)</f>
        <v>0</v>
      </c>
      <c r="E678" s="17" t="str">
        <f t="shared" si="48"/>
        <v/>
      </c>
      <c r="F678" s="29" t="str">
        <f t="shared" si="49"/>
        <v/>
      </c>
      <c r="G678" s="6"/>
    </row>
    <row r="679" spans="1:7" x14ac:dyDescent="0.2">
      <c r="A679" s="5" t="s">
        <v>1495</v>
      </c>
      <c r="B679" s="20">
        <f>Yard!$K$42</f>
        <v>-4.8140319887640115E-2</v>
      </c>
      <c r="C679" s="21"/>
      <c r="D679" s="25">
        <f>0.01*Input!$F$14*(C679*$C$665)+10*(B679*$B$665)</f>
        <v>0</v>
      </c>
      <c r="E679" s="17" t="str">
        <f t="shared" si="48"/>
        <v/>
      </c>
      <c r="F679" s="29" t="str">
        <f t="shared" si="49"/>
        <v/>
      </c>
      <c r="G679" s="6"/>
    </row>
    <row r="680" spans="1:7" x14ac:dyDescent="0.2">
      <c r="A680" s="5" t="s">
        <v>1496</v>
      </c>
      <c r="B680" s="20">
        <f>Yard!$L$42</f>
        <v>-2.3027099756446463E-2</v>
      </c>
      <c r="C680" s="21"/>
      <c r="D680" s="25">
        <f>0.01*Input!$F$14*(C680*$C$665)+10*(B680*$B$665)</f>
        <v>0</v>
      </c>
      <c r="E680" s="17" t="str">
        <f t="shared" si="48"/>
        <v/>
      </c>
      <c r="F680" s="29" t="str">
        <f t="shared" si="49"/>
        <v/>
      </c>
      <c r="G680" s="6"/>
    </row>
    <row r="681" spans="1:7" x14ac:dyDescent="0.2">
      <c r="A681" s="5" t="s">
        <v>1497</v>
      </c>
      <c r="B681" s="20">
        <f>Yard!$M$42</f>
        <v>-2.1239846942102819E-2</v>
      </c>
      <c r="C681" s="21"/>
      <c r="D681" s="25">
        <f>0.01*Input!$F$14*(C681*$C$665)+10*(B681*$B$665)</f>
        <v>0</v>
      </c>
      <c r="E681" s="17" t="str">
        <f t="shared" si="48"/>
        <v/>
      </c>
      <c r="F681" s="29" t="str">
        <f t="shared" si="49"/>
        <v/>
      </c>
      <c r="G681" s="6"/>
    </row>
    <row r="682" spans="1:7" x14ac:dyDescent="0.2">
      <c r="A682" s="5" t="s">
        <v>1498</v>
      </c>
      <c r="B682" s="20">
        <f>Yard!$N$42</f>
        <v>-3.2374745926503461E-2</v>
      </c>
      <c r="C682" s="21"/>
      <c r="D682" s="25">
        <f>0.01*Input!$F$14*(C682*$C$665)+10*(B682*$B$665)</f>
        <v>0</v>
      </c>
      <c r="E682" s="17" t="str">
        <f t="shared" si="48"/>
        <v/>
      </c>
      <c r="F682" s="29" t="str">
        <f t="shared" si="49"/>
        <v/>
      </c>
      <c r="G682" s="6"/>
    </row>
    <row r="683" spans="1:7" x14ac:dyDescent="0.2">
      <c r="A683" s="5" t="s">
        <v>1499</v>
      </c>
      <c r="B683" s="20">
        <f>Yard!$O$42</f>
        <v>-4.0089734805100773E-2</v>
      </c>
      <c r="C683" s="21"/>
      <c r="D683" s="25">
        <f>0.01*Input!$F$14*(C683*$C$665)+10*(B683*$B$665)</f>
        <v>0</v>
      </c>
      <c r="E683" s="17" t="str">
        <f t="shared" si="48"/>
        <v/>
      </c>
      <c r="F683" s="29" t="str">
        <f t="shared" si="49"/>
        <v/>
      </c>
      <c r="G683" s="6"/>
    </row>
    <row r="684" spans="1:7" x14ac:dyDescent="0.2">
      <c r="A684" s="5" t="s">
        <v>1500</v>
      </c>
      <c r="B684" s="20">
        <f>Yard!$P$42</f>
        <v>0</v>
      </c>
      <c r="C684" s="21"/>
      <c r="D684" s="25">
        <f>0.01*Input!$F$14*(C684*$C$665)+10*(B684*$B$665)</f>
        <v>0</v>
      </c>
      <c r="E684" s="17" t="str">
        <f t="shared" si="48"/>
        <v/>
      </c>
      <c r="F684" s="29" t="str">
        <f t="shared" si="49"/>
        <v/>
      </c>
      <c r="G684" s="6"/>
    </row>
    <row r="685" spans="1:7" x14ac:dyDescent="0.2">
      <c r="A685" s="5" t="s">
        <v>1501</v>
      </c>
      <c r="B685" s="20">
        <f>Yard!$Q$42</f>
        <v>-5.8240867611351325E-2</v>
      </c>
      <c r="C685" s="21"/>
      <c r="D685" s="25">
        <f>0.01*Input!$F$14*(C685*$C$665)+10*(B685*$B$665)</f>
        <v>0</v>
      </c>
      <c r="E685" s="17" t="str">
        <f t="shared" si="48"/>
        <v/>
      </c>
      <c r="F685" s="29" t="str">
        <f t="shared" si="49"/>
        <v/>
      </c>
      <c r="G685" s="6"/>
    </row>
    <row r="686" spans="1:7" x14ac:dyDescent="0.2">
      <c r="A686" s="5" t="s">
        <v>1502</v>
      </c>
      <c r="B686" s="20">
        <f>Yard!$R$42</f>
        <v>0</v>
      </c>
      <c r="C686" s="21"/>
      <c r="D686" s="25">
        <f>0.01*Input!$F$14*(C686*$C$665)+10*(B686*$B$665)</f>
        <v>0</v>
      </c>
      <c r="E686" s="17" t="str">
        <f t="shared" si="48"/>
        <v/>
      </c>
      <c r="F686" s="29" t="str">
        <f t="shared" si="49"/>
        <v/>
      </c>
      <c r="G686" s="6"/>
    </row>
    <row r="687" spans="1:7" x14ac:dyDescent="0.2">
      <c r="A687" s="5" t="s">
        <v>1503</v>
      </c>
      <c r="B687" s="20">
        <f>Yard!$S$42</f>
        <v>0</v>
      </c>
      <c r="C687" s="21"/>
      <c r="D687" s="25">
        <f>0.01*Input!$F$14*(C687*$C$665)+10*(B687*$B$665)</f>
        <v>0</v>
      </c>
      <c r="E687" s="17" t="str">
        <f t="shared" si="48"/>
        <v/>
      </c>
      <c r="F687" s="29" t="str">
        <f t="shared" si="49"/>
        <v/>
      </c>
      <c r="G687" s="6"/>
    </row>
    <row r="688" spans="1:7" x14ac:dyDescent="0.2">
      <c r="A688" s="5" t="s">
        <v>1504</v>
      </c>
      <c r="B688" s="21"/>
      <c r="C688" s="30">
        <f>Otex!$B$140</f>
        <v>0</v>
      </c>
      <c r="D688" s="25">
        <f>0.01*Input!$F$14*(C688*$C$665)+10*(B688*$B$665)</f>
        <v>0</v>
      </c>
      <c r="E688" s="17" t="str">
        <f t="shared" si="48"/>
        <v/>
      </c>
      <c r="F688" s="29" t="str">
        <f t="shared" si="49"/>
        <v/>
      </c>
      <c r="G688" s="6"/>
    </row>
    <row r="689" spans="1:8" x14ac:dyDescent="0.2">
      <c r="A689" s="5" t="s">
        <v>1505</v>
      </c>
      <c r="B689" s="21"/>
      <c r="C689" s="30">
        <f>Otex!$C$140</f>
        <v>0</v>
      </c>
      <c r="D689" s="25">
        <f>0.01*Input!$F$14*(C689*$C$665)+10*(B689*$B$665)</f>
        <v>0</v>
      </c>
      <c r="E689" s="17" t="str">
        <f t="shared" si="48"/>
        <v/>
      </c>
      <c r="F689" s="29" t="str">
        <f t="shared" si="49"/>
        <v/>
      </c>
      <c r="G689" s="6"/>
    </row>
    <row r="690" spans="1:8" x14ac:dyDescent="0.2">
      <c r="A690" s="5" t="s">
        <v>1506</v>
      </c>
      <c r="B690" s="20">
        <f>Scaler!$B$426</f>
        <v>0</v>
      </c>
      <c r="C690" s="30">
        <f>Scaler!$E$426</f>
        <v>0</v>
      </c>
      <c r="D690" s="25">
        <f>0.01*Input!$F$14*(C690*$C$665)+10*(B690*$B$665)</f>
        <v>0</v>
      </c>
      <c r="E690" s="17" t="str">
        <f t="shared" si="48"/>
        <v/>
      </c>
      <c r="F690" s="29" t="str">
        <f t="shared" si="49"/>
        <v/>
      </c>
      <c r="G690" s="6"/>
    </row>
    <row r="691" spans="1:8" x14ac:dyDescent="0.2">
      <c r="A691" s="5" t="s">
        <v>1507</v>
      </c>
      <c r="B691" s="20">
        <f>Adjust!$B$92</f>
        <v>1.7186540441938014E-4</v>
      </c>
      <c r="C691" s="30">
        <f>Adjust!$E$92</f>
        <v>0</v>
      </c>
      <c r="D691" s="25">
        <f>0.01*Input!$F$14*(C691*$C$665)+10*(B691*$B$665)</f>
        <v>0</v>
      </c>
      <c r="E691" s="17" t="str">
        <f t="shared" si="48"/>
        <v/>
      </c>
      <c r="F691" s="29" t="str">
        <f t="shared" si="49"/>
        <v/>
      </c>
      <c r="G691" s="6"/>
    </row>
    <row r="694" spans="1:8" x14ac:dyDescent="0.2">
      <c r="A694" s="5" t="s">
        <v>1508</v>
      </c>
      <c r="B694" s="17">
        <f>SUM($B$669:$B$691)</f>
        <v>-0.7</v>
      </c>
      <c r="C694" s="29">
        <f>SUM($C$669:$C$691)</f>
        <v>0</v>
      </c>
      <c r="D694" s="25">
        <f>SUM($D$669:$D$691)</f>
        <v>0</v>
      </c>
      <c r="E694" s="17">
        <f>SUM($E$669:$E$691)</f>
        <v>0</v>
      </c>
      <c r="F694" s="29">
        <f>SUM($F$669:$F$691)</f>
        <v>0</v>
      </c>
      <c r="G694" s="6"/>
    </row>
    <row r="696" spans="1:8" ht="16.5" x14ac:dyDescent="0.25">
      <c r="A696" s="3" t="s">
        <v>63</v>
      </c>
    </row>
    <row r="698" spans="1:8" ht="25.5" x14ac:dyDescent="0.2">
      <c r="B698" s="4" t="s">
        <v>105</v>
      </c>
      <c r="C698" s="4" t="s">
        <v>108</v>
      </c>
      <c r="D698" s="4" t="s">
        <v>110</v>
      </c>
      <c r="E698" s="4" t="s">
        <v>1489</v>
      </c>
      <c r="F698" s="4" t="s">
        <v>1490</v>
      </c>
    </row>
    <row r="699" spans="1:8" x14ac:dyDescent="0.2">
      <c r="A699" s="5" t="s">
        <v>63</v>
      </c>
      <c r="B699" s="27">
        <f>Loads!B$318</f>
        <v>3907.804934004047</v>
      </c>
      <c r="C699" s="27">
        <f>Loads!E$318</f>
        <v>39</v>
      </c>
      <c r="D699" s="27">
        <f>Loads!G$318</f>
        <v>1417.9367991080762</v>
      </c>
      <c r="E699" s="27">
        <f>Multi!B$135</f>
        <v>3907.804934004047</v>
      </c>
      <c r="F699" s="17">
        <f>IF(C699,E699/C699,"")</f>
        <v>100.20012651292429</v>
      </c>
      <c r="G699" s="6"/>
    </row>
    <row r="702" spans="1:8" ht="25.5" x14ac:dyDescent="0.2">
      <c r="B702" s="4" t="s">
        <v>1319</v>
      </c>
      <c r="C702" s="4" t="s">
        <v>1322</v>
      </c>
      <c r="D702" s="4" t="s">
        <v>957</v>
      </c>
      <c r="E702" s="4" t="s">
        <v>1491</v>
      </c>
      <c r="F702" s="4" t="s">
        <v>1461</v>
      </c>
      <c r="G702" s="4" t="s">
        <v>1492</v>
      </c>
    </row>
    <row r="703" spans="1:8" x14ac:dyDescent="0.2">
      <c r="A703" s="5" t="s">
        <v>338</v>
      </c>
      <c r="B703" s="20">
        <f>Yard!$C$43</f>
        <v>-7.3062876189217529E-2</v>
      </c>
      <c r="C703" s="21"/>
      <c r="D703" s="20">
        <f>Reactive!$C$85</f>
        <v>1.7478514412919074E-2</v>
      </c>
      <c r="E703" s="25">
        <f>0.01*Input!$F$14*(C703*$C$699)+10*(B703*$B$699+D703*$D$699)</f>
        <v>-2607.3203928493222</v>
      </c>
      <c r="F703" s="17">
        <f t="shared" ref="F703:F725" si="50">IF($E$699&lt;&gt;0,0.1*E703/$E$699,"")</f>
        <v>-6.672084295102694E-2</v>
      </c>
      <c r="G703" s="29">
        <f t="shared" ref="G703:G725" si="51">IF($C$699&lt;&gt;0,E703/$C$699,"")</f>
        <v>-66.854369047418515</v>
      </c>
      <c r="H703" s="6"/>
    </row>
    <row r="704" spans="1:8" x14ac:dyDescent="0.2">
      <c r="A704" s="5" t="s">
        <v>339</v>
      </c>
      <c r="B704" s="20">
        <f>Yard!$D$43</f>
        <v>-6.7392086881212551E-2</v>
      </c>
      <c r="C704" s="21"/>
      <c r="D704" s="20">
        <f>Reactive!$D$85</f>
        <v>1.601847329576293E-2</v>
      </c>
      <c r="E704" s="25">
        <f>0.01*Input!$F$14*(C704*$C$699)+10*(B704*$B$699+D704*$D$699)</f>
        <v>-2406.419468756395</v>
      </c>
      <c r="F704" s="17">
        <f t="shared" si="50"/>
        <v>-6.1579825743520673E-2</v>
      </c>
      <c r="G704" s="29">
        <f t="shared" si="51"/>
        <v>-61.703063301446022</v>
      </c>
      <c r="H704" s="6"/>
    </row>
    <row r="705" spans="1:8" x14ac:dyDescent="0.2">
      <c r="A705" s="5" t="s">
        <v>340</v>
      </c>
      <c r="B705" s="20">
        <f>Yard!$E$43</f>
        <v>-0.10272210040794662</v>
      </c>
      <c r="C705" s="21"/>
      <c r="D705" s="20">
        <f>Reactive!$E$85</f>
        <v>2.4416089461210731E-2</v>
      </c>
      <c r="E705" s="25">
        <f>0.01*Input!$F$14*(C705*$C$699)+10*(B705*$B$699+D705*$D$699)</f>
        <v>-3667.9745906806738</v>
      </c>
      <c r="F705" s="17">
        <f t="shared" si="50"/>
        <v>-9.3862786209299442E-2</v>
      </c>
      <c r="G705" s="29">
        <f t="shared" si="51"/>
        <v>-94.050630530273693</v>
      </c>
      <c r="H705" s="6"/>
    </row>
    <row r="706" spans="1:8" x14ac:dyDescent="0.2">
      <c r="A706" s="5" t="s">
        <v>341</v>
      </c>
      <c r="B706" s="20">
        <f>Yard!$F$43</f>
        <v>-0.12720105273803078</v>
      </c>
      <c r="C706" s="21"/>
      <c r="D706" s="20">
        <f>Reactive!$F$85</f>
        <v>3.1776431485714317E-2</v>
      </c>
      <c r="E706" s="25">
        <f>0.01*Input!$F$14*(C706*$C$699)+10*(B706*$B$699+D706*$D$699)</f>
        <v>-4520.1992995225482</v>
      </c>
      <c r="F706" s="17">
        <f t="shared" si="50"/>
        <v>-0.1156710576873914</v>
      </c>
      <c r="G706" s="29">
        <f t="shared" si="51"/>
        <v>-115.90254614160381</v>
      </c>
      <c r="H706" s="6"/>
    </row>
    <row r="707" spans="1:8" x14ac:dyDescent="0.2">
      <c r="A707" s="5" t="s">
        <v>342</v>
      </c>
      <c r="B707" s="20">
        <f>Yard!$G$43</f>
        <v>0</v>
      </c>
      <c r="C707" s="21"/>
      <c r="D707" s="20">
        <f>Reactive!$G$85</f>
        <v>0</v>
      </c>
      <c r="E707" s="25">
        <f>0.01*Input!$F$14*(C707*$C$699)+10*(B707*$B$699+D707*$D$699)</f>
        <v>0</v>
      </c>
      <c r="F707" s="17">
        <f t="shared" si="50"/>
        <v>0</v>
      </c>
      <c r="G707" s="29">
        <f t="shared" si="51"/>
        <v>0</v>
      </c>
      <c r="H707" s="6"/>
    </row>
    <row r="708" spans="1:8" x14ac:dyDescent="0.2">
      <c r="A708" s="5" t="s">
        <v>343</v>
      </c>
      <c r="B708" s="20">
        <f>Yard!$H$43</f>
        <v>-0.12935505300769179</v>
      </c>
      <c r="C708" s="21"/>
      <c r="D708" s="20">
        <f>Reactive!$H$85</f>
        <v>3.2314527991330978E-2</v>
      </c>
      <c r="E708" s="25">
        <f>0.01*Input!$F$14*(C708*$C$699)+10*(B708*$B$699+D708*$D$699)</f>
        <v>-4596.7435599709679</v>
      </c>
      <c r="F708" s="17">
        <f t="shared" si="50"/>
        <v>-0.11762981104742645</v>
      </c>
      <c r="G708" s="29">
        <f t="shared" si="51"/>
        <v>-117.86521948643508</v>
      </c>
      <c r="H708" s="6"/>
    </row>
    <row r="709" spans="1:8" x14ac:dyDescent="0.2">
      <c r="A709" s="5" t="s">
        <v>344</v>
      </c>
      <c r="B709" s="20">
        <f>Yard!$I$43</f>
        <v>-0.11180837371876251</v>
      </c>
      <c r="C709" s="21"/>
      <c r="D709" s="20">
        <f>Reactive!$I$85</f>
        <v>2.7931145619686803E-2</v>
      </c>
      <c r="E709" s="25">
        <f>0.01*Input!$F$14*(C709*$C$699)+10*(B709*$B$699+D709*$D$699)</f>
        <v>-3973.2071526574828</v>
      </c>
      <c r="F709" s="17">
        <f t="shared" si="50"/>
        <v>-0.10167363058693983</v>
      </c>
      <c r="G709" s="29">
        <f t="shared" si="51"/>
        <v>-101.877106478397</v>
      </c>
      <c r="H709" s="6"/>
    </row>
    <row r="710" spans="1:8" x14ac:dyDescent="0.2">
      <c r="A710" s="5" t="s">
        <v>345</v>
      </c>
      <c r="B710" s="20">
        <f>Yard!$J$43</f>
        <v>0</v>
      </c>
      <c r="C710" s="21"/>
      <c r="D710" s="20">
        <f>Reactive!$J$85</f>
        <v>7.1170382598340716E-4</v>
      </c>
      <c r="E710" s="25">
        <f>0.01*Input!$F$14*(C710*$C$699)+10*(B710*$B$699+D710*$D$699)</f>
        <v>10.091510449278836</v>
      </c>
      <c r="F710" s="17">
        <f t="shared" si="50"/>
        <v>2.582398717363507E-4</v>
      </c>
      <c r="G710" s="29">
        <f t="shared" si="51"/>
        <v>0.25875667818663683</v>
      </c>
      <c r="H710" s="6"/>
    </row>
    <row r="711" spans="1:8" x14ac:dyDescent="0.2">
      <c r="A711" s="5" t="s">
        <v>1493</v>
      </c>
      <c r="B711" s="21"/>
      <c r="C711" s="30">
        <f>SM!$B$128</f>
        <v>0</v>
      </c>
      <c r="D711" s="21"/>
      <c r="E711" s="25">
        <f>0.01*Input!$F$14*(C711*$C$699)+10*(B711*$B$699+D711*$D$699)</f>
        <v>0</v>
      </c>
      <c r="F711" s="17">
        <f t="shared" si="50"/>
        <v>0</v>
      </c>
      <c r="G711" s="29">
        <f t="shared" si="51"/>
        <v>0</v>
      </c>
      <c r="H711" s="6"/>
    </row>
    <row r="712" spans="1:8" x14ac:dyDescent="0.2">
      <c r="A712" s="5" t="s">
        <v>1494</v>
      </c>
      <c r="B712" s="21"/>
      <c r="C712" s="30">
        <f>SM!$C$128</f>
        <v>0</v>
      </c>
      <c r="D712" s="21"/>
      <c r="E712" s="25">
        <f>0.01*Input!$F$14*(C712*$C$699)+10*(B712*$B$699+D712*$D$699)</f>
        <v>0</v>
      </c>
      <c r="F712" s="17">
        <f t="shared" si="50"/>
        <v>0</v>
      </c>
      <c r="G712" s="29">
        <f t="shared" si="51"/>
        <v>0</v>
      </c>
      <c r="H712" s="6"/>
    </row>
    <row r="713" spans="1:8" x14ac:dyDescent="0.2">
      <c r="A713" s="5" t="s">
        <v>1495</v>
      </c>
      <c r="B713" s="20">
        <f>Yard!$K$43</f>
        <v>-5.0428357905113505E-2</v>
      </c>
      <c r="C713" s="21"/>
      <c r="D713" s="20">
        <f>Reactive!$K$85</f>
        <v>1.2063756950680311E-2</v>
      </c>
      <c r="E713" s="25">
        <f>0.01*Input!$F$14*(C713*$C$699)+10*(B713*$B$699+D713*$D$699)</f>
        <v>-1799.585409194591</v>
      </c>
      <c r="F713" s="17">
        <f t="shared" si="50"/>
        <v>-4.6051055249338793E-2</v>
      </c>
      <c r="G713" s="29">
        <f t="shared" si="51"/>
        <v>-46.143215620374129</v>
      </c>
      <c r="H713" s="6"/>
    </row>
    <row r="714" spans="1:8" x14ac:dyDescent="0.2">
      <c r="A714" s="5" t="s">
        <v>1496</v>
      </c>
      <c r="B714" s="20">
        <f>Yard!$L$43</f>
        <v>-2.4121543661220535E-2</v>
      </c>
      <c r="C714" s="21"/>
      <c r="D714" s="20">
        <f>Reactive!$L$85</f>
        <v>5.7704920820886062E-3</v>
      </c>
      <c r="E714" s="25">
        <f>0.01*Input!$F$14*(C714*$C$699)+10*(B714*$B$699+D714*$D$699)</f>
        <v>-860.80094262956436</v>
      </c>
      <c r="F714" s="17">
        <f t="shared" si="50"/>
        <v>-2.2027735702446219E-2</v>
      </c>
      <c r="G714" s="29">
        <f t="shared" si="51"/>
        <v>-22.071819041783701</v>
      </c>
      <c r="H714" s="6"/>
    </row>
    <row r="715" spans="1:8" x14ac:dyDescent="0.2">
      <c r="A715" s="5" t="s">
        <v>1497</v>
      </c>
      <c r="B715" s="20">
        <f>Yard!$M$43</f>
        <v>-2.2249345370909987E-2</v>
      </c>
      <c r="C715" s="21"/>
      <c r="D715" s="20">
        <f>Reactive!$M$85</f>
        <v>5.2884628027669066E-3</v>
      </c>
      <c r="E715" s="25">
        <f>0.01*Input!$F$14*(C715*$C$699)+10*(B715*$B$699+D715*$D$699)</f>
        <v>-794.47395600044717</v>
      </c>
      <c r="F715" s="17">
        <f t="shared" si="50"/>
        <v>-2.0330440475349081E-2</v>
      </c>
      <c r="G715" s="29">
        <f t="shared" si="51"/>
        <v>-20.371127076934542</v>
      </c>
      <c r="H715" s="6"/>
    </row>
    <row r="716" spans="1:8" x14ac:dyDescent="0.2">
      <c r="A716" s="5" t="s">
        <v>1498</v>
      </c>
      <c r="B716" s="20">
        <f>Yard!$N$43</f>
        <v>-3.3913469592211802E-2</v>
      </c>
      <c r="C716" s="21"/>
      <c r="D716" s="20">
        <f>Reactive!$N$85</f>
        <v>8.0609168252505463E-3</v>
      </c>
      <c r="E716" s="25">
        <f>0.01*Input!$F$14*(C716*$C$699)+10*(B716*$B$699+D716*$D$699)</f>
        <v>-1210.973532005693</v>
      </c>
      <c r="F716" s="17">
        <f t="shared" si="50"/>
        <v>-3.098858700618138E-2</v>
      </c>
      <c r="G716" s="29">
        <f t="shared" si="51"/>
        <v>-31.050603384761359</v>
      </c>
      <c r="H716" s="6"/>
    </row>
    <row r="717" spans="1:8" x14ac:dyDescent="0.2">
      <c r="A717" s="5" t="s">
        <v>1499</v>
      </c>
      <c r="B717" s="20">
        <f>Yard!$O$43</f>
        <v>-4.1995140451731042E-2</v>
      </c>
      <c r="C717" s="21"/>
      <c r="D717" s="20">
        <f>Reactive!$O$85</f>
        <v>1.0490917131367447E-2</v>
      </c>
      <c r="E717" s="25">
        <f>0.01*Input!$F$14*(C717*$C$699)+10*(B717*$B$699+D717*$D$699)</f>
        <v>-1492.3335960450827</v>
      </c>
      <c r="F717" s="17">
        <f t="shared" si="50"/>
        <v>-3.8188538610498035E-2</v>
      </c>
      <c r="G717" s="29">
        <f t="shared" si="51"/>
        <v>-38.264964001155967</v>
      </c>
      <c r="H717" s="6"/>
    </row>
    <row r="718" spans="1:8" x14ac:dyDescent="0.2">
      <c r="A718" s="5" t="s">
        <v>1500</v>
      </c>
      <c r="B718" s="20">
        <f>Yard!$P$43</f>
        <v>0</v>
      </c>
      <c r="C718" s="21"/>
      <c r="D718" s="20">
        <f>Reactive!$P$85</f>
        <v>0</v>
      </c>
      <c r="E718" s="25">
        <f>0.01*Input!$F$14*(C718*$C$699)+10*(B718*$B$699+D718*$D$699)</f>
        <v>0</v>
      </c>
      <c r="F718" s="17">
        <f t="shared" si="50"/>
        <v>0</v>
      </c>
      <c r="G718" s="29">
        <f t="shared" si="51"/>
        <v>0</v>
      </c>
      <c r="H718" s="6"/>
    </row>
    <row r="719" spans="1:8" x14ac:dyDescent="0.2">
      <c r="A719" s="5" t="s">
        <v>1501</v>
      </c>
      <c r="B719" s="20">
        <f>Yard!$Q$43</f>
        <v>-6.100896968413419E-2</v>
      </c>
      <c r="C719" s="21"/>
      <c r="D719" s="20">
        <f>Reactive!$Q$85</f>
        <v>1.5240812111630362E-2</v>
      </c>
      <c r="E719" s="25">
        <f>0.01*Input!$F$14*(C719*$C$699)+10*(B719*$B$699+D719*$D$699)</f>
        <v>-2168.0064440879014</v>
      </c>
      <c r="F719" s="17">
        <f t="shared" si="50"/>
        <v>-5.5478880873066024E-2</v>
      </c>
      <c r="G719" s="29">
        <f t="shared" si="51"/>
        <v>-55.589908822766702</v>
      </c>
      <c r="H719" s="6"/>
    </row>
    <row r="720" spans="1:8" x14ac:dyDescent="0.2">
      <c r="A720" s="5" t="s">
        <v>1502</v>
      </c>
      <c r="B720" s="20">
        <f>Yard!$R$43</f>
        <v>-5.2733260309782509E-2</v>
      </c>
      <c r="C720" s="21"/>
      <c r="D720" s="20">
        <f>Reactive!$R$85</f>
        <v>1.3173435260030252E-2</v>
      </c>
      <c r="E720" s="25">
        <f>0.01*Input!$F$14*(C720*$C$699)+10*(B720*$B$699+D720*$D$699)</f>
        <v>-1873.921961988231</v>
      </c>
      <c r="F720" s="17">
        <f t="shared" si="50"/>
        <v>-4.7953313781917917E-2</v>
      </c>
      <c r="G720" s="29">
        <f t="shared" si="51"/>
        <v>-48.049281076621305</v>
      </c>
      <c r="H720" s="6"/>
    </row>
    <row r="721" spans="1:10" x14ac:dyDescent="0.2">
      <c r="A721" s="5" t="s">
        <v>1503</v>
      </c>
      <c r="B721" s="20">
        <f>Yard!$S$43</f>
        <v>0</v>
      </c>
      <c r="C721" s="21"/>
      <c r="D721" s="20">
        <f>Reactive!$S$85</f>
        <v>7.832247057934269E-3</v>
      </c>
      <c r="E721" s="25">
        <f>0.01*Input!$F$14*(C721*$C$699)+10*(B721*$B$699+D721*$D$699)</f>
        <v>111.05631323150965</v>
      </c>
      <c r="F721" s="17">
        <f t="shared" si="50"/>
        <v>2.8419103590648837E-3</v>
      </c>
      <c r="G721" s="29">
        <f t="shared" si="51"/>
        <v>2.8475977751669141</v>
      </c>
      <c r="H721" s="6"/>
    </row>
    <row r="722" spans="1:10" x14ac:dyDescent="0.2">
      <c r="A722" s="5" t="s">
        <v>1504</v>
      </c>
      <c r="B722" s="21"/>
      <c r="C722" s="30">
        <f>Otex!$B$141</f>
        <v>0</v>
      </c>
      <c r="D722" s="21"/>
      <c r="E722" s="25">
        <f>0.01*Input!$F$14*(C722*$C$699)+10*(B722*$B$699+D722*$D$699)</f>
        <v>0</v>
      </c>
      <c r="F722" s="17">
        <f t="shared" si="50"/>
        <v>0</v>
      </c>
      <c r="G722" s="29">
        <f t="shared" si="51"/>
        <v>0</v>
      </c>
      <c r="H722" s="6"/>
    </row>
    <row r="723" spans="1:10" x14ac:dyDescent="0.2">
      <c r="A723" s="5" t="s">
        <v>1505</v>
      </c>
      <c r="B723" s="21"/>
      <c r="C723" s="30">
        <f>Otex!$C$141</f>
        <v>0</v>
      </c>
      <c r="D723" s="21"/>
      <c r="E723" s="25">
        <f>0.01*Input!$F$14*(C723*$C$699)+10*(B723*$B$699+D723*$D$699)</f>
        <v>0</v>
      </c>
      <c r="F723" s="17">
        <f t="shared" si="50"/>
        <v>0</v>
      </c>
      <c r="G723" s="29">
        <f t="shared" si="51"/>
        <v>0</v>
      </c>
      <c r="H723" s="6"/>
    </row>
    <row r="724" spans="1:10" x14ac:dyDescent="0.2">
      <c r="A724" s="5" t="s">
        <v>1506</v>
      </c>
      <c r="B724" s="20">
        <f>Scaler!$B$427</f>
        <v>0</v>
      </c>
      <c r="C724" s="30">
        <f>Scaler!$E$427</f>
        <v>0</v>
      </c>
      <c r="D724" s="20">
        <f>Scaler!$G$427</f>
        <v>0</v>
      </c>
      <c r="E724" s="25">
        <f>0.01*Input!$F$14*(C724*$C$699)+10*(B724*$B$699+D724*$D$699)</f>
        <v>0</v>
      </c>
      <c r="F724" s="17">
        <f t="shared" si="50"/>
        <v>0</v>
      </c>
      <c r="G724" s="29">
        <f t="shared" si="51"/>
        <v>0</v>
      </c>
      <c r="H724" s="6"/>
    </row>
    <row r="725" spans="1:10" x14ac:dyDescent="0.2">
      <c r="A725" s="5" t="s">
        <v>1507</v>
      </c>
      <c r="B725" s="20">
        <f>Adjust!$B$93</f>
        <v>-8.3700820348031613E-6</v>
      </c>
      <c r="C725" s="30">
        <f>Adjust!$E$93</f>
        <v>0</v>
      </c>
      <c r="D725" s="20">
        <f>Adjust!$G$93</f>
        <v>4.3207368564310289E-4</v>
      </c>
      <c r="E725" s="25">
        <f>0.01*Input!$F$14*(C725*$C$699)+10*(B725*$B$699+D725*$D$699)</f>
        <v>5.7994453092598803</v>
      </c>
      <c r="F725" s="17">
        <f t="shared" si="50"/>
        <v>1.4840672467542041E-4</v>
      </c>
      <c r="G725" s="29">
        <f t="shared" si="51"/>
        <v>0.14870372587845848</v>
      </c>
      <c r="H725" s="6"/>
    </row>
    <row r="728" spans="1:10" x14ac:dyDescent="0.2">
      <c r="A728" s="5" t="s">
        <v>1508</v>
      </c>
      <c r="B728" s="17">
        <f>SUM($B$703:$B$725)</f>
        <v>-0.89800000000000002</v>
      </c>
      <c r="C728" s="29">
        <f>SUM($C$703:$C$725)</f>
        <v>0</v>
      </c>
      <c r="D728" s="17">
        <f>SUM($D$703:$D$725)</f>
        <v>0.22900000000000001</v>
      </c>
      <c r="E728" s="25">
        <f>SUM($E$703:$E$725)</f>
        <v>-31845.01303739885</v>
      </c>
      <c r="F728" s="17">
        <f>SUM($F$703:$F$725)</f>
        <v>-0.81490794896892549</v>
      </c>
      <c r="G728" s="29">
        <f>SUM($G$703:$G$725)</f>
        <v>-816.53879583073967</v>
      </c>
      <c r="H728" s="6"/>
    </row>
    <row r="730" spans="1:10" ht="16.5" x14ac:dyDescent="0.25">
      <c r="A730" s="3" t="s">
        <v>64</v>
      </c>
    </row>
    <row r="732" spans="1:10" ht="25.5" x14ac:dyDescent="0.2">
      <c r="B732" s="4" t="s">
        <v>105</v>
      </c>
      <c r="C732" s="4" t="s">
        <v>106</v>
      </c>
      <c r="D732" s="4" t="s">
        <v>107</v>
      </c>
      <c r="E732" s="4" t="s">
        <v>108</v>
      </c>
      <c r="F732" s="4" t="s">
        <v>110</v>
      </c>
      <c r="G732" s="4" t="s">
        <v>1489</v>
      </c>
      <c r="H732" s="4" t="s">
        <v>1490</v>
      </c>
    </row>
    <row r="733" spans="1:10" x14ac:dyDescent="0.2">
      <c r="A733" s="5" t="s">
        <v>64</v>
      </c>
      <c r="B733" s="27">
        <f>Loads!B$319</f>
        <v>38.187016590265401</v>
      </c>
      <c r="C733" s="27">
        <f>Loads!C$319</f>
        <v>77.674890534546904</v>
      </c>
      <c r="D733" s="27">
        <f>Loads!D$319</f>
        <v>115.07817629643461</v>
      </c>
      <c r="E733" s="27">
        <f>Loads!E$319</f>
        <v>6</v>
      </c>
      <c r="F733" s="27">
        <f>Loads!G$319</f>
        <v>26.176347095751652</v>
      </c>
      <c r="G733" s="27">
        <f>Multi!B$136</f>
        <v>230.94008342124692</v>
      </c>
      <c r="H733" s="17">
        <f>IF(E733,G733/E733,"")</f>
        <v>38.490013903541154</v>
      </c>
      <c r="I733" s="6"/>
    </row>
    <row r="736" spans="1:10" ht="25.5" x14ac:dyDescent="0.2">
      <c r="B736" s="4" t="s">
        <v>1319</v>
      </c>
      <c r="C736" s="4" t="s">
        <v>1320</v>
      </c>
      <c r="D736" s="4" t="s">
        <v>1321</v>
      </c>
      <c r="E736" s="4" t="s">
        <v>1322</v>
      </c>
      <c r="F736" s="4" t="s">
        <v>957</v>
      </c>
      <c r="G736" s="4" t="s">
        <v>1509</v>
      </c>
      <c r="H736" s="4" t="s">
        <v>1491</v>
      </c>
      <c r="I736" s="4" t="s">
        <v>1461</v>
      </c>
      <c r="J736" s="4" t="s">
        <v>1492</v>
      </c>
    </row>
    <row r="737" spans="1:11" x14ac:dyDescent="0.2">
      <c r="A737" s="5" t="s">
        <v>338</v>
      </c>
      <c r="B737" s="20">
        <f>Yard!$C$76</f>
        <v>-0.77454588427982929</v>
      </c>
      <c r="C737" s="20">
        <f>Yard!$C$108</f>
        <v>-6.7023624210186872E-2</v>
      </c>
      <c r="D737" s="20">
        <f>Yard!$C$131</f>
        <v>-1.0015647916151255E-2</v>
      </c>
      <c r="E737" s="21"/>
      <c r="F737" s="20">
        <f>Reactive!$C$86</f>
        <v>1.7478514412919074E-2</v>
      </c>
      <c r="G737" s="17">
        <f t="shared" ref="G737:G759" si="52">IF(G$733&lt;&gt;0,(($B737*B$733+$C737*C$733+$D737*D$733+$F737*F$733))/G$733,0)</f>
        <v>-0.15362732842952459</v>
      </c>
      <c r="H737" s="25">
        <f>0.01*Input!$F$14*(E737*$E$733)+10*(B737*$B$733+C737*$C$733+D737*$D$733+F737*$F$733)</f>
        <v>-354.78708043297706</v>
      </c>
      <c r="I737" s="17">
        <f t="shared" ref="I737:I759" si="53">IF($G$733&lt;&gt;0,0.1*H737/$G$733,"")</f>
        <v>-0.15362732842952459</v>
      </c>
      <c r="J737" s="29">
        <f t="shared" ref="J737:J759" si="54">IF($E$733&lt;&gt;0,H737/$E$733,"")</f>
        <v>-59.131180072162842</v>
      </c>
      <c r="K737" s="6"/>
    </row>
    <row r="738" spans="1:11" x14ac:dyDescent="0.2">
      <c r="A738" s="5" t="s">
        <v>339</v>
      </c>
      <c r="B738" s="20">
        <f>Yard!$D$76</f>
        <v>-0.71442935522671336</v>
      </c>
      <c r="C738" s="20">
        <f>Yard!$D$108</f>
        <v>-6.1821572616015397E-2</v>
      </c>
      <c r="D738" s="20">
        <f>Yard!$D$131</f>
        <v>-9.238281460325435E-3</v>
      </c>
      <c r="E738" s="21"/>
      <c r="F738" s="20">
        <f>Reactive!$D$86</f>
        <v>1.601847329576293E-2</v>
      </c>
      <c r="G738" s="17">
        <f t="shared" si="52"/>
        <v>-0.14171523845938011</v>
      </c>
      <c r="H738" s="25">
        <f>0.01*Input!$F$14*(E738*$E$733)+10*(B738*$B$733+C738*$C$733+D738*$D$733+F738*$F$733)</f>
        <v>-327.27728991871146</v>
      </c>
      <c r="I738" s="17">
        <f t="shared" si="53"/>
        <v>-0.14171523845938011</v>
      </c>
      <c r="J738" s="29">
        <f t="shared" si="54"/>
        <v>-54.546214986451908</v>
      </c>
      <c r="K738" s="6"/>
    </row>
    <row r="739" spans="1:11" x14ac:dyDescent="0.2">
      <c r="A739" s="5" t="s">
        <v>340</v>
      </c>
      <c r="B739" s="20">
        <f>Yard!$E$76</f>
        <v>-0.9816504509034597</v>
      </c>
      <c r="C739" s="20">
        <f>Yard!$E$108</f>
        <v>-0.11285334499428532</v>
      </c>
      <c r="D739" s="20">
        <f>Yard!$E$131</f>
        <v>-1.5157319075734586E-2</v>
      </c>
      <c r="E739" s="21"/>
      <c r="F739" s="20">
        <f>Reactive!$E$86</f>
        <v>2.4416089461210731E-2</v>
      </c>
      <c r="G739" s="17">
        <f t="shared" si="52"/>
        <v>-0.20506325786381288</v>
      </c>
      <c r="H739" s="25">
        <f>0.01*Input!$F$14*(E739*$E$733)+10*(B739*$B$733+C739*$C$733+D739*$D$733+F739*$F$733)</f>
        <v>-473.57325877701618</v>
      </c>
      <c r="I739" s="17">
        <f t="shared" si="53"/>
        <v>-0.20506325786381288</v>
      </c>
      <c r="J739" s="29">
        <f t="shared" si="54"/>
        <v>-78.92887646283603</v>
      </c>
      <c r="K739" s="6"/>
    </row>
    <row r="740" spans="1:11" x14ac:dyDescent="0.2">
      <c r="A740" s="5" t="s">
        <v>341</v>
      </c>
      <c r="B740" s="20">
        <f>Yard!$F$76</f>
        <v>-1.2155803890281713</v>
      </c>
      <c r="C740" s="20">
        <f>Yard!$F$108</f>
        <v>-0.13974660011109694</v>
      </c>
      <c r="D740" s="20">
        <f>Yard!$F$131</f>
        <v>-1.8769348908003067E-2</v>
      </c>
      <c r="E740" s="21"/>
      <c r="F740" s="20">
        <f>Reactive!$F$86</f>
        <v>3.1776431485714317E-2</v>
      </c>
      <c r="G740" s="17">
        <f t="shared" si="52"/>
        <v>-0.25375561064685714</v>
      </c>
      <c r="H740" s="25">
        <f>0.01*Input!$F$14*(E740*$E$733)+10*(B740*$B$733+C740*$C$733+D740*$D$733+F740*$F$733)</f>
        <v>-586.02341891394644</v>
      </c>
      <c r="I740" s="17">
        <f t="shared" si="53"/>
        <v>-0.25375561064685714</v>
      </c>
      <c r="J740" s="29">
        <f t="shared" si="54"/>
        <v>-97.670569818991069</v>
      </c>
      <c r="K740" s="6"/>
    </row>
    <row r="741" spans="1:11" x14ac:dyDescent="0.2">
      <c r="A741" s="5" t="s">
        <v>342</v>
      </c>
      <c r="B741" s="20">
        <f>Yard!$G$76</f>
        <v>0</v>
      </c>
      <c r="C741" s="20">
        <f>Yard!$G$108</f>
        <v>0</v>
      </c>
      <c r="D741" s="20">
        <f>Yard!$G$131</f>
        <v>0</v>
      </c>
      <c r="E741" s="21"/>
      <c r="F741" s="20">
        <f>Reactive!$G$86</f>
        <v>0</v>
      </c>
      <c r="G741" s="17">
        <f t="shared" si="52"/>
        <v>0</v>
      </c>
      <c r="H741" s="25">
        <f>0.01*Input!$F$14*(E741*$E$733)+10*(B741*$B$733+C741*$C$733+D741*$D$733+F741*$F$733)</f>
        <v>0</v>
      </c>
      <c r="I741" s="17">
        <f t="shared" si="53"/>
        <v>0</v>
      </c>
      <c r="J741" s="29">
        <f t="shared" si="54"/>
        <v>0</v>
      </c>
      <c r="K741" s="6"/>
    </row>
    <row r="742" spans="1:11" x14ac:dyDescent="0.2">
      <c r="A742" s="5" t="s">
        <v>343</v>
      </c>
      <c r="B742" s="20">
        <f>Yard!$H$76</f>
        <v>-1.2361648136803307</v>
      </c>
      <c r="C742" s="20">
        <f>Yard!$H$108</f>
        <v>-0.14211304447491402</v>
      </c>
      <c r="D742" s="20">
        <f>Yard!$H$131</f>
        <v>-1.9087185763429604E-2</v>
      </c>
      <c r="E742" s="21"/>
      <c r="F742" s="20">
        <f>Reactive!$H$86</f>
        <v>3.2314527991330978E-2</v>
      </c>
      <c r="G742" s="17">
        <f t="shared" si="52"/>
        <v>-0.25805266355637219</v>
      </c>
      <c r="H742" s="25">
        <f>0.01*Input!$F$14*(E742*$E$733)+10*(B742*$B$733+C742*$C$733+D742*$D$733+F742*$F$733)</f>
        <v>-595.94703648783559</v>
      </c>
      <c r="I742" s="17">
        <f t="shared" si="53"/>
        <v>-0.25805266355637219</v>
      </c>
      <c r="J742" s="29">
        <f t="shared" si="54"/>
        <v>-99.324506081305927</v>
      </c>
      <c r="K742" s="6"/>
    </row>
    <row r="743" spans="1:11" x14ac:dyDescent="0.2">
      <c r="A743" s="5" t="s">
        <v>344</v>
      </c>
      <c r="B743" s="20">
        <f>Yard!$I$76</f>
        <v>-1.0684822452025611</v>
      </c>
      <c r="C743" s="20">
        <f>Yard!$I$108</f>
        <v>-0.12283577655074268</v>
      </c>
      <c r="D743" s="20">
        <f>Yard!$I$131</f>
        <v>-1.6498058247095153E-2</v>
      </c>
      <c r="E743" s="21"/>
      <c r="F743" s="20">
        <f>Reactive!$I$86</f>
        <v>2.7931145619686803E-2</v>
      </c>
      <c r="G743" s="17">
        <f t="shared" si="52"/>
        <v>-0.22304848535230626</v>
      </c>
      <c r="H743" s="25">
        <f>0.01*Input!$F$14*(E743*$E$733)+10*(B743*$B$733+C743*$C$733+D743*$D$733+F743*$F$733)</f>
        <v>-515.10835814244376</v>
      </c>
      <c r="I743" s="17">
        <f t="shared" si="53"/>
        <v>-0.22304848535230626</v>
      </c>
      <c r="J743" s="29">
        <f t="shared" si="54"/>
        <v>-85.851393023740627</v>
      </c>
      <c r="K743" s="6"/>
    </row>
    <row r="744" spans="1:11" x14ac:dyDescent="0.2">
      <c r="A744" s="5" t="s">
        <v>345</v>
      </c>
      <c r="B744" s="20">
        <f>Yard!$J$76</f>
        <v>0</v>
      </c>
      <c r="C744" s="20">
        <f>Yard!$J$108</f>
        <v>0</v>
      </c>
      <c r="D744" s="20">
        <f>Yard!$J$131</f>
        <v>0</v>
      </c>
      <c r="E744" s="21"/>
      <c r="F744" s="20">
        <f>Reactive!$J$86</f>
        <v>7.1170382598340716E-4</v>
      </c>
      <c r="G744" s="17">
        <f t="shared" si="52"/>
        <v>8.066943642838453E-5</v>
      </c>
      <c r="H744" s="25">
        <f>0.01*Input!$F$14*(E744*$E$733)+10*(B744*$B$733+C744*$C$733+D744*$D$733+F744*$F$733)</f>
        <v>0.18629806378316099</v>
      </c>
      <c r="I744" s="17">
        <f t="shared" si="53"/>
        <v>8.066943642838453E-5</v>
      </c>
      <c r="J744" s="29">
        <f t="shared" si="54"/>
        <v>3.10496772971935E-2</v>
      </c>
      <c r="K744" s="6"/>
    </row>
    <row r="745" spans="1:11" x14ac:dyDescent="0.2">
      <c r="A745" s="5" t="s">
        <v>1493</v>
      </c>
      <c r="B745" s="21"/>
      <c r="C745" s="21"/>
      <c r="D745" s="21"/>
      <c r="E745" s="30">
        <f>SM!$B$129</f>
        <v>0</v>
      </c>
      <c r="F745" s="21"/>
      <c r="G745" s="17">
        <f t="shared" si="52"/>
        <v>0</v>
      </c>
      <c r="H745" s="25">
        <f>0.01*Input!$F$14*(E745*$E$733)+10*(B745*$B$733+C745*$C$733+D745*$D$733+F745*$F$733)</f>
        <v>0</v>
      </c>
      <c r="I745" s="17">
        <f t="shared" si="53"/>
        <v>0</v>
      </c>
      <c r="J745" s="29">
        <f t="shared" si="54"/>
        <v>0</v>
      </c>
      <c r="K745" s="6"/>
    </row>
    <row r="746" spans="1:11" x14ac:dyDescent="0.2">
      <c r="A746" s="5" t="s">
        <v>1494</v>
      </c>
      <c r="B746" s="21"/>
      <c r="C746" s="21"/>
      <c r="D746" s="21"/>
      <c r="E746" s="30">
        <f>SM!$C$129</f>
        <v>0</v>
      </c>
      <c r="F746" s="21"/>
      <c r="G746" s="17">
        <f t="shared" si="52"/>
        <v>0</v>
      </c>
      <c r="H746" s="25">
        <f>0.01*Input!$F$14*(E746*$E$733)+10*(B746*$B$733+C746*$C$733+D746*$D$733+F746*$F$733)</f>
        <v>0</v>
      </c>
      <c r="I746" s="17">
        <f t="shared" si="53"/>
        <v>0</v>
      </c>
      <c r="J746" s="29">
        <f t="shared" si="54"/>
        <v>0</v>
      </c>
      <c r="K746" s="6"/>
    </row>
    <row r="747" spans="1:11" x14ac:dyDescent="0.2">
      <c r="A747" s="5" t="s">
        <v>1495</v>
      </c>
      <c r="B747" s="20">
        <f>Yard!$K$76</f>
        <v>-0.61184780347932377</v>
      </c>
      <c r="C747" s="20">
        <f>Yard!$K$108</f>
        <v>-3.3356653430540971E-2</v>
      </c>
      <c r="D747" s="20">
        <f>Yard!$K$131</f>
        <v>-5.8952987547083039E-3</v>
      </c>
      <c r="E747" s="21"/>
      <c r="F747" s="20">
        <f>Reactive!$K$86</f>
        <v>1.2063756950680311E-2</v>
      </c>
      <c r="G747" s="17">
        <f t="shared" si="52"/>
        <v>-0.11396138503244267</v>
      </c>
      <c r="H747" s="25">
        <f>0.01*Input!$F$14*(E747*$E$733)+10*(B747*$B$733+C747*$C$733+D747*$D$733+F747*$F$733)</f>
        <v>-263.18251766193151</v>
      </c>
      <c r="I747" s="17">
        <f t="shared" si="53"/>
        <v>-0.11396138503244269</v>
      </c>
      <c r="J747" s="29">
        <f t="shared" si="54"/>
        <v>-43.86375294365525</v>
      </c>
      <c r="K747" s="6"/>
    </row>
    <row r="748" spans="1:11" x14ac:dyDescent="0.2">
      <c r="A748" s="5" t="s">
        <v>1496</v>
      </c>
      <c r="B748" s="20">
        <f>Yard!$L$76</f>
        <v>-0.25571457544169063</v>
      </c>
      <c r="C748" s="20">
        <f>Yard!$L$108</f>
        <v>-2.2127698251740203E-2</v>
      </c>
      <c r="D748" s="20">
        <f>Yard!$L$131</f>
        <v>-3.3066435528650694E-3</v>
      </c>
      <c r="E748" s="21"/>
      <c r="F748" s="20">
        <f>Reactive!$L$86</f>
        <v>5.7704920820886062E-3</v>
      </c>
      <c r="G748" s="17">
        <f t="shared" si="52"/>
        <v>-5.0719715723651276E-2</v>
      </c>
      <c r="H748" s="25">
        <f>0.01*Input!$F$14*(E748*$E$733)+10*(B748*$B$733+C748*$C$733+D748*$D$733+F748*$F$733)</f>
        <v>-117.13215380321955</v>
      </c>
      <c r="I748" s="17">
        <f t="shared" si="53"/>
        <v>-5.0719715723651276E-2</v>
      </c>
      <c r="J748" s="29">
        <f t="shared" si="54"/>
        <v>-19.522025633869927</v>
      </c>
      <c r="K748" s="6"/>
    </row>
    <row r="749" spans="1:11" x14ac:dyDescent="0.2">
      <c r="A749" s="5" t="s">
        <v>1497</v>
      </c>
      <c r="B749" s="20">
        <f>Yard!$M$76</f>
        <v>-0.23586723906582302</v>
      </c>
      <c r="C749" s="20">
        <f>Yard!$M$108</f>
        <v>-2.0410252659648298E-2</v>
      </c>
      <c r="D749" s="20">
        <f>Yard!$M$131</f>
        <v>-3.0499977720938759E-3</v>
      </c>
      <c r="E749" s="21"/>
      <c r="F749" s="20">
        <f>Reactive!$M$86</f>
        <v>5.2884628027669066E-3</v>
      </c>
      <c r="G749" s="17">
        <f t="shared" si="52"/>
        <v>-4.6786966107182838E-2</v>
      </c>
      <c r="H749" s="25">
        <f>0.01*Input!$F$14*(E749*$E$733)+10*(B749*$B$733+C749*$C$733+D749*$D$733+F749*$F$733)</f>
        <v>-108.04985855819858</v>
      </c>
      <c r="I749" s="17">
        <f t="shared" si="53"/>
        <v>-4.6786966107182838E-2</v>
      </c>
      <c r="J749" s="29">
        <f t="shared" si="54"/>
        <v>-18.008309759699763</v>
      </c>
      <c r="K749" s="6"/>
    </row>
    <row r="750" spans="1:11" x14ac:dyDescent="0.2">
      <c r="A750" s="5" t="s">
        <v>1498</v>
      </c>
      <c r="B750" s="20">
        <f>Yard!$N$76</f>
        <v>-0.32408968064987165</v>
      </c>
      <c r="C750" s="20">
        <f>Yard!$N$108</f>
        <v>-3.7258277124822152E-2</v>
      </c>
      <c r="D750" s="20">
        <f>Yard!$N$131</f>
        <v>-5.0041546807643982E-3</v>
      </c>
      <c r="E750" s="21"/>
      <c r="F750" s="20">
        <f>Reactive!$N$86</f>
        <v>8.0609168252505463E-3</v>
      </c>
      <c r="G750" s="17">
        <f t="shared" si="52"/>
        <v>-6.7701171728633255E-2</v>
      </c>
      <c r="H750" s="25">
        <f>0.01*Input!$F$14*(E750*$E$733)+10*(B750*$B$733+C750*$C$733+D750*$D$733+F750*$F$733)</f>
        <v>-156.34914246726728</v>
      </c>
      <c r="I750" s="17">
        <f t="shared" si="53"/>
        <v>-6.7701171728633269E-2</v>
      </c>
      <c r="J750" s="29">
        <f t="shared" si="54"/>
        <v>-26.058190411211214</v>
      </c>
      <c r="K750" s="6"/>
    </row>
    <row r="751" spans="1:11" x14ac:dyDescent="0.2">
      <c r="A751" s="5" t="s">
        <v>1499</v>
      </c>
      <c r="B751" s="20">
        <f>Yard!$O$76</f>
        <v>-0.40132112171069595</v>
      </c>
      <c r="C751" s="20">
        <f>Yard!$O$108</f>
        <v>-4.6137024599976297E-2</v>
      </c>
      <c r="D751" s="20">
        <f>Yard!$O$131</f>
        <v>-6.196658177055084E-3</v>
      </c>
      <c r="E751" s="21"/>
      <c r="F751" s="20">
        <f>Reactive!$O$86</f>
        <v>1.0490917131367447E-2</v>
      </c>
      <c r="G751" s="17">
        <f t="shared" si="52"/>
        <v>-8.3776842094825221E-2</v>
      </c>
      <c r="H751" s="25">
        <f>0.01*Input!$F$14*(E751*$E$733)+10*(B751*$B$733+C751*$C$733+D751*$D$733+F751*$F$733)</f>
        <v>-193.47430902147568</v>
      </c>
      <c r="I751" s="17">
        <f t="shared" si="53"/>
        <v>-8.3776842094825221E-2</v>
      </c>
      <c r="J751" s="29">
        <f t="shared" si="54"/>
        <v>-32.245718170245944</v>
      </c>
      <c r="K751" s="6"/>
    </row>
    <row r="752" spans="1:11" x14ac:dyDescent="0.2">
      <c r="A752" s="5" t="s">
        <v>1500</v>
      </c>
      <c r="B752" s="20">
        <f>Yard!$P$76</f>
        <v>0</v>
      </c>
      <c r="C752" s="20">
        <f>Yard!$P$108</f>
        <v>0</v>
      </c>
      <c r="D752" s="20">
        <f>Yard!$P$131</f>
        <v>0</v>
      </c>
      <c r="E752" s="21"/>
      <c r="F752" s="20">
        <f>Reactive!$P$86</f>
        <v>0</v>
      </c>
      <c r="G752" s="17">
        <f t="shared" si="52"/>
        <v>0</v>
      </c>
      <c r="H752" s="25">
        <f>0.01*Input!$F$14*(E752*$E$733)+10*(B752*$B$733+C752*$C$733+D752*$D$733+F752*$F$733)</f>
        <v>0</v>
      </c>
      <c r="I752" s="17">
        <f t="shared" si="53"/>
        <v>0</v>
      </c>
      <c r="J752" s="29">
        <f t="shared" si="54"/>
        <v>0</v>
      </c>
      <c r="K752" s="6"/>
    </row>
    <row r="753" spans="1:11" x14ac:dyDescent="0.2">
      <c r="A753" s="5" t="s">
        <v>1501</v>
      </c>
      <c r="B753" s="20">
        <f>Yard!$Q$76</f>
        <v>-0.58302431863973769</v>
      </c>
      <c r="C753" s="20">
        <f>Yard!$Q$108</f>
        <v>-6.7026144093300266E-2</v>
      </c>
      <c r="D753" s="20">
        <f>Yard!$Q$131</f>
        <v>-9.0022732821057293E-3</v>
      </c>
      <c r="E753" s="21"/>
      <c r="F753" s="20">
        <f>Reactive!$Q$86</f>
        <v>1.5240812111630362E-2</v>
      </c>
      <c r="G753" s="17">
        <f t="shared" si="52"/>
        <v>-0.12170786344840069</v>
      </c>
      <c r="H753" s="25">
        <f>0.01*Input!$F$14*(E753*$E$733)+10*(B753*$B$733+C753*$C$733+D753*$D$733+F753*$F$733)</f>
        <v>-281.07224137795384</v>
      </c>
      <c r="I753" s="17">
        <f t="shared" si="53"/>
        <v>-0.12170786344840069</v>
      </c>
      <c r="J753" s="29">
        <f t="shared" si="54"/>
        <v>-46.845373562992307</v>
      </c>
      <c r="K753" s="6"/>
    </row>
    <row r="754" spans="1:11" x14ac:dyDescent="0.2">
      <c r="A754" s="5" t="s">
        <v>1502</v>
      </c>
      <c r="B754" s="20">
        <f>Yard!$R$76</f>
        <v>-0.50393857363826733</v>
      </c>
      <c r="C754" s="20">
        <f>Yard!$R$108</f>
        <v>-5.7934220530725777E-2</v>
      </c>
      <c r="D754" s="20">
        <f>Yard!$R$131</f>
        <v>-7.7811381313744026E-3</v>
      </c>
      <c r="E754" s="21"/>
      <c r="F754" s="20">
        <f>Reactive!$R$86</f>
        <v>1.3173435260030252E-2</v>
      </c>
      <c r="G754" s="17">
        <f t="shared" si="52"/>
        <v>-0.10519850569843402</v>
      </c>
      <c r="H754" s="25">
        <f>0.01*Input!$F$14*(E754*$E$733)+10*(B754*$B$733+C754*$C$733+D754*$D$733+F754*$F$733)</f>
        <v>-242.94551681786871</v>
      </c>
      <c r="I754" s="17">
        <f t="shared" si="53"/>
        <v>-0.10519850569843402</v>
      </c>
      <c r="J754" s="29">
        <f t="shared" si="54"/>
        <v>-40.490919469644787</v>
      </c>
      <c r="K754" s="6"/>
    </row>
    <row r="755" spans="1:11" x14ac:dyDescent="0.2">
      <c r="A755" s="5" t="s">
        <v>1503</v>
      </c>
      <c r="B755" s="20">
        <f>Yard!$S$76</f>
        <v>0</v>
      </c>
      <c r="C755" s="20">
        <f>Yard!$S$108</f>
        <v>0</v>
      </c>
      <c r="D755" s="20">
        <f>Yard!$S$131</f>
        <v>0</v>
      </c>
      <c r="E755" s="21"/>
      <c r="F755" s="20">
        <f>Reactive!$S$86</f>
        <v>7.832247057934269E-3</v>
      </c>
      <c r="G755" s="17">
        <f t="shared" si="52"/>
        <v>8.8776107850537357E-4</v>
      </c>
      <c r="H755" s="25">
        <f>0.01*Input!$F$14*(E755*$E$733)+10*(B755*$B$733+C755*$C$733+D755*$D$733+F755*$F$733)</f>
        <v>2.0501961752816711</v>
      </c>
      <c r="I755" s="17">
        <f t="shared" si="53"/>
        <v>8.8776107850537357E-4</v>
      </c>
      <c r="J755" s="29">
        <f t="shared" si="54"/>
        <v>0.34169936254694516</v>
      </c>
      <c r="K755" s="6"/>
    </row>
    <row r="756" spans="1:11" x14ac:dyDescent="0.2">
      <c r="A756" s="5" t="s">
        <v>1504</v>
      </c>
      <c r="B756" s="21"/>
      <c r="C756" s="21"/>
      <c r="D756" s="21"/>
      <c r="E756" s="30">
        <f>Otex!$B$142</f>
        <v>0</v>
      </c>
      <c r="F756" s="21"/>
      <c r="G756" s="17">
        <f t="shared" si="52"/>
        <v>0</v>
      </c>
      <c r="H756" s="25">
        <f>0.01*Input!$F$14*(E756*$E$733)+10*(B756*$B$733+C756*$C$733+D756*$D$733+F756*$F$733)</f>
        <v>0</v>
      </c>
      <c r="I756" s="17">
        <f t="shared" si="53"/>
        <v>0</v>
      </c>
      <c r="J756" s="29">
        <f t="shared" si="54"/>
        <v>0</v>
      </c>
      <c r="K756" s="6"/>
    </row>
    <row r="757" spans="1:11" x14ac:dyDescent="0.2">
      <c r="A757" s="5" t="s">
        <v>1505</v>
      </c>
      <c r="B757" s="21"/>
      <c r="C757" s="21"/>
      <c r="D757" s="21"/>
      <c r="E757" s="30">
        <f>Otex!$C$142</f>
        <v>0</v>
      </c>
      <c r="F757" s="21"/>
      <c r="G757" s="17">
        <f t="shared" si="52"/>
        <v>0</v>
      </c>
      <c r="H757" s="25">
        <f>0.01*Input!$F$14*(E757*$E$733)+10*(B757*$B$733+C757*$C$733+D757*$D$733+F757*$F$733)</f>
        <v>0</v>
      </c>
      <c r="I757" s="17">
        <f t="shared" si="53"/>
        <v>0</v>
      </c>
      <c r="J757" s="29">
        <f t="shared" si="54"/>
        <v>0</v>
      </c>
      <c r="K757" s="6"/>
    </row>
    <row r="758" spans="1:11" x14ac:dyDescent="0.2">
      <c r="A758" s="5" t="s">
        <v>1506</v>
      </c>
      <c r="B758" s="20">
        <f>Scaler!$B$428</f>
        <v>0</v>
      </c>
      <c r="C758" s="20">
        <f>Scaler!$C$428</f>
        <v>0</v>
      </c>
      <c r="D758" s="20">
        <f>Scaler!$D$428</f>
        <v>0</v>
      </c>
      <c r="E758" s="30">
        <f>Scaler!$E$428</f>
        <v>0</v>
      </c>
      <c r="F758" s="20">
        <f>Scaler!$G$428</f>
        <v>0</v>
      </c>
      <c r="G758" s="17">
        <f t="shared" si="52"/>
        <v>0</v>
      </c>
      <c r="H758" s="25">
        <f>0.01*Input!$F$14*(E758*$E$733)+10*(B758*$B$733+C758*$C$733+D758*$D$733+F758*$F$733)</f>
        <v>0</v>
      </c>
      <c r="I758" s="17">
        <f t="shared" si="53"/>
        <v>0</v>
      </c>
      <c r="J758" s="29">
        <f t="shared" si="54"/>
        <v>0</v>
      </c>
      <c r="K758" s="6"/>
    </row>
    <row r="759" spans="1:11" x14ac:dyDescent="0.2">
      <c r="A759" s="5" t="s">
        <v>1507</v>
      </c>
      <c r="B759" s="20">
        <f>Adjust!$B$94</f>
        <v>-3.435490535235175E-4</v>
      </c>
      <c r="C759" s="20">
        <f>Adjust!$C$94</f>
        <v>-3.557663520048493E-4</v>
      </c>
      <c r="D759" s="20">
        <f>Adjust!$D$94</f>
        <v>2.0057217059443744E-6</v>
      </c>
      <c r="E759" s="30">
        <f>Adjust!$E$94</f>
        <v>0</v>
      </c>
      <c r="F759" s="20">
        <f>Adjust!$G$94</f>
        <v>4.3207368564310289E-4</v>
      </c>
      <c r="G759" s="17">
        <f t="shared" si="52"/>
        <v>-1.2649298406386519E-4</v>
      </c>
      <c r="H759" s="25">
        <f>0.01*Input!$F$14*(E759*$E$733)+10*(B759*$B$733+C759*$C$733+D759*$D$733+F759*$F$733)</f>
        <v>-0.29212300291911486</v>
      </c>
      <c r="I759" s="17">
        <f t="shared" si="53"/>
        <v>-1.2649298406386519E-4</v>
      </c>
      <c r="J759" s="29">
        <f t="shared" si="54"/>
        <v>-4.8687167153185808E-2</v>
      </c>
      <c r="K759" s="6"/>
    </row>
    <row r="762" spans="1:11" x14ac:dyDescent="0.2">
      <c r="A762" s="5" t="s">
        <v>1508</v>
      </c>
      <c r="B762" s="17">
        <f>SUM($B$737:$B$759)</f>
        <v>-8.907</v>
      </c>
      <c r="C762" s="17">
        <f>SUM($C$737:$C$759)</f>
        <v>-0.93100000000000005</v>
      </c>
      <c r="D762" s="17">
        <f>SUM($D$737:$D$759)</f>
        <v>-0.129</v>
      </c>
      <c r="E762" s="29">
        <f>SUM($E$737:$E$759)</f>
        <v>0</v>
      </c>
      <c r="F762" s="17">
        <f>SUM($F$737:$F$759)</f>
        <v>0.22900000000000001</v>
      </c>
      <c r="G762" s="17">
        <f>SUM(G$737:G$759)</f>
        <v>-1.8242730966109533</v>
      </c>
      <c r="H762" s="25">
        <f>SUM($H$737:$H$759)</f>
        <v>-4212.9778111446994</v>
      </c>
      <c r="I762" s="17">
        <f>SUM($I$737:$I$759)</f>
        <v>-1.8242730966109533</v>
      </c>
      <c r="J762" s="29">
        <f>SUM($J$737:$J$759)</f>
        <v>-702.16296852411665</v>
      </c>
      <c r="K762" s="6"/>
    </row>
    <row r="764" spans="1:11" ht="16.5" x14ac:dyDescent="0.25">
      <c r="A764" s="3" t="s">
        <v>65</v>
      </c>
    </row>
    <row r="766" spans="1:11" ht="25.5" x14ac:dyDescent="0.2">
      <c r="B766" s="4" t="s">
        <v>105</v>
      </c>
      <c r="C766" s="4" t="s">
        <v>108</v>
      </c>
      <c r="D766" s="4" t="s">
        <v>110</v>
      </c>
      <c r="E766" s="4" t="s">
        <v>1489</v>
      </c>
      <c r="F766" s="4" t="s">
        <v>1490</v>
      </c>
    </row>
    <row r="767" spans="1:11" x14ac:dyDescent="0.2">
      <c r="A767" s="5" t="s">
        <v>65</v>
      </c>
      <c r="B767" s="27">
        <f>Loads!B$320</f>
        <v>162.80251073502833</v>
      </c>
      <c r="C767" s="27">
        <f>Loads!E$320</f>
        <v>3</v>
      </c>
      <c r="D767" s="27">
        <f>Loads!G$320</f>
        <v>9.3101171097353372</v>
      </c>
      <c r="E767" s="27">
        <f>Multi!B$137</f>
        <v>162.80251073502833</v>
      </c>
      <c r="F767" s="17">
        <f>IF(C767,E767/C767,"")</f>
        <v>54.267503578342776</v>
      </c>
      <c r="G767" s="6"/>
    </row>
    <row r="770" spans="1:8" ht="25.5" x14ac:dyDescent="0.2">
      <c r="B770" s="4" t="s">
        <v>1319</v>
      </c>
      <c r="C770" s="4" t="s">
        <v>1322</v>
      </c>
      <c r="D770" s="4" t="s">
        <v>957</v>
      </c>
      <c r="E770" s="4" t="s">
        <v>1491</v>
      </c>
      <c r="F770" s="4" t="s">
        <v>1461</v>
      </c>
      <c r="G770" s="4" t="s">
        <v>1492</v>
      </c>
    </row>
    <row r="771" spans="1:8" x14ac:dyDescent="0.2">
      <c r="A771" s="5" t="s">
        <v>338</v>
      </c>
      <c r="B771" s="20">
        <f>Yard!$C$45</f>
        <v>-6.9747863657946316E-2</v>
      </c>
      <c r="C771" s="21"/>
      <c r="D771" s="20">
        <f>Reactive!$C$87</f>
        <v>1.6685478368775736E-2</v>
      </c>
      <c r="E771" s="25">
        <f>0.01*Input!$F$14*(C771*$C$767)+10*(B771*$B$767+D771*$D$767)</f>
        <v>-111.9978356427284</v>
      </c>
      <c r="F771" s="17">
        <f t="shared" ref="F771:F793" si="55">IF($E$767&lt;&gt;0,0.1*E771/$E$767,"")</f>
        <v>-6.8793678388051505E-2</v>
      </c>
      <c r="G771" s="29">
        <f t="shared" ref="G771:G793" si="56">IF($C$767&lt;&gt;0,E771/$C$767,"")</f>
        <v>-37.332611880909468</v>
      </c>
      <c r="H771" s="6"/>
    </row>
    <row r="772" spans="1:8" x14ac:dyDescent="0.2">
      <c r="A772" s="5" t="s">
        <v>339</v>
      </c>
      <c r="B772" s="20">
        <f>Yard!$D$45</f>
        <v>-6.4334369690594931E-2</v>
      </c>
      <c r="C772" s="21"/>
      <c r="D772" s="20">
        <f>Reactive!$D$87</f>
        <v>1.5291682311381673E-2</v>
      </c>
      <c r="E772" s="25">
        <f>0.01*Input!$F$14*(C772*$C$767)+10*(B772*$B$767+D772*$D$767)</f>
        <v>-103.3142955906053</v>
      </c>
      <c r="F772" s="17">
        <f t="shared" si="55"/>
        <v>-6.3459890835931912E-2</v>
      </c>
      <c r="G772" s="29">
        <f t="shared" si="56"/>
        <v>-34.438098530201763</v>
      </c>
      <c r="H772" s="6"/>
    </row>
    <row r="773" spans="1:8" x14ac:dyDescent="0.2">
      <c r="A773" s="5" t="s">
        <v>340</v>
      </c>
      <c r="B773" s="20">
        <f>Yard!$E$45</f>
        <v>-9.806138804823944E-2</v>
      </c>
      <c r="C773" s="21"/>
      <c r="D773" s="20">
        <f>Reactive!$E$87</f>
        <v>2.3308281409431655E-2</v>
      </c>
      <c r="E773" s="25">
        <f>0.01*Input!$F$14*(C773*$C$767)+10*(B773*$B$767+D773*$D$767)</f>
        <v>-157.47637350866805</v>
      </c>
      <c r="F773" s="17">
        <f t="shared" si="55"/>
        <v>-9.672846739137278E-2</v>
      </c>
      <c r="G773" s="29">
        <f t="shared" si="56"/>
        <v>-52.492124502889347</v>
      </c>
      <c r="H773" s="6"/>
    </row>
    <row r="774" spans="1:8" x14ac:dyDescent="0.2">
      <c r="A774" s="5" t="s">
        <v>341</v>
      </c>
      <c r="B774" s="20">
        <f>Yard!$F$45</f>
        <v>-0.1214296801092635</v>
      </c>
      <c r="C774" s="21"/>
      <c r="D774" s="20">
        <f>Reactive!$F$87</f>
        <v>3.0334669621571202E-2</v>
      </c>
      <c r="E774" s="25">
        <f>0.01*Input!$F$14*(C774*$C$767)+10*(B774*$B$767+D774*$D$767)</f>
        <v>-194.8663747287747</v>
      </c>
      <c r="F774" s="17">
        <f t="shared" si="55"/>
        <v>-0.11969494441393008</v>
      </c>
      <c r="G774" s="29">
        <f t="shared" si="56"/>
        <v>-64.955458242924905</v>
      </c>
      <c r="H774" s="6"/>
    </row>
    <row r="775" spans="1:8" x14ac:dyDescent="0.2">
      <c r="A775" s="5" t="s">
        <v>342</v>
      </c>
      <c r="B775" s="20">
        <f>Yard!$G$45</f>
        <v>0</v>
      </c>
      <c r="C775" s="21"/>
      <c r="D775" s="20">
        <f>Reactive!$G$87</f>
        <v>0</v>
      </c>
      <c r="E775" s="25">
        <f>0.01*Input!$F$14*(C775*$C$767)+10*(B775*$B$767+D775*$D$767)</f>
        <v>0</v>
      </c>
      <c r="F775" s="17">
        <f t="shared" si="55"/>
        <v>0</v>
      </c>
      <c r="G775" s="29">
        <f t="shared" si="56"/>
        <v>0</v>
      </c>
      <c r="H775" s="6"/>
    </row>
    <row r="776" spans="1:8" x14ac:dyDescent="0.2">
      <c r="A776" s="5" t="s">
        <v>343</v>
      </c>
      <c r="B776" s="20">
        <f>Yard!$H$45</f>
        <v>-0.12348594896923028</v>
      </c>
      <c r="C776" s="21"/>
      <c r="D776" s="20">
        <f>Reactive!$H$87</f>
        <v>3.0848351585190725E-2</v>
      </c>
      <c r="E776" s="25">
        <f>0.01*Input!$F$14*(C776*$C$767)+10*(B776*$B$767+D776*$D$767)</f>
        <v>-198.16620766787855</v>
      </c>
      <c r="F776" s="17">
        <f t="shared" si="55"/>
        <v>-0.12172183756453667</v>
      </c>
      <c r="G776" s="29">
        <f t="shared" si="56"/>
        <v>-66.055402555959517</v>
      </c>
      <c r="H776" s="6"/>
    </row>
    <row r="777" spans="1:8" x14ac:dyDescent="0.2">
      <c r="A777" s="5" t="s">
        <v>344</v>
      </c>
      <c r="B777" s="20">
        <f>Yard!$I$45</f>
        <v>0</v>
      </c>
      <c r="C777" s="21"/>
      <c r="D777" s="20">
        <f>Reactive!$I$87</f>
        <v>1.1427365254826503E-3</v>
      </c>
      <c r="E777" s="25">
        <f>0.01*Input!$F$14*(C777*$C$767)+10*(B777*$B$767+D777*$D$767)</f>
        <v>0.10639010877815534</v>
      </c>
      <c r="F777" s="17">
        <f t="shared" si="55"/>
        <v>6.5349181838670885E-5</v>
      </c>
      <c r="G777" s="29">
        <f t="shared" si="56"/>
        <v>3.5463369592718445E-2</v>
      </c>
      <c r="H777" s="6"/>
    </row>
    <row r="778" spans="1:8" x14ac:dyDescent="0.2">
      <c r="A778" s="5" t="s">
        <v>345</v>
      </c>
      <c r="B778" s="20">
        <f>Yard!$J$45</f>
        <v>0</v>
      </c>
      <c r="C778" s="21"/>
      <c r="D778" s="20">
        <f>Reactive!$J$87</f>
        <v>0</v>
      </c>
      <c r="E778" s="25">
        <f>0.01*Input!$F$14*(C778*$C$767)+10*(B778*$B$767+D778*$D$767)</f>
        <v>0</v>
      </c>
      <c r="F778" s="17">
        <f t="shared" si="55"/>
        <v>0</v>
      </c>
      <c r="G778" s="29">
        <f t="shared" si="56"/>
        <v>0</v>
      </c>
      <c r="H778" s="6"/>
    </row>
    <row r="779" spans="1:8" x14ac:dyDescent="0.2">
      <c r="A779" s="5" t="s">
        <v>1493</v>
      </c>
      <c r="B779" s="21"/>
      <c r="C779" s="30">
        <f>SM!$B$130</f>
        <v>0</v>
      </c>
      <c r="D779" s="21"/>
      <c r="E779" s="25">
        <f>0.01*Input!$F$14*(C779*$C$767)+10*(B779*$B$767+D779*$D$767)</f>
        <v>0</v>
      </c>
      <c r="F779" s="17">
        <f t="shared" si="55"/>
        <v>0</v>
      </c>
      <c r="G779" s="29">
        <f t="shared" si="56"/>
        <v>0</v>
      </c>
      <c r="H779" s="6"/>
    </row>
    <row r="780" spans="1:8" x14ac:dyDescent="0.2">
      <c r="A780" s="5" t="s">
        <v>1494</v>
      </c>
      <c r="B780" s="21"/>
      <c r="C780" s="30">
        <f>SM!$C$130</f>
        <v>0</v>
      </c>
      <c r="D780" s="21"/>
      <c r="E780" s="25">
        <f>0.01*Input!$F$14*(C780*$C$767)+10*(B780*$B$767+D780*$D$767)</f>
        <v>0</v>
      </c>
      <c r="F780" s="17">
        <f t="shared" si="55"/>
        <v>0</v>
      </c>
      <c r="G780" s="29">
        <f t="shared" si="56"/>
        <v>0</v>
      </c>
      <c r="H780" s="6"/>
    </row>
    <row r="781" spans="1:8" x14ac:dyDescent="0.2">
      <c r="A781" s="5" t="s">
        <v>1495</v>
      </c>
      <c r="B781" s="20">
        <f>Yard!$K$45</f>
        <v>-4.8140319887640115E-2</v>
      </c>
      <c r="C781" s="21"/>
      <c r="D781" s="20">
        <f>Reactive!$K$87</f>
        <v>1.1516399557273764E-2</v>
      </c>
      <c r="E781" s="25">
        <f>0.01*Input!$F$14*(C781*$C$767)+10*(B781*$B$767+D781*$D$767)</f>
        <v>-77.301459167345044</v>
      </c>
      <c r="F781" s="17">
        <f t="shared" si="55"/>
        <v>-4.7481736502920521E-2</v>
      </c>
      <c r="G781" s="29">
        <f t="shared" si="56"/>
        <v>-25.76715305578168</v>
      </c>
      <c r="H781" s="6"/>
    </row>
    <row r="782" spans="1:8" x14ac:dyDescent="0.2">
      <c r="A782" s="5" t="s">
        <v>1496</v>
      </c>
      <c r="B782" s="20">
        <f>Yard!$L$45</f>
        <v>-2.3027099756446463E-2</v>
      </c>
      <c r="C782" s="21"/>
      <c r="D782" s="20">
        <f>Reactive!$L$87</f>
        <v>5.5086730221027341E-3</v>
      </c>
      <c r="E782" s="25">
        <f>0.01*Input!$F$14*(C782*$C$767)+10*(B782*$B$767+D782*$D$767)</f>
        <v>-36.975832643404274</v>
      </c>
      <c r="F782" s="17">
        <f t="shared" si="55"/>
        <v>-2.2712077643314017E-2</v>
      </c>
      <c r="G782" s="29">
        <f t="shared" si="56"/>
        <v>-12.325277547801425</v>
      </c>
      <c r="H782" s="6"/>
    </row>
    <row r="783" spans="1:8" x14ac:dyDescent="0.2">
      <c r="A783" s="5" t="s">
        <v>1497</v>
      </c>
      <c r="B783" s="20">
        <f>Yard!$M$45</f>
        <v>-2.1239846942102819E-2</v>
      </c>
      <c r="C783" s="21"/>
      <c r="D783" s="20">
        <f>Reactive!$M$87</f>
        <v>5.0485143997375543E-3</v>
      </c>
      <c r="E783" s="25">
        <f>0.01*Input!$F$14*(C783*$C$767)+10*(B783*$B$767+D783*$D$767)</f>
        <v>-34.108981495103109</v>
      </c>
      <c r="F783" s="17">
        <f t="shared" si="55"/>
        <v>-2.0951139722051152E-2</v>
      </c>
      <c r="G783" s="29">
        <f t="shared" si="56"/>
        <v>-11.369660498367702</v>
      </c>
      <c r="H783" s="6"/>
    </row>
    <row r="784" spans="1:8" x14ac:dyDescent="0.2">
      <c r="A784" s="5" t="s">
        <v>1498</v>
      </c>
      <c r="B784" s="20">
        <f>Yard!$N$45</f>
        <v>-3.2374745926503461E-2</v>
      </c>
      <c r="C784" s="21"/>
      <c r="D784" s="20">
        <f>Reactive!$N$87</f>
        <v>7.6951764974261113E-3</v>
      </c>
      <c r="E784" s="25">
        <f>0.01*Input!$F$14*(C784*$C$767)+10*(B784*$B$767+D784*$D$767)</f>
        <v>-51.990469268722741</v>
      </c>
      <c r="F784" s="17">
        <f t="shared" si="55"/>
        <v>-3.1934685180218511E-2</v>
      </c>
      <c r="G784" s="29">
        <f t="shared" si="56"/>
        <v>-17.330156422907582</v>
      </c>
      <c r="H784" s="6"/>
    </row>
    <row r="785" spans="1:8" x14ac:dyDescent="0.2">
      <c r="A785" s="5" t="s">
        <v>1499</v>
      </c>
      <c r="B785" s="20">
        <f>Yard!$O$45</f>
        <v>-4.0089734805100773E-2</v>
      </c>
      <c r="C785" s="21"/>
      <c r="D785" s="20">
        <f>Reactive!$O$87</f>
        <v>1.0014922706169287E-2</v>
      </c>
      <c r="E785" s="25">
        <f>0.01*Input!$F$14*(C785*$C$767)+10*(B785*$B$767+D785*$D$767)</f>
        <v>-64.33469377732473</v>
      </c>
      <c r="F785" s="17">
        <f t="shared" si="55"/>
        <v>-3.9517015730816112E-2</v>
      </c>
      <c r="G785" s="29">
        <f t="shared" si="56"/>
        <v>-21.44489792577491</v>
      </c>
      <c r="H785" s="6"/>
    </row>
    <row r="786" spans="1:8" x14ac:dyDescent="0.2">
      <c r="A786" s="5" t="s">
        <v>1500</v>
      </c>
      <c r="B786" s="20">
        <f>Yard!$P$45</f>
        <v>0</v>
      </c>
      <c r="C786" s="21"/>
      <c r="D786" s="20">
        <f>Reactive!$P$87</f>
        <v>0</v>
      </c>
      <c r="E786" s="25">
        <f>0.01*Input!$F$14*(C786*$C$767)+10*(B786*$B$767+D786*$D$767)</f>
        <v>0</v>
      </c>
      <c r="F786" s="17">
        <f t="shared" si="55"/>
        <v>0</v>
      </c>
      <c r="G786" s="29">
        <f t="shared" si="56"/>
        <v>0</v>
      </c>
      <c r="H786" s="6"/>
    </row>
    <row r="787" spans="1:8" x14ac:dyDescent="0.2">
      <c r="A787" s="5" t="s">
        <v>1501</v>
      </c>
      <c r="B787" s="20">
        <f>Yard!$Q$45</f>
        <v>-5.8240867611351325E-2</v>
      </c>
      <c r="C787" s="21"/>
      <c r="D787" s="20">
        <f>Reactive!$Q$87</f>
        <v>1.4549305210013741E-2</v>
      </c>
      <c r="E787" s="25">
        <f>0.01*Input!$F$14*(C787*$C$767)+10*(B787*$B$767+D787*$D$767)</f>
        <v>-93.463037391438789</v>
      </c>
      <c r="F787" s="17">
        <f t="shared" si="55"/>
        <v>-5.7408842756458439E-2</v>
      </c>
      <c r="G787" s="29">
        <f t="shared" si="56"/>
        <v>-31.154345797146263</v>
      </c>
      <c r="H787" s="6"/>
    </row>
    <row r="788" spans="1:8" x14ac:dyDescent="0.2">
      <c r="A788" s="5" t="s">
        <v>1502</v>
      </c>
      <c r="B788" s="20">
        <f>Yard!$R$45</f>
        <v>0</v>
      </c>
      <c r="C788" s="21"/>
      <c r="D788" s="20">
        <f>Reactive!$R$87</f>
        <v>1.257572948598169E-2</v>
      </c>
      <c r="E788" s="25">
        <f>0.01*Input!$F$14*(C788*$C$767)+10*(B788*$B$767+D788*$D$767)</f>
        <v>1.1708151425484132</v>
      </c>
      <c r="F788" s="17">
        <f t="shared" si="55"/>
        <v>7.1916282940745978E-4</v>
      </c>
      <c r="G788" s="29">
        <f t="shared" si="56"/>
        <v>0.39027171418280443</v>
      </c>
      <c r="H788" s="6"/>
    </row>
    <row r="789" spans="1:8" x14ac:dyDescent="0.2">
      <c r="A789" s="5" t="s">
        <v>1503</v>
      </c>
      <c r="B789" s="20">
        <f>Yard!$S$45</f>
        <v>0</v>
      </c>
      <c r="C789" s="21"/>
      <c r="D789" s="20">
        <f>Reactive!$S$87</f>
        <v>0</v>
      </c>
      <c r="E789" s="25">
        <f>0.01*Input!$F$14*(C789*$C$767)+10*(B789*$B$767+D789*$D$767)</f>
        <v>0</v>
      </c>
      <c r="F789" s="17">
        <f t="shared" si="55"/>
        <v>0</v>
      </c>
      <c r="G789" s="29">
        <f t="shared" si="56"/>
        <v>0</v>
      </c>
      <c r="H789" s="6"/>
    </row>
    <row r="790" spans="1:8" x14ac:dyDescent="0.2">
      <c r="A790" s="5" t="s">
        <v>1504</v>
      </c>
      <c r="B790" s="21"/>
      <c r="C790" s="30">
        <f>Otex!$B$143</f>
        <v>0</v>
      </c>
      <c r="D790" s="21"/>
      <c r="E790" s="25">
        <f>0.01*Input!$F$14*(C790*$C$767)+10*(B790*$B$767+D790*$D$767)</f>
        <v>0</v>
      </c>
      <c r="F790" s="17">
        <f t="shared" si="55"/>
        <v>0</v>
      </c>
      <c r="G790" s="29">
        <f t="shared" si="56"/>
        <v>0</v>
      </c>
      <c r="H790" s="6"/>
    </row>
    <row r="791" spans="1:8" x14ac:dyDescent="0.2">
      <c r="A791" s="5" t="s">
        <v>1505</v>
      </c>
      <c r="B791" s="21"/>
      <c r="C791" s="30">
        <f>Otex!$C$143</f>
        <v>0</v>
      </c>
      <c r="D791" s="21"/>
      <c r="E791" s="25">
        <f>0.01*Input!$F$14*(C791*$C$767)+10*(B791*$B$767+D791*$D$767)</f>
        <v>0</v>
      </c>
      <c r="F791" s="17">
        <f t="shared" si="55"/>
        <v>0</v>
      </c>
      <c r="G791" s="29">
        <f t="shared" si="56"/>
        <v>0</v>
      </c>
      <c r="H791" s="6"/>
    </row>
    <row r="792" spans="1:8" x14ac:dyDescent="0.2">
      <c r="A792" s="5" t="s">
        <v>1506</v>
      </c>
      <c r="B792" s="20">
        <f>Scaler!$B$429</f>
        <v>0</v>
      </c>
      <c r="C792" s="30">
        <f>Scaler!$E$429</f>
        <v>0</v>
      </c>
      <c r="D792" s="20">
        <f>Scaler!$G$429</f>
        <v>0</v>
      </c>
      <c r="E792" s="25">
        <f>0.01*Input!$F$14*(C792*$C$767)+10*(B792*$B$767+D792*$D$767)</f>
        <v>0</v>
      </c>
      <c r="F792" s="17">
        <f t="shared" si="55"/>
        <v>0</v>
      </c>
      <c r="G792" s="29">
        <f t="shared" si="56"/>
        <v>0</v>
      </c>
      <c r="H792" s="6"/>
    </row>
    <row r="793" spans="1:8" x14ac:dyDescent="0.2">
      <c r="A793" s="5" t="s">
        <v>1507</v>
      </c>
      <c r="B793" s="20">
        <f>Adjust!$B$95</f>
        <v>1.7186540441938014E-4</v>
      </c>
      <c r="C793" s="30">
        <f>Adjust!$E$95</f>
        <v>0</v>
      </c>
      <c r="D793" s="20">
        <f>Adjust!$G$95</f>
        <v>4.8007929946150552E-4</v>
      </c>
      <c r="E793" s="25">
        <f>0.01*Input!$F$14*(C793*$C$767)+10*(B793*$B$767+D793*$D$767)</f>
        <v>0.32449713847912443</v>
      </c>
      <c r="F793" s="17">
        <f t="shared" si="55"/>
        <v>1.9931949268722559E-4</v>
      </c>
      <c r="G793" s="29">
        <f t="shared" si="56"/>
        <v>0.10816571282637481</v>
      </c>
      <c r="H793" s="6"/>
    </row>
    <row r="796" spans="1:8" x14ac:dyDescent="0.2">
      <c r="A796" s="5" t="s">
        <v>1508</v>
      </c>
      <c r="B796" s="17">
        <f>SUM($B$771:$B$793)</f>
        <v>-0.7</v>
      </c>
      <c r="C796" s="29">
        <f>SUM($C$771:$C$793)</f>
        <v>0</v>
      </c>
      <c r="D796" s="17">
        <f>SUM($D$771:$D$793)</f>
        <v>0.185</v>
      </c>
      <c r="E796" s="25">
        <f>SUM($E$771:$E$793)</f>
        <v>-1122.393858492188</v>
      </c>
      <c r="F796" s="17">
        <f>SUM($F$771:$F$793)</f>
        <v>-0.68942048462566841</v>
      </c>
      <c r="G796" s="29">
        <f>SUM($G$771:$G$793)</f>
        <v>-374.13128616406271</v>
      </c>
      <c r="H796" s="6"/>
    </row>
    <row r="798" spans="1:8" ht="16.5" x14ac:dyDescent="0.25">
      <c r="A798" s="3" t="s">
        <v>66</v>
      </c>
    </row>
    <row r="800" spans="1:8" ht="25.5" x14ac:dyDescent="0.2">
      <c r="B800" s="4" t="s">
        <v>105</v>
      </c>
      <c r="C800" s="4" t="s">
        <v>106</v>
      </c>
      <c r="D800" s="4" t="s">
        <v>107</v>
      </c>
      <c r="E800" s="4" t="s">
        <v>108</v>
      </c>
      <c r="F800" s="4" t="s">
        <v>110</v>
      </c>
      <c r="G800" s="4" t="s">
        <v>1489</v>
      </c>
      <c r="H800" s="4" t="s">
        <v>1490</v>
      </c>
    </row>
    <row r="801" spans="1:11" x14ac:dyDescent="0.2">
      <c r="A801" s="5" t="s">
        <v>66</v>
      </c>
      <c r="B801" s="27">
        <f>Loads!B$321</f>
        <v>191.58774492120747</v>
      </c>
      <c r="C801" s="27">
        <f>Loads!C$321</f>
        <v>148.85032172385118</v>
      </c>
      <c r="D801" s="27">
        <f>Loads!D$321</f>
        <v>129.98347870675352</v>
      </c>
      <c r="E801" s="27">
        <f>Loads!E$321</f>
        <v>9</v>
      </c>
      <c r="F801" s="27">
        <f>Loads!G$321</f>
        <v>765.09034166960498</v>
      </c>
      <c r="G801" s="27">
        <f>Multi!B$138</f>
        <v>470.42154535181214</v>
      </c>
      <c r="H801" s="17">
        <f>IF(E801,G801/E801,"")</f>
        <v>52.269060594645794</v>
      </c>
      <c r="I801" s="6"/>
    </row>
    <row r="804" spans="1:11" ht="25.5" x14ac:dyDescent="0.2">
      <c r="B804" s="4" t="s">
        <v>1319</v>
      </c>
      <c r="C804" s="4" t="s">
        <v>1320</v>
      </c>
      <c r="D804" s="4" t="s">
        <v>1321</v>
      </c>
      <c r="E804" s="4" t="s">
        <v>1322</v>
      </c>
      <c r="F804" s="4" t="s">
        <v>957</v>
      </c>
      <c r="G804" s="4" t="s">
        <v>1509</v>
      </c>
      <c r="H804" s="4" t="s">
        <v>1491</v>
      </c>
      <c r="I804" s="4" t="s">
        <v>1461</v>
      </c>
      <c r="J804" s="4" t="s">
        <v>1492</v>
      </c>
    </row>
    <row r="805" spans="1:11" x14ac:dyDescent="0.2">
      <c r="A805" s="5" t="s">
        <v>338</v>
      </c>
      <c r="B805" s="20">
        <f>Yard!$C$77</f>
        <v>-0.73940314905842142</v>
      </c>
      <c r="C805" s="20">
        <f>Yard!$C$109</f>
        <v>-6.398262492660306E-2</v>
      </c>
      <c r="D805" s="20">
        <f>Yard!$C$132</f>
        <v>-9.5612174299374939E-3</v>
      </c>
      <c r="E805" s="21"/>
      <c r="F805" s="20">
        <f>Reactive!$C$88</f>
        <v>1.6685478368775736E-2</v>
      </c>
      <c r="G805" s="17">
        <f t="shared" ref="G805:G827" si="57">IF(G$801&lt;&gt;0,(($B805*B$801+$C805*C$801+$D805*D$801+$F805*F$801))/G$801,0)</f>
        <v>-0.29688546274487354</v>
      </c>
      <c r="H805" s="25">
        <f>0.01*Input!$F$14*(E805*$E$801)+10*(B805*$B$801+C805*$C$801+D805*$D$801+F805*$F$801)</f>
        <v>-1396.6131817693126</v>
      </c>
      <c r="I805" s="17">
        <f t="shared" ref="I805:I827" si="58">IF($G$801&lt;&gt;0,0.1*H805/$G$801,"")</f>
        <v>-0.29688546274487354</v>
      </c>
      <c r="J805" s="29">
        <f t="shared" ref="J805:J827" si="59">IF($E$801&lt;&gt;0,H805/$E$801,"")</f>
        <v>-155.17924241881252</v>
      </c>
      <c r="K805" s="6"/>
    </row>
    <row r="806" spans="1:11" x14ac:dyDescent="0.2">
      <c r="A806" s="5" t="s">
        <v>339</v>
      </c>
      <c r="B806" s="20">
        <f>Yard!$D$77</f>
        <v>-0.68201423021642693</v>
      </c>
      <c r="C806" s="20">
        <f>Yard!$D$109</f>
        <v>-5.9016601081713436E-2</v>
      </c>
      <c r="D806" s="20">
        <f>Yard!$D$132</f>
        <v>-8.8191216844485994E-3</v>
      </c>
      <c r="E806" s="21"/>
      <c r="F806" s="20">
        <f>Reactive!$D$88</f>
        <v>1.5291682311381673E-2</v>
      </c>
      <c r="G806" s="17">
        <f t="shared" si="57"/>
        <v>-0.27400324533258091</v>
      </c>
      <c r="H806" s="25">
        <f>0.01*Input!$F$14*(E806*$E$801)+10*(B806*$B$801+C806*$C$801+D806*$D$801+F806*$F$801)</f>
        <v>-1288.9703010076441</v>
      </c>
      <c r="I806" s="17">
        <f t="shared" si="58"/>
        <v>-0.27400324533258091</v>
      </c>
      <c r="J806" s="29">
        <f t="shared" si="59"/>
        <v>-143.21892233418268</v>
      </c>
      <c r="K806" s="6"/>
    </row>
    <row r="807" spans="1:11" x14ac:dyDescent="0.2">
      <c r="A807" s="5" t="s">
        <v>340</v>
      </c>
      <c r="B807" s="20">
        <f>Yard!$E$77</f>
        <v>-0.93711095676083433</v>
      </c>
      <c r="C807" s="20">
        <f>Yard!$E$109</f>
        <v>-0.10773295729037037</v>
      </c>
      <c r="D807" s="20">
        <f>Yard!$E$132</f>
        <v>-1.4469600424385465E-2</v>
      </c>
      <c r="E807" s="21"/>
      <c r="F807" s="20">
        <f>Reactive!$E$88</f>
        <v>2.3308281409431655E-2</v>
      </c>
      <c r="G807" s="17">
        <f t="shared" si="57"/>
        <v>-0.38183397441277506</v>
      </c>
      <c r="H807" s="25">
        <f>0.01*Input!$F$14*(E807*$E$801)+10*(B807*$B$801+C807*$C$801+D807*$D$801+F807*$F$801)</f>
        <v>-1796.2292831108196</v>
      </c>
      <c r="I807" s="17">
        <f t="shared" si="58"/>
        <v>-0.38183397441277517</v>
      </c>
      <c r="J807" s="29">
        <f t="shared" si="59"/>
        <v>-199.58103145675773</v>
      </c>
      <c r="K807" s="6"/>
    </row>
    <row r="808" spans="1:11" x14ac:dyDescent="0.2">
      <c r="A808" s="5" t="s">
        <v>341</v>
      </c>
      <c r="B808" s="20">
        <f>Yard!$F$77</f>
        <v>-1.1604270138454049</v>
      </c>
      <c r="C808" s="20">
        <f>Yard!$F$109</f>
        <v>-0.13340601026939564</v>
      </c>
      <c r="D808" s="20">
        <f>Yard!$F$132</f>
        <v>-1.7917745055552832E-2</v>
      </c>
      <c r="E808" s="21"/>
      <c r="F808" s="20">
        <f>Reactive!$F$88</f>
        <v>3.0334669621571202E-2</v>
      </c>
      <c r="G808" s="17">
        <f t="shared" si="57"/>
        <v>-0.4704320466422986</v>
      </c>
      <c r="H808" s="25">
        <f>0.01*Input!$F$14*(E808*$E$801)+10*(B808*$B$801+C808*$C$801+D808*$D$801+F808*$F$801)</f>
        <v>-2213.0137036448587</v>
      </c>
      <c r="I808" s="17">
        <f t="shared" si="58"/>
        <v>-0.4704320466422986</v>
      </c>
      <c r="J808" s="29">
        <f t="shared" si="59"/>
        <v>-245.89041151609541</v>
      </c>
      <c r="K808" s="6"/>
    </row>
    <row r="809" spans="1:11" x14ac:dyDescent="0.2">
      <c r="A809" s="5" t="s">
        <v>342</v>
      </c>
      <c r="B809" s="20">
        <f>Yard!$G$77</f>
        <v>0</v>
      </c>
      <c r="C809" s="20">
        <f>Yard!$G$109</f>
        <v>0</v>
      </c>
      <c r="D809" s="20">
        <f>Yard!$G$132</f>
        <v>0</v>
      </c>
      <c r="E809" s="21"/>
      <c r="F809" s="20">
        <f>Reactive!$G$88</f>
        <v>0</v>
      </c>
      <c r="G809" s="17">
        <f t="shared" si="57"/>
        <v>0</v>
      </c>
      <c r="H809" s="25">
        <f>0.01*Input!$F$14*(E809*$E$801)+10*(B809*$B$801+C809*$C$801+D809*$D$801+F809*$F$801)</f>
        <v>0</v>
      </c>
      <c r="I809" s="17">
        <f t="shared" si="58"/>
        <v>0</v>
      </c>
      <c r="J809" s="29">
        <f t="shared" si="59"/>
        <v>0</v>
      </c>
      <c r="K809" s="6"/>
    </row>
    <row r="810" spans="1:11" x14ac:dyDescent="0.2">
      <c r="A810" s="5" t="s">
        <v>343</v>
      </c>
      <c r="B810" s="20">
        <f>Yard!$H$77</f>
        <v>-1.180077480936214</v>
      </c>
      <c r="C810" s="20">
        <f>Yard!$H$109</f>
        <v>-0.13566508419928272</v>
      </c>
      <c r="D810" s="20">
        <f>Yard!$H$132</f>
        <v>-1.8221161001023539E-2</v>
      </c>
      <c r="E810" s="21"/>
      <c r="F810" s="20">
        <f>Reactive!$H$88</f>
        <v>3.0848351585190725E-2</v>
      </c>
      <c r="G810" s="17">
        <f t="shared" si="57"/>
        <v>-0.47839826023497695</v>
      </c>
      <c r="H810" s="25">
        <f>0.01*Input!$F$14*(E810*$E$801)+10*(B810*$B$801+C810*$C$801+D810*$D$801+F810*$F$801)</f>
        <v>-2250.4884887335625</v>
      </c>
      <c r="I810" s="17">
        <f t="shared" si="58"/>
        <v>-0.478398260234977</v>
      </c>
      <c r="J810" s="29">
        <f t="shared" si="59"/>
        <v>-250.05427652595139</v>
      </c>
      <c r="K810" s="6"/>
    </row>
    <row r="811" spans="1:11" x14ac:dyDescent="0.2">
      <c r="A811" s="5" t="s">
        <v>344</v>
      </c>
      <c r="B811" s="20">
        <f>Yard!$I$77</f>
        <v>0</v>
      </c>
      <c r="C811" s="20">
        <f>Yard!$I$109</f>
        <v>0</v>
      </c>
      <c r="D811" s="20">
        <f>Yard!$I$132</f>
        <v>0</v>
      </c>
      <c r="E811" s="21"/>
      <c r="F811" s="20">
        <f>Reactive!$I$88</f>
        <v>1.1427365254826503E-3</v>
      </c>
      <c r="G811" s="17">
        <f t="shared" si="57"/>
        <v>1.8585387666842548E-3</v>
      </c>
      <c r="H811" s="25">
        <f>0.01*Input!$F$14*(E811*$E$801)+10*(B811*$B$801+C811*$C$801+D811*$D$801+F811*$F$801)</f>
        <v>8.742966787198581</v>
      </c>
      <c r="I811" s="17">
        <f t="shared" si="58"/>
        <v>1.8585387666842548E-3</v>
      </c>
      <c r="J811" s="29">
        <f t="shared" si="59"/>
        <v>0.97144075413317565</v>
      </c>
      <c r="K811" s="6"/>
    </row>
    <row r="812" spans="1:11" x14ac:dyDescent="0.2">
      <c r="A812" s="5" t="s">
        <v>345</v>
      </c>
      <c r="B812" s="20">
        <f>Yard!$J$77</f>
        <v>0</v>
      </c>
      <c r="C812" s="20">
        <f>Yard!$J$109</f>
        <v>0</v>
      </c>
      <c r="D812" s="20">
        <f>Yard!$J$132</f>
        <v>0</v>
      </c>
      <c r="E812" s="21"/>
      <c r="F812" s="20">
        <f>Reactive!$J$88</f>
        <v>0</v>
      </c>
      <c r="G812" s="17">
        <f t="shared" si="57"/>
        <v>0</v>
      </c>
      <c r="H812" s="25">
        <f>0.01*Input!$F$14*(E812*$E$801)+10*(B812*$B$801+C812*$C$801+D812*$D$801+F812*$F$801)</f>
        <v>0</v>
      </c>
      <c r="I812" s="17">
        <f t="shared" si="58"/>
        <v>0</v>
      </c>
      <c r="J812" s="29">
        <f t="shared" si="59"/>
        <v>0</v>
      </c>
      <c r="K812" s="6"/>
    </row>
    <row r="813" spans="1:11" x14ac:dyDescent="0.2">
      <c r="A813" s="5" t="s">
        <v>1493</v>
      </c>
      <c r="B813" s="21"/>
      <c r="C813" s="21"/>
      <c r="D813" s="21"/>
      <c r="E813" s="30">
        <f>SM!$B$131</f>
        <v>0</v>
      </c>
      <c r="F813" s="21"/>
      <c r="G813" s="17">
        <f t="shared" si="57"/>
        <v>0</v>
      </c>
      <c r="H813" s="25">
        <f>0.01*Input!$F$14*(E813*$E$801)+10*(B813*$B$801+C813*$C$801+D813*$D$801+F813*$F$801)</f>
        <v>0</v>
      </c>
      <c r="I813" s="17">
        <f t="shared" si="58"/>
        <v>0</v>
      </c>
      <c r="J813" s="29">
        <f t="shared" si="59"/>
        <v>0</v>
      </c>
      <c r="K813" s="6"/>
    </row>
    <row r="814" spans="1:11" x14ac:dyDescent="0.2">
      <c r="A814" s="5" t="s">
        <v>1494</v>
      </c>
      <c r="B814" s="21"/>
      <c r="C814" s="21"/>
      <c r="D814" s="21"/>
      <c r="E814" s="30">
        <f>SM!$C$131</f>
        <v>0</v>
      </c>
      <c r="F814" s="21"/>
      <c r="G814" s="17">
        <f t="shared" si="57"/>
        <v>0</v>
      </c>
      <c r="H814" s="25">
        <f>0.01*Input!$F$14*(E814*$E$801)+10*(B814*$B$801+C814*$C$801+D814*$D$801+F814*$F$801)</f>
        <v>0</v>
      </c>
      <c r="I814" s="17">
        <f t="shared" si="58"/>
        <v>0</v>
      </c>
      <c r="J814" s="29">
        <f t="shared" si="59"/>
        <v>0</v>
      </c>
      <c r="K814" s="6"/>
    </row>
    <row r="815" spans="1:11" x14ac:dyDescent="0.2">
      <c r="A815" s="5" t="s">
        <v>1495</v>
      </c>
      <c r="B815" s="20">
        <f>Yard!$K$77</f>
        <v>-0.5840870138477755</v>
      </c>
      <c r="C815" s="20">
        <f>Yard!$K$109</f>
        <v>-3.1843193656015512E-2</v>
      </c>
      <c r="D815" s="20">
        <f>Yard!$K$132</f>
        <v>-5.6278169600300684E-3</v>
      </c>
      <c r="E815" s="21"/>
      <c r="F815" s="20">
        <f>Reactive!$K$88</f>
        <v>1.1516399557273764E-2</v>
      </c>
      <c r="G815" s="17">
        <f t="shared" si="57"/>
        <v>-0.23078071501591207</v>
      </c>
      <c r="H815" s="25">
        <f>0.01*Input!$F$14*(E815*$E$801)+10*(B815*$B$801+C815*$C$801+D815*$D$801+F815*$F$801)</f>
        <v>-1085.6422059518152</v>
      </c>
      <c r="I815" s="17">
        <f t="shared" si="58"/>
        <v>-0.2307807150159121</v>
      </c>
      <c r="J815" s="29">
        <f t="shared" si="59"/>
        <v>-120.62691177242391</v>
      </c>
      <c r="K815" s="6"/>
    </row>
    <row r="816" spans="1:11" x14ac:dyDescent="0.2">
      <c r="A816" s="5" t="s">
        <v>1496</v>
      </c>
      <c r="B816" s="20">
        <f>Yard!$L$77</f>
        <v>-0.24411228073018018</v>
      </c>
      <c r="C816" s="20">
        <f>Yard!$L$109</f>
        <v>-2.112371920220571E-2</v>
      </c>
      <c r="D816" s="20">
        <f>Yard!$L$132</f>
        <v>-3.1566143535517728E-3</v>
      </c>
      <c r="E816" s="21"/>
      <c r="F816" s="20">
        <f>Reactive!$L$88</f>
        <v>5.5086730221027341E-3</v>
      </c>
      <c r="G816" s="17">
        <f t="shared" si="57"/>
        <v>-9.8016065415160641E-2</v>
      </c>
      <c r="H816" s="25">
        <f>0.01*Input!$F$14*(E816*$E$801)+10*(B816*$B$801+C816*$C$801+D816*$D$801+F816*$F$801)</f>
        <v>-461.08868961904182</v>
      </c>
      <c r="I816" s="17">
        <f t="shared" si="58"/>
        <v>-9.8016065415160655E-2</v>
      </c>
      <c r="J816" s="29">
        <f t="shared" si="59"/>
        <v>-51.232076624337978</v>
      </c>
      <c r="K816" s="6"/>
    </row>
    <row r="817" spans="1:11" x14ac:dyDescent="0.2">
      <c r="A817" s="5" t="s">
        <v>1497</v>
      </c>
      <c r="B817" s="20">
        <f>Yard!$M$77</f>
        <v>-0.22516545870893456</v>
      </c>
      <c r="C817" s="20">
        <f>Yard!$M$109</f>
        <v>-1.9484197638793114E-2</v>
      </c>
      <c r="D817" s="20">
        <f>Yard!$M$132</f>
        <v>-2.9116131181876202E-3</v>
      </c>
      <c r="E817" s="21"/>
      <c r="F817" s="20">
        <f>Reactive!$M$88</f>
        <v>5.0485143997375543E-3</v>
      </c>
      <c r="G817" s="17">
        <f t="shared" si="57"/>
        <v>-9.0461552984706803E-2</v>
      </c>
      <c r="H817" s="25">
        <f>0.01*Input!$F$14*(E817*$E$801)+10*(B817*$B$801+C817*$C$801+D817*$D$801+F817*$F$801)</f>
        <v>-425.55063549990609</v>
      </c>
      <c r="I817" s="17">
        <f t="shared" si="58"/>
        <v>-9.0461552984706817E-2</v>
      </c>
      <c r="J817" s="29">
        <f t="shared" si="59"/>
        <v>-47.283403944434014</v>
      </c>
      <c r="K817" s="6"/>
    </row>
    <row r="818" spans="1:11" x14ac:dyDescent="0.2">
      <c r="A818" s="5" t="s">
        <v>1498</v>
      </c>
      <c r="B818" s="20">
        <f>Yard!$N$77</f>
        <v>-0.3093850671902586</v>
      </c>
      <c r="C818" s="20">
        <f>Yard!$N$109</f>
        <v>-3.556779268177214E-2</v>
      </c>
      <c r="D818" s="20">
        <f>Yard!$N$132</f>
        <v>-4.7771059202941441E-3</v>
      </c>
      <c r="E818" s="21"/>
      <c r="F818" s="20">
        <f>Reactive!$N$88</f>
        <v>7.6951764974261113E-3</v>
      </c>
      <c r="G818" s="17">
        <f t="shared" si="57"/>
        <v>-0.12606162480220529</v>
      </c>
      <c r="H818" s="25">
        <f>0.01*Input!$F$14*(E818*$E$801)+10*(B818*$B$801+C818*$C$801+D818*$D$801+F818*$F$801)</f>
        <v>-593.02104349013734</v>
      </c>
      <c r="I818" s="17">
        <f t="shared" si="58"/>
        <v>-0.12606162480220529</v>
      </c>
      <c r="J818" s="29">
        <f t="shared" si="59"/>
        <v>-65.891227054459705</v>
      </c>
      <c r="K818" s="6"/>
    </row>
    <row r="819" spans="1:11" x14ac:dyDescent="0.2">
      <c r="A819" s="5" t="s">
        <v>1499</v>
      </c>
      <c r="B819" s="20">
        <f>Yard!$O$77</f>
        <v>-0.3831123593826245</v>
      </c>
      <c r="C819" s="20">
        <f>Yard!$O$109</f>
        <v>-4.4043693175294982E-2</v>
      </c>
      <c r="D819" s="20">
        <f>Yard!$O$132</f>
        <v>-5.9155030873520396E-3</v>
      </c>
      <c r="E819" s="21"/>
      <c r="F819" s="20">
        <f>Reactive!$O$88</f>
        <v>1.0014922706169287E-2</v>
      </c>
      <c r="G819" s="17">
        <f t="shared" si="57"/>
        <v>-0.15531207837112482</v>
      </c>
      <c r="H819" s="25">
        <f>0.01*Input!$F$14*(E819*$E$801)+10*(B819*$B$801+C819*$C$801+D819*$D$801+F819*$F$801)</f>
        <v>-730.62147919146298</v>
      </c>
      <c r="I819" s="17">
        <f t="shared" si="58"/>
        <v>-0.15531207837112482</v>
      </c>
      <c r="J819" s="29">
        <f t="shared" si="59"/>
        <v>-81.180164354607001</v>
      </c>
      <c r="K819" s="6"/>
    </row>
    <row r="820" spans="1:11" x14ac:dyDescent="0.2">
      <c r="A820" s="5" t="s">
        <v>1500</v>
      </c>
      <c r="B820" s="20">
        <f>Yard!$P$77</f>
        <v>0</v>
      </c>
      <c r="C820" s="20">
        <f>Yard!$P$109</f>
        <v>0</v>
      </c>
      <c r="D820" s="20">
        <f>Yard!$P$132</f>
        <v>0</v>
      </c>
      <c r="E820" s="21"/>
      <c r="F820" s="20">
        <f>Reactive!$P$88</f>
        <v>0</v>
      </c>
      <c r="G820" s="17">
        <f t="shared" si="57"/>
        <v>0</v>
      </c>
      <c r="H820" s="25">
        <f>0.01*Input!$F$14*(E820*$E$801)+10*(B820*$B$801+C820*$C$801+D820*$D$801+F820*$F$801)</f>
        <v>0</v>
      </c>
      <c r="I820" s="17">
        <f t="shared" si="58"/>
        <v>0</v>
      </c>
      <c r="J820" s="29">
        <f t="shared" si="59"/>
        <v>0</v>
      </c>
      <c r="K820" s="6"/>
    </row>
    <row r="821" spans="1:11" x14ac:dyDescent="0.2">
      <c r="A821" s="5" t="s">
        <v>1501</v>
      </c>
      <c r="B821" s="20">
        <f>Yard!$Q$77</f>
        <v>-0.55657130962704549</v>
      </c>
      <c r="C821" s="20">
        <f>Yard!$Q$109</f>
        <v>-6.3985030477451785E-2</v>
      </c>
      <c r="D821" s="20">
        <f>Yard!$Q$132</f>
        <v>-8.5938216812842354E-3</v>
      </c>
      <c r="E821" s="21"/>
      <c r="F821" s="20">
        <f>Reactive!$Q$88</f>
        <v>1.4549305210013741E-2</v>
      </c>
      <c r="G821" s="17">
        <f t="shared" si="57"/>
        <v>-0.22563157972563108</v>
      </c>
      <c r="H821" s="25">
        <f>0.01*Input!$F$14*(E821*$E$801)+10*(B821*$B$801+C821*$C$801+D821*$D$801+F821*$F$801)</f>
        <v>-1061.4195641470199</v>
      </c>
      <c r="I821" s="17">
        <f t="shared" si="58"/>
        <v>-0.22563157972563111</v>
      </c>
      <c r="J821" s="29">
        <f t="shared" si="59"/>
        <v>-117.93550712744666</v>
      </c>
      <c r="K821" s="6"/>
    </row>
    <row r="822" spans="1:11" x14ac:dyDescent="0.2">
      <c r="A822" s="5" t="s">
        <v>1502</v>
      </c>
      <c r="B822" s="20">
        <f>Yard!$R$77</f>
        <v>0</v>
      </c>
      <c r="C822" s="20">
        <f>Yard!$R$109</f>
        <v>0</v>
      </c>
      <c r="D822" s="20">
        <f>Yard!$R$132</f>
        <v>0</v>
      </c>
      <c r="E822" s="21"/>
      <c r="F822" s="20">
        <f>Reactive!$R$88</f>
        <v>1.257572948598169E-2</v>
      </c>
      <c r="G822" s="17">
        <f t="shared" si="57"/>
        <v>2.0453079295036571E-2</v>
      </c>
      <c r="H822" s="25">
        <f>0.01*Input!$F$14*(E822*$E$801)+10*(B822*$B$801+C822*$C$801+D822*$D$801+F822*$F$801)</f>
        <v>96.215691691742563</v>
      </c>
      <c r="I822" s="17">
        <f t="shared" si="58"/>
        <v>2.0453079295036574E-2</v>
      </c>
      <c r="J822" s="29">
        <f t="shared" si="59"/>
        <v>10.690632410193619</v>
      </c>
      <c r="K822" s="6"/>
    </row>
    <row r="823" spans="1:11" x14ac:dyDescent="0.2">
      <c r="A823" s="5" t="s">
        <v>1503</v>
      </c>
      <c r="B823" s="20">
        <f>Yard!$S$77</f>
        <v>0</v>
      </c>
      <c r="C823" s="20">
        <f>Yard!$S$109</f>
        <v>0</v>
      </c>
      <c r="D823" s="20">
        <f>Yard!$S$132</f>
        <v>0</v>
      </c>
      <c r="E823" s="21"/>
      <c r="F823" s="20">
        <f>Reactive!$S$88</f>
        <v>0</v>
      </c>
      <c r="G823" s="17">
        <f t="shared" si="57"/>
        <v>0</v>
      </c>
      <c r="H823" s="25">
        <f>0.01*Input!$F$14*(E823*$E$801)+10*(B823*$B$801+C823*$C$801+D823*$D$801+F823*$F$801)</f>
        <v>0</v>
      </c>
      <c r="I823" s="17">
        <f t="shared" si="58"/>
        <v>0</v>
      </c>
      <c r="J823" s="29">
        <f t="shared" si="59"/>
        <v>0</v>
      </c>
      <c r="K823" s="6"/>
    </row>
    <row r="824" spans="1:11" x14ac:dyDescent="0.2">
      <c r="A824" s="5" t="s">
        <v>1504</v>
      </c>
      <c r="B824" s="21"/>
      <c r="C824" s="21"/>
      <c r="D824" s="21"/>
      <c r="E824" s="30">
        <f>Otex!$B$144</f>
        <v>0</v>
      </c>
      <c r="F824" s="21"/>
      <c r="G824" s="17">
        <f t="shared" si="57"/>
        <v>0</v>
      </c>
      <c r="H824" s="25">
        <f>0.01*Input!$F$14*(E824*$E$801)+10*(B824*$B$801+C824*$C$801+D824*$D$801+F824*$F$801)</f>
        <v>0</v>
      </c>
      <c r="I824" s="17">
        <f t="shared" si="58"/>
        <v>0</v>
      </c>
      <c r="J824" s="29">
        <f t="shared" si="59"/>
        <v>0</v>
      </c>
      <c r="K824" s="6"/>
    </row>
    <row r="825" spans="1:11" x14ac:dyDescent="0.2">
      <c r="A825" s="5" t="s">
        <v>1505</v>
      </c>
      <c r="B825" s="21"/>
      <c r="C825" s="21"/>
      <c r="D825" s="21"/>
      <c r="E825" s="30">
        <f>Otex!$C$144</f>
        <v>0</v>
      </c>
      <c r="F825" s="21"/>
      <c r="G825" s="17">
        <f t="shared" si="57"/>
        <v>0</v>
      </c>
      <c r="H825" s="25">
        <f>0.01*Input!$F$14*(E825*$E$801)+10*(B825*$B$801+C825*$C$801+D825*$D$801+F825*$F$801)</f>
        <v>0</v>
      </c>
      <c r="I825" s="17">
        <f t="shared" si="58"/>
        <v>0</v>
      </c>
      <c r="J825" s="29">
        <f t="shared" si="59"/>
        <v>0</v>
      </c>
      <c r="K825" s="6"/>
    </row>
    <row r="826" spans="1:11" x14ac:dyDescent="0.2">
      <c r="A826" s="5" t="s">
        <v>1506</v>
      </c>
      <c r="B826" s="20">
        <f>Scaler!$B$430</f>
        <v>0</v>
      </c>
      <c r="C826" s="20">
        <f>Scaler!$C$430</f>
        <v>0</v>
      </c>
      <c r="D826" s="20">
        <f>Scaler!$D$430</f>
        <v>0</v>
      </c>
      <c r="E826" s="30">
        <f>Scaler!$E$430</f>
        <v>0</v>
      </c>
      <c r="F826" s="20">
        <f>Scaler!$G$430</f>
        <v>0</v>
      </c>
      <c r="G826" s="17">
        <f t="shared" si="57"/>
        <v>0</v>
      </c>
      <c r="H826" s="25">
        <f>0.01*Input!$F$14*(E826*$E$801)+10*(B826*$B$801+C826*$C$801+D826*$D$801+F826*$F$801)</f>
        <v>0</v>
      </c>
      <c r="I826" s="17">
        <f t="shared" si="58"/>
        <v>0</v>
      </c>
      <c r="J826" s="29">
        <f t="shared" si="59"/>
        <v>0</v>
      </c>
      <c r="K826" s="6"/>
    </row>
    <row r="827" spans="1:11" x14ac:dyDescent="0.2">
      <c r="A827" s="5" t="s">
        <v>1507</v>
      </c>
      <c r="B827" s="20">
        <f>Adjust!$B$96</f>
        <v>4.6632030412041559E-4</v>
      </c>
      <c r="C827" s="20">
        <f>Adjust!$C$96</f>
        <v>-1.4909540110152886E-4</v>
      </c>
      <c r="D827" s="20">
        <f>Adjust!$D$96</f>
        <v>-2.8679283952184886E-5</v>
      </c>
      <c r="E827" s="30">
        <f>Adjust!$E$96</f>
        <v>0</v>
      </c>
      <c r="F827" s="20">
        <f>Adjust!$G$96</f>
        <v>4.8007929946150552E-4</v>
      </c>
      <c r="G827" s="17">
        <f t="shared" si="57"/>
        <v>9.1561401358084655E-4</v>
      </c>
      <c r="H827" s="25">
        <f>0.01*Input!$F$14*(E827*$E$801)+10*(B827*$B$801+C827*$C$801+D827*$D$801+F827*$F$801)</f>
        <v>4.3072455921447697</v>
      </c>
      <c r="I827" s="17">
        <f t="shared" si="58"/>
        <v>9.1561401358084666E-4</v>
      </c>
      <c r="J827" s="29">
        <f t="shared" si="59"/>
        <v>0.47858284357164105</v>
      </c>
      <c r="K827" s="6"/>
    </row>
    <row r="830" spans="1:11" x14ac:dyDescent="0.2">
      <c r="A830" s="5" t="s">
        <v>1508</v>
      </c>
      <c r="B830" s="17">
        <f>SUM($B$805:$B$827)</f>
        <v>-7.0010000000000003</v>
      </c>
      <c r="C830" s="17">
        <f>SUM($C$805:$C$827)</f>
        <v>-0.71599999999999997</v>
      </c>
      <c r="D830" s="17">
        <f>SUM($D$805:$D$827)</f>
        <v>-0.1</v>
      </c>
      <c r="E830" s="29">
        <f>SUM($E$805:$E$827)</f>
        <v>0</v>
      </c>
      <c r="F830" s="17">
        <f>SUM($F$805:$F$827)</f>
        <v>0.185</v>
      </c>
      <c r="G830" s="17">
        <f>SUM(G$805:G$827)</f>
        <v>-2.8045893736069445</v>
      </c>
      <c r="H830" s="25">
        <f>SUM($H$805:$H$827)</f>
        <v>-13193.392672094495</v>
      </c>
      <c r="I830" s="17">
        <f>SUM($I$805:$I$827)</f>
        <v>-2.8045893736069445</v>
      </c>
      <c r="J830" s="29">
        <f>SUM($J$805:$J$827)</f>
        <v>-1465.9325191216108</v>
      </c>
      <c r="K830" s="6"/>
    </row>
    <row r="832" spans="1:11" ht="16.5" x14ac:dyDescent="0.25">
      <c r="A832" s="3" t="s">
        <v>75</v>
      </c>
    </row>
    <row r="834" spans="1:8" ht="25.5" x14ac:dyDescent="0.2">
      <c r="B834" s="4" t="s">
        <v>105</v>
      </c>
      <c r="C834" s="4" t="s">
        <v>108</v>
      </c>
      <c r="D834" s="4" t="s">
        <v>110</v>
      </c>
      <c r="E834" s="4" t="s">
        <v>1489</v>
      </c>
      <c r="F834" s="4" t="s">
        <v>1490</v>
      </c>
    </row>
    <row r="835" spans="1:8" x14ac:dyDescent="0.2">
      <c r="A835" s="5" t="s">
        <v>75</v>
      </c>
      <c r="B835" s="27">
        <f>Loads!B$322</f>
        <v>113862.35349765769</v>
      </c>
      <c r="C835" s="27">
        <f>Loads!E$322</f>
        <v>33</v>
      </c>
      <c r="D835" s="27">
        <f>Loads!G$322</f>
        <v>7606.1687763615655</v>
      </c>
      <c r="E835" s="27">
        <f>Multi!B$139</f>
        <v>113862.35349765769</v>
      </c>
      <c r="F835" s="17">
        <f>IF(C835,E835/C835,"")</f>
        <v>3450.3743484138695</v>
      </c>
      <c r="G835" s="6"/>
    </row>
    <row r="838" spans="1:8" ht="25.5" x14ac:dyDescent="0.2">
      <c r="B838" s="4" t="s">
        <v>1319</v>
      </c>
      <c r="C838" s="4" t="s">
        <v>1322</v>
      </c>
      <c r="D838" s="4" t="s">
        <v>957</v>
      </c>
      <c r="E838" s="4" t="s">
        <v>1491</v>
      </c>
      <c r="F838" s="4" t="s">
        <v>1461</v>
      </c>
      <c r="G838" s="4" t="s">
        <v>1492</v>
      </c>
    </row>
    <row r="839" spans="1:8" x14ac:dyDescent="0.2">
      <c r="A839" s="5" t="s">
        <v>338</v>
      </c>
      <c r="B839" s="20">
        <f>Yard!$C$47</f>
        <v>-6.8885960399815802E-2</v>
      </c>
      <c r="C839" s="21"/>
      <c r="D839" s="20">
        <f>Reactive!$C$89</f>
        <v>1.6479288997298471E-2</v>
      </c>
      <c r="E839" s="25">
        <f>0.01*Input!$F$14*(C839*$C$835)+10*(B839*$B$835+D839*$D$835)</f>
        <v>-77181.733206415855</v>
      </c>
      <c r="F839" s="17">
        <f t="shared" ref="F839:F861" si="60">IF($E$835&lt;&gt;0,0.1*E839/$E$835,"")</f>
        <v>-6.7785120222377621E-2</v>
      </c>
      <c r="G839" s="29">
        <f t="shared" ref="G839:G861" si="61">IF($C$835&lt;&gt;0,E839/$C$835,"")</f>
        <v>-2338.84040019442</v>
      </c>
      <c r="H839" s="6"/>
    </row>
    <row r="840" spans="1:8" x14ac:dyDescent="0.2">
      <c r="A840" s="5" t="s">
        <v>339</v>
      </c>
      <c r="B840" s="20">
        <f>Yard!$D$47</f>
        <v>-6.3539363221034331E-2</v>
      </c>
      <c r="C840" s="21"/>
      <c r="D840" s="20">
        <f>Reactive!$D$89</f>
        <v>1.5102716655442543E-2</v>
      </c>
      <c r="E840" s="25">
        <f>0.01*Input!$F$14*(C840*$C$835)+10*(B840*$B$835+D840*$D$835)</f>
        <v>-71198.676242266185</v>
      </c>
      <c r="F840" s="17">
        <f t="shared" si="60"/>
        <v>-6.2530480053471629E-2</v>
      </c>
      <c r="G840" s="29">
        <f t="shared" si="61"/>
        <v>-2157.5356437050359</v>
      </c>
      <c r="H840" s="6"/>
    </row>
    <row r="841" spans="1:8" x14ac:dyDescent="0.2">
      <c r="A841" s="5" t="s">
        <v>340</v>
      </c>
      <c r="B841" s="20">
        <f>Yard!$E$47</f>
        <v>-9.6849602834715554E-2</v>
      </c>
      <c r="C841" s="21"/>
      <c r="D841" s="20">
        <f>Reactive!$E$89</f>
        <v>2.3020251315969097E-2</v>
      </c>
      <c r="E841" s="25">
        <f>0.01*Input!$F$14*(C841*$C$835)+10*(B841*$B$835+D841*$D$835)</f>
        <v>-108524.27797290611</v>
      </c>
      <c r="F841" s="17">
        <f t="shared" si="60"/>
        <v>-9.5311816978329564E-2</v>
      </c>
      <c r="G841" s="29">
        <f t="shared" si="61"/>
        <v>-3288.6144840274578</v>
      </c>
      <c r="H841" s="6"/>
    </row>
    <row r="842" spans="1:8" x14ac:dyDescent="0.2">
      <c r="A842" s="5" t="s">
        <v>341</v>
      </c>
      <c r="B842" s="20">
        <f>Yard!$F$47</f>
        <v>-5.156952298708712E-2</v>
      </c>
      <c r="C842" s="21"/>
      <c r="D842" s="20">
        <f>Reactive!$F$89</f>
        <v>1.2882718960864415E-2</v>
      </c>
      <c r="E842" s="25">
        <f>0.01*Input!$F$14*(C842*$C$835)+10*(B842*$B$835+D842*$D$835)</f>
        <v>-57738.391213465293</v>
      </c>
      <c r="F842" s="17">
        <f t="shared" si="60"/>
        <v>-5.070893885453813E-2</v>
      </c>
      <c r="G842" s="29">
        <f t="shared" si="61"/>
        <v>-1749.6482185898574</v>
      </c>
      <c r="H842" s="6"/>
    </row>
    <row r="843" spans="1:8" x14ac:dyDescent="0.2">
      <c r="A843" s="5" t="s">
        <v>342</v>
      </c>
      <c r="B843" s="20">
        <f>Yard!$G$47</f>
        <v>0</v>
      </c>
      <c r="C843" s="21"/>
      <c r="D843" s="20">
        <f>Reactive!$G$89</f>
        <v>0</v>
      </c>
      <c r="E843" s="25">
        <f>0.01*Input!$F$14*(C843*$C$835)+10*(B843*$B$835+D843*$D$835)</f>
        <v>0</v>
      </c>
      <c r="F843" s="17">
        <f t="shared" si="60"/>
        <v>0</v>
      </c>
      <c r="G843" s="29">
        <f t="shared" si="61"/>
        <v>0</v>
      </c>
      <c r="H843" s="6"/>
    </row>
    <row r="844" spans="1:8" x14ac:dyDescent="0.2">
      <c r="A844" s="5" t="s">
        <v>343</v>
      </c>
      <c r="B844" s="20">
        <f>Yard!$H$47</f>
        <v>0</v>
      </c>
      <c r="C844" s="21"/>
      <c r="D844" s="20">
        <f>Reactive!$H$89</f>
        <v>3.917204449662118E-3</v>
      </c>
      <c r="E844" s="25">
        <f>0.01*Input!$F$14*(C844*$C$835)+10*(B844*$B$835+D844*$D$835)</f>
        <v>297.94918175644591</v>
      </c>
      <c r="F844" s="17">
        <f t="shared" si="60"/>
        <v>2.6167488428260459E-4</v>
      </c>
      <c r="G844" s="29">
        <f t="shared" si="61"/>
        <v>9.0287630835286645</v>
      </c>
      <c r="H844" s="6"/>
    </row>
    <row r="845" spans="1:8" x14ac:dyDescent="0.2">
      <c r="A845" s="5" t="s">
        <v>344</v>
      </c>
      <c r="B845" s="20">
        <f>Yard!$I$47</f>
        <v>0</v>
      </c>
      <c r="C845" s="21"/>
      <c r="D845" s="20">
        <f>Reactive!$I$89</f>
        <v>0</v>
      </c>
      <c r="E845" s="25">
        <f>0.01*Input!$F$14*(C845*$C$835)+10*(B845*$B$835+D845*$D$835)</f>
        <v>0</v>
      </c>
      <c r="F845" s="17">
        <f t="shared" si="60"/>
        <v>0</v>
      </c>
      <c r="G845" s="29">
        <f t="shared" si="61"/>
        <v>0</v>
      </c>
      <c r="H845" s="6"/>
    </row>
    <row r="846" spans="1:8" x14ac:dyDescent="0.2">
      <c r="A846" s="5" t="s">
        <v>345</v>
      </c>
      <c r="B846" s="20">
        <f>Yard!$J$47</f>
        <v>0</v>
      </c>
      <c r="C846" s="21"/>
      <c r="D846" s="20">
        <f>Reactive!$J$89</f>
        <v>0</v>
      </c>
      <c r="E846" s="25">
        <f>0.01*Input!$F$14*(C846*$C$835)+10*(B846*$B$835+D846*$D$835)</f>
        <v>0</v>
      </c>
      <c r="F846" s="17">
        <f t="shared" si="60"/>
        <v>0</v>
      </c>
      <c r="G846" s="29">
        <f t="shared" si="61"/>
        <v>0</v>
      </c>
      <c r="H846" s="6"/>
    </row>
    <row r="847" spans="1:8" x14ac:dyDescent="0.2">
      <c r="A847" s="5" t="s">
        <v>1493</v>
      </c>
      <c r="B847" s="21"/>
      <c r="C847" s="30">
        <f>SM!$B$132</f>
        <v>0</v>
      </c>
      <c r="D847" s="21"/>
      <c r="E847" s="25">
        <f>0.01*Input!$F$14*(C847*$C$835)+10*(B847*$B$835+D847*$D$835)</f>
        <v>0</v>
      </c>
      <c r="F847" s="17">
        <f t="shared" si="60"/>
        <v>0</v>
      </c>
      <c r="G847" s="29">
        <f t="shared" si="61"/>
        <v>0</v>
      </c>
      <c r="H847" s="6"/>
    </row>
    <row r="848" spans="1:8" x14ac:dyDescent="0.2">
      <c r="A848" s="5" t="s">
        <v>1494</v>
      </c>
      <c r="B848" s="21"/>
      <c r="C848" s="30">
        <f>SM!$C$132</f>
        <v>0</v>
      </c>
      <c r="D848" s="21"/>
      <c r="E848" s="25">
        <f>0.01*Input!$F$14*(C848*$C$835)+10*(B848*$B$835+D848*$D$835)</f>
        <v>0</v>
      </c>
      <c r="F848" s="17">
        <f t="shared" si="60"/>
        <v>0</v>
      </c>
      <c r="G848" s="29">
        <f t="shared" si="61"/>
        <v>0</v>
      </c>
      <c r="H848" s="6"/>
    </row>
    <row r="849" spans="1:8" x14ac:dyDescent="0.2">
      <c r="A849" s="5" t="s">
        <v>1495</v>
      </c>
      <c r="B849" s="20">
        <f>Yard!$K$47</f>
        <v>-4.7545430003097029E-2</v>
      </c>
      <c r="C849" s="21"/>
      <c r="D849" s="20">
        <f>Reactive!$K$89</f>
        <v>1.1374086634988059E-2</v>
      </c>
      <c r="E849" s="25">
        <f>0.01*Input!$F$14*(C849*$C$835)+10*(B849*$B$835+D849*$D$835)</f>
        <v>-53271.213355880966</v>
      </c>
      <c r="F849" s="17">
        <f t="shared" si="60"/>
        <v>-4.6785624677059601E-2</v>
      </c>
      <c r="G849" s="29">
        <f t="shared" si="61"/>
        <v>-1614.2791926024536</v>
      </c>
      <c r="H849" s="6"/>
    </row>
    <row r="850" spans="1:8" x14ac:dyDescent="0.2">
      <c r="A850" s="5" t="s">
        <v>1496</v>
      </c>
      <c r="B850" s="20">
        <f>Yard!$L$47</f>
        <v>-2.2742544341205203E-2</v>
      </c>
      <c r="C850" s="21"/>
      <c r="D850" s="20">
        <f>Reactive!$L$89</f>
        <v>5.4406000665064066E-3</v>
      </c>
      <c r="E850" s="25">
        <f>0.01*Input!$F$14*(C850*$C$835)+10*(B850*$B$835+D850*$D$835)</f>
        <v>-25481.375008639297</v>
      </c>
      <c r="F850" s="17">
        <f t="shared" si="60"/>
        <v>-2.2379104441366992E-2</v>
      </c>
      <c r="G850" s="29">
        <f t="shared" si="61"/>
        <v>-772.16287904967567</v>
      </c>
      <c r="H850" s="6"/>
    </row>
    <row r="851" spans="1:8" x14ac:dyDescent="0.2">
      <c r="A851" s="5" t="s">
        <v>1497</v>
      </c>
      <c r="B851" s="20">
        <f>Yard!$M$47</f>
        <v>-2.0977377350612954E-2</v>
      </c>
      <c r="C851" s="21"/>
      <c r="D851" s="20">
        <f>Reactive!$M$89</f>
        <v>4.9861278149499226E-3</v>
      </c>
      <c r="E851" s="25">
        <f>0.01*Input!$F$14*(C851*$C$835)+10*(B851*$B$835+D851*$D$835)</f>
        <v>-23506.082256482299</v>
      </c>
      <c r="F851" s="17">
        <f t="shared" si="60"/>
        <v>-2.06442968500259E-2</v>
      </c>
      <c r="G851" s="29">
        <f t="shared" si="61"/>
        <v>-712.30552292370601</v>
      </c>
      <c r="H851" s="6"/>
    </row>
    <row r="852" spans="1:8" x14ac:dyDescent="0.2">
      <c r="A852" s="5" t="s">
        <v>1498</v>
      </c>
      <c r="B852" s="20">
        <f>Yard!$N$47</f>
        <v>-3.1974677773419287E-2</v>
      </c>
      <c r="C852" s="21"/>
      <c r="D852" s="20">
        <f>Reactive!$N$89</f>
        <v>7.6000840121917563E-3</v>
      </c>
      <c r="E852" s="25">
        <f>0.01*Input!$F$14*(C852*$C$835)+10*(B852*$B$835+D852*$D$835)</f>
        <v>-35829.045418995076</v>
      </c>
      <c r="F852" s="17">
        <f t="shared" si="60"/>
        <v>-3.1466981243921097E-2</v>
      </c>
      <c r="G852" s="29">
        <f t="shared" si="61"/>
        <v>-1085.7286490604567</v>
      </c>
      <c r="H852" s="6"/>
    </row>
    <row r="853" spans="1:8" x14ac:dyDescent="0.2">
      <c r="A853" s="5" t="s">
        <v>1499</v>
      </c>
      <c r="B853" s="20">
        <f>Yard!$O$47</f>
        <v>-3.9594329336976895E-2</v>
      </c>
      <c r="C853" s="21"/>
      <c r="D853" s="20">
        <f>Reactive!$O$89</f>
        <v>9.8911641556177644E-3</v>
      </c>
      <c r="E853" s="25">
        <f>0.01*Input!$F$14*(C853*$C$835)+10*(B853*$B$835+D853*$D$835)</f>
        <v>-44330.69659507215</v>
      </c>
      <c r="F853" s="17">
        <f t="shared" si="60"/>
        <v>-3.8933585362772333E-2</v>
      </c>
      <c r="G853" s="29">
        <f t="shared" si="61"/>
        <v>-1343.3544422749137</v>
      </c>
      <c r="H853" s="6"/>
    </row>
    <row r="854" spans="1:8" x14ac:dyDescent="0.2">
      <c r="A854" s="5" t="s">
        <v>1500</v>
      </c>
      <c r="B854" s="20">
        <f>Yard!$P$47</f>
        <v>0</v>
      </c>
      <c r="C854" s="21"/>
      <c r="D854" s="20">
        <f>Reactive!$P$89</f>
        <v>0</v>
      </c>
      <c r="E854" s="25">
        <f>0.01*Input!$F$14*(C854*$C$835)+10*(B854*$B$835+D854*$D$835)</f>
        <v>0</v>
      </c>
      <c r="F854" s="17">
        <f t="shared" si="60"/>
        <v>0</v>
      </c>
      <c r="G854" s="29">
        <f t="shared" si="61"/>
        <v>0</v>
      </c>
      <c r="H854" s="6"/>
    </row>
    <row r="855" spans="1:8" x14ac:dyDescent="0.2">
      <c r="A855" s="5" t="s">
        <v>1501</v>
      </c>
      <c r="B855" s="20">
        <f>Yard!$Q$47</f>
        <v>0</v>
      </c>
      <c r="C855" s="21"/>
      <c r="D855" s="20">
        <f>Reactive!$Q$89</f>
        <v>1.4369513415593414E-2</v>
      </c>
      <c r="E855" s="25">
        <f>0.01*Input!$F$14*(C855*$C$835)+10*(B855*$B$835+D855*$D$835)</f>
        <v>1092.9694427319528</v>
      </c>
      <c r="F855" s="17">
        <f t="shared" si="60"/>
        <v>9.59904137897902E-4</v>
      </c>
      <c r="G855" s="29">
        <f t="shared" si="61"/>
        <v>33.120286143392505</v>
      </c>
      <c r="H855" s="6"/>
    </row>
    <row r="856" spans="1:8" x14ac:dyDescent="0.2">
      <c r="A856" s="5" t="s">
        <v>1502</v>
      </c>
      <c r="B856" s="20">
        <f>Yard!$R$47</f>
        <v>0</v>
      </c>
      <c r="C856" s="21"/>
      <c r="D856" s="20">
        <f>Reactive!$R$89</f>
        <v>0</v>
      </c>
      <c r="E856" s="25">
        <f>0.01*Input!$F$14*(C856*$C$835)+10*(B856*$B$835+D856*$D$835)</f>
        <v>0</v>
      </c>
      <c r="F856" s="17">
        <f t="shared" si="60"/>
        <v>0</v>
      </c>
      <c r="G856" s="29">
        <f t="shared" si="61"/>
        <v>0</v>
      </c>
      <c r="H856" s="6"/>
    </row>
    <row r="857" spans="1:8" x14ac:dyDescent="0.2">
      <c r="A857" s="5" t="s">
        <v>1503</v>
      </c>
      <c r="B857" s="20">
        <f>Yard!$S$47</f>
        <v>0</v>
      </c>
      <c r="C857" s="21"/>
      <c r="D857" s="20">
        <f>Reactive!$S$89</f>
        <v>0</v>
      </c>
      <c r="E857" s="25">
        <f>0.01*Input!$F$14*(C857*$C$835)+10*(B857*$B$835+D857*$D$835)</f>
        <v>0</v>
      </c>
      <c r="F857" s="17">
        <f t="shared" si="60"/>
        <v>0</v>
      </c>
      <c r="G857" s="29">
        <f t="shared" si="61"/>
        <v>0</v>
      </c>
      <c r="H857" s="6"/>
    </row>
    <row r="858" spans="1:8" x14ac:dyDescent="0.2">
      <c r="A858" s="5" t="s">
        <v>1504</v>
      </c>
      <c r="B858" s="21"/>
      <c r="C858" s="30">
        <f>Otex!$B$145</f>
        <v>0</v>
      </c>
      <c r="D858" s="21"/>
      <c r="E858" s="25">
        <f>0.01*Input!$F$14*(C858*$C$835)+10*(B858*$B$835+D858*$D$835)</f>
        <v>0</v>
      </c>
      <c r="F858" s="17">
        <f t="shared" si="60"/>
        <v>0</v>
      </c>
      <c r="G858" s="29">
        <f t="shared" si="61"/>
        <v>0</v>
      </c>
      <c r="H858" s="6"/>
    </row>
    <row r="859" spans="1:8" x14ac:dyDescent="0.2">
      <c r="A859" s="5" t="s">
        <v>1505</v>
      </c>
      <c r="B859" s="21"/>
      <c r="C859" s="30">
        <f>Otex!$C$145</f>
        <v>6.3622622359931222</v>
      </c>
      <c r="D859" s="21"/>
      <c r="E859" s="25">
        <f>0.01*Input!$F$14*(C859*$C$835)+10*(B859*$B$835+D859*$D$835)</f>
        <v>766.33448632537147</v>
      </c>
      <c r="F859" s="17">
        <f t="shared" si="60"/>
        <v>6.7303587426825501E-4</v>
      </c>
      <c r="G859" s="29">
        <f t="shared" si="61"/>
        <v>23.222257161374895</v>
      </c>
      <c r="H859" s="6"/>
    </row>
    <row r="860" spans="1:8" x14ac:dyDescent="0.2">
      <c r="A860" s="5" t="s">
        <v>1506</v>
      </c>
      <c r="B860" s="20">
        <f>Scaler!$B$431</f>
        <v>0</v>
      </c>
      <c r="C860" s="30">
        <f>Scaler!$E$431</f>
        <v>0</v>
      </c>
      <c r="D860" s="20">
        <f>Scaler!$G$431</f>
        <v>0</v>
      </c>
      <c r="E860" s="25">
        <f>0.01*Input!$F$14*(C860*$C$835)+10*(B860*$B$835+D860*$D$835)</f>
        <v>0</v>
      </c>
      <c r="F860" s="17">
        <f t="shared" si="60"/>
        <v>0</v>
      </c>
      <c r="G860" s="29">
        <f t="shared" si="61"/>
        <v>0</v>
      </c>
      <c r="H860" s="6"/>
    </row>
    <row r="861" spans="1:8" x14ac:dyDescent="0.2">
      <c r="A861" s="5" t="s">
        <v>1507</v>
      </c>
      <c r="B861" s="20">
        <f>Adjust!$B$97</f>
        <v>-3.2119175203587647E-4</v>
      </c>
      <c r="C861" s="30">
        <f>Adjust!$E$97</f>
        <v>-2.2622359931219194E-3</v>
      </c>
      <c r="D861" s="20">
        <f>Adjust!$G$97</f>
        <v>-6.3756479083937334E-5</v>
      </c>
      <c r="E861" s="25">
        <f>0.01*Input!$F$14*(C861*$C$835)+10*(B861*$B$835+D861*$D$835)</f>
        <v>-370.83839983877129</v>
      </c>
      <c r="F861" s="17">
        <f t="shared" si="60"/>
        <v>-3.2569008846844184E-4</v>
      </c>
      <c r="G861" s="29">
        <f t="shared" si="61"/>
        <v>-11.237527267841555</v>
      </c>
      <c r="H861" s="6"/>
    </row>
    <row r="864" spans="1:8" x14ac:dyDescent="0.2">
      <c r="A864" s="5" t="s">
        <v>1508</v>
      </c>
      <c r="B864" s="17">
        <f>SUM($B$839:$B$861)</f>
        <v>-0.44400000000000001</v>
      </c>
      <c r="C864" s="29">
        <f>SUM($C$839:$C$861)</f>
        <v>6.36</v>
      </c>
      <c r="D864" s="17">
        <f>SUM($D$839:$D$861)</f>
        <v>0.125</v>
      </c>
      <c r="E864" s="25">
        <f>SUM($E$839:$E$861)</f>
        <v>-495275.07655914826</v>
      </c>
      <c r="F864" s="17">
        <f>SUM($F$839:$F$861)</f>
        <v>-0.43497702387588261</v>
      </c>
      <c r="G864" s="29">
        <f>SUM($G$839:$G$861)</f>
        <v>-15008.335653307522</v>
      </c>
      <c r="H864" s="6"/>
    </row>
    <row r="866" spans="1:11" ht="16.5" x14ac:dyDescent="0.25">
      <c r="A866" s="3" t="s">
        <v>76</v>
      </c>
    </row>
    <row r="868" spans="1:11" ht="25.5" x14ac:dyDescent="0.2">
      <c r="B868" s="4" t="s">
        <v>105</v>
      </c>
      <c r="C868" s="4" t="s">
        <v>106</v>
      </c>
      <c r="D868" s="4" t="s">
        <v>107</v>
      </c>
      <c r="E868" s="4" t="s">
        <v>108</v>
      </c>
      <c r="F868" s="4" t="s">
        <v>110</v>
      </c>
      <c r="G868" s="4" t="s">
        <v>1489</v>
      </c>
      <c r="H868" s="4" t="s">
        <v>1490</v>
      </c>
    </row>
    <row r="869" spans="1:11" x14ac:dyDescent="0.2">
      <c r="A869" s="5" t="s">
        <v>76</v>
      </c>
      <c r="B869" s="27">
        <f>Loads!B$323</f>
        <v>30117.877805273667</v>
      </c>
      <c r="C869" s="27">
        <f>Loads!C$323</f>
        <v>148032.72480574468</v>
      </c>
      <c r="D869" s="27">
        <f>Loads!D$323</f>
        <v>369275.98540024838</v>
      </c>
      <c r="E869" s="27">
        <f>Loads!E$323</f>
        <v>97</v>
      </c>
      <c r="F869" s="27">
        <f>Loads!G$323</f>
        <v>12285.04977358382</v>
      </c>
      <c r="G869" s="27">
        <f>Multi!B$140</f>
        <v>547426.58801126666</v>
      </c>
      <c r="H869" s="17">
        <f>IF(E869,G869/E869,"")</f>
        <v>5643.5730722810995</v>
      </c>
      <c r="I869" s="6"/>
    </row>
    <row r="872" spans="1:11" ht="25.5" x14ac:dyDescent="0.2">
      <c r="B872" s="4" t="s">
        <v>1319</v>
      </c>
      <c r="C872" s="4" t="s">
        <v>1320</v>
      </c>
      <c r="D872" s="4" t="s">
        <v>1321</v>
      </c>
      <c r="E872" s="4" t="s">
        <v>1322</v>
      </c>
      <c r="F872" s="4" t="s">
        <v>957</v>
      </c>
      <c r="G872" s="4" t="s">
        <v>1509</v>
      </c>
      <c r="H872" s="4" t="s">
        <v>1491</v>
      </c>
      <c r="I872" s="4" t="s">
        <v>1461</v>
      </c>
      <c r="J872" s="4" t="s">
        <v>1492</v>
      </c>
    </row>
    <row r="873" spans="1:11" x14ac:dyDescent="0.2">
      <c r="A873" s="5" t="s">
        <v>338</v>
      </c>
      <c r="B873" s="20">
        <f>Yard!$C$78</f>
        <v>-0.73026603790085542</v>
      </c>
      <c r="C873" s="20">
        <f>Yard!$C$110</f>
        <v>-6.3191965112871271E-2</v>
      </c>
      <c r="D873" s="20">
        <f>Yard!$C$133</f>
        <v>-9.4430655035219191E-3</v>
      </c>
      <c r="E873" s="21"/>
      <c r="F873" s="20">
        <f>Reactive!$C$90</f>
        <v>1.6479288997298471E-2</v>
      </c>
      <c r="G873" s="17">
        <f t="shared" ref="G873:G895" si="62">IF(G$869&lt;&gt;0,(($B873*B$869+$C873*C$869+$D873*D$869+$F873*F$869))/G$869,0)</f>
        <v>-6.3265451967892863E-2</v>
      </c>
      <c r="H873" s="25">
        <f>0.01*Input!$F$14*(E873*$E$869)+10*(B873*$B$869+C873*$C$869+D873*$D$869+F873*$F$869)</f>
        <v>-346331.90509774262</v>
      </c>
      <c r="I873" s="17">
        <f t="shared" ref="I873:I895" si="63">IF($G$869&lt;&gt;0,0.1*H873/$G$869,"")</f>
        <v>-6.3265451967892863E-2</v>
      </c>
      <c r="J873" s="29">
        <f t="shared" ref="J873:J895" si="64">IF($E$869&lt;&gt;0,H873/$E$869,"")</f>
        <v>-3570.4320113169342</v>
      </c>
      <c r="K873" s="6"/>
    </row>
    <row r="874" spans="1:11" x14ac:dyDescent="0.2">
      <c r="A874" s="5" t="s">
        <v>339</v>
      </c>
      <c r="B874" s="20">
        <f>Yard!$D$78</f>
        <v>-0.67358629771375234</v>
      </c>
      <c r="C874" s="20">
        <f>Yard!$D$110</f>
        <v>-5.8287308482794918E-2</v>
      </c>
      <c r="D874" s="20">
        <f>Yard!$D$133</f>
        <v>-8.7101401427206217E-3</v>
      </c>
      <c r="E874" s="21"/>
      <c r="F874" s="20">
        <f>Reactive!$D$90</f>
        <v>1.5102716655442543E-2</v>
      </c>
      <c r="G874" s="17">
        <f t="shared" si="62"/>
        <v>-5.8357280336997608E-2</v>
      </c>
      <c r="H874" s="25">
        <f>0.01*Input!$F$14*(E874*$E$869)+10*(B874*$B$869+C874*$C$869+D874*$D$869+F874*$F$869)</f>
        <v>-319463.2686049958</v>
      </c>
      <c r="I874" s="17">
        <f t="shared" si="63"/>
        <v>-5.8357280336997608E-2</v>
      </c>
      <c r="J874" s="29">
        <f t="shared" si="64"/>
        <v>-3293.4357588143898</v>
      </c>
      <c r="K874" s="6"/>
    </row>
    <row r="875" spans="1:11" x14ac:dyDescent="0.2">
      <c r="A875" s="5" t="s">
        <v>340</v>
      </c>
      <c r="B875" s="20">
        <f>Yard!$E$78</f>
        <v>-0.92553068828375162</v>
      </c>
      <c r="C875" s="20">
        <f>Yard!$E$110</f>
        <v>-0.10640165648735246</v>
      </c>
      <c r="D875" s="20">
        <f>Yard!$E$133</f>
        <v>-1.4290793575034693E-2</v>
      </c>
      <c r="E875" s="21"/>
      <c r="F875" s="20">
        <f>Reactive!$E$90</f>
        <v>2.3020251315969097E-2</v>
      </c>
      <c r="G875" s="17">
        <f t="shared" si="62"/>
        <v>-8.8816272938835039E-2</v>
      </c>
      <c r="H875" s="25">
        <f>0.01*Input!$F$14*(E875*$E$869)+10*(B875*$B$869+C875*$C$869+D875*$D$869+F875*$F$869)</f>
        <v>-486203.89254783862</v>
      </c>
      <c r="I875" s="17">
        <f t="shared" si="63"/>
        <v>-8.8816272938835039E-2</v>
      </c>
      <c r="J875" s="29">
        <f t="shared" si="64"/>
        <v>-5012.4112633797795</v>
      </c>
      <c r="K875" s="6"/>
    </row>
    <row r="876" spans="1:11" x14ac:dyDescent="0.2">
      <c r="A876" s="5" t="s">
        <v>341</v>
      </c>
      <c r="B876" s="20">
        <f>Yard!$F$78</f>
        <v>-0.49281746860809089</v>
      </c>
      <c r="C876" s="20">
        <f>Yard!$F$110</f>
        <v>-5.6655706471537913E-2</v>
      </c>
      <c r="D876" s="20">
        <f>Yard!$F$133</f>
        <v>-7.6094210631837845E-3</v>
      </c>
      <c r="E876" s="21"/>
      <c r="F876" s="20">
        <f>Reactive!$F$90</f>
        <v>1.2882718960864415E-2</v>
      </c>
      <c r="G876" s="17">
        <f t="shared" si="62"/>
        <v>-4.7277985923960299E-2</v>
      </c>
      <c r="H876" s="25">
        <f>0.01*Input!$F$14*(E876*$E$869)+10*(B876*$B$869+C876*$C$869+D876*$D$869+F876*$F$869)</f>
        <v>-258812.2652239828</v>
      </c>
      <c r="I876" s="17">
        <f t="shared" si="63"/>
        <v>-4.7277985923960306E-2</v>
      </c>
      <c r="J876" s="29">
        <f t="shared" si="64"/>
        <v>-2668.1676827214724</v>
      </c>
      <c r="K876" s="6"/>
    </row>
    <row r="877" spans="1:11" x14ac:dyDescent="0.2">
      <c r="A877" s="5" t="s">
        <v>342</v>
      </c>
      <c r="B877" s="20">
        <f>Yard!$G$78</f>
        <v>0</v>
      </c>
      <c r="C877" s="20">
        <f>Yard!$G$110</f>
        <v>0</v>
      </c>
      <c r="D877" s="20">
        <f>Yard!$G$133</f>
        <v>0</v>
      </c>
      <c r="E877" s="21"/>
      <c r="F877" s="20">
        <f>Reactive!$G$90</f>
        <v>0</v>
      </c>
      <c r="G877" s="17">
        <f t="shared" si="62"/>
        <v>0</v>
      </c>
      <c r="H877" s="25">
        <f>0.01*Input!$F$14*(E877*$E$869)+10*(B877*$B$869+C877*$C$869+D877*$D$869+F877*$F$869)</f>
        <v>0</v>
      </c>
      <c r="I877" s="17">
        <f t="shared" si="63"/>
        <v>0</v>
      </c>
      <c r="J877" s="29">
        <f t="shared" si="64"/>
        <v>0</v>
      </c>
      <c r="K877" s="6"/>
    </row>
    <row r="878" spans="1:11" x14ac:dyDescent="0.2">
      <c r="A878" s="5" t="s">
        <v>343</v>
      </c>
      <c r="B878" s="20">
        <f>Yard!$H$78</f>
        <v>0</v>
      </c>
      <c r="C878" s="20">
        <f>Yard!$H$110</f>
        <v>0</v>
      </c>
      <c r="D878" s="20">
        <f>Yard!$H$133</f>
        <v>0</v>
      </c>
      <c r="E878" s="21"/>
      <c r="F878" s="20">
        <f>Reactive!$H$90</f>
        <v>3.917204449662118E-3</v>
      </c>
      <c r="G878" s="17">
        <f t="shared" si="62"/>
        <v>8.7907771911898276E-5</v>
      </c>
      <c r="H878" s="25">
        <f>0.01*Input!$F$14*(E878*$E$869)+10*(B878*$B$869+C878*$C$869+D878*$D$869+F878*$F$869)</f>
        <v>481.23051637403137</v>
      </c>
      <c r="I878" s="17">
        <f t="shared" si="63"/>
        <v>8.7907771911898276E-5</v>
      </c>
      <c r="J878" s="29">
        <f t="shared" si="64"/>
        <v>4.9611393440621789</v>
      </c>
      <c r="K878" s="6"/>
    </row>
    <row r="879" spans="1:11" x14ac:dyDescent="0.2">
      <c r="A879" s="5" t="s">
        <v>344</v>
      </c>
      <c r="B879" s="20">
        <f>Yard!$I$78</f>
        <v>0</v>
      </c>
      <c r="C879" s="20">
        <f>Yard!$I$110</f>
        <v>0</v>
      </c>
      <c r="D879" s="20">
        <f>Yard!$I$133</f>
        <v>0</v>
      </c>
      <c r="E879" s="21"/>
      <c r="F879" s="20">
        <f>Reactive!$I$90</f>
        <v>0</v>
      </c>
      <c r="G879" s="17">
        <f t="shared" si="62"/>
        <v>0</v>
      </c>
      <c r="H879" s="25">
        <f>0.01*Input!$F$14*(E879*$E$869)+10*(B879*$B$869+C879*$C$869+D879*$D$869+F879*$F$869)</f>
        <v>0</v>
      </c>
      <c r="I879" s="17">
        <f t="shared" si="63"/>
        <v>0</v>
      </c>
      <c r="J879" s="29">
        <f t="shared" si="64"/>
        <v>0</v>
      </c>
      <c r="K879" s="6"/>
    </row>
    <row r="880" spans="1:11" x14ac:dyDescent="0.2">
      <c r="A880" s="5" t="s">
        <v>345</v>
      </c>
      <c r="B880" s="20">
        <f>Yard!$J$78</f>
        <v>0</v>
      </c>
      <c r="C880" s="20">
        <f>Yard!$J$110</f>
        <v>0</v>
      </c>
      <c r="D880" s="20">
        <f>Yard!$J$133</f>
        <v>0</v>
      </c>
      <c r="E880" s="21"/>
      <c r="F880" s="20">
        <f>Reactive!$J$90</f>
        <v>0</v>
      </c>
      <c r="G880" s="17">
        <f t="shared" si="62"/>
        <v>0</v>
      </c>
      <c r="H880" s="25">
        <f>0.01*Input!$F$14*(E880*$E$869)+10*(B880*$B$869+C880*$C$869+D880*$D$869+F880*$F$869)</f>
        <v>0</v>
      </c>
      <c r="I880" s="17">
        <f t="shared" si="63"/>
        <v>0</v>
      </c>
      <c r="J880" s="29">
        <f t="shared" si="64"/>
        <v>0</v>
      </c>
      <c r="K880" s="6"/>
    </row>
    <row r="881" spans="1:11" x14ac:dyDescent="0.2">
      <c r="A881" s="5" t="s">
        <v>1493</v>
      </c>
      <c r="B881" s="21"/>
      <c r="C881" s="21"/>
      <c r="D881" s="21"/>
      <c r="E881" s="30">
        <f>SM!$B$133</f>
        <v>0</v>
      </c>
      <c r="F881" s="21"/>
      <c r="G881" s="17">
        <f t="shared" si="62"/>
        <v>0</v>
      </c>
      <c r="H881" s="25">
        <f>0.01*Input!$F$14*(E881*$E$869)+10*(B881*$B$869+C881*$C$869+D881*$D$869+F881*$F$869)</f>
        <v>0</v>
      </c>
      <c r="I881" s="17">
        <f t="shared" si="63"/>
        <v>0</v>
      </c>
      <c r="J881" s="29">
        <f t="shared" si="64"/>
        <v>0</v>
      </c>
      <c r="K881" s="6"/>
    </row>
    <row r="882" spans="1:11" x14ac:dyDescent="0.2">
      <c r="A882" s="5" t="s">
        <v>1494</v>
      </c>
      <c r="B882" s="21"/>
      <c r="C882" s="21"/>
      <c r="D882" s="21"/>
      <c r="E882" s="30">
        <f>SM!$C$133</f>
        <v>0</v>
      </c>
      <c r="F882" s="21"/>
      <c r="G882" s="17">
        <f t="shared" si="62"/>
        <v>0</v>
      </c>
      <c r="H882" s="25">
        <f>0.01*Input!$F$14*(E882*$E$869)+10*(B882*$B$869+C882*$C$869+D882*$D$869+F882*$F$869)</f>
        <v>0</v>
      </c>
      <c r="I882" s="17">
        <f t="shared" si="63"/>
        <v>0</v>
      </c>
      <c r="J882" s="29">
        <f t="shared" si="64"/>
        <v>0</v>
      </c>
      <c r="K882" s="6"/>
    </row>
    <row r="883" spans="1:11" x14ac:dyDescent="0.2">
      <c r="A883" s="5" t="s">
        <v>1495</v>
      </c>
      <c r="B883" s="20">
        <f>Yard!$K$78</f>
        <v>-0.57686920854357282</v>
      </c>
      <c r="C883" s="20">
        <f>Yard!$K$110</f>
        <v>-3.1449694114638896E-2</v>
      </c>
      <c r="D883" s="20">
        <f>Yard!$K$133</f>
        <v>-5.5582716934137267E-3</v>
      </c>
      <c r="E883" s="21"/>
      <c r="F883" s="20">
        <f>Reactive!$K$90</f>
        <v>1.1374086634988059E-2</v>
      </c>
      <c r="G883" s="17">
        <f t="shared" si="62"/>
        <v>-4.3736394627607054E-2</v>
      </c>
      <c r="H883" s="25">
        <f>0.01*Input!$F$14*(E883*$E$869)+10*(B883*$B$869+C883*$C$869+D883*$D$869+F883*$F$869)</f>
        <v>-239424.65282905224</v>
      </c>
      <c r="I883" s="17">
        <f t="shared" si="63"/>
        <v>-4.3736394627607054E-2</v>
      </c>
      <c r="J883" s="29">
        <f t="shared" si="64"/>
        <v>-2468.2953899902291</v>
      </c>
      <c r="K883" s="6"/>
    </row>
    <row r="884" spans="1:11" x14ac:dyDescent="0.2">
      <c r="A884" s="5" t="s">
        <v>1496</v>
      </c>
      <c r="B884" s="20">
        <f>Yard!$L$78</f>
        <v>-0.24109568410518747</v>
      </c>
      <c r="C884" s="20">
        <f>Yard!$L$110</f>
        <v>-2.0862684649326745E-2</v>
      </c>
      <c r="D884" s="20">
        <f>Yard!$L$133</f>
        <v>-3.1176067617303144E-3</v>
      </c>
      <c r="E884" s="21"/>
      <c r="F884" s="20">
        <f>Reactive!$L$90</f>
        <v>5.4406000665064066E-3</v>
      </c>
      <c r="G884" s="17">
        <f t="shared" si="62"/>
        <v>-2.0886946168642496E-2</v>
      </c>
      <c r="H884" s="25">
        <f>0.01*Input!$F$14*(E884*$E$869)+10*(B884*$B$869+C884*$C$869+D884*$D$869+F884*$F$869)</f>
        <v>-114340.69675074962</v>
      </c>
      <c r="I884" s="17">
        <f t="shared" si="63"/>
        <v>-2.0886946168642499E-2</v>
      </c>
      <c r="J884" s="29">
        <f t="shared" si="64"/>
        <v>-1178.770069595357</v>
      </c>
      <c r="K884" s="6"/>
    </row>
    <row r="885" spans="1:11" x14ac:dyDescent="0.2">
      <c r="A885" s="5" t="s">
        <v>1497</v>
      </c>
      <c r="B885" s="20">
        <f>Yard!$M$78</f>
        <v>-0.22238299581614349</v>
      </c>
      <c r="C885" s="20">
        <f>Yard!$M$110</f>
        <v>-1.9243423333370761E-2</v>
      </c>
      <c r="D885" s="20">
        <f>Yard!$M$133</f>
        <v>-2.8756331081719933E-3</v>
      </c>
      <c r="E885" s="21"/>
      <c r="F885" s="20">
        <f>Reactive!$M$90</f>
        <v>4.9861278149499226E-3</v>
      </c>
      <c r="G885" s="17">
        <f t="shared" si="62"/>
        <v>-1.9266524383099982E-2</v>
      </c>
      <c r="H885" s="25">
        <f>0.01*Input!$F$14*(E885*$E$869)+10*(B885*$B$869+C885*$C$869+D885*$D$869+F885*$F$869)</f>
        <v>-105470.07705876298</v>
      </c>
      <c r="I885" s="17">
        <f t="shared" si="63"/>
        <v>-1.9266524383099982E-2</v>
      </c>
      <c r="J885" s="29">
        <f t="shared" si="64"/>
        <v>-1087.3203820491028</v>
      </c>
      <c r="K885" s="6"/>
    </row>
    <row r="886" spans="1:11" x14ac:dyDescent="0.2">
      <c r="A886" s="5" t="s">
        <v>1498</v>
      </c>
      <c r="B886" s="20">
        <f>Yard!$N$78</f>
        <v>-0.30556186769075916</v>
      </c>
      <c r="C886" s="20">
        <f>Yard!$N$110</f>
        <v>-3.5128266726579128E-2</v>
      </c>
      <c r="D886" s="20">
        <f>Yard!$N$133</f>
        <v>-4.7180732425718772E-3</v>
      </c>
      <c r="E886" s="21"/>
      <c r="F886" s="20">
        <f>Reactive!$N$90</f>
        <v>7.6000840121917563E-3</v>
      </c>
      <c r="G886" s="17">
        <f t="shared" si="62"/>
        <v>-2.932249204059063E-2</v>
      </c>
      <c r="H886" s="25">
        <f>0.01*Input!$F$14*(E886*$E$869)+10*(B886*$B$869+C886*$C$869+D886*$D$869+F886*$F$869)</f>
        <v>-160519.11769768051</v>
      </c>
      <c r="I886" s="17">
        <f t="shared" si="63"/>
        <v>-2.932249204059063E-2</v>
      </c>
      <c r="J886" s="29">
        <f t="shared" si="64"/>
        <v>-1654.8362649245414</v>
      </c>
      <c r="K886" s="6"/>
    </row>
    <row r="887" spans="1:11" x14ac:dyDescent="0.2">
      <c r="A887" s="5" t="s">
        <v>1499</v>
      </c>
      <c r="B887" s="20">
        <f>Yard!$O$78</f>
        <v>-0.37837808117732585</v>
      </c>
      <c r="C887" s="20">
        <f>Yard!$O$110</f>
        <v>-4.3499427004877834E-2</v>
      </c>
      <c r="D887" s="20">
        <f>Yard!$O$133</f>
        <v>-5.8424027640292487E-3</v>
      </c>
      <c r="E887" s="21"/>
      <c r="F887" s="20">
        <f>Reactive!$O$90</f>
        <v>9.8911641556177644E-3</v>
      </c>
      <c r="G887" s="17">
        <f t="shared" si="62"/>
        <v>-3.629934962809276E-2</v>
      </c>
      <c r="H887" s="25">
        <f>0.01*Input!$F$14*(E887*$E$869)+10*(B887*$B$869+C887*$C$869+D887*$D$869+F887*$F$869)</f>
        <v>-198712.29113934858</v>
      </c>
      <c r="I887" s="17">
        <f t="shared" si="63"/>
        <v>-3.629934962809276E-2</v>
      </c>
      <c r="J887" s="29">
        <f t="shared" si="64"/>
        <v>-2048.580321024212</v>
      </c>
      <c r="K887" s="6"/>
    </row>
    <row r="888" spans="1:11" x14ac:dyDescent="0.2">
      <c r="A888" s="5" t="s">
        <v>1500</v>
      </c>
      <c r="B888" s="20">
        <f>Yard!$P$78</f>
        <v>0</v>
      </c>
      <c r="C888" s="20">
        <f>Yard!$P$110</f>
        <v>0</v>
      </c>
      <c r="D888" s="20">
        <f>Yard!$P$133</f>
        <v>0</v>
      </c>
      <c r="E888" s="21"/>
      <c r="F888" s="20">
        <f>Reactive!$P$90</f>
        <v>0</v>
      </c>
      <c r="G888" s="17">
        <f t="shared" si="62"/>
        <v>0</v>
      </c>
      <c r="H888" s="25">
        <f>0.01*Input!$F$14*(E888*$E$869)+10*(B888*$B$869+C888*$C$869+D888*$D$869+F888*$F$869)</f>
        <v>0</v>
      </c>
      <c r="I888" s="17">
        <f t="shared" si="63"/>
        <v>0</v>
      </c>
      <c r="J888" s="29">
        <f t="shared" si="64"/>
        <v>0</v>
      </c>
      <c r="K888" s="6"/>
    </row>
    <row r="889" spans="1:11" x14ac:dyDescent="0.2">
      <c r="A889" s="5" t="s">
        <v>1501</v>
      </c>
      <c r="B889" s="20">
        <f>Yard!$Q$78</f>
        <v>0</v>
      </c>
      <c r="C889" s="20">
        <f>Yard!$Q$110</f>
        <v>0</v>
      </c>
      <c r="D889" s="20">
        <f>Yard!$Q$133</f>
        <v>0</v>
      </c>
      <c r="E889" s="21"/>
      <c r="F889" s="20">
        <f>Reactive!$Q$90</f>
        <v>1.4369513415593414E-2</v>
      </c>
      <c r="G889" s="17">
        <f t="shared" si="62"/>
        <v>3.2247280530172632E-4</v>
      </c>
      <c r="H889" s="25">
        <f>0.01*Input!$F$14*(E889*$E$869)+10*(B889*$B$869+C889*$C$869+D889*$D$869+F889*$F$869)</f>
        <v>1765.3018753274555</v>
      </c>
      <c r="I889" s="17">
        <f t="shared" si="63"/>
        <v>3.2247280530172637E-4</v>
      </c>
      <c r="J889" s="29">
        <f t="shared" si="64"/>
        <v>18.198988405437685</v>
      </c>
      <c r="K889" s="6"/>
    </row>
    <row r="890" spans="1:11" x14ac:dyDescent="0.2">
      <c r="A890" s="5" t="s">
        <v>1502</v>
      </c>
      <c r="B890" s="20">
        <f>Yard!$R$78</f>
        <v>0</v>
      </c>
      <c r="C890" s="20">
        <f>Yard!$R$110</f>
        <v>0</v>
      </c>
      <c r="D890" s="20">
        <f>Yard!$R$133</f>
        <v>0</v>
      </c>
      <c r="E890" s="21"/>
      <c r="F890" s="20">
        <f>Reactive!$R$90</f>
        <v>0</v>
      </c>
      <c r="G890" s="17">
        <f t="shared" si="62"/>
        <v>0</v>
      </c>
      <c r="H890" s="25">
        <f>0.01*Input!$F$14*(E890*$E$869)+10*(B890*$B$869+C890*$C$869+D890*$D$869+F890*$F$869)</f>
        <v>0</v>
      </c>
      <c r="I890" s="17">
        <f t="shared" si="63"/>
        <v>0</v>
      </c>
      <c r="J890" s="29">
        <f t="shared" si="64"/>
        <v>0</v>
      </c>
      <c r="K890" s="6"/>
    </row>
    <row r="891" spans="1:11" x14ac:dyDescent="0.2">
      <c r="A891" s="5" t="s">
        <v>1503</v>
      </c>
      <c r="B891" s="20">
        <f>Yard!$S$78</f>
        <v>0</v>
      </c>
      <c r="C891" s="20">
        <f>Yard!$S$110</f>
        <v>0</v>
      </c>
      <c r="D891" s="20">
        <f>Yard!$S$133</f>
        <v>0</v>
      </c>
      <c r="E891" s="21"/>
      <c r="F891" s="20">
        <f>Reactive!$S$90</f>
        <v>0</v>
      </c>
      <c r="G891" s="17">
        <f t="shared" si="62"/>
        <v>0</v>
      </c>
      <c r="H891" s="25">
        <f>0.01*Input!$F$14*(E891*$E$869)+10*(B891*$B$869+C891*$C$869+D891*$D$869+F891*$F$869)</f>
        <v>0</v>
      </c>
      <c r="I891" s="17">
        <f t="shared" si="63"/>
        <v>0</v>
      </c>
      <c r="J891" s="29">
        <f t="shared" si="64"/>
        <v>0</v>
      </c>
      <c r="K891" s="6"/>
    </row>
    <row r="892" spans="1:11" x14ac:dyDescent="0.2">
      <c r="A892" s="5" t="s">
        <v>1504</v>
      </c>
      <c r="B892" s="21"/>
      <c r="C892" s="21"/>
      <c r="D892" s="21"/>
      <c r="E892" s="30">
        <f>Otex!$B$146</f>
        <v>0</v>
      </c>
      <c r="F892" s="21"/>
      <c r="G892" s="17">
        <f t="shared" si="62"/>
        <v>0</v>
      </c>
      <c r="H892" s="25">
        <f>0.01*Input!$F$14*(E892*$E$869)+10*(B892*$B$869+C892*$C$869+D892*$D$869+F892*$F$869)</f>
        <v>0</v>
      </c>
      <c r="I892" s="17">
        <f t="shared" si="63"/>
        <v>0</v>
      </c>
      <c r="J892" s="29">
        <f t="shared" si="64"/>
        <v>0</v>
      </c>
      <c r="K892" s="6"/>
    </row>
    <row r="893" spans="1:11" x14ac:dyDescent="0.2">
      <c r="A893" s="5" t="s">
        <v>1505</v>
      </c>
      <c r="B893" s="21"/>
      <c r="C893" s="21"/>
      <c r="D893" s="21"/>
      <c r="E893" s="30">
        <f>Otex!$C$146</f>
        <v>6.3622622359931222</v>
      </c>
      <c r="F893" s="21"/>
      <c r="G893" s="17">
        <f t="shared" si="62"/>
        <v>0</v>
      </c>
      <c r="H893" s="25">
        <f>0.01*Input!$F$14*(E893*$E$869)+10*(B893*$B$869+C893*$C$869+D893*$D$869+F893*$F$869)</f>
        <v>2252.558944653365</v>
      </c>
      <c r="I893" s="17">
        <f t="shared" si="63"/>
        <v>4.1148146509226635E-4</v>
      </c>
      <c r="J893" s="29">
        <f t="shared" si="64"/>
        <v>23.222257161374898</v>
      </c>
      <c r="K893" s="6"/>
    </row>
    <row r="894" spans="1:11" x14ac:dyDescent="0.2">
      <c r="A894" s="5" t="s">
        <v>1506</v>
      </c>
      <c r="B894" s="20">
        <f>Scaler!$B$432</f>
        <v>0</v>
      </c>
      <c r="C894" s="20">
        <f>Scaler!$C$432</f>
        <v>0</v>
      </c>
      <c r="D894" s="20">
        <f>Scaler!$D$432</f>
        <v>0</v>
      </c>
      <c r="E894" s="30">
        <f>Scaler!$E$432</f>
        <v>0</v>
      </c>
      <c r="F894" s="20">
        <f>Scaler!$G$432</f>
        <v>0</v>
      </c>
      <c r="G894" s="17">
        <f t="shared" si="62"/>
        <v>0</v>
      </c>
      <c r="H894" s="25">
        <f>0.01*Input!$F$14*(E894*$E$869)+10*(B894*$B$869+C894*$C$869+D894*$D$869+F894*$F$869)</f>
        <v>0</v>
      </c>
      <c r="I894" s="17">
        <f t="shared" si="63"/>
        <v>0</v>
      </c>
      <c r="J894" s="29">
        <f t="shared" si="64"/>
        <v>0</v>
      </c>
      <c r="K894" s="6"/>
    </row>
    <row r="895" spans="1:11" x14ac:dyDescent="0.2">
      <c r="A895" s="5" t="s">
        <v>1507</v>
      </c>
      <c r="B895" s="20">
        <f>Adjust!$B$98</f>
        <v>4.8832983943913888E-4</v>
      </c>
      <c r="C895" s="20">
        <f>Adjust!$C$98</f>
        <v>-2.7986761665010906E-4</v>
      </c>
      <c r="D895" s="20">
        <f>Adjust!$D$98</f>
        <v>1.6540785437817174E-4</v>
      </c>
      <c r="E895" s="30">
        <f>Adjust!$E$98</f>
        <v>-2.2622359931219194E-3</v>
      </c>
      <c r="F895" s="20">
        <f>Adjust!$G$98</f>
        <v>-6.3756479083937334E-5</v>
      </c>
      <c r="G895" s="17">
        <f t="shared" si="62"/>
        <v>6.1333866841897257E-5</v>
      </c>
      <c r="H895" s="25">
        <f>0.01*Input!$F$14*(E895*$E$869)+10*(B895*$B$869+C895*$C$869+D895*$D$869+F895*$F$869)</f>
        <v>334.95694989460702</v>
      </c>
      <c r="I895" s="17">
        <f t="shared" si="63"/>
        <v>6.1187555962793905E-5</v>
      </c>
      <c r="J895" s="29">
        <f t="shared" si="64"/>
        <v>3.4531644319031654</v>
      </c>
      <c r="K895" s="6"/>
    </row>
    <row r="898" spans="1:11" x14ac:dyDescent="0.2">
      <c r="A898" s="5" t="s">
        <v>1508</v>
      </c>
      <c r="B898" s="17">
        <f>SUM($B$873:$B$895)</f>
        <v>-4.5460000000000003</v>
      </c>
      <c r="C898" s="17">
        <f>SUM($C$873:$C$895)</f>
        <v>-0.435</v>
      </c>
      <c r="D898" s="17">
        <f>SUM($D$873:$D$895)</f>
        <v>-6.2E-2</v>
      </c>
      <c r="E898" s="29">
        <f>SUM($E$873:$E$895)</f>
        <v>6.36</v>
      </c>
      <c r="F898" s="17">
        <f>SUM($F$873:$F$895)</f>
        <v>0.125</v>
      </c>
      <c r="G898" s="17">
        <f>SUM(G$873:G$895)</f>
        <v>-0.40675698357166323</v>
      </c>
      <c r="H898" s="25">
        <f>SUM($H$873:$H$895)</f>
        <v>-2224444.1186639043</v>
      </c>
      <c r="I898" s="17">
        <f>SUM($I$873:$I$895)</f>
        <v>-0.40634564841745002</v>
      </c>
      <c r="J898" s="29">
        <f>SUM($J$873:$J$895)</f>
        <v>-22932.413594473241</v>
      </c>
      <c r="K898" s="6"/>
    </row>
    <row r="900" spans="1:11" ht="16.5" x14ac:dyDescent="0.25">
      <c r="A900" s="3" t="s">
        <v>77</v>
      </c>
    </row>
    <row r="902" spans="1:11" ht="25.5" x14ac:dyDescent="0.2">
      <c r="B902" s="4" t="s">
        <v>105</v>
      </c>
      <c r="C902" s="4" t="s">
        <v>108</v>
      </c>
      <c r="D902" s="4" t="s">
        <v>110</v>
      </c>
      <c r="E902" s="4" t="s">
        <v>1489</v>
      </c>
      <c r="F902" s="4" t="s">
        <v>1490</v>
      </c>
    </row>
    <row r="903" spans="1:11" x14ac:dyDescent="0.2">
      <c r="A903" s="5" t="s">
        <v>77</v>
      </c>
      <c r="B903" s="27">
        <f>Loads!B$324</f>
        <v>0</v>
      </c>
      <c r="C903" s="27">
        <f>Loads!E$324</f>
        <v>0</v>
      </c>
      <c r="D903" s="27">
        <f>Loads!G$324</f>
        <v>0</v>
      </c>
      <c r="E903" s="27">
        <f>Multi!B$141</f>
        <v>0</v>
      </c>
      <c r="F903" s="17" t="str">
        <f>IF(C903,E903/C903,"")</f>
        <v/>
      </c>
      <c r="G903" s="6"/>
    </row>
    <row r="906" spans="1:11" ht="25.5" x14ac:dyDescent="0.2">
      <c r="B906" s="4" t="s">
        <v>1319</v>
      </c>
      <c r="C906" s="4" t="s">
        <v>1322</v>
      </c>
      <c r="D906" s="4" t="s">
        <v>957</v>
      </c>
      <c r="E906" s="4" t="s">
        <v>1491</v>
      </c>
      <c r="F906" s="4" t="s">
        <v>1461</v>
      </c>
      <c r="G906" s="4" t="s">
        <v>1492</v>
      </c>
    </row>
    <row r="907" spans="1:11" x14ac:dyDescent="0.2">
      <c r="A907" s="5" t="s">
        <v>338</v>
      </c>
      <c r="B907" s="20">
        <f>Yard!$C$49</f>
        <v>-6.8090357392310702E-2</v>
      </c>
      <c r="C907" s="21"/>
      <c r="D907" s="20">
        <f>Reactive!$C$91</f>
        <v>1.628896034670407E-2</v>
      </c>
      <c r="E907" s="25">
        <f>0.01*Input!$F$14*(C907*$C$903)+10*(B907*$B$903+D907*$D$903)</f>
        <v>0</v>
      </c>
      <c r="F907" s="17" t="str">
        <f t="shared" ref="F907:F929" si="65">IF($E$903&lt;&gt;0,0.1*E907/$E$903,"")</f>
        <v/>
      </c>
      <c r="G907" s="29" t="str">
        <f t="shared" ref="G907:G929" si="66">IF($C$903&lt;&gt;0,E907/$C$903,"")</f>
        <v/>
      </c>
      <c r="H907" s="6"/>
    </row>
    <row r="908" spans="1:11" x14ac:dyDescent="0.2">
      <c r="A908" s="5" t="s">
        <v>339</v>
      </c>
      <c r="B908" s="20">
        <f>Yard!$D$49</f>
        <v>-6.2805511095286107E-2</v>
      </c>
      <c r="C908" s="21"/>
      <c r="D908" s="20">
        <f>Reactive!$D$91</f>
        <v>1.4928286819191039E-2</v>
      </c>
      <c r="E908" s="25">
        <f>0.01*Input!$F$14*(C908*$C$903)+10*(B908*$B$903+D908*$D$903)</f>
        <v>0</v>
      </c>
      <c r="F908" s="17" t="str">
        <f t="shared" si="65"/>
        <v/>
      </c>
      <c r="G908" s="29" t="str">
        <f t="shared" si="66"/>
        <v/>
      </c>
      <c r="H908" s="6"/>
    </row>
    <row r="909" spans="1:11" x14ac:dyDescent="0.2">
      <c r="A909" s="5" t="s">
        <v>340</v>
      </c>
      <c r="B909" s="20">
        <f>Yard!$E$49</f>
        <v>-4.1164343703405909E-2</v>
      </c>
      <c r="C909" s="21"/>
      <c r="D909" s="20">
        <f>Reactive!$E$91</f>
        <v>9.7843822749231115E-3</v>
      </c>
      <c r="E909" s="25">
        <f>0.01*Input!$F$14*(C909*$C$903)+10*(B909*$B$903+D909*$D$903)</f>
        <v>0</v>
      </c>
      <c r="F909" s="17" t="str">
        <f t="shared" si="65"/>
        <v/>
      </c>
      <c r="G909" s="29" t="str">
        <f t="shared" si="66"/>
        <v/>
      </c>
      <c r="H909" s="6"/>
    </row>
    <row r="910" spans="1:11" x14ac:dyDescent="0.2">
      <c r="A910" s="5" t="s">
        <v>341</v>
      </c>
      <c r="B910" s="20">
        <f>Yard!$F$49</f>
        <v>0</v>
      </c>
      <c r="C910" s="21"/>
      <c r="D910" s="20">
        <f>Reactive!$F$91</f>
        <v>0</v>
      </c>
      <c r="E910" s="25">
        <f>0.01*Input!$F$14*(C910*$C$903)+10*(B910*$B$903+D910*$D$903)</f>
        <v>0</v>
      </c>
      <c r="F910" s="17" t="str">
        <f t="shared" si="65"/>
        <v/>
      </c>
      <c r="G910" s="29" t="str">
        <f t="shared" si="66"/>
        <v/>
      </c>
      <c r="H910" s="6"/>
    </row>
    <row r="911" spans="1:11" x14ac:dyDescent="0.2">
      <c r="A911" s="5" t="s">
        <v>342</v>
      </c>
      <c r="B911" s="20">
        <f>Yard!$G$49</f>
        <v>0</v>
      </c>
      <c r="C911" s="21"/>
      <c r="D911" s="20">
        <f>Reactive!$G$91</f>
        <v>0</v>
      </c>
      <c r="E911" s="25">
        <f>0.01*Input!$F$14*(C911*$C$903)+10*(B911*$B$903+D911*$D$903)</f>
        <v>0</v>
      </c>
      <c r="F911" s="17" t="str">
        <f t="shared" si="65"/>
        <v/>
      </c>
      <c r="G911" s="29" t="str">
        <f t="shared" si="66"/>
        <v/>
      </c>
      <c r="H911" s="6"/>
    </row>
    <row r="912" spans="1:11" x14ac:dyDescent="0.2">
      <c r="A912" s="5" t="s">
        <v>343</v>
      </c>
      <c r="B912" s="20">
        <f>Yard!$H$49</f>
        <v>0</v>
      </c>
      <c r="C912" s="21"/>
      <c r="D912" s="20">
        <f>Reactive!$H$91</f>
        <v>0</v>
      </c>
      <c r="E912" s="25">
        <f>0.01*Input!$F$14*(C912*$C$903)+10*(B912*$B$903+D912*$D$903)</f>
        <v>0</v>
      </c>
      <c r="F912" s="17" t="str">
        <f t="shared" si="65"/>
        <v/>
      </c>
      <c r="G912" s="29" t="str">
        <f t="shared" si="66"/>
        <v/>
      </c>
      <c r="H912" s="6"/>
    </row>
    <row r="913" spans="1:8" x14ac:dyDescent="0.2">
      <c r="A913" s="5" t="s">
        <v>344</v>
      </c>
      <c r="B913" s="20">
        <f>Yard!$I$49</f>
        <v>0</v>
      </c>
      <c r="C913" s="21"/>
      <c r="D913" s="20">
        <f>Reactive!$I$91</f>
        <v>0</v>
      </c>
      <c r="E913" s="25">
        <f>0.01*Input!$F$14*(C913*$C$903)+10*(B913*$B$903+D913*$D$903)</f>
        <v>0</v>
      </c>
      <c r="F913" s="17" t="str">
        <f t="shared" si="65"/>
        <v/>
      </c>
      <c r="G913" s="29" t="str">
        <f t="shared" si="66"/>
        <v/>
      </c>
      <c r="H913" s="6"/>
    </row>
    <row r="914" spans="1:8" x14ac:dyDescent="0.2">
      <c r="A914" s="5" t="s">
        <v>345</v>
      </c>
      <c r="B914" s="20">
        <f>Yard!$J$49</f>
        <v>0</v>
      </c>
      <c r="C914" s="21"/>
      <c r="D914" s="20">
        <f>Reactive!$J$91</f>
        <v>0</v>
      </c>
      <c r="E914" s="25">
        <f>0.01*Input!$F$14*(C914*$C$903)+10*(B914*$B$903+D914*$D$903)</f>
        <v>0</v>
      </c>
      <c r="F914" s="17" t="str">
        <f t="shared" si="65"/>
        <v/>
      </c>
      <c r="G914" s="29" t="str">
        <f t="shared" si="66"/>
        <v/>
      </c>
      <c r="H914" s="6"/>
    </row>
    <row r="915" spans="1:8" x14ac:dyDescent="0.2">
      <c r="A915" s="5" t="s">
        <v>1493</v>
      </c>
      <c r="B915" s="21"/>
      <c r="C915" s="30">
        <f>SM!$B$134</f>
        <v>0</v>
      </c>
      <c r="D915" s="21"/>
      <c r="E915" s="25">
        <f>0.01*Input!$F$14*(C915*$C$903)+10*(B915*$B$903+D915*$D$903)</f>
        <v>0</v>
      </c>
      <c r="F915" s="17" t="str">
        <f t="shared" si="65"/>
        <v/>
      </c>
      <c r="G915" s="29" t="str">
        <f t="shared" si="66"/>
        <v/>
      </c>
      <c r="H915" s="6"/>
    </row>
    <row r="916" spans="1:8" x14ac:dyDescent="0.2">
      <c r="A916" s="5" t="s">
        <v>1494</v>
      </c>
      <c r="B916" s="21"/>
      <c r="C916" s="30">
        <f>SM!$C$134</f>
        <v>0</v>
      </c>
      <c r="D916" s="21"/>
      <c r="E916" s="25">
        <f>0.01*Input!$F$14*(C916*$C$903)+10*(B916*$B$903+D916*$D$903)</f>
        <v>0</v>
      </c>
      <c r="F916" s="17" t="str">
        <f t="shared" si="65"/>
        <v/>
      </c>
      <c r="G916" s="29" t="str">
        <f t="shared" si="66"/>
        <v/>
      </c>
      <c r="H916" s="6"/>
    </row>
    <row r="917" spans="1:8" x14ac:dyDescent="0.2">
      <c r="A917" s="5" t="s">
        <v>1495</v>
      </c>
      <c r="B917" s="20">
        <f>Yard!$K$49</f>
        <v>-4.699630087890342E-2</v>
      </c>
      <c r="C917" s="21"/>
      <c r="D917" s="20">
        <f>Reactive!$K$91</f>
        <v>1.1242720860570488E-2</v>
      </c>
      <c r="E917" s="25">
        <f>0.01*Input!$F$14*(C917*$C$903)+10*(B917*$B$903+D917*$D$903)</f>
        <v>0</v>
      </c>
      <c r="F917" s="17" t="str">
        <f t="shared" si="65"/>
        <v/>
      </c>
      <c r="G917" s="29" t="str">
        <f t="shared" si="66"/>
        <v/>
      </c>
      <c r="H917" s="6"/>
    </row>
    <row r="918" spans="1:8" x14ac:dyDescent="0.2">
      <c r="A918" s="5" t="s">
        <v>1496</v>
      </c>
      <c r="B918" s="20">
        <f>Yard!$L$49</f>
        <v>-2.2479877804059422E-2</v>
      </c>
      <c r="C918" s="21"/>
      <c r="D918" s="20">
        <f>Reactive!$L$91</f>
        <v>5.3777634921097972E-3</v>
      </c>
      <c r="E918" s="25">
        <f>0.01*Input!$F$14*(C918*$C$903)+10*(B918*$B$903+D918*$D$903)</f>
        <v>0</v>
      </c>
      <c r="F918" s="17" t="str">
        <f t="shared" si="65"/>
        <v/>
      </c>
      <c r="G918" s="29" t="str">
        <f t="shared" si="66"/>
        <v/>
      </c>
      <c r="H918" s="6"/>
    </row>
    <row r="919" spans="1:8" x14ac:dyDescent="0.2">
      <c r="A919" s="5" t="s">
        <v>1497</v>
      </c>
      <c r="B919" s="20">
        <f>Yard!$M$49</f>
        <v>-2.0735097727699235E-2</v>
      </c>
      <c r="C919" s="21"/>
      <c r="D919" s="20">
        <f>Reactive!$M$91</f>
        <v>4.9285401982228786E-3</v>
      </c>
      <c r="E919" s="25">
        <f>0.01*Input!$F$14*(C919*$C$903)+10*(B919*$B$903+D919*$D$903)</f>
        <v>0</v>
      </c>
      <c r="F919" s="17" t="str">
        <f t="shared" si="65"/>
        <v/>
      </c>
      <c r="G919" s="29" t="str">
        <f t="shared" si="66"/>
        <v/>
      </c>
      <c r="H919" s="6"/>
    </row>
    <row r="920" spans="1:8" x14ac:dyDescent="0.2">
      <c r="A920" s="5" t="s">
        <v>1498</v>
      </c>
      <c r="B920" s="20">
        <f>Yard!$N$49</f>
        <v>-3.1605384093649283E-2</v>
      </c>
      <c r="C920" s="21"/>
      <c r="D920" s="20">
        <f>Reactive!$N$91</f>
        <v>7.5123063335138926E-3</v>
      </c>
      <c r="E920" s="25">
        <f>0.01*Input!$F$14*(C920*$C$903)+10*(B920*$B$903+D920*$D$903)</f>
        <v>0</v>
      </c>
      <c r="F920" s="17" t="str">
        <f t="shared" si="65"/>
        <v/>
      </c>
      <c r="G920" s="29" t="str">
        <f t="shared" si="66"/>
        <v/>
      </c>
      <c r="H920" s="6"/>
    </row>
    <row r="921" spans="1:8" x14ac:dyDescent="0.2">
      <c r="A921" s="5" t="s">
        <v>1499</v>
      </c>
      <c r="B921" s="20">
        <f>Yard!$O$49</f>
        <v>0</v>
      </c>
      <c r="C921" s="21"/>
      <c r="D921" s="20">
        <f>Reactive!$O$91</f>
        <v>0</v>
      </c>
      <c r="E921" s="25">
        <f>0.01*Input!$F$14*(C921*$C$903)+10*(B921*$B$903+D921*$D$903)</f>
        <v>0</v>
      </c>
      <c r="F921" s="17" t="str">
        <f t="shared" si="65"/>
        <v/>
      </c>
      <c r="G921" s="29" t="str">
        <f t="shared" si="66"/>
        <v/>
      </c>
      <c r="H921" s="6"/>
    </row>
    <row r="922" spans="1:8" x14ac:dyDescent="0.2">
      <c r="A922" s="5" t="s">
        <v>1500</v>
      </c>
      <c r="B922" s="20">
        <f>Yard!$P$49</f>
        <v>0</v>
      </c>
      <c r="C922" s="21"/>
      <c r="D922" s="20">
        <f>Reactive!$P$91</f>
        <v>0</v>
      </c>
      <c r="E922" s="25">
        <f>0.01*Input!$F$14*(C922*$C$903)+10*(B922*$B$903+D922*$D$903)</f>
        <v>0</v>
      </c>
      <c r="F922" s="17" t="str">
        <f t="shared" si="65"/>
        <v/>
      </c>
      <c r="G922" s="29" t="str">
        <f t="shared" si="66"/>
        <v/>
      </c>
      <c r="H922" s="6"/>
    </row>
    <row r="923" spans="1:8" x14ac:dyDescent="0.2">
      <c r="A923" s="5" t="s">
        <v>1501</v>
      </c>
      <c r="B923" s="20">
        <f>Yard!$Q$49</f>
        <v>0</v>
      </c>
      <c r="C923" s="21"/>
      <c r="D923" s="20">
        <f>Reactive!$Q$91</f>
        <v>0</v>
      </c>
      <c r="E923" s="25">
        <f>0.01*Input!$F$14*(C923*$C$903)+10*(B923*$B$903+D923*$D$903)</f>
        <v>0</v>
      </c>
      <c r="F923" s="17" t="str">
        <f t="shared" si="65"/>
        <v/>
      </c>
      <c r="G923" s="29" t="str">
        <f t="shared" si="66"/>
        <v/>
      </c>
      <c r="H923" s="6"/>
    </row>
    <row r="924" spans="1:8" x14ac:dyDescent="0.2">
      <c r="A924" s="5" t="s">
        <v>1502</v>
      </c>
      <c r="B924" s="20">
        <f>Yard!$R$49</f>
        <v>0</v>
      </c>
      <c r="C924" s="21"/>
      <c r="D924" s="20">
        <f>Reactive!$R$91</f>
        <v>0</v>
      </c>
      <c r="E924" s="25">
        <f>0.01*Input!$F$14*(C924*$C$903)+10*(B924*$B$903+D924*$D$903)</f>
        <v>0</v>
      </c>
      <c r="F924" s="17" t="str">
        <f t="shared" si="65"/>
        <v/>
      </c>
      <c r="G924" s="29" t="str">
        <f t="shared" si="66"/>
        <v/>
      </c>
      <c r="H924" s="6"/>
    </row>
    <row r="925" spans="1:8" x14ac:dyDescent="0.2">
      <c r="A925" s="5" t="s">
        <v>1503</v>
      </c>
      <c r="B925" s="20">
        <f>Yard!$S$49</f>
        <v>0</v>
      </c>
      <c r="C925" s="21"/>
      <c r="D925" s="20">
        <f>Reactive!$S$91</f>
        <v>0</v>
      </c>
      <c r="E925" s="25">
        <f>0.01*Input!$F$14*(C925*$C$903)+10*(B925*$B$903+D925*$D$903)</f>
        <v>0</v>
      </c>
      <c r="F925" s="17" t="str">
        <f t="shared" si="65"/>
        <v/>
      </c>
      <c r="G925" s="29" t="str">
        <f t="shared" si="66"/>
        <v/>
      </c>
      <c r="H925" s="6"/>
    </row>
    <row r="926" spans="1:8" x14ac:dyDescent="0.2">
      <c r="A926" s="5" t="s">
        <v>1504</v>
      </c>
      <c r="B926" s="21"/>
      <c r="C926" s="30">
        <f>Otex!$B$147</f>
        <v>0</v>
      </c>
      <c r="D926" s="21"/>
      <c r="E926" s="25">
        <f>0.01*Input!$F$14*(C926*$C$903)+10*(B926*$B$903+D926*$D$903)</f>
        <v>0</v>
      </c>
      <c r="F926" s="17" t="str">
        <f t="shared" si="65"/>
        <v/>
      </c>
      <c r="G926" s="29" t="str">
        <f t="shared" si="66"/>
        <v/>
      </c>
      <c r="H926" s="6"/>
    </row>
    <row r="927" spans="1:8" x14ac:dyDescent="0.2">
      <c r="A927" s="5" t="s">
        <v>1505</v>
      </c>
      <c r="B927" s="21"/>
      <c r="C927" s="30">
        <f>Otex!$C$147</f>
        <v>6.3622622359931222</v>
      </c>
      <c r="D927" s="21"/>
      <c r="E927" s="25">
        <f>0.01*Input!$F$14*(C927*$C$903)+10*(B927*$B$903+D927*$D$903)</f>
        <v>0</v>
      </c>
      <c r="F927" s="17" t="str">
        <f t="shared" si="65"/>
        <v/>
      </c>
      <c r="G927" s="29" t="str">
        <f t="shared" si="66"/>
        <v/>
      </c>
      <c r="H927" s="6"/>
    </row>
    <row r="928" spans="1:8" x14ac:dyDescent="0.2">
      <c r="A928" s="5" t="s">
        <v>1506</v>
      </c>
      <c r="B928" s="20">
        <f>Scaler!$B$433</f>
        <v>0</v>
      </c>
      <c r="C928" s="30">
        <f>Scaler!$E$433</f>
        <v>0</v>
      </c>
      <c r="D928" s="20">
        <f>Scaler!$G$433</f>
        <v>0</v>
      </c>
      <c r="E928" s="25">
        <f>0.01*Input!$F$14*(C928*$C$903)+10*(B928*$B$903+D928*$D$903)</f>
        <v>0</v>
      </c>
      <c r="F928" s="17" t="str">
        <f t="shared" si="65"/>
        <v/>
      </c>
      <c r="G928" s="29" t="str">
        <f t="shared" si="66"/>
        <v/>
      </c>
      <c r="H928" s="6"/>
    </row>
    <row r="929" spans="1:11" x14ac:dyDescent="0.2">
      <c r="A929" s="5" t="s">
        <v>1507</v>
      </c>
      <c r="B929" s="20">
        <f>Adjust!$B$99</f>
        <v>-1.2312730468594379E-4</v>
      </c>
      <c r="C929" s="30">
        <f>Adjust!$E$99</f>
        <v>-2.2622359931219194E-3</v>
      </c>
      <c r="D929" s="20">
        <f>Adjust!$G$99</f>
        <v>-6.2960325235270065E-5</v>
      </c>
      <c r="E929" s="25">
        <f>0.01*Input!$F$14*(C929*$C$903)+10*(B929*$B$903+D929*$D$903)</f>
        <v>0</v>
      </c>
      <c r="F929" s="17" t="str">
        <f t="shared" si="65"/>
        <v/>
      </c>
      <c r="G929" s="29" t="str">
        <f t="shared" si="66"/>
        <v/>
      </c>
      <c r="H929" s="6"/>
    </row>
    <row r="932" spans="1:11" x14ac:dyDescent="0.2">
      <c r="A932" s="5" t="s">
        <v>1508</v>
      </c>
      <c r="B932" s="17">
        <f>SUM($B$907:$B$929)</f>
        <v>-0.29399999999999998</v>
      </c>
      <c r="C932" s="29">
        <f>SUM($C$907:$C$929)</f>
        <v>6.36</v>
      </c>
      <c r="D932" s="17">
        <f>SUM($D$907:$D$929)</f>
        <v>7.0000000000000007E-2</v>
      </c>
      <c r="E932" s="25">
        <f>SUM($E$907:$E$929)</f>
        <v>0</v>
      </c>
      <c r="F932" s="17">
        <f>SUM($F$907:$F$929)</f>
        <v>0</v>
      </c>
      <c r="G932" s="29">
        <f>SUM($G$907:$G$929)</f>
        <v>0</v>
      </c>
      <c r="H932" s="6"/>
    </row>
    <row r="934" spans="1:11" ht="16.5" x14ac:dyDescent="0.25">
      <c r="A934" s="3" t="s">
        <v>78</v>
      </c>
    </row>
    <row r="936" spans="1:11" ht="25.5" x14ac:dyDescent="0.2">
      <c r="B936" s="4" t="s">
        <v>105</v>
      </c>
      <c r="C936" s="4" t="s">
        <v>106</v>
      </c>
      <c r="D936" s="4" t="s">
        <v>107</v>
      </c>
      <c r="E936" s="4" t="s">
        <v>108</v>
      </c>
      <c r="F936" s="4" t="s">
        <v>110</v>
      </c>
      <c r="G936" s="4" t="s">
        <v>1489</v>
      </c>
      <c r="H936" s="4" t="s">
        <v>1490</v>
      </c>
    </row>
    <row r="937" spans="1:11" x14ac:dyDescent="0.2">
      <c r="A937" s="5" t="s">
        <v>78</v>
      </c>
      <c r="B937" s="27">
        <f>Loads!B$325</f>
        <v>0</v>
      </c>
      <c r="C937" s="27">
        <f>Loads!C$325</f>
        <v>0</v>
      </c>
      <c r="D937" s="27">
        <f>Loads!D$325</f>
        <v>0</v>
      </c>
      <c r="E937" s="27">
        <f>Loads!E$325</f>
        <v>0</v>
      </c>
      <c r="F937" s="27">
        <f>Loads!G$325</f>
        <v>0</v>
      </c>
      <c r="G937" s="27">
        <f>Multi!B$142</f>
        <v>0</v>
      </c>
      <c r="H937" s="17" t="str">
        <f>IF(E937,G937/E937,"")</f>
        <v/>
      </c>
      <c r="I937" s="6"/>
    </row>
    <row r="940" spans="1:11" ht="25.5" x14ac:dyDescent="0.2">
      <c r="B940" s="4" t="s">
        <v>1319</v>
      </c>
      <c r="C940" s="4" t="s">
        <v>1320</v>
      </c>
      <c r="D940" s="4" t="s">
        <v>1321</v>
      </c>
      <c r="E940" s="4" t="s">
        <v>1322</v>
      </c>
      <c r="F940" s="4" t="s">
        <v>957</v>
      </c>
      <c r="G940" s="4" t="s">
        <v>1509</v>
      </c>
      <c r="H940" s="4" t="s">
        <v>1491</v>
      </c>
      <c r="I940" s="4" t="s">
        <v>1461</v>
      </c>
      <c r="J940" s="4" t="s">
        <v>1492</v>
      </c>
    </row>
    <row r="941" spans="1:11" x14ac:dyDescent="0.2">
      <c r="A941" s="5" t="s">
        <v>338</v>
      </c>
      <c r="B941" s="20">
        <f>Yard!$C$79</f>
        <v>-0.72183178144771754</v>
      </c>
      <c r="C941" s="20">
        <f>Yard!$C$111</f>
        <v>-6.2462125284811161E-2</v>
      </c>
      <c r="D941" s="20">
        <f>Yard!$C$134</f>
        <v>-9.3340021868306162E-3</v>
      </c>
      <c r="E941" s="21"/>
      <c r="F941" s="20">
        <f>Reactive!$C$92</f>
        <v>1.628896034670407E-2</v>
      </c>
      <c r="G941" s="17">
        <f t="shared" ref="G941:G963" si="67">IF(G$937&lt;&gt;0,(($B941*B$937+$C941*C$937+$D941*D$937+$F941*F$937))/G$937,0)</f>
        <v>0</v>
      </c>
      <c r="H941" s="25">
        <f>0.01*Input!$F$14*(E941*$E$937)+10*(B941*$B$937+C941*$C$937+D941*$D$937+F941*$F$937)</f>
        <v>0</v>
      </c>
      <c r="I941" s="17" t="str">
        <f t="shared" ref="I941:I963" si="68">IF($G$937&lt;&gt;0,0.1*H941/$G$937,"")</f>
        <v/>
      </c>
      <c r="J941" s="29" t="str">
        <f t="shared" ref="J941:J963" si="69">IF($E$937&lt;&gt;0,H941/$E$937,"")</f>
        <v/>
      </c>
      <c r="K941" s="6"/>
    </row>
    <row r="942" spans="1:11" x14ac:dyDescent="0.2">
      <c r="A942" s="5" t="s">
        <v>339</v>
      </c>
      <c r="B942" s="20">
        <f>Yard!$D$79</f>
        <v>-0.66580666771128372</v>
      </c>
      <c r="C942" s="20">
        <f>Yard!$D$111</f>
        <v>-5.7614115314562439E-2</v>
      </c>
      <c r="D942" s="20">
        <f>Yard!$D$134</f>
        <v>-8.6095417965101825E-3</v>
      </c>
      <c r="E942" s="21"/>
      <c r="F942" s="20">
        <f>Reactive!$D$92</f>
        <v>1.4928286819191039E-2</v>
      </c>
      <c r="G942" s="17">
        <f t="shared" si="67"/>
        <v>0</v>
      </c>
      <c r="H942" s="25">
        <f>0.01*Input!$F$14*(E942*$E$937)+10*(B942*$B$937+C942*$C$937+D942*$D$937+F942*$F$937)</f>
        <v>0</v>
      </c>
      <c r="I942" s="17" t="str">
        <f t="shared" si="68"/>
        <v/>
      </c>
      <c r="J942" s="29" t="str">
        <f t="shared" si="69"/>
        <v/>
      </c>
      <c r="K942" s="6"/>
    </row>
    <row r="943" spans="1:11" x14ac:dyDescent="0.2">
      <c r="A943" s="5" t="s">
        <v>340</v>
      </c>
      <c r="B943" s="20">
        <f>Yard!$E$79</f>
        <v>-0.39338172016649436</v>
      </c>
      <c r="C943" s="20">
        <f>Yard!$E$111</f>
        <v>-4.5224288278517544E-2</v>
      </c>
      <c r="D943" s="20">
        <f>Yard!$E$134</f>
        <v>-6.0740686724456896E-3</v>
      </c>
      <c r="E943" s="21"/>
      <c r="F943" s="20">
        <f>Reactive!$E$92</f>
        <v>9.7843822749231115E-3</v>
      </c>
      <c r="G943" s="17">
        <f t="shared" si="67"/>
        <v>0</v>
      </c>
      <c r="H943" s="25">
        <f>0.01*Input!$F$14*(E943*$E$937)+10*(B943*$B$937+C943*$C$937+D943*$D$937+F943*$F$937)</f>
        <v>0</v>
      </c>
      <c r="I943" s="17" t="str">
        <f t="shared" si="68"/>
        <v/>
      </c>
      <c r="J943" s="29" t="str">
        <f t="shared" si="69"/>
        <v/>
      </c>
      <c r="K943" s="6"/>
    </row>
    <row r="944" spans="1:11" x14ac:dyDescent="0.2">
      <c r="A944" s="5" t="s">
        <v>341</v>
      </c>
      <c r="B944" s="20">
        <f>Yard!$F$79</f>
        <v>0</v>
      </c>
      <c r="C944" s="20">
        <f>Yard!$F$111</f>
        <v>0</v>
      </c>
      <c r="D944" s="20">
        <f>Yard!$F$134</f>
        <v>0</v>
      </c>
      <c r="E944" s="21"/>
      <c r="F944" s="20">
        <f>Reactive!$F$92</f>
        <v>0</v>
      </c>
      <c r="G944" s="17">
        <f t="shared" si="67"/>
        <v>0</v>
      </c>
      <c r="H944" s="25">
        <f>0.01*Input!$F$14*(E944*$E$937)+10*(B944*$B$937+C944*$C$937+D944*$D$937+F944*$F$937)</f>
        <v>0</v>
      </c>
      <c r="I944" s="17" t="str">
        <f t="shared" si="68"/>
        <v/>
      </c>
      <c r="J944" s="29" t="str">
        <f t="shared" si="69"/>
        <v/>
      </c>
      <c r="K944" s="6"/>
    </row>
    <row r="945" spans="1:11" x14ac:dyDescent="0.2">
      <c r="A945" s="5" t="s">
        <v>342</v>
      </c>
      <c r="B945" s="20">
        <f>Yard!$G$79</f>
        <v>0</v>
      </c>
      <c r="C945" s="20">
        <f>Yard!$G$111</f>
        <v>0</v>
      </c>
      <c r="D945" s="20">
        <f>Yard!$G$134</f>
        <v>0</v>
      </c>
      <c r="E945" s="21"/>
      <c r="F945" s="20">
        <f>Reactive!$G$92</f>
        <v>0</v>
      </c>
      <c r="G945" s="17">
        <f t="shared" si="67"/>
        <v>0</v>
      </c>
      <c r="H945" s="25">
        <f>0.01*Input!$F$14*(E945*$E$937)+10*(B945*$B$937+C945*$C$937+D945*$D$937+F945*$F$937)</f>
        <v>0</v>
      </c>
      <c r="I945" s="17" t="str">
        <f t="shared" si="68"/>
        <v/>
      </c>
      <c r="J945" s="29" t="str">
        <f t="shared" si="69"/>
        <v/>
      </c>
      <c r="K945" s="6"/>
    </row>
    <row r="946" spans="1:11" x14ac:dyDescent="0.2">
      <c r="A946" s="5" t="s">
        <v>343</v>
      </c>
      <c r="B946" s="20">
        <f>Yard!$H$79</f>
        <v>0</v>
      </c>
      <c r="C946" s="20">
        <f>Yard!$H$111</f>
        <v>0</v>
      </c>
      <c r="D946" s="20">
        <f>Yard!$H$134</f>
        <v>0</v>
      </c>
      <c r="E946" s="21"/>
      <c r="F946" s="20">
        <f>Reactive!$H$92</f>
        <v>0</v>
      </c>
      <c r="G946" s="17">
        <f t="shared" si="67"/>
        <v>0</v>
      </c>
      <c r="H946" s="25">
        <f>0.01*Input!$F$14*(E946*$E$937)+10*(B946*$B$937+C946*$C$937+D946*$D$937+F946*$F$937)</f>
        <v>0</v>
      </c>
      <c r="I946" s="17" t="str">
        <f t="shared" si="68"/>
        <v/>
      </c>
      <c r="J946" s="29" t="str">
        <f t="shared" si="69"/>
        <v/>
      </c>
      <c r="K946" s="6"/>
    </row>
    <row r="947" spans="1:11" x14ac:dyDescent="0.2">
      <c r="A947" s="5" t="s">
        <v>344</v>
      </c>
      <c r="B947" s="20">
        <f>Yard!$I$79</f>
        <v>0</v>
      </c>
      <c r="C947" s="20">
        <f>Yard!$I$111</f>
        <v>0</v>
      </c>
      <c r="D947" s="20">
        <f>Yard!$I$134</f>
        <v>0</v>
      </c>
      <c r="E947" s="21"/>
      <c r="F947" s="20">
        <f>Reactive!$I$92</f>
        <v>0</v>
      </c>
      <c r="G947" s="17">
        <f t="shared" si="67"/>
        <v>0</v>
      </c>
      <c r="H947" s="25">
        <f>0.01*Input!$F$14*(E947*$E$937)+10*(B947*$B$937+C947*$C$937+D947*$D$937+F947*$F$937)</f>
        <v>0</v>
      </c>
      <c r="I947" s="17" t="str">
        <f t="shared" si="68"/>
        <v/>
      </c>
      <c r="J947" s="29" t="str">
        <f t="shared" si="69"/>
        <v/>
      </c>
      <c r="K947" s="6"/>
    </row>
    <row r="948" spans="1:11" x14ac:dyDescent="0.2">
      <c r="A948" s="5" t="s">
        <v>345</v>
      </c>
      <c r="B948" s="20">
        <f>Yard!$J$79</f>
        <v>0</v>
      </c>
      <c r="C948" s="20">
        <f>Yard!$J$111</f>
        <v>0</v>
      </c>
      <c r="D948" s="20">
        <f>Yard!$J$134</f>
        <v>0</v>
      </c>
      <c r="E948" s="21"/>
      <c r="F948" s="20">
        <f>Reactive!$J$92</f>
        <v>0</v>
      </c>
      <c r="G948" s="17">
        <f t="shared" si="67"/>
        <v>0</v>
      </c>
      <c r="H948" s="25">
        <f>0.01*Input!$F$14*(E948*$E$937)+10*(B948*$B$937+C948*$C$937+D948*$D$937+F948*$F$937)</f>
        <v>0</v>
      </c>
      <c r="I948" s="17" t="str">
        <f t="shared" si="68"/>
        <v/>
      </c>
      <c r="J948" s="29" t="str">
        <f t="shared" si="69"/>
        <v/>
      </c>
      <c r="K948" s="6"/>
    </row>
    <row r="949" spans="1:11" x14ac:dyDescent="0.2">
      <c r="A949" s="5" t="s">
        <v>1493</v>
      </c>
      <c r="B949" s="21"/>
      <c r="C949" s="21"/>
      <c r="D949" s="21"/>
      <c r="E949" s="30">
        <f>SM!$B$135</f>
        <v>0</v>
      </c>
      <c r="F949" s="21"/>
      <c r="G949" s="17">
        <f t="shared" si="67"/>
        <v>0</v>
      </c>
      <c r="H949" s="25">
        <f>0.01*Input!$F$14*(E949*$E$937)+10*(B949*$B$937+C949*$C$937+D949*$D$937+F949*$F$937)</f>
        <v>0</v>
      </c>
      <c r="I949" s="17" t="str">
        <f t="shared" si="68"/>
        <v/>
      </c>
      <c r="J949" s="29" t="str">
        <f t="shared" si="69"/>
        <v/>
      </c>
      <c r="K949" s="6"/>
    </row>
    <row r="950" spans="1:11" x14ac:dyDescent="0.2">
      <c r="A950" s="5" t="s">
        <v>1494</v>
      </c>
      <c r="B950" s="21"/>
      <c r="C950" s="21"/>
      <c r="D950" s="21"/>
      <c r="E950" s="30">
        <f>SM!$C$135</f>
        <v>0</v>
      </c>
      <c r="F950" s="21"/>
      <c r="G950" s="17">
        <f t="shared" si="67"/>
        <v>0</v>
      </c>
      <c r="H950" s="25">
        <f>0.01*Input!$F$14*(E950*$E$937)+10*(B950*$B$937+C950*$C$937+D950*$D$937+F950*$F$937)</f>
        <v>0</v>
      </c>
      <c r="I950" s="17" t="str">
        <f t="shared" si="68"/>
        <v/>
      </c>
      <c r="J950" s="29" t="str">
        <f t="shared" si="69"/>
        <v/>
      </c>
      <c r="K950" s="6"/>
    </row>
    <row r="951" spans="1:11" x14ac:dyDescent="0.2">
      <c r="A951" s="5" t="s">
        <v>1495</v>
      </c>
      <c r="B951" s="20">
        <f>Yard!$K$79</f>
        <v>-0.57020661903200132</v>
      </c>
      <c r="C951" s="20">
        <f>Yard!$K$111</f>
        <v>-3.1086463768752792E-2</v>
      </c>
      <c r="D951" s="20">
        <f>Yard!$K$134</f>
        <v>-5.4940760626909502E-3</v>
      </c>
      <c r="E951" s="21"/>
      <c r="F951" s="20">
        <f>Reactive!$K$92</f>
        <v>1.1242720860570488E-2</v>
      </c>
      <c r="G951" s="17">
        <f t="shared" si="67"/>
        <v>0</v>
      </c>
      <c r="H951" s="25">
        <f>0.01*Input!$F$14*(E951*$E$937)+10*(B951*$B$937+C951*$C$937+D951*$D$937+F951*$F$937)</f>
        <v>0</v>
      </c>
      <c r="I951" s="17" t="str">
        <f t="shared" si="68"/>
        <v/>
      </c>
      <c r="J951" s="29" t="str">
        <f t="shared" si="69"/>
        <v/>
      </c>
      <c r="K951" s="6"/>
    </row>
    <row r="952" spans="1:11" x14ac:dyDescent="0.2">
      <c r="A952" s="5" t="s">
        <v>1496</v>
      </c>
      <c r="B952" s="20">
        <f>Yard!$L$79</f>
        <v>-0.23831113337442489</v>
      </c>
      <c r="C952" s="20">
        <f>Yard!$L$111</f>
        <v>-2.0621729677438465E-2</v>
      </c>
      <c r="D952" s="20">
        <f>Yard!$L$134</f>
        <v>-3.0815997538951238E-3</v>
      </c>
      <c r="E952" s="21"/>
      <c r="F952" s="20">
        <f>Reactive!$L$92</f>
        <v>5.3777634921097972E-3</v>
      </c>
      <c r="G952" s="17">
        <f t="shared" si="67"/>
        <v>0</v>
      </c>
      <c r="H952" s="25">
        <f>0.01*Input!$F$14*(E952*$E$937)+10*(B952*$B$937+C952*$C$937+D952*$D$937+F952*$F$937)</f>
        <v>0</v>
      </c>
      <c r="I952" s="17" t="str">
        <f t="shared" si="68"/>
        <v/>
      </c>
      <c r="J952" s="29" t="str">
        <f t="shared" si="69"/>
        <v/>
      </c>
      <c r="K952" s="6"/>
    </row>
    <row r="953" spans="1:11" x14ac:dyDescent="0.2">
      <c r="A953" s="5" t="s">
        <v>1497</v>
      </c>
      <c r="B953" s="20">
        <f>Yard!$M$79</f>
        <v>-0.21981456853049028</v>
      </c>
      <c r="C953" s="20">
        <f>Yard!$M$111</f>
        <v>-1.902117012836552E-2</v>
      </c>
      <c r="D953" s="20">
        <f>Yard!$M$134</f>
        <v>-2.8424207912344929E-3</v>
      </c>
      <c r="E953" s="21"/>
      <c r="F953" s="20">
        <f>Reactive!$M$92</f>
        <v>4.9285401982228786E-3</v>
      </c>
      <c r="G953" s="17">
        <f t="shared" si="67"/>
        <v>0</v>
      </c>
      <c r="H953" s="25">
        <f>0.01*Input!$F$14*(E953*$E$937)+10*(B953*$B$937+C953*$C$937+D953*$D$937+F953*$F$937)</f>
        <v>0</v>
      </c>
      <c r="I953" s="17" t="str">
        <f t="shared" si="68"/>
        <v/>
      </c>
      <c r="J953" s="29" t="str">
        <f t="shared" si="69"/>
        <v/>
      </c>
      <c r="K953" s="6"/>
    </row>
    <row r="954" spans="1:11" x14ac:dyDescent="0.2">
      <c r="A954" s="5" t="s">
        <v>1498</v>
      </c>
      <c r="B954" s="20">
        <f>Yard!$N$79</f>
        <v>-0.30203276046045202</v>
      </c>
      <c r="C954" s="20">
        <f>Yard!$N$111</f>
        <v>-3.472255046024713E-2</v>
      </c>
      <c r="D954" s="20">
        <f>Yard!$N$134</f>
        <v>-4.6635815400590166E-3</v>
      </c>
      <c r="E954" s="21"/>
      <c r="F954" s="20">
        <f>Reactive!$N$92</f>
        <v>7.5123063335138926E-3</v>
      </c>
      <c r="G954" s="17">
        <f t="shared" si="67"/>
        <v>0</v>
      </c>
      <c r="H954" s="25">
        <f>0.01*Input!$F$14*(E954*$E$937)+10*(B954*$B$937+C954*$C$937+D954*$D$937+F954*$F$937)</f>
        <v>0</v>
      </c>
      <c r="I954" s="17" t="str">
        <f t="shared" si="68"/>
        <v/>
      </c>
      <c r="J954" s="29" t="str">
        <f t="shared" si="69"/>
        <v/>
      </c>
      <c r="K954" s="6"/>
    </row>
    <row r="955" spans="1:11" x14ac:dyDescent="0.2">
      <c r="A955" s="5" t="s">
        <v>1499</v>
      </c>
      <c r="B955" s="20">
        <f>Yard!$O$79</f>
        <v>0</v>
      </c>
      <c r="C955" s="20">
        <f>Yard!$O$111</f>
        <v>0</v>
      </c>
      <c r="D955" s="20">
        <f>Yard!$O$134</f>
        <v>0</v>
      </c>
      <c r="E955" s="21"/>
      <c r="F955" s="20">
        <f>Reactive!$O$92</f>
        <v>0</v>
      </c>
      <c r="G955" s="17">
        <f t="shared" si="67"/>
        <v>0</v>
      </c>
      <c r="H955" s="25">
        <f>0.01*Input!$F$14*(E955*$E$937)+10*(B955*$B$937+C955*$C$937+D955*$D$937+F955*$F$937)</f>
        <v>0</v>
      </c>
      <c r="I955" s="17" t="str">
        <f t="shared" si="68"/>
        <v/>
      </c>
      <c r="J955" s="29" t="str">
        <f t="shared" si="69"/>
        <v/>
      </c>
      <c r="K955" s="6"/>
    </row>
    <row r="956" spans="1:11" x14ac:dyDescent="0.2">
      <c r="A956" s="5" t="s">
        <v>1500</v>
      </c>
      <c r="B956" s="20">
        <f>Yard!$P$79</f>
        <v>0</v>
      </c>
      <c r="C956" s="20">
        <f>Yard!$P$111</f>
        <v>0</v>
      </c>
      <c r="D956" s="20">
        <f>Yard!$P$134</f>
        <v>0</v>
      </c>
      <c r="E956" s="21"/>
      <c r="F956" s="20">
        <f>Reactive!$P$92</f>
        <v>0</v>
      </c>
      <c r="G956" s="17">
        <f t="shared" si="67"/>
        <v>0</v>
      </c>
      <c r="H956" s="25">
        <f>0.01*Input!$F$14*(E956*$E$937)+10*(B956*$B$937+C956*$C$937+D956*$D$937+F956*$F$937)</f>
        <v>0</v>
      </c>
      <c r="I956" s="17" t="str">
        <f t="shared" si="68"/>
        <v/>
      </c>
      <c r="J956" s="29" t="str">
        <f t="shared" si="69"/>
        <v/>
      </c>
      <c r="K956" s="6"/>
    </row>
    <row r="957" spans="1:11" x14ac:dyDescent="0.2">
      <c r="A957" s="5" t="s">
        <v>1501</v>
      </c>
      <c r="B957" s="20">
        <f>Yard!$Q$79</f>
        <v>0</v>
      </c>
      <c r="C957" s="20">
        <f>Yard!$Q$111</f>
        <v>0</v>
      </c>
      <c r="D957" s="20">
        <f>Yard!$Q$134</f>
        <v>0</v>
      </c>
      <c r="E957" s="21"/>
      <c r="F957" s="20">
        <f>Reactive!$Q$92</f>
        <v>0</v>
      </c>
      <c r="G957" s="17">
        <f t="shared" si="67"/>
        <v>0</v>
      </c>
      <c r="H957" s="25">
        <f>0.01*Input!$F$14*(E957*$E$937)+10*(B957*$B$937+C957*$C$937+D957*$D$937+F957*$F$937)</f>
        <v>0</v>
      </c>
      <c r="I957" s="17" t="str">
        <f t="shared" si="68"/>
        <v/>
      </c>
      <c r="J957" s="29" t="str">
        <f t="shared" si="69"/>
        <v/>
      </c>
      <c r="K957" s="6"/>
    </row>
    <row r="958" spans="1:11" x14ac:dyDescent="0.2">
      <c r="A958" s="5" t="s">
        <v>1502</v>
      </c>
      <c r="B958" s="20">
        <f>Yard!$R$79</f>
        <v>0</v>
      </c>
      <c r="C958" s="20">
        <f>Yard!$R$111</f>
        <v>0</v>
      </c>
      <c r="D958" s="20">
        <f>Yard!$R$134</f>
        <v>0</v>
      </c>
      <c r="E958" s="21"/>
      <c r="F958" s="20">
        <f>Reactive!$R$92</f>
        <v>0</v>
      </c>
      <c r="G958" s="17">
        <f t="shared" si="67"/>
        <v>0</v>
      </c>
      <c r="H958" s="25">
        <f>0.01*Input!$F$14*(E958*$E$937)+10*(B958*$B$937+C958*$C$937+D958*$D$937+F958*$F$937)</f>
        <v>0</v>
      </c>
      <c r="I958" s="17" t="str">
        <f t="shared" si="68"/>
        <v/>
      </c>
      <c r="J958" s="29" t="str">
        <f t="shared" si="69"/>
        <v/>
      </c>
      <c r="K958" s="6"/>
    </row>
    <row r="959" spans="1:11" x14ac:dyDescent="0.2">
      <c r="A959" s="5" t="s">
        <v>1503</v>
      </c>
      <c r="B959" s="20">
        <f>Yard!$S$79</f>
        <v>0</v>
      </c>
      <c r="C959" s="20">
        <f>Yard!$S$111</f>
        <v>0</v>
      </c>
      <c r="D959" s="20">
        <f>Yard!$S$134</f>
        <v>0</v>
      </c>
      <c r="E959" s="21"/>
      <c r="F959" s="20">
        <f>Reactive!$S$92</f>
        <v>0</v>
      </c>
      <c r="G959" s="17">
        <f t="shared" si="67"/>
        <v>0</v>
      </c>
      <c r="H959" s="25">
        <f>0.01*Input!$F$14*(E959*$E$937)+10*(B959*$B$937+C959*$C$937+D959*$D$937+F959*$F$937)</f>
        <v>0</v>
      </c>
      <c r="I959" s="17" t="str">
        <f t="shared" si="68"/>
        <v/>
      </c>
      <c r="J959" s="29" t="str">
        <f t="shared" si="69"/>
        <v/>
      </c>
      <c r="K959" s="6"/>
    </row>
    <row r="960" spans="1:11" x14ac:dyDescent="0.2">
      <c r="A960" s="5" t="s">
        <v>1504</v>
      </c>
      <c r="B960" s="21"/>
      <c r="C960" s="21"/>
      <c r="D960" s="21"/>
      <c r="E960" s="30">
        <f>Otex!$B$148</f>
        <v>0</v>
      </c>
      <c r="F960" s="21"/>
      <c r="G960" s="17">
        <f t="shared" si="67"/>
        <v>0</v>
      </c>
      <c r="H960" s="25">
        <f>0.01*Input!$F$14*(E960*$E$937)+10*(B960*$B$937+C960*$C$937+D960*$D$937+F960*$F$937)</f>
        <v>0</v>
      </c>
      <c r="I960" s="17" t="str">
        <f t="shared" si="68"/>
        <v/>
      </c>
      <c r="J960" s="29" t="str">
        <f t="shared" si="69"/>
        <v/>
      </c>
      <c r="K960" s="6"/>
    </row>
    <row r="961" spans="1:11" x14ac:dyDescent="0.2">
      <c r="A961" s="5" t="s">
        <v>1505</v>
      </c>
      <c r="B961" s="21"/>
      <c r="C961" s="21"/>
      <c r="D961" s="21"/>
      <c r="E961" s="30">
        <f>Otex!$C$148</f>
        <v>6.3622622359931222</v>
      </c>
      <c r="F961" s="21"/>
      <c r="G961" s="17">
        <f t="shared" si="67"/>
        <v>0</v>
      </c>
      <c r="H961" s="25">
        <f>0.01*Input!$F$14*(E961*$E$937)+10*(B961*$B$937+C961*$C$937+D961*$D$937+F961*$F$937)</f>
        <v>0</v>
      </c>
      <c r="I961" s="17" t="str">
        <f t="shared" si="68"/>
        <v/>
      </c>
      <c r="J961" s="29" t="str">
        <f t="shared" si="69"/>
        <v/>
      </c>
      <c r="K961" s="6"/>
    </row>
    <row r="962" spans="1:11" x14ac:dyDescent="0.2">
      <c r="A962" s="5" t="s">
        <v>1506</v>
      </c>
      <c r="B962" s="20">
        <f>Scaler!$B$434</f>
        <v>0</v>
      </c>
      <c r="C962" s="20">
        <f>Scaler!$C$434</f>
        <v>0</v>
      </c>
      <c r="D962" s="20">
        <f>Scaler!$D$434</f>
        <v>0</v>
      </c>
      <c r="E962" s="30">
        <f>Scaler!$E$434</f>
        <v>0</v>
      </c>
      <c r="F962" s="20">
        <f>Scaler!$G$434</f>
        <v>0</v>
      </c>
      <c r="G962" s="17">
        <f t="shared" si="67"/>
        <v>0</v>
      </c>
      <c r="H962" s="25">
        <f>0.01*Input!$F$14*(E962*$E$937)+10*(B962*$B$937+C962*$C$937+D962*$D$937+F962*$F$937)</f>
        <v>0</v>
      </c>
      <c r="I962" s="17" t="str">
        <f t="shared" si="68"/>
        <v/>
      </c>
      <c r="J962" s="29" t="str">
        <f t="shared" si="69"/>
        <v/>
      </c>
      <c r="K962" s="6"/>
    </row>
    <row r="963" spans="1:11" x14ac:dyDescent="0.2">
      <c r="A963" s="5" t="s">
        <v>1507</v>
      </c>
      <c r="B963" s="20">
        <f>Adjust!$B$100</f>
        <v>3.8525072286388351E-4</v>
      </c>
      <c r="C963" s="20">
        <f>Adjust!$C$100</f>
        <v>-2.4755708730495041E-4</v>
      </c>
      <c r="D963" s="20">
        <f>Adjust!$D$100</f>
        <v>9.9290803666073069E-5</v>
      </c>
      <c r="E963" s="30">
        <f>Adjust!$E$100</f>
        <v>-2.2622359931219194E-3</v>
      </c>
      <c r="F963" s="20">
        <f>Adjust!$G$100</f>
        <v>-6.2960325235270065E-5</v>
      </c>
      <c r="G963" s="17">
        <f t="shared" si="67"/>
        <v>0</v>
      </c>
      <c r="H963" s="25">
        <f>0.01*Input!$F$14*(E963*$E$937)+10*(B963*$B$937+C963*$C$937+D963*$D$937+F963*$F$937)</f>
        <v>0</v>
      </c>
      <c r="I963" s="17" t="str">
        <f t="shared" si="68"/>
        <v/>
      </c>
      <c r="J963" s="29" t="str">
        <f t="shared" si="69"/>
        <v/>
      </c>
      <c r="K963" s="6"/>
    </row>
    <row r="966" spans="1:11" x14ac:dyDescent="0.2">
      <c r="A966" s="5" t="s">
        <v>1508</v>
      </c>
      <c r="B966" s="17">
        <f>SUM($B$941:$B$963)</f>
        <v>-3.1110000000000002</v>
      </c>
      <c r="C966" s="17">
        <f>SUM($C$941:$C$963)</f>
        <v>-0.27100000000000002</v>
      </c>
      <c r="D966" s="17">
        <f>SUM($D$941:$D$963)</f>
        <v>-0.04</v>
      </c>
      <c r="E966" s="29">
        <f>SUM($E$941:$E$963)</f>
        <v>6.36</v>
      </c>
      <c r="F966" s="17">
        <f>SUM($F$941:$F$963)</f>
        <v>7.0000000000000007E-2</v>
      </c>
      <c r="G966" s="17">
        <f>SUM(G$941:G$963)</f>
        <v>0</v>
      </c>
      <c r="H966" s="25">
        <f>SUM($H$941:$H$963)</f>
        <v>0</v>
      </c>
      <c r="I966" s="17">
        <f>SUM($I$941:$I$963)</f>
        <v>0</v>
      </c>
      <c r="J966" s="29">
        <f>SUM($J$941:$J$963)</f>
        <v>0</v>
      </c>
      <c r="K966" s="6"/>
    </row>
  </sheetData>
  <sheetProtection sheet="1" objects="1"/>
  <hyperlinks>
    <hyperlink ref="A4" location="'M-ATW'!B37" display="'M-ATW'!B37"/>
    <hyperlink ref="A5" location="'M-ATW'!B71" display="'M-ATW'!B71"/>
    <hyperlink ref="A6" location="'M-ATW'!B105" display="'M-ATW'!B105"/>
    <hyperlink ref="A7" location="'M-ATW'!B135" display="'M-ATW'!B135"/>
    <hyperlink ref="A8" location="'M-ATW'!B169" display="'M-ATW'!B169"/>
    <hyperlink ref="A9" location="'M-ATW'!B203" display="'M-ATW'!B203"/>
    <hyperlink ref="A10" location="'M-ATW'!B233" display="'M-ATW'!B233"/>
    <hyperlink ref="A11" location="'M-ATW'!B267" display="'M-ATW'!B267"/>
    <hyperlink ref="A12" location="'M-ATW'!B301" display="'M-ATW'!B301"/>
    <hyperlink ref="A13" location="'M-ATW'!B335" display="'M-ATW'!B335"/>
    <hyperlink ref="A14" location="'M-ATW'!B369" display="'M-ATW'!B369"/>
    <hyperlink ref="A15" location="'M-ATW'!B403" display="'M-ATW'!B403"/>
    <hyperlink ref="A16" location="'M-ATW'!B437" display="'M-ATW'!B437"/>
    <hyperlink ref="A17" location="'M-ATW'!B471" display="'M-ATW'!B471"/>
    <hyperlink ref="A18" location="'M-ATW'!B503" display="'M-ATW'!B503"/>
    <hyperlink ref="A19" location="'M-ATW'!B535" display="'M-ATW'!B535"/>
    <hyperlink ref="A20" location="'M-ATW'!B567" display="'M-ATW'!B567"/>
    <hyperlink ref="A21" location="'M-ATW'!B599" display="'M-ATW'!B599"/>
    <hyperlink ref="A22" location="'M-ATW'!B631" display="'M-ATW'!B631"/>
    <hyperlink ref="A23" location="'M-ATW'!B665" display="'M-ATW'!B665"/>
    <hyperlink ref="A24" location="'M-ATW'!B699" display="'M-ATW'!B699"/>
    <hyperlink ref="A25" location="'M-ATW'!B733" display="'M-ATW'!B733"/>
    <hyperlink ref="A26" location="'M-ATW'!B767" display="'M-ATW'!B767"/>
    <hyperlink ref="A27" location="'M-ATW'!B801" display="'M-ATW'!B801"/>
    <hyperlink ref="A28" location="'M-ATW'!B835" display="'M-ATW'!B835"/>
    <hyperlink ref="A29" location="'M-ATW'!B869" display="'M-ATW'!B869"/>
    <hyperlink ref="A30" location="'M-ATW'!B903" display="'M-ATW'!B903"/>
    <hyperlink ref="A31" location="'M-ATW'!B937" display="'M-ATW'!B937"/>
  </hyperlinks>
  <pageMargins left="0.75" right="0.75" top="1" bottom="1" header="0.5" footer="0.5"/>
  <pageSetup paperSize="9" scale="45" fitToHeight="0" orientation="landscape" r:id="rId1"/>
  <headerFooter alignWithMargins="0">
    <oddHeader>&amp;L&amp;A&amp;Cr6140&amp;R&amp;P of &amp;N</oddHeader>
    <oddFooter>&amp;F</oddFooter>
  </headerFooter>
  <rowBreaks count="28" manualBreakCount="28">
    <brk id="32" max="16383" man="1"/>
    <brk id="66" max="16383" man="1"/>
    <brk id="100" max="16383" man="1"/>
    <brk id="130" max="16383" man="1"/>
    <brk id="164" max="16383" man="1"/>
    <brk id="198" max="16383" man="1"/>
    <brk id="228" max="16383" man="1"/>
    <brk id="262" max="16383" man="1"/>
    <brk id="296" max="16383" man="1"/>
    <brk id="330" max="16383" man="1"/>
    <brk id="364" max="16383" man="1"/>
    <brk id="398" max="16383" man="1"/>
    <brk id="432" max="16383" man="1"/>
    <brk id="466" max="16383" man="1"/>
    <brk id="498" max="16383" man="1"/>
    <brk id="530" max="16383" man="1"/>
    <brk id="562" max="16383" man="1"/>
    <brk id="594" max="16383" man="1"/>
    <brk id="626" max="16383" man="1"/>
    <brk id="660" max="16383" man="1"/>
    <brk id="694" max="16383" man="1"/>
    <brk id="728" max="16383" man="1"/>
    <brk id="762" max="16383" man="1"/>
    <brk id="796" max="16383" man="1"/>
    <brk id="830" max="16383" man="1"/>
    <brk id="864" max="16383" man="1"/>
    <brk id="898" max="16383" man="1"/>
    <brk id="932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A1:Z41"/>
  <sheetViews>
    <sheetView showGridLines="0" zoomScale="90" zoomScaleNormal="90" workbookViewId="0">
      <pane xSplit="1" ySplit="1" topLeftCell="K2" activePane="bottomRight" state="frozen"/>
      <selection pane="topRight"/>
      <selection pane="bottomLeft"/>
      <selection pane="bottomRight" activeCell="B2" sqref="B2"/>
    </sheetView>
  </sheetViews>
  <sheetFormatPr defaultRowHeight="12.75" x14ac:dyDescent="0.2"/>
  <cols>
    <col min="1" max="1" width="50.7109375" customWidth="1"/>
    <col min="2" max="251" width="20.7109375" customWidth="1"/>
  </cols>
  <sheetData>
    <row r="1" spans="1:26" ht="19.5" x14ac:dyDescent="0.3">
      <c r="A1" s="15" t="str">
        <f>"r6140: Revenue matrix"&amp;" for "&amp;Input!B7&amp;" in "&amp;Input!C7&amp;" ("&amp;Input!D7&amp;")"</f>
        <v>r6140: Revenue matrix for Electricity North West  in 2013/14 (April 2013 Indicative)</v>
      </c>
    </row>
    <row r="2" spans="1:26" x14ac:dyDescent="0.2">
      <c r="A2" s="10" t="s">
        <v>1396</v>
      </c>
    </row>
    <row r="4" spans="1:26" ht="16.5" x14ac:dyDescent="0.25">
      <c r="A4" s="3" t="s">
        <v>1512</v>
      </c>
    </row>
    <row r="6" spans="1:26" x14ac:dyDescent="0.2">
      <c r="B6" s="19" t="s">
        <v>1513</v>
      </c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</row>
    <row r="7" spans="1:26" ht="25.5" x14ac:dyDescent="0.2">
      <c r="B7" s="4" t="s">
        <v>191</v>
      </c>
      <c r="C7" s="4" t="s">
        <v>192</v>
      </c>
      <c r="D7" s="4" t="s">
        <v>193</v>
      </c>
      <c r="E7" s="4" t="s">
        <v>194</v>
      </c>
      <c r="F7" s="4" t="s">
        <v>195</v>
      </c>
      <c r="G7" s="4" t="s">
        <v>196</v>
      </c>
      <c r="H7" s="4" t="s">
        <v>197</v>
      </c>
      <c r="I7" s="4" t="s">
        <v>198</v>
      </c>
      <c r="J7" s="4" t="s">
        <v>350</v>
      </c>
      <c r="K7" s="4" t="s">
        <v>362</v>
      </c>
      <c r="L7" s="4" t="s">
        <v>179</v>
      </c>
      <c r="M7" s="4" t="s">
        <v>699</v>
      </c>
      <c r="N7" s="4" t="s">
        <v>700</v>
      </c>
      <c r="O7" s="4" t="s">
        <v>701</v>
      </c>
      <c r="P7" s="4" t="s">
        <v>702</v>
      </c>
      <c r="Q7" s="4" t="s">
        <v>703</v>
      </c>
      <c r="R7" s="4" t="s">
        <v>704</v>
      </c>
      <c r="S7" s="4" t="s">
        <v>705</v>
      </c>
      <c r="T7" s="4" t="s">
        <v>706</v>
      </c>
      <c r="U7" s="4" t="s">
        <v>707</v>
      </c>
      <c r="V7" s="4" t="s">
        <v>708</v>
      </c>
      <c r="W7" s="4" t="s">
        <v>1506</v>
      </c>
      <c r="X7" s="4" t="s">
        <v>1507</v>
      </c>
      <c r="Y7" s="4" t="s">
        <v>1514</v>
      </c>
    </row>
    <row r="8" spans="1:26" x14ac:dyDescent="0.2">
      <c r="A8" s="5" t="s">
        <v>53</v>
      </c>
      <c r="B8" s="27">
        <f>'M-ATW'!$D$41</f>
        <v>11849899.961782094</v>
      </c>
      <c r="C8" s="27">
        <f>'M-ATW'!$D$42</f>
        <v>10930167.677630384</v>
      </c>
      <c r="D8" s="27">
        <f>'M-ATW'!$D$43</f>
        <v>16660261.369206021</v>
      </c>
      <c r="E8" s="27">
        <f>'M-ATW'!$D$44</f>
        <v>20630446.385321468</v>
      </c>
      <c r="F8" s="27">
        <f>'M-ATW'!$D$45</f>
        <v>0</v>
      </c>
      <c r="G8" s="27">
        <f>'M-ATW'!$D$46</f>
        <v>20979798.738314413</v>
      </c>
      <c r="H8" s="27">
        <f>'M-ATW'!$D$47</f>
        <v>18133943.153642375</v>
      </c>
      <c r="I8" s="27">
        <f>'M-ATW'!$D$48</f>
        <v>491347.93875758472</v>
      </c>
      <c r="J8" s="27">
        <f>'M-ATW'!$D$49</f>
        <v>0</v>
      </c>
      <c r="K8" s="27">
        <f>'M-ATW'!$D$50</f>
        <v>0</v>
      </c>
      <c r="L8" s="27">
        <f>'M-ATW'!$D$51</f>
        <v>8178859.4643462244</v>
      </c>
      <c r="M8" s="27">
        <f>'M-ATW'!$D$52</f>
        <v>3912217.7255787472</v>
      </c>
      <c r="N8" s="27">
        <f>'M-ATW'!$D$53</f>
        <v>3608570.1879244121</v>
      </c>
      <c r="O8" s="27">
        <f>'M-ATW'!$D$54</f>
        <v>5500347.686612918</v>
      </c>
      <c r="P8" s="27">
        <f>'M-ATW'!$D$55</f>
        <v>6811095.3084466942</v>
      </c>
      <c r="Q8" s="27">
        <f>'M-ATW'!$D$56</f>
        <v>0</v>
      </c>
      <c r="R8" s="27">
        <f>'M-ATW'!$D$57</f>
        <v>9894904.5703606997</v>
      </c>
      <c r="S8" s="27">
        <f>'M-ATW'!$D$58</f>
        <v>8552686.2877833955</v>
      </c>
      <c r="T8" s="27">
        <f>'M-ATW'!$D$59</f>
        <v>5407247.0981010022</v>
      </c>
      <c r="U8" s="27">
        <f>'M-ATW'!$D$60</f>
        <v>18748958.185152136</v>
      </c>
      <c r="V8" s="27">
        <f>'M-ATW'!$D$61</f>
        <v>0</v>
      </c>
      <c r="W8" s="27">
        <f>'M-ATW'!$D$62</f>
        <v>68720089.986402005</v>
      </c>
      <c r="X8" s="27">
        <f>'M-ATW'!$D$63</f>
        <v>-7625.3721665971225</v>
      </c>
      <c r="Y8" s="25">
        <f t="shared" ref="Y8:Y35" si="0">SUM($B8:$X8)</f>
        <v>239003216.35319594</v>
      </c>
      <c r="Z8" s="6"/>
    </row>
    <row r="9" spans="1:26" x14ac:dyDescent="0.2">
      <c r="A9" s="5" t="s">
        <v>54</v>
      </c>
      <c r="B9" s="27">
        <f>'M-ATW'!$F$75</f>
        <v>1202920.9518709558</v>
      </c>
      <c r="C9" s="27">
        <f>'M-ATW'!$F$76</f>
        <v>1109556.0088514844</v>
      </c>
      <c r="D9" s="27">
        <f>'M-ATW'!$F$77</f>
        <v>1672452.8545195146</v>
      </c>
      <c r="E9" s="27">
        <f>'M-ATW'!$F$78</f>
        <v>2071002.8601902439</v>
      </c>
      <c r="F9" s="27">
        <f>'M-ATW'!$F$79</f>
        <v>0</v>
      </c>
      <c r="G9" s="27">
        <f>'M-ATW'!$F$80</f>
        <v>2106072.8586163241</v>
      </c>
      <c r="H9" s="27">
        <f>'M-ATW'!$F$81</f>
        <v>1820389.5076376677</v>
      </c>
      <c r="I9" s="27">
        <f>'M-ATW'!$F$82</f>
        <v>48159.904616886008</v>
      </c>
      <c r="J9" s="27">
        <f>'M-ATW'!$F$83</f>
        <v>0</v>
      </c>
      <c r="K9" s="27">
        <f>'M-ATW'!$F$84</f>
        <v>0</v>
      </c>
      <c r="L9" s="27">
        <f>'M-ATW'!$F$85</f>
        <v>842146.28877707582</v>
      </c>
      <c r="M9" s="27">
        <f>'M-ATW'!$F$86</f>
        <v>397141.63710727822</v>
      </c>
      <c r="N9" s="27">
        <f>'M-ATW'!$F$87</f>
        <v>366317.41190652014</v>
      </c>
      <c r="O9" s="27">
        <f>'M-ATW'!$F$88</f>
        <v>552156.53497061471</v>
      </c>
      <c r="P9" s="27">
        <f>'M-ATW'!$F$89</f>
        <v>683736.91976232338</v>
      </c>
      <c r="Q9" s="27">
        <f>'M-ATW'!$F$90</f>
        <v>0</v>
      </c>
      <c r="R9" s="27">
        <f>'M-ATW'!$F$91</f>
        <v>993307.4294071903</v>
      </c>
      <c r="S9" s="27">
        <f>'M-ATW'!$F$92</f>
        <v>858567.83869261364</v>
      </c>
      <c r="T9" s="27">
        <f>'M-ATW'!$F$93</f>
        <v>529996.12686470861</v>
      </c>
      <c r="U9" s="27">
        <f>'M-ATW'!$F$94</f>
        <v>1837695.7887441071</v>
      </c>
      <c r="V9" s="27">
        <f>'M-ATW'!$F$95</f>
        <v>0</v>
      </c>
      <c r="W9" s="27">
        <f>'M-ATW'!$F$96</f>
        <v>7075848.2889644764</v>
      </c>
      <c r="X9" s="27">
        <f>'M-ATW'!$F$97</f>
        <v>-694.80215293926369</v>
      </c>
      <c r="Y9" s="25">
        <f t="shared" si="0"/>
        <v>24166774.409347046</v>
      </c>
      <c r="Z9" s="6"/>
    </row>
    <row r="10" spans="1:26" x14ac:dyDescent="0.2">
      <c r="A10" s="5" t="s">
        <v>94</v>
      </c>
      <c r="B10" s="27">
        <f>'M-ATW'!$C$109</f>
        <v>4930.1187814837804</v>
      </c>
      <c r="C10" s="27">
        <f>'M-ATW'!$C$110</f>
        <v>4547.4666559251282</v>
      </c>
      <c r="D10" s="27">
        <f>'M-ATW'!$C$111</f>
        <v>7627.701110284097</v>
      </c>
      <c r="E10" s="27">
        <f>'M-ATW'!$C$112</f>
        <v>9445.4027647990388</v>
      </c>
      <c r="F10" s="27">
        <f>'M-ATW'!$C$113</f>
        <v>0</v>
      </c>
      <c r="G10" s="27">
        <f>'M-ATW'!$C$114</f>
        <v>9605.349555053479</v>
      </c>
      <c r="H10" s="27">
        <f>'M-ATW'!$C$115</f>
        <v>8302.4086634397499</v>
      </c>
      <c r="I10" s="27">
        <f>'M-ATW'!$C$116</f>
        <v>0</v>
      </c>
      <c r="J10" s="21"/>
      <c r="K10" s="21"/>
      <c r="L10" s="27">
        <f>'M-ATW'!$C$117</f>
        <v>2850.5109015020689</v>
      </c>
      <c r="M10" s="27">
        <f>'M-ATW'!$C$118</f>
        <v>1627.6675877716766</v>
      </c>
      <c r="N10" s="27">
        <f>'M-ATW'!$C$119</f>
        <v>1501.3358522153364</v>
      </c>
      <c r="O10" s="27">
        <f>'M-ATW'!$C$120</f>
        <v>2518.2683048222416</v>
      </c>
      <c r="P10" s="27">
        <f>'M-ATW'!$C$121</f>
        <v>3118.3784032654462</v>
      </c>
      <c r="Q10" s="27">
        <f>'M-ATW'!$C$122</f>
        <v>0</v>
      </c>
      <c r="R10" s="27">
        <f>'M-ATW'!$C$123</f>
        <v>4530.2635357810386</v>
      </c>
      <c r="S10" s="27">
        <f>'M-ATW'!$C$124</f>
        <v>3915.7449722738666</v>
      </c>
      <c r="T10" s="27">
        <f>'M-ATW'!$C$125</f>
        <v>0</v>
      </c>
      <c r="U10" s="21"/>
      <c r="V10" s="21"/>
      <c r="W10" s="27">
        <f>'M-ATW'!$C$126</f>
        <v>23950.450122338705</v>
      </c>
      <c r="X10" s="27">
        <f>'M-ATW'!$C$127</f>
        <v>-38.263028727258465</v>
      </c>
      <c r="Y10" s="25">
        <f t="shared" si="0"/>
        <v>88432.804182228385</v>
      </c>
      <c r="Z10" s="6"/>
    </row>
    <row r="11" spans="1:26" x14ac:dyDescent="0.2">
      <c r="A11" s="5" t="s">
        <v>55</v>
      </c>
      <c r="B11" s="27">
        <f>'M-ATW'!$D$139</f>
        <v>2367633.3857904486</v>
      </c>
      <c r="C11" s="27">
        <f>'M-ATW'!$D$140</f>
        <v>2183869.0612839144</v>
      </c>
      <c r="D11" s="27">
        <f>'M-ATW'!$D$141</f>
        <v>3328753.0832281318</v>
      </c>
      <c r="E11" s="27">
        <f>'M-ATW'!$D$142</f>
        <v>4122003.8804699904</v>
      </c>
      <c r="F11" s="27">
        <f>'M-ATW'!$D$143</f>
        <v>0</v>
      </c>
      <c r="G11" s="27">
        <f>'M-ATW'!$D$144</f>
        <v>4191805.1696807183</v>
      </c>
      <c r="H11" s="27">
        <f>'M-ATW'!$D$145</f>
        <v>3623197.6105334945</v>
      </c>
      <c r="I11" s="27">
        <f>'M-ATW'!$D$146</f>
        <v>29738.459462227398</v>
      </c>
      <c r="J11" s="27">
        <f>'M-ATW'!$D$147</f>
        <v>0</v>
      </c>
      <c r="K11" s="27">
        <f>'M-ATW'!$D$148</f>
        <v>0</v>
      </c>
      <c r="L11" s="27">
        <f>'M-ATW'!$D$149</f>
        <v>1634152.2534306776</v>
      </c>
      <c r="M11" s="27">
        <f>'M-ATW'!$D$150</f>
        <v>781668.81825459842</v>
      </c>
      <c r="N11" s="27">
        <f>'M-ATW'!$D$151</f>
        <v>720999.44129933952</v>
      </c>
      <c r="O11" s="27">
        <f>'M-ATW'!$D$152</f>
        <v>1098980.3169883909</v>
      </c>
      <c r="P11" s="27">
        <f>'M-ATW'!$D$153</f>
        <v>1360870.2772250145</v>
      </c>
      <c r="Q11" s="27">
        <f>'M-ATW'!$D$154</f>
        <v>0</v>
      </c>
      <c r="R11" s="27">
        <f>'M-ATW'!$D$155</f>
        <v>1977021.4504387472</v>
      </c>
      <c r="S11" s="27">
        <f>'M-ATW'!$D$156</f>
        <v>1708843.59011102</v>
      </c>
      <c r="T11" s="27">
        <f>'M-ATW'!$D$157</f>
        <v>327269.50892625708</v>
      </c>
      <c r="U11" s="27">
        <f>'M-ATW'!$D$158</f>
        <v>1133769.6821209679</v>
      </c>
      <c r="V11" s="27">
        <f>'M-ATW'!$D$159</f>
        <v>0</v>
      </c>
      <c r="W11" s="27">
        <f>'M-ATW'!$D$160</f>
        <v>13730409.526753547</v>
      </c>
      <c r="X11" s="27">
        <f>'M-ATW'!$D$161</f>
        <v>1756.1271391611572</v>
      </c>
      <c r="Y11" s="25">
        <f t="shared" si="0"/>
        <v>44322741.643136643</v>
      </c>
      <c r="Z11" s="6"/>
    </row>
    <row r="12" spans="1:26" x14ac:dyDescent="0.2">
      <c r="A12" s="5" t="s">
        <v>56</v>
      </c>
      <c r="B12" s="27">
        <f>'M-ATW'!$F$173</f>
        <v>850555.23704821186</v>
      </c>
      <c r="C12" s="27">
        <f>'M-ATW'!$F$174</f>
        <v>784539.22733584768</v>
      </c>
      <c r="D12" s="27">
        <f>'M-ATW'!$F$175</f>
        <v>1204885.3645733295</v>
      </c>
      <c r="E12" s="27">
        <f>'M-ATW'!$F$176</f>
        <v>1492012.7819983424</v>
      </c>
      <c r="F12" s="27">
        <f>'M-ATW'!$F$177</f>
        <v>0</v>
      </c>
      <c r="G12" s="27">
        <f>'M-ATW'!$F$178</f>
        <v>1517278.2642061103</v>
      </c>
      <c r="H12" s="27">
        <f>'M-ATW'!$F$179</f>
        <v>1311463.381253646</v>
      </c>
      <c r="I12" s="27">
        <f>'M-ATW'!$F$180</f>
        <v>7669.7845970605458</v>
      </c>
      <c r="J12" s="27">
        <f>'M-ATW'!$F$181</f>
        <v>0</v>
      </c>
      <c r="K12" s="27">
        <f>'M-ATW'!$F$182</f>
        <v>0</v>
      </c>
      <c r="L12" s="27">
        <f>'M-ATW'!$F$183</f>
        <v>580894.88416153751</v>
      </c>
      <c r="M12" s="27">
        <f>'M-ATW'!$F$184</f>
        <v>280808.89169493213</v>
      </c>
      <c r="N12" s="27">
        <f>'M-ATW'!$F$185</f>
        <v>259013.85509532795</v>
      </c>
      <c r="O12" s="27">
        <f>'M-ATW'!$F$186</f>
        <v>397790.18352702551</v>
      </c>
      <c r="P12" s="27">
        <f>'M-ATW'!$F$187</f>
        <v>492584.65230504313</v>
      </c>
      <c r="Q12" s="27">
        <f>'M-ATW'!$F$188</f>
        <v>0</v>
      </c>
      <c r="R12" s="27">
        <f>'M-ATW'!$F$189</f>
        <v>715608.56318339577</v>
      </c>
      <c r="S12" s="27">
        <f>'M-ATW'!$F$190</f>
        <v>618538.10739034775</v>
      </c>
      <c r="T12" s="27">
        <f>'M-ATW'!$F$191</f>
        <v>84405.402433114825</v>
      </c>
      <c r="U12" s="27">
        <f>'M-ATW'!$F$192</f>
        <v>292408.19470123027</v>
      </c>
      <c r="V12" s="27">
        <f>'M-ATW'!$F$193</f>
        <v>0</v>
      </c>
      <c r="W12" s="27">
        <f>'M-ATW'!$F$194</f>
        <v>4880772.0546170762</v>
      </c>
      <c r="X12" s="27">
        <f>'M-ATW'!$F$195</f>
        <v>-1693.9732828018064</v>
      </c>
      <c r="Y12" s="25">
        <f t="shared" si="0"/>
        <v>15769534.856838776</v>
      </c>
      <c r="Z12" s="6"/>
    </row>
    <row r="13" spans="1:26" x14ac:dyDescent="0.2">
      <c r="A13" s="5" t="s">
        <v>95</v>
      </c>
      <c r="B13" s="27">
        <f>'M-ATW'!$C$207</f>
        <v>4181.5776431225313</v>
      </c>
      <c r="C13" s="27">
        <f>'M-ATW'!$C$208</f>
        <v>3857.023683218179</v>
      </c>
      <c r="D13" s="27">
        <f>'M-ATW'!$C$209</f>
        <v>6463.9390281644683</v>
      </c>
      <c r="E13" s="27">
        <f>'M-ATW'!$C$210</f>
        <v>8004.3130538767346</v>
      </c>
      <c r="F13" s="27">
        <f>'M-ATW'!$C$211</f>
        <v>0</v>
      </c>
      <c r="G13" s="27">
        <f>'M-ATW'!$C$212</f>
        <v>8139.8566842585533</v>
      </c>
      <c r="H13" s="27">
        <f>'M-ATW'!$C$213</f>
        <v>7035.7061205535592</v>
      </c>
      <c r="I13" s="27">
        <f>'M-ATW'!$C$214</f>
        <v>0</v>
      </c>
      <c r="J13" s="21"/>
      <c r="K13" s="21"/>
      <c r="L13" s="27">
        <f>'M-ATW'!$C$215</f>
        <v>2405.4881906735259</v>
      </c>
      <c r="M13" s="27">
        <f>'M-ATW'!$C$216</f>
        <v>1380.5384204988281</v>
      </c>
      <c r="N13" s="27">
        <f>'M-ATW'!$C$217</f>
        <v>1273.3876631979517</v>
      </c>
      <c r="O13" s="27">
        <f>'M-ATW'!$C$218</f>
        <v>2134.0548801765763</v>
      </c>
      <c r="P13" s="27">
        <f>'M-ATW'!$C$219</f>
        <v>2642.6058879359989</v>
      </c>
      <c r="Q13" s="27">
        <f>'M-ATW'!$C$220</f>
        <v>0</v>
      </c>
      <c r="R13" s="27">
        <f>'M-ATW'!$C$221</f>
        <v>3839.0790165235962</v>
      </c>
      <c r="S13" s="27">
        <f>'M-ATW'!$C$222</f>
        <v>3318.317850249</v>
      </c>
      <c r="T13" s="27">
        <f>'M-ATW'!$C$223</f>
        <v>0</v>
      </c>
      <c r="U13" s="21"/>
      <c r="V13" s="21"/>
      <c r="W13" s="27">
        <f>'M-ATW'!$C$224</f>
        <v>20211.297876546374</v>
      </c>
      <c r="X13" s="27">
        <f>'M-ATW'!$C$225</f>
        <v>113.45953826491559</v>
      </c>
      <c r="Y13" s="25">
        <f t="shared" si="0"/>
        <v>75000.645537260789</v>
      </c>
      <c r="Z13" s="6"/>
    </row>
    <row r="14" spans="1:26" x14ac:dyDescent="0.2">
      <c r="A14" s="5" t="s">
        <v>57</v>
      </c>
      <c r="B14" s="27">
        <f>'M-ATW'!$F$237</f>
        <v>1424094.9450732348</v>
      </c>
      <c r="C14" s="27">
        <f>'M-ATW'!$F$238</f>
        <v>1313563.5396685151</v>
      </c>
      <c r="D14" s="27">
        <f>'M-ATW'!$F$239</f>
        <v>2010427.5865004759</v>
      </c>
      <c r="E14" s="27">
        <f>'M-ATW'!$F$240</f>
        <v>2489517.8782447837</v>
      </c>
      <c r="F14" s="27">
        <f>'M-ATW'!$F$241</f>
        <v>0</v>
      </c>
      <c r="G14" s="27">
        <f>'M-ATW'!$F$242</f>
        <v>2531674.9364265981</v>
      </c>
      <c r="H14" s="27">
        <f>'M-ATW'!$F$243</f>
        <v>2188259.7613684079</v>
      </c>
      <c r="I14" s="27">
        <f>'M-ATW'!$F$244</f>
        <v>46389.793872564049</v>
      </c>
      <c r="J14" s="27">
        <f>'M-ATW'!$F$245</f>
        <v>0</v>
      </c>
      <c r="K14" s="27">
        <f>'M-ATW'!$F$246</f>
        <v>0</v>
      </c>
      <c r="L14" s="27">
        <f>'M-ATW'!$F$247</f>
        <v>978275.72888630955</v>
      </c>
      <c r="M14" s="27">
        <f>'M-ATW'!$F$248</f>
        <v>470161.73174382892</v>
      </c>
      <c r="N14" s="27">
        <f>'M-ATW'!$F$249</f>
        <v>433670.03773357498</v>
      </c>
      <c r="O14" s="27">
        <f>'M-ATW'!$F$250</f>
        <v>663738.12988011236</v>
      </c>
      <c r="P14" s="27">
        <f>'M-ATW'!$F$251</f>
        <v>821908.70832885266</v>
      </c>
      <c r="Q14" s="27">
        <f>'M-ATW'!$F$252</f>
        <v>0</v>
      </c>
      <c r="R14" s="27">
        <f>'M-ATW'!$F$253</f>
        <v>1194038.237047828</v>
      </c>
      <c r="S14" s="27">
        <f>'M-ATW'!$F$254</f>
        <v>1032070.0300311996</v>
      </c>
      <c r="T14" s="27">
        <f>'M-ATW'!$F$255</f>
        <v>510516.19130264135</v>
      </c>
      <c r="U14" s="27">
        <f>'M-ATW'!$F$256</f>
        <v>434985.15378228732</v>
      </c>
      <c r="V14" s="27">
        <f>'M-ATW'!$F$257</f>
        <v>0</v>
      </c>
      <c r="W14" s="27">
        <f>'M-ATW'!$F$258</f>
        <v>8219629.6945363898</v>
      </c>
      <c r="X14" s="27">
        <f>'M-ATW'!$F$259</f>
        <v>1238.3048213629825</v>
      </c>
      <c r="Y14" s="25">
        <f t="shared" si="0"/>
        <v>26764160.389248967</v>
      </c>
      <c r="Z14" s="6"/>
    </row>
    <row r="15" spans="1:26" x14ac:dyDescent="0.2">
      <c r="A15" s="5" t="s">
        <v>58</v>
      </c>
      <c r="B15" s="27">
        <f>'M-ATW'!$F$271</f>
        <v>46182.668411693048</v>
      </c>
      <c r="C15" s="27">
        <f>'M-ATW'!$F$272</f>
        <v>42598.19164450527</v>
      </c>
      <c r="D15" s="27">
        <f>'M-ATW'!$F$273</f>
        <v>65252.992976262358</v>
      </c>
      <c r="E15" s="27">
        <f>'M-ATW'!$F$274</f>
        <v>80802.956402999989</v>
      </c>
      <c r="F15" s="27">
        <f>'M-ATW'!$F$275</f>
        <v>0</v>
      </c>
      <c r="G15" s="27">
        <f>'M-ATW'!$F$276</f>
        <v>82171.259464452814</v>
      </c>
      <c r="H15" s="27">
        <f>'M-ATW'!$F$277</f>
        <v>2347.9846702791874</v>
      </c>
      <c r="I15" s="27">
        <f>'M-ATW'!$F$278</f>
        <v>0</v>
      </c>
      <c r="J15" s="27">
        <f>'M-ATW'!$F$279</f>
        <v>0</v>
      </c>
      <c r="K15" s="27">
        <f>'M-ATW'!$F$280</f>
        <v>0</v>
      </c>
      <c r="L15" s="27">
        <f>'M-ATW'!$F$281</f>
        <v>31684.887509318691</v>
      </c>
      <c r="M15" s="27">
        <f>'M-ATW'!$F$282</f>
        <v>15247.103735682465</v>
      </c>
      <c r="N15" s="27">
        <f>'M-ATW'!$F$283</f>
        <v>14063.696821637239</v>
      </c>
      <c r="O15" s="27">
        <f>'M-ATW'!$F$284</f>
        <v>21543.128346410718</v>
      </c>
      <c r="P15" s="27">
        <f>'M-ATW'!$F$285</f>
        <v>26676.913673408148</v>
      </c>
      <c r="Q15" s="27">
        <f>'M-ATW'!$F$286</f>
        <v>0</v>
      </c>
      <c r="R15" s="27">
        <f>'M-ATW'!$F$287</f>
        <v>38755.222629577744</v>
      </c>
      <c r="S15" s="27">
        <f>'M-ATW'!$F$288</f>
        <v>25839.394639277481</v>
      </c>
      <c r="T15" s="27">
        <f>'M-ATW'!$F$289</f>
        <v>0</v>
      </c>
      <c r="U15" s="27">
        <f>'M-ATW'!$F$290</f>
        <v>44478.18742658916</v>
      </c>
      <c r="V15" s="27">
        <f>'M-ATW'!$F$291</f>
        <v>0</v>
      </c>
      <c r="W15" s="27">
        <f>'M-ATW'!$F$292</f>
        <v>266221.51051026216</v>
      </c>
      <c r="X15" s="27">
        <f>'M-ATW'!$F$293</f>
        <v>150.42585187013609</v>
      </c>
      <c r="Y15" s="25">
        <f t="shared" si="0"/>
        <v>804016.5247142266</v>
      </c>
      <c r="Z15" s="6"/>
    </row>
    <row r="16" spans="1:26" x14ac:dyDescent="0.2">
      <c r="A16" s="5" t="s">
        <v>72</v>
      </c>
      <c r="B16" s="27">
        <f>'M-ATW'!$F$305</f>
        <v>12164.331141318034</v>
      </c>
      <c r="C16" s="27">
        <f>'M-ATW'!$F$306</f>
        <v>11220.194220173962</v>
      </c>
      <c r="D16" s="27">
        <f>'M-ATW'!$F$307</f>
        <v>18072.503571634054</v>
      </c>
      <c r="E16" s="27">
        <f>'M-ATW'!$F$308</f>
        <v>11421.956438920461</v>
      </c>
      <c r="F16" s="27">
        <f>'M-ATW'!$F$309</f>
        <v>0</v>
      </c>
      <c r="G16" s="27">
        <f>'M-ATW'!$F$310</f>
        <v>2603.260126935294</v>
      </c>
      <c r="H16" s="27">
        <f>'M-ATW'!$F$311</f>
        <v>0</v>
      </c>
      <c r="I16" s="27">
        <f>'M-ATW'!$F$312</f>
        <v>0</v>
      </c>
      <c r="J16" s="27">
        <f>'M-ATW'!$F$313</f>
        <v>0</v>
      </c>
      <c r="K16" s="27">
        <f>'M-ATW'!$F$314</f>
        <v>0</v>
      </c>
      <c r="L16" s="27">
        <f>'M-ATW'!$F$315</f>
        <v>8316.7044850904786</v>
      </c>
      <c r="M16" s="27">
        <f>'M-ATW'!$F$316</f>
        <v>4016.0264697894581</v>
      </c>
      <c r="N16" s="27">
        <f>'M-ATW'!$F$317</f>
        <v>3704.3217963166126</v>
      </c>
      <c r="O16" s="27">
        <f>'M-ATW'!$F$318</f>
        <v>5966.5962621256558</v>
      </c>
      <c r="P16" s="27">
        <f>'M-ATW'!$F$319</f>
        <v>8769.61194751523</v>
      </c>
      <c r="Q16" s="27">
        <f>'M-ATW'!$F$320</f>
        <v>0</v>
      </c>
      <c r="R16" s="27">
        <f>'M-ATW'!$F$321</f>
        <v>9549.5606111401103</v>
      </c>
      <c r="S16" s="27">
        <f>'M-ATW'!$F$322</f>
        <v>0</v>
      </c>
      <c r="T16" s="27">
        <f>'M-ATW'!$F$323</f>
        <v>0</v>
      </c>
      <c r="U16" s="27">
        <f>'M-ATW'!$F$324</f>
        <v>0</v>
      </c>
      <c r="V16" s="27">
        <f>'M-ATW'!$F$325</f>
        <v>25673.739890637014</v>
      </c>
      <c r="W16" s="27">
        <f>'M-ATW'!$F$326</f>
        <v>69878.285975832667</v>
      </c>
      <c r="X16" s="27">
        <f>'M-ATW'!$F$327</f>
        <v>-32.626304882771493</v>
      </c>
      <c r="Y16" s="25">
        <f t="shared" si="0"/>
        <v>191324.46663254625</v>
      </c>
      <c r="Z16" s="6"/>
    </row>
    <row r="17" spans="1:26" x14ac:dyDescent="0.2">
      <c r="A17" s="5" t="s">
        <v>59</v>
      </c>
      <c r="B17" s="27">
        <f>'M-ATW'!$I$339</f>
        <v>1376616.0581749878</v>
      </c>
      <c r="C17" s="27">
        <f>'M-ATW'!$I$340</f>
        <v>1269629.2371059314</v>
      </c>
      <c r="D17" s="27">
        <f>'M-ATW'!$I$341</f>
        <v>1942480.419041771</v>
      </c>
      <c r="E17" s="27">
        <f>'M-ATW'!$I$342</f>
        <v>2407472.9964605151</v>
      </c>
      <c r="F17" s="27">
        <f>'M-ATW'!$I$343</f>
        <v>0</v>
      </c>
      <c r="G17" s="27">
        <f>'M-ATW'!$I$344</f>
        <v>2947356.6539280075</v>
      </c>
      <c r="H17" s="27">
        <f>'M-ATW'!$I$345</f>
        <v>4273203.9020359358</v>
      </c>
      <c r="I17" s="27">
        <f>'M-ATW'!$I$346</f>
        <v>119985.09461987062</v>
      </c>
      <c r="J17" s="27">
        <f>'M-ATW'!$I$347</f>
        <v>0</v>
      </c>
      <c r="K17" s="27">
        <f>'M-ATW'!$I$348</f>
        <v>0</v>
      </c>
      <c r="L17" s="27">
        <f>'M-ATW'!$I$349</f>
        <v>946215.73227798508</v>
      </c>
      <c r="M17" s="27">
        <f>'M-ATW'!$I$350</f>
        <v>454486.68440054893</v>
      </c>
      <c r="N17" s="27">
        <f>'M-ATW'!$I$351</f>
        <v>419165.22690811462</v>
      </c>
      <c r="O17" s="27">
        <f>'M-ATW'!$I$352</f>
        <v>641305.52590943431</v>
      </c>
      <c r="P17" s="27">
        <f>'M-ATW'!$I$353</f>
        <v>794821.77579400991</v>
      </c>
      <c r="Q17" s="27">
        <f>'M-ATW'!$I$354</f>
        <v>0</v>
      </c>
      <c r="R17" s="27">
        <f>'M-ATW'!$I$355</f>
        <v>1390090.2095964716</v>
      </c>
      <c r="S17" s="27">
        <f>'M-ATW'!$I$356</f>
        <v>2015412.3186662993</v>
      </c>
      <c r="T17" s="27">
        <f>'M-ATW'!$I$357</f>
        <v>1320426.9388799884</v>
      </c>
      <c r="U17" s="27">
        <f>'M-ATW'!$I$358</f>
        <v>215488.18413928905</v>
      </c>
      <c r="V17" s="27">
        <f>'M-ATW'!$I$359</f>
        <v>0</v>
      </c>
      <c r="W17" s="27">
        <f>'M-ATW'!$I$360</f>
        <v>7950256.4571685167</v>
      </c>
      <c r="X17" s="27">
        <f>'M-ATW'!$I$361</f>
        <v>13457.984639854123</v>
      </c>
      <c r="Y17" s="25">
        <f t="shared" si="0"/>
        <v>30497871.399747524</v>
      </c>
      <c r="Z17" s="6"/>
    </row>
    <row r="18" spans="1:26" x14ac:dyDescent="0.2">
      <c r="A18" s="5" t="s">
        <v>60</v>
      </c>
      <c r="B18" s="27">
        <f>'M-ATW'!$I$373</f>
        <v>1275235.7451469477</v>
      </c>
      <c r="C18" s="27">
        <f>'M-ATW'!$I$374</f>
        <v>1176126.7196693828</v>
      </c>
      <c r="D18" s="27">
        <f>'M-ATW'!$I$375</f>
        <v>1802589.1382660961</v>
      </c>
      <c r="E18" s="27">
        <f>'M-ATW'!$I$376</f>
        <v>2234108.9630462527</v>
      </c>
      <c r="F18" s="27">
        <f>'M-ATW'!$I$377</f>
        <v>0</v>
      </c>
      <c r="G18" s="27">
        <f>'M-ATW'!$I$378</f>
        <v>3963746.3382083843</v>
      </c>
      <c r="H18" s="27">
        <f>'M-ATW'!$I$379</f>
        <v>146831.75877032278</v>
      </c>
      <c r="I18" s="27">
        <f>'M-ATW'!$I$380</f>
        <v>0</v>
      </c>
      <c r="J18" s="27">
        <f>'M-ATW'!$I$381</f>
        <v>0</v>
      </c>
      <c r="K18" s="27">
        <f>'M-ATW'!$I$382</f>
        <v>0</v>
      </c>
      <c r="L18" s="27">
        <f>'M-ATW'!$I$383</f>
        <v>874214.69079817575</v>
      </c>
      <c r="M18" s="27">
        <f>'M-ATW'!$I$384</f>
        <v>421016.20288322004</v>
      </c>
      <c r="N18" s="27">
        <f>'M-ATW'!$I$385</f>
        <v>388295.58182408224</v>
      </c>
      <c r="O18" s="27">
        <f>'M-ATW'!$I$386</f>
        <v>595120.73531461088</v>
      </c>
      <c r="P18" s="27">
        <f>'M-ATW'!$I$387</f>
        <v>737586.0314680211</v>
      </c>
      <c r="Q18" s="27">
        <f>'M-ATW'!$I$388</f>
        <v>0</v>
      </c>
      <c r="R18" s="27">
        <f>'M-ATW'!$I$389</f>
        <v>1869459.8669367307</v>
      </c>
      <c r="S18" s="27">
        <f>'M-ATW'!$I$390</f>
        <v>1615872.4579724073</v>
      </c>
      <c r="T18" s="27">
        <f>'M-ATW'!$I$391</f>
        <v>0</v>
      </c>
      <c r="U18" s="27">
        <f>'M-ATW'!$I$392</f>
        <v>233424.07411030031</v>
      </c>
      <c r="V18" s="27">
        <f>'M-ATW'!$I$393</f>
        <v>0</v>
      </c>
      <c r="W18" s="27">
        <f>'M-ATW'!$I$394</f>
        <v>7345292.1499596182</v>
      </c>
      <c r="X18" s="27">
        <f>'M-ATW'!$I$395</f>
        <v>-5290.8980121595705</v>
      </c>
      <c r="Y18" s="25">
        <f t="shared" si="0"/>
        <v>24673629.556362391</v>
      </c>
      <c r="Z18" s="6"/>
    </row>
    <row r="19" spans="1:26" x14ac:dyDescent="0.2">
      <c r="A19" s="5" t="s">
        <v>73</v>
      </c>
      <c r="B19" s="27">
        <f>'M-ATW'!$I$407</f>
        <v>4358242.0616268609</v>
      </c>
      <c r="C19" s="27">
        <f>'M-ATW'!$I$408</f>
        <v>4019617.1362168631</v>
      </c>
      <c r="D19" s="27">
        <f>'M-ATW'!$I$409</f>
        <v>7322354.4219231345</v>
      </c>
      <c r="E19" s="27">
        <f>'M-ATW'!$I$410</f>
        <v>6413975.4931220887</v>
      </c>
      <c r="F19" s="27">
        <f>'M-ATW'!$I$411</f>
        <v>0</v>
      </c>
      <c r="G19" s="27">
        <f>'M-ATW'!$I$412</f>
        <v>1461855.2211851198</v>
      </c>
      <c r="H19" s="27">
        <f>'M-ATW'!$I$413</f>
        <v>0</v>
      </c>
      <c r="I19" s="27">
        <f>'M-ATW'!$I$414</f>
        <v>0</v>
      </c>
      <c r="J19" s="27">
        <f>'M-ATW'!$I$415</f>
        <v>0</v>
      </c>
      <c r="K19" s="27">
        <f>'M-ATW'!$I$416</f>
        <v>0</v>
      </c>
      <c r="L19" s="27">
        <f>'M-ATW'!$I$417</f>
        <v>2999917.7411407009</v>
      </c>
      <c r="M19" s="27">
        <f>'M-ATW'!$I$418</f>
        <v>1438863.7795128934</v>
      </c>
      <c r="N19" s="27">
        <f>'M-ATW'!$I$419</f>
        <v>1327067.5247103726</v>
      </c>
      <c r="O19" s="27">
        <f>'M-ATW'!$I$420</f>
        <v>2417458.7848680438</v>
      </c>
      <c r="P19" s="27">
        <f>'M-ATW'!$I$421</f>
        <v>4924557.0508295177</v>
      </c>
      <c r="Q19" s="27">
        <f>'M-ATW'!$I$422</f>
        <v>0</v>
      </c>
      <c r="R19" s="27">
        <f>'M-ATW'!$I$423</f>
        <v>5362535.5741354711</v>
      </c>
      <c r="S19" s="27">
        <f>'M-ATW'!$I$424</f>
        <v>0</v>
      </c>
      <c r="T19" s="27">
        <f>'M-ATW'!$I$425</f>
        <v>0</v>
      </c>
      <c r="U19" s="27">
        <f>'M-ATW'!$I$426</f>
        <v>0</v>
      </c>
      <c r="V19" s="27">
        <f>'M-ATW'!$I$427</f>
        <v>735672.7443263242</v>
      </c>
      <c r="W19" s="27">
        <f>'M-ATW'!$I$428</f>
        <v>25205790.369876683</v>
      </c>
      <c r="X19" s="27">
        <f>'M-ATW'!$I$429</f>
        <v>3487.0705747673546</v>
      </c>
      <c r="Y19" s="25">
        <f t="shared" si="0"/>
        <v>67991394.974048823</v>
      </c>
      <c r="Z19" s="6"/>
    </row>
    <row r="20" spans="1:26" x14ac:dyDescent="0.2">
      <c r="A20" s="5" t="s">
        <v>74</v>
      </c>
      <c r="B20" s="27">
        <f>'M-ATW'!$I$441</f>
        <v>0</v>
      </c>
      <c r="C20" s="27">
        <f>'M-ATW'!$I$442</f>
        <v>0</v>
      </c>
      <c r="D20" s="27">
        <f>'M-ATW'!$I$443</f>
        <v>0</v>
      </c>
      <c r="E20" s="27">
        <f>'M-ATW'!$I$444</f>
        <v>0</v>
      </c>
      <c r="F20" s="27">
        <f>'M-ATW'!$I$445</f>
        <v>0</v>
      </c>
      <c r="G20" s="27">
        <f>'M-ATW'!$I$446</f>
        <v>0</v>
      </c>
      <c r="H20" s="27">
        <f>'M-ATW'!$I$447</f>
        <v>0</v>
      </c>
      <c r="I20" s="27">
        <f>'M-ATW'!$I$448</f>
        <v>0</v>
      </c>
      <c r="J20" s="27">
        <f>'M-ATW'!$I$449</f>
        <v>0</v>
      </c>
      <c r="K20" s="27">
        <f>'M-ATW'!$I$450</f>
        <v>0</v>
      </c>
      <c r="L20" s="27">
        <f>'M-ATW'!$I$451</f>
        <v>0</v>
      </c>
      <c r="M20" s="27">
        <f>'M-ATW'!$I$452</f>
        <v>0</v>
      </c>
      <c r="N20" s="27">
        <f>'M-ATW'!$I$453</f>
        <v>0</v>
      </c>
      <c r="O20" s="27">
        <f>'M-ATW'!$I$454</f>
        <v>0</v>
      </c>
      <c r="P20" s="27">
        <f>'M-ATW'!$I$455</f>
        <v>0</v>
      </c>
      <c r="Q20" s="27">
        <f>'M-ATW'!$I$456</f>
        <v>0</v>
      </c>
      <c r="R20" s="27">
        <f>'M-ATW'!$I$457</f>
        <v>0</v>
      </c>
      <c r="S20" s="27">
        <f>'M-ATW'!$I$458</f>
        <v>0</v>
      </c>
      <c r="T20" s="27">
        <f>'M-ATW'!$I$459</f>
        <v>0</v>
      </c>
      <c r="U20" s="27">
        <f>'M-ATW'!$I$460</f>
        <v>0</v>
      </c>
      <c r="V20" s="27">
        <f>'M-ATW'!$I$461</f>
        <v>0</v>
      </c>
      <c r="W20" s="27">
        <f>'M-ATW'!$I$462</f>
        <v>0</v>
      </c>
      <c r="X20" s="27">
        <f>'M-ATW'!$I$463</f>
        <v>0</v>
      </c>
      <c r="Y20" s="25">
        <f t="shared" si="0"/>
        <v>0</v>
      </c>
      <c r="Z20" s="6"/>
    </row>
    <row r="21" spans="1:26" x14ac:dyDescent="0.2">
      <c r="A21" s="5" t="s">
        <v>96</v>
      </c>
      <c r="B21" s="27">
        <f>'M-ATW'!$C$475</f>
        <v>29505.634227510847</v>
      </c>
      <c r="C21" s="27">
        <f>'M-ATW'!$C$476</f>
        <v>27215.548703503417</v>
      </c>
      <c r="D21" s="27">
        <f>'M-ATW'!$C$477</f>
        <v>41483.183797325073</v>
      </c>
      <c r="E21" s="27">
        <f>'M-ATW'!$C$478</f>
        <v>51368.737876165571</v>
      </c>
      <c r="F21" s="27">
        <f>'M-ATW'!$C$479</f>
        <v>0</v>
      </c>
      <c r="G21" s="27">
        <f>'M-ATW'!$C$480</f>
        <v>52238.607054569984</v>
      </c>
      <c r="H21" s="27">
        <f>'M-ATW'!$C$481</f>
        <v>45152.574749110427</v>
      </c>
      <c r="I21" s="27">
        <f>'M-ATW'!$C$482</f>
        <v>1150.5170836706986</v>
      </c>
      <c r="J21" s="27">
        <f>'M-ATW'!$C$483</f>
        <v>0</v>
      </c>
      <c r="K21" s="21"/>
      <c r="L21" s="27">
        <f>'M-ATW'!$C$484</f>
        <v>20364.934432486363</v>
      </c>
      <c r="M21" s="27">
        <f>'M-ATW'!$C$485</f>
        <v>9741.2185420636397</v>
      </c>
      <c r="N21" s="27">
        <f>'M-ATW'!$C$486</f>
        <v>8985.1519753408484</v>
      </c>
      <c r="O21" s="27">
        <f>'M-ATW'!$C$487</f>
        <v>13695.579497612018</v>
      </c>
      <c r="P21" s="27">
        <f>'M-ATW'!$C$488</f>
        <v>16959.272863728071</v>
      </c>
      <c r="Q21" s="27">
        <f>'M-ATW'!$C$489</f>
        <v>0</v>
      </c>
      <c r="R21" s="27">
        <f>'M-ATW'!$C$490</f>
        <v>24637.797442239455</v>
      </c>
      <c r="S21" s="27">
        <f>'M-ATW'!$C$491</f>
        <v>21295.743768627864</v>
      </c>
      <c r="T21" s="27">
        <f>'M-ATW'!$C$492</f>
        <v>12661.353943449263</v>
      </c>
      <c r="U21" s="27">
        <f>'M-ATW'!$C$493</f>
        <v>625568.40704584727</v>
      </c>
      <c r="V21" s="21"/>
      <c r="W21" s="27">
        <f>'M-ATW'!$C$494</f>
        <v>171109.44782317601</v>
      </c>
      <c r="X21" s="27">
        <f>'M-ATW'!$C$495</f>
        <v>40.874112266996399</v>
      </c>
      <c r="Y21" s="25">
        <f t="shared" si="0"/>
        <v>1173174.5849386938</v>
      </c>
      <c r="Z21" s="6"/>
    </row>
    <row r="22" spans="1:26" x14ac:dyDescent="0.2">
      <c r="A22" s="5" t="s">
        <v>97</v>
      </c>
      <c r="B22" s="27">
        <f>'M-ATW'!$C$507</f>
        <v>12424.091448680778</v>
      </c>
      <c r="C22" s="27">
        <f>'M-ATW'!$C$508</f>
        <v>11459.793180893004</v>
      </c>
      <c r="D22" s="27">
        <f>'M-ATW'!$C$509</f>
        <v>16640.19851280361</v>
      </c>
      <c r="E22" s="27">
        <f>'M-ATW'!$C$510</f>
        <v>20605.602496370757</v>
      </c>
      <c r="F22" s="27">
        <f>'M-ATW'!$C$511</f>
        <v>0</v>
      </c>
      <c r="G22" s="27">
        <f>'M-ATW'!$C$512</f>
        <v>20954.534147314876</v>
      </c>
      <c r="H22" s="27">
        <f>'M-ATW'!$C$513</f>
        <v>18112.105639245783</v>
      </c>
      <c r="I22" s="27">
        <f>'M-ATW'!$C$514</f>
        <v>461.50827665948827</v>
      </c>
      <c r="J22" s="27">
        <f>'M-ATW'!$C$515</f>
        <v>0</v>
      </c>
      <c r="K22" s="21"/>
      <c r="L22" s="27">
        <f>'M-ATW'!$C$516</f>
        <v>9491.5140582309778</v>
      </c>
      <c r="M22" s="27">
        <f>'M-ATW'!$C$517</f>
        <v>4101.7857489516318</v>
      </c>
      <c r="N22" s="27">
        <f>'M-ATW'!$C$518</f>
        <v>3783.4248523912152</v>
      </c>
      <c r="O22" s="27">
        <f>'M-ATW'!$C$519</f>
        <v>5493.7239798562041</v>
      </c>
      <c r="P22" s="27">
        <f>'M-ATW'!$C$520</f>
        <v>6802.8931545855867</v>
      </c>
      <c r="Q22" s="27">
        <f>'M-ATW'!$C$521</f>
        <v>0</v>
      </c>
      <c r="R22" s="27">
        <f>'M-ATW'!$C$522</f>
        <v>9882.9887879422076</v>
      </c>
      <c r="S22" s="27">
        <f>'M-ATW'!$C$523</f>
        <v>8542.3868505150367</v>
      </c>
      <c r="T22" s="27">
        <f>'M-ATW'!$C$524</f>
        <v>5078.8638617812676</v>
      </c>
      <c r="U22" s="27">
        <f>'M-ATW'!$C$525</f>
        <v>195439.12081829054</v>
      </c>
      <c r="V22" s="21"/>
      <c r="W22" s="27">
        <f>'M-ATW'!$C$526</f>
        <v>79749.224574917011</v>
      </c>
      <c r="X22" s="27">
        <f>'M-ATW'!$C$527</f>
        <v>44.87580030037072</v>
      </c>
      <c r="Y22" s="25">
        <f t="shared" si="0"/>
        <v>429068.63618973037</v>
      </c>
      <c r="Z22" s="6"/>
    </row>
    <row r="23" spans="1:26" x14ac:dyDescent="0.2">
      <c r="A23" s="5" t="s">
        <v>98</v>
      </c>
      <c r="B23" s="27">
        <f>'M-ATW'!$C$539</f>
        <v>2.3242044769411501</v>
      </c>
      <c r="C23" s="27">
        <f>'M-ATW'!$C$540</f>
        <v>2.1438108956192008</v>
      </c>
      <c r="D23" s="27">
        <f>'M-ATW'!$C$541</f>
        <v>3.0935768174821643</v>
      </c>
      <c r="E23" s="27">
        <f>'M-ATW'!$C$542</f>
        <v>3.830784479162153</v>
      </c>
      <c r="F23" s="27">
        <f>'M-ATW'!$C$543</f>
        <v>0</v>
      </c>
      <c r="G23" s="27">
        <f>'M-ATW'!$C$544</f>
        <v>3.8956543102171075</v>
      </c>
      <c r="H23" s="27">
        <f>'M-ATW'!$C$545</f>
        <v>3.3672188512803016</v>
      </c>
      <c r="I23" s="27">
        <f>'M-ATW'!$C$546</f>
        <v>8.5798934709306621E-2</v>
      </c>
      <c r="J23" s="27">
        <f>'M-ATW'!$C$547</f>
        <v>0</v>
      </c>
      <c r="K23" s="21"/>
      <c r="L23" s="27">
        <f>'M-ATW'!$C$548</f>
        <v>1.7949688737489391</v>
      </c>
      <c r="M23" s="27">
        <f>'M-ATW'!$C$549</f>
        <v>0.76733086202283818</v>
      </c>
      <c r="N23" s="27">
        <f>'M-ATW'!$C$550</f>
        <v>0.70777432832175313</v>
      </c>
      <c r="O23" s="27">
        <f>'M-ATW'!$C$551</f>
        <v>1.0213374036765368</v>
      </c>
      <c r="P23" s="27">
        <f>'M-ATW'!$C$552</f>
        <v>1.2647248492042351</v>
      </c>
      <c r="Q23" s="27">
        <f>'M-ATW'!$C$553</f>
        <v>0</v>
      </c>
      <c r="R23" s="27">
        <f>'M-ATW'!$C$554</f>
        <v>1.8373449678673919</v>
      </c>
      <c r="S23" s="27">
        <f>'M-ATW'!$C$555</f>
        <v>1.5881138621263564</v>
      </c>
      <c r="T23" s="27">
        <f>'M-ATW'!$C$556</f>
        <v>0.94421082115487776</v>
      </c>
      <c r="U23" s="27">
        <f>'M-ATW'!$C$557</f>
        <v>20.221024776936247</v>
      </c>
      <c r="V23" s="21"/>
      <c r="W23" s="27">
        <f>'M-ATW'!$C$558</f>
        <v>15.081616582915302</v>
      </c>
      <c r="X23" s="27">
        <f>'M-ATW'!$C$559</f>
        <v>5.5389465420678857E-3</v>
      </c>
      <c r="Y23" s="25">
        <f t="shared" si="0"/>
        <v>63.975035039927931</v>
      </c>
      <c r="Z23" s="6"/>
    </row>
    <row r="24" spans="1:26" x14ac:dyDescent="0.2">
      <c r="A24" s="5" t="s">
        <v>99</v>
      </c>
      <c r="B24" s="27">
        <f>'M-ATW'!$C$571</f>
        <v>0</v>
      </c>
      <c r="C24" s="27">
        <f>'M-ATW'!$C$572</f>
        <v>0</v>
      </c>
      <c r="D24" s="27">
        <f>'M-ATW'!$C$573</f>
        <v>0</v>
      </c>
      <c r="E24" s="27">
        <f>'M-ATW'!$C$574</f>
        <v>0</v>
      </c>
      <c r="F24" s="27">
        <f>'M-ATW'!$C$575</f>
        <v>0</v>
      </c>
      <c r="G24" s="27">
        <f>'M-ATW'!$C$576</f>
        <v>0</v>
      </c>
      <c r="H24" s="27">
        <f>'M-ATW'!$C$577</f>
        <v>0</v>
      </c>
      <c r="I24" s="27">
        <f>'M-ATW'!$C$578</f>
        <v>0</v>
      </c>
      <c r="J24" s="27">
        <f>'M-ATW'!$C$579</f>
        <v>0</v>
      </c>
      <c r="K24" s="21"/>
      <c r="L24" s="27">
        <f>'M-ATW'!$C$580</f>
        <v>0</v>
      </c>
      <c r="M24" s="27">
        <f>'M-ATW'!$C$581</f>
        <v>0</v>
      </c>
      <c r="N24" s="27">
        <f>'M-ATW'!$C$582</f>
        <v>0</v>
      </c>
      <c r="O24" s="27">
        <f>'M-ATW'!$C$583</f>
        <v>0</v>
      </c>
      <c r="P24" s="27">
        <f>'M-ATW'!$C$584</f>
        <v>0</v>
      </c>
      <c r="Q24" s="27">
        <f>'M-ATW'!$C$585</f>
        <v>0</v>
      </c>
      <c r="R24" s="27">
        <f>'M-ATW'!$C$586</f>
        <v>0</v>
      </c>
      <c r="S24" s="27">
        <f>'M-ATW'!$C$587</f>
        <v>0</v>
      </c>
      <c r="T24" s="27">
        <f>'M-ATW'!$C$588</f>
        <v>0</v>
      </c>
      <c r="U24" s="27">
        <f>'M-ATW'!$C$589</f>
        <v>0</v>
      </c>
      <c r="V24" s="21"/>
      <c r="W24" s="27">
        <f>'M-ATW'!$C$590</f>
        <v>0</v>
      </c>
      <c r="X24" s="27">
        <f>'M-ATW'!$C$591</f>
        <v>0</v>
      </c>
      <c r="Y24" s="25">
        <f t="shared" si="0"/>
        <v>0</v>
      </c>
      <c r="Z24" s="6"/>
    </row>
    <row r="25" spans="1:26" x14ac:dyDescent="0.2">
      <c r="A25" s="5" t="s">
        <v>100</v>
      </c>
      <c r="B25" s="27">
        <f>'M-ATW'!$F$603</f>
        <v>245934.40326362895</v>
      </c>
      <c r="C25" s="27">
        <f>'M-ATW'!$F$604</f>
        <v>226846.15684849821</v>
      </c>
      <c r="D25" s="27">
        <f>'M-ATW'!$F$605</f>
        <v>331025.57074108056</v>
      </c>
      <c r="E25" s="27">
        <f>'M-ATW'!$F$606</f>
        <v>409909.85303310183</v>
      </c>
      <c r="F25" s="27">
        <f>'M-ATW'!$F$607</f>
        <v>0</v>
      </c>
      <c r="G25" s="27">
        <f>'M-ATW'!$F$608</f>
        <v>416851.19443684345</v>
      </c>
      <c r="H25" s="27">
        <f>'M-ATW'!$F$609</f>
        <v>360306.40511535114</v>
      </c>
      <c r="I25" s="27">
        <f>'M-ATW'!$F$610</f>
        <v>9180.842437990852</v>
      </c>
      <c r="J25" s="27">
        <f>'M-ATW'!$F$611</f>
        <v>0</v>
      </c>
      <c r="K25" s="21"/>
      <c r="L25" s="27">
        <f>'M-ATW'!$F$612</f>
        <v>186081.11477908955</v>
      </c>
      <c r="M25" s="27">
        <f>'M-ATW'!$F$613</f>
        <v>81194.68813075994</v>
      </c>
      <c r="N25" s="27">
        <f>'M-ATW'!$F$614</f>
        <v>74892.74666152084</v>
      </c>
      <c r="O25" s="27">
        <f>'M-ATW'!$F$615</f>
        <v>109287.34501133433</v>
      </c>
      <c r="P25" s="27">
        <f>'M-ATW'!$F$616</f>
        <v>135330.81275770607</v>
      </c>
      <c r="Q25" s="27">
        <f>'M-ATW'!$F$617</f>
        <v>0</v>
      </c>
      <c r="R25" s="27">
        <f>'M-ATW'!$F$618</f>
        <v>196603.54422088381</v>
      </c>
      <c r="S25" s="27">
        <f>'M-ATW'!$F$619</f>
        <v>169934.78055607705</v>
      </c>
      <c r="T25" s="27">
        <f>'M-ATW'!$F$620</f>
        <v>101034.48028392132</v>
      </c>
      <c r="U25" s="27">
        <f>'M-ATW'!$F$621</f>
        <v>4047258.8782333843</v>
      </c>
      <c r="V25" s="21"/>
      <c r="W25" s="27">
        <f>'M-ATW'!$F$622</f>
        <v>1563483.3937583994</v>
      </c>
      <c r="X25" s="27">
        <f>'M-ATW'!$F$623</f>
        <v>843.90115136885231</v>
      </c>
      <c r="Y25" s="25">
        <f t="shared" si="0"/>
        <v>8666000.1114209406</v>
      </c>
      <c r="Z25" s="6"/>
    </row>
    <row r="26" spans="1:26" x14ac:dyDescent="0.2">
      <c r="A26" s="5" t="s">
        <v>61</v>
      </c>
      <c r="B26" s="27">
        <f>'M-ATW'!$D$635</f>
        <v>-642.19550861592995</v>
      </c>
      <c r="C26" s="27">
        <f>'M-ATW'!$D$636</f>
        <v>-592.35137964300736</v>
      </c>
      <c r="D26" s="27">
        <f>'M-ATW'!$D$637</f>
        <v>-902.88905882565405</v>
      </c>
      <c r="E26" s="27">
        <f>'M-ATW'!$D$638</f>
        <v>-1118.0499457484641</v>
      </c>
      <c r="F26" s="27">
        <f>'M-ATW'!$D$639</f>
        <v>0</v>
      </c>
      <c r="G26" s="27">
        <f>'M-ATW'!$D$640</f>
        <v>-1136.9828070164951</v>
      </c>
      <c r="H26" s="27">
        <f>'M-ATW'!$D$641</f>
        <v>-982.75402191786668</v>
      </c>
      <c r="I26" s="27">
        <f>'M-ATW'!$D$642</f>
        <v>0</v>
      </c>
      <c r="J26" s="27">
        <f>'M-ATW'!$D$643</f>
        <v>0</v>
      </c>
      <c r="K26" s="27">
        <f>'M-ATW'!$D$644</f>
        <v>0</v>
      </c>
      <c r="L26" s="27">
        <f>'M-ATW'!$D$645</f>
        <v>-443.24651098692732</v>
      </c>
      <c r="M26" s="27">
        <f>'M-ATW'!$D$646</f>
        <v>-212.01939764869226</v>
      </c>
      <c r="N26" s="27">
        <f>'M-ATW'!$D$647</f>
        <v>-195.5634709731244</v>
      </c>
      <c r="O26" s="27">
        <f>'M-ATW'!$D$648</f>
        <v>-298.08678483034373</v>
      </c>
      <c r="P26" s="27">
        <f>'M-ATW'!$D$649</f>
        <v>-369.12166600111027</v>
      </c>
      <c r="Q26" s="27">
        <f>'M-ATW'!$D$650</f>
        <v>0</v>
      </c>
      <c r="R26" s="27">
        <f>'M-ATW'!$D$651</f>
        <v>-536.24615344965662</v>
      </c>
      <c r="S26" s="27">
        <f>'M-ATW'!$D$652</f>
        <v>-463.50574589910195</v>
      </c>
      <c r="T26" s="27">
        <f>'M-ATW'!$D$653</f>
        <v>0</v>
      </c>
      <c r="U26" s="27">
        <f>'M-ATW'!$D$654</f>
        <v>0</v>
      </c>
      <c r="V26" s="27">
        <f>'M-ATW'!$D$655</f>
        <v>0</v>
      </c>
      <c r="W26" s="27">
        <f>'M-ATW'!$D$656</f>
        <v>0</v>
      </c>
      <c r="X26" s="27">
        <f>'M-ATW'!$D$657</f>
        <v>-7.3569908137434359E-2</v>
      </c>
      <c r="Y26" s="25">
        <f t="shared" si="0"/>
        <v>-7893.0860214645127</v>
      </c>
      <c r="Z26" s="6"/>
    </row>
    <row r="27" spans="1:26" x14ac:dyDescent="0.2">
      <c r="A27" s="5" t="s">
        <v>62</v>
      </c>
      <c r="B27" s="27">
        <f>'M-ATW'!$D$669</f>
        <v>0</v>
      </c>
      <c r="C27" s="27">
        <f>'M-ATW'!$D$670</f>
        <v>0</v>
      </c>
      <c r="D27" s="27">
        <f>'M-ATW'!$D$671</f>
        <v>0</v>
      </c>
      <c r="E27" s="27">
        <f>'M-ATW'!$D$672</f>
        <v>0</v>
      </c>
      <c r="F27" s="27">
        <f>'M-ATW'!$D$673</f>
        <v>0</v>
      </c>
      <c r="G27" s="27">
        <f>'M-ATW'!$D$674</f>
        <v>0</v>
      </c>
      <c r="H27" s="27">
        <f>'M-ATW'!$D$675</f>
        <v>0</v>
      </c>
      <c r="I27" s="27">
        <f>'M-ATW'!$D$676</f>
        <v>0</v>
      </c>
      <c r="J27" s="27">
        <f>'M-ATW'!$D$677</f>
        <v>0</v>
      </c>
      <c r="K27" s="27">
        <f>'M-ATW'!$D$678</f>
        <v>0</v>
      </c>
      <c r="L27" s="27">
        <f>'M-ATW'!$D$679</f>
        <v>0</v>
      </c>
      <c r="M27" s="27">
        <f>'M-ATW'!$D$680</f>
        <v>0</v>
      </c>
      <c r="N27" s="27">
        <f>'M-ATW'!$D$681</f>
        <v>0</v>
      </c>
      <c r="O27" s="27">
        <f>'M-ATW'!$D$682</f>
        <v>0</v>
      </c>
      <c r="P27" s="27">
        <f>'M-ATW'!$D$683</f>
        <v>0</v>
      </c>
      <c r="Q27" s="27">
        <f>'M-ATW'!$D$684</f>
        <v>0</v>
      </c>
      <c r="R27" s="27">
        <f>'M-ATW'!$D$685</f>
        <v>0</v>
      </c>
      <c r="S27" s="27">
        <f>'M-ATW'!$D$686</f>
        <v>0</v>
      </c>
      <c r="T27" s="27">
        <f>'M-ATW'!$D$687</f>
        <v>0</v>
      </c>
      <c r="U27" s="27">
        <f>'M-ATW'!$D$688</f>
        <v>0</v>
      </c>
      <c r="V27" s="27">
        <f>'M-ATW'!$D$689</f>
        <v>0</v>
      </c>
      <c r="W27" s="27">
        <f>'M-ATW'!$D$690</f>
        <v>0</v>
      </c>
      <c r="X27" s="27">
        <f>'M-ATW'!$D$691</f>
        <v>0</v>
      </c>
      <c r="Y27" s="25">
        <f t="shared" si="0"/>
        <v>0</v>
      </c>
      <c r="Z27" s="6"/>
    </row>
    <row r="28" spans="1:26" x14ac:dyDescent="0.2">
      <c r="A28" s="5" t="s">
        <v>63</v>
      </c>
      <c r="B28" s="27">
        <f>'M-ATW'!$E$703</f>
        <v>-2607.3203928493222</v>
      </c>
      <c r="C28" s="27">
        <f>'M-ATW'!$E$704</f>
        <v>-2406.419468756395</v>
      </c>
      <c r="D28" s="27">
        <f>'M-ATW'!$E$705</f>
        <v>-3667.9745906806738</v>
      </c>
      <c r="E28" s="27">
        <f>'M-ATW'!$E$706</f>
        <v>-4520.1992995225482</v>
      </c>
      <c r="F28" s="27">
        <f>'M-ATW'!$E$707</f>
        <v>0</v>
      </c>
      <c r="G28" s="27">
        <f>'M-ATW'!$E$708</f>
        <v>-4596.7435599709679</v>
      </c>
      <c r="H28" s="27">
        <f>'M-ATW'!$E$709</f>
        <v>-3973.2071526574828</v>
      </c>
      <c r="I28" s="27">
        <f>'M-ATW'!$E$710</f>
        <v>10.091510449278836</v>
      </c>
      <c r="J28" s="27">
        <f>'M-ATW'!$E$711</f>
        <v>0</v>
      </c>
      <c r="K28" s="27">
        <f>'M-ATW'!$E$712</f>
        <v>0</v>
      </c>
      <c r="L28" s="27">
        <f>'M-ATW'!$E$713</f>
        <v>-1799.585409194591</v>
      </c>
      <c r="M28" s="27">
        <f>'M-ATW'!$E$714</f>
        <v>-860.80094262956436</v>
      </c>
      <c r="N28" s="27">
        <f>'M-ATW'!$E$715</f>
        <v>-794.47395600044717</v>
      </c>
      <c r="O28" s="27">
        <f>'M-ATW'!$E$716</f>
        <v>-1210.973532005693</v>
      </c>
      <c r="P28" s="27">
        <f>'M-ATW'!$E$717</f>
        <v>-1492.3335960450827</v>
      </c>
      <c r="Q28" s="27">
        <f>'M-ATW'!$E$718</f>
        <v>0</v>
      </c>
      <c r="R28" s="27">
        <f>'M-ATW'!$E$719</f>
        <v>-2168.0064440879014</v>
      </c>
      <c r="S28" s="27">
        <f>'M-ATW'!$E$720</f>
        <v>-1873.921961988231</v>
      </c>
      <c r="T28" s="27">
        <f>'M-ATW'!$E$721</f>
        <v>111.05631323150965</v>
      </c>
      <c r="U28" s="27">
        <f>'M-ATW'!$E$722</f>
        <v>0</v>
      </c>
      <c r="V28" s="27">
        <f>'M-ATW'!$E$723</f>
        <v>0</v>
      </c>
      <c r="W28" s="27">
        <f>'M-ATW'!$E$724</f>
        <v>0</v>
      </c>
      <c r="X28" s="27">
        <f>'M-ATW'!$E$725</f>
        <v>5.7994453092598803</v>
      </c>
      <c r="Y28" s="25">
        <f t="shared" si="0"/>
        <v>-31845.01303739885</v>
      </c>
      <c r="Z28" s="6"/>
    </row>
    <row r="29" spans="1:26" x14ac:dyDescent="0.2">
      <c r="A29" s="5" t="s">
        <v>64</v>
      </c>
      <c r="B29" s="27">
        <f>'M-ATW'!$H$737</f>
        <v>-354.78708043297706</v>
      </c>
      <c r="C29" s="27">
        <f>'M-ATW'!$H$738</f>
        <v>-327.27728991871146</v>
      </c>
      <c r="D29" s="27">
        <f>'M-ATW'!$H$739</f>
        <v>-473.57325877701618</v>
      </c>
      <c r="E29" s="27">
        <f>'M-ATW'!$H$740</f>
        <v>-586.02341891394644</v>
      </c>
      <c r="F29" s="27">
        <f>'M-ATW'!$H$741</f>
        <v>0</v>
      </c>
      <c r="G29" s="27">
        <f>'M-ATW'!$H$742</f>
        <v>-595.94703648783559</v>
      </c>
      <c r="H29" s="27">
        <f>'M-ATW'!$H$743</f>
        <v>-515.10835814244376</v>
      </c>
      <c r="I29" s="27">
        <f>'M-ATW'!$H$744</f>
        <v>0.18629806378316099</v>
      </c>
      <c r="J29" s="27">
        <f>'M-ATW'!$H$745</f>
        <v>0</v>
      </c>
      <c r="K29" s="27">
        <f>'M-ATW'!$H$746</f>
        <v>0</v>
      </c>
      <c r="L29" s="27">
        <f>'M-ATW'!$H$747</f>
        <v>-263.18251766193151</v>
      </c>
      <c r="M29" s="27">
        <f>'M-ATW'!$H$748</f>
        <v>-117.13215380321955</v>
      </c>
      <c r="N29" s="27">
        <f>'M-ATW'!$H$749</f>
        <v>-108.04985855819858</v>
      </c>
      <c r="O29" s="27">
        <f>'M-ATW'!$H$750</f>
        <v>-156.34914246726728</v>
      </c>
      <c r="P29" s="27">
        <f>'M-ATW'!$H$751</f>
        <v>-193.47430902147568</v>
      </c>
      <c r="Q29" s="27">
        <f>'M-ATW'!$H$752</f>
        <v>0</v>
      </c>
      <c r="R29" s="27">
        <f>'M-ATW'!$H$753</f>
        <v>-281.07224137795384</v>
      </c>
      <c r="S29" s="27">
        <f>'M-ATW'!$H$754</f>
        <v>-242.94551681786871</v>
      </c>
      <c r="T29" s="27">
        <f>'M-ATW'!$H$755</f>
        <v>2.0501961752816711</v>
      </c>
      <c r="U29" s="27">
        <f>'M-ATW'!$H$756</f>
        <v>0</v>
      </c>
      <c r="V29" s="27">
        <f>'M-ATW'!$H$757</f>
        <v>0</v>
      </c>
      <c r="W29" s="27">
        <f>'M-ATW'!$H$758</f>
        <v>0</v>
      </c>
      <c r="X29" s="27">
        <f>'M-ATW'!$H$759</f>
        <v>-0.29212300291911486</v>
      </c>
      <c r="Y29" s="25">
        <f t="shared" si="0"/>
        <v>-4212.9778111446994</v>
      </c>
      <c r="Z29" s="6"/>
    </row>
    <row r="30" spans="1:26" x14ac:dyDescent="0.2">
      <c r="A30" s="5" t="s">
        <v>65</v>
      </c>
      <c r="B30" s="27">
        <f>'M-ATW'!$E$771</f>
        <v>-111.9978356427284</v>
      </c>
      <c r="C30" s="27">
        <f>'M-ATW'!$E$772</f>
        <v>-103.3142955906053</v>
      </c>
      <c r="D30" s="27">
        <f>'M-ATW'!$E$773</f>
        <v>-157.47637350866805</v>
      </c>
      <c r="E30" s="27">
        <f>'M-ATW'!$E$774</f>
        <v>-194.8663747287747</v>
      </c>
      <c r="F30" s="27">
        <f>'M-ATW'!$E$775</f>
        <v>0</v>
      </c>
      <c r="G30" s="27">
        <f>'M-ATW'!$E$776</f>
        <v>-198.16620766787855</v>
      </c>
      <c r="H30" s="27">
        <f>'M-ATW'!$E$777</f>
        <v>0.10639010877815534</v>
      </c>
      <c r="I30" s="27">
        <f>'M-ATW'!$E$778</f>
        <v>0</v>
      </c>
      <c r="J30" s="27">
        <f>'M-ATW'!$E$779</f>
        <v>0</v>
      </c>
      <c r="K30" s="27">
        <f>'M-ATW'!$E$780</f>
        <v>0</v>
      </c>
      <c r="L30" s="27">
        <f>'M-ATW'!$E$781</f>
        <v>-77.301459167345044</v>
      </c>
      <c r="M30" s="27">
        <f>'M-ATW'!$E$782</f>
        <v>-36.975832643404274</v>
      </c>
      <c r="N30" s="27">
        <f>'M-ATW'!$E$783</f>
        <v>-34.108981495103109</v>
      </c>
      <c r="O30" s="27">
        <f>'M-ATW'!$E$784</f>
        <v>-51.990469268722741</v>
      </c>
      <c r="P30" s="27">
        <f>'M-ATW'!$E$785</f>
        <v>-64.33469377732473</v>
      </c>
      <c r="Q30" s="27">
        <f>'M-ATW'!$E$786</f>
        <v>0</v>
      </c>
      <c r="R30" s="27">
        <f>'M-ATW'!$E$787</f>
        <v>-93.463037391438789</v>
      </c>
      <c r="S30" s="27">
        <f>'M-ATW'!$E$788</f>
        <v>1.1708151425484132</v>
      </c>
      <c r="T30" s="27">
        <f>'M-ATW'!$E$789</f>
        <v>0</v>
      </c>
      <c r="U30" s="27">
        <f>'M-ATW'!$E$790</f>
        <v>0</v>
      </c>
      <c r="V30" s="27">
        <f>'M-ATW'!$E$791</f>
        <v>0</v>
      </c>
      <c r="W30" s="27">
        <f>'M-ATW'!$E$792</f>
        <v>0</v>
      </c>
      <c r="X30" s="27">
        <f>'M-ATW'!$E$793</f>
        <v>0.32449713847912443</v>
      </c>
      <c r="Y30" s="25">
        <f t="shared" si="0"/>
        <v>-1122.393858492188</v>
      </c>
      <c r="Z30" s="6"/>
    </row>
    <row r="31" spans="1:26" x14ac:dyDescent="0.2">
      <c r="A31" s="5" t="s">
        <v>66</v>
      </c>
      <c r="B31" s="27">
        <f>'M-ATW'!$H$805</f>
        <v>-1396.6131817693126</v>
      </c>
      <c r="C31" s="27">
        <f>'M-ATW'!$H$806</f>
        <v>-1288.9703010076441</v>
      </c>
      <c r="D31" s="27">
        <f>'M-ATW'!$H$807</f>
        <v>-1796.2292831108196</v>
      </c>
      <c r="E31" s="27">
        <f>'M-ATW'!$H$808</f>
        <v>-2213.0137036448587</v>
      </c>
      <c r="F31" s="27">
        <f>'M-ATW'!$H$809</f>
        <v>0</v>
      </c>
      <c r="G31" s="27">
        <f>'M-ATW'!$H$810</f>
        <v>-2250.4884887335625</v>
      </c>
      <c r="H31" s="27">
        <f>'M-ATW'!$H$811</f>
        <v>8.742966787198581</v>
      </c>
      <c r="I31" s="27">
        <f>'M-ATW'!$H$812</f>
        <v>0</v>
      </c>
      <c r="J31" s="27">
        <f>'M-ATW'!$H$813</f>
        <v>0</v>
      </c>
      <c r="K31" s="27">
        <f>'M-ATW'!$H$814</f>
        <v>0</v>
      </c>
      <c r="L31" s="27">
        <f>'M-ATW'!$H$815</f>
        <v>-1085.6422059518152</v>
      </c>
      <c r="M31" s="27">
        <f>'M-ATW'!$H$816</f>
        <v>-461.08868961904182</v>
      </c>
      <c r="N31" s="27">
        <f>'M-ATW'!$H$817</f>
        <v>-425.55063549990609</v>
      </c>
      <c r="O31" s="27">
        <f>'M-ATW'!$H$818</f>
        <v>-593.02104349013734</v>
      </c>
      <c r="P31" s="27">
        <f>'M-ATW'!$H$819</f>
        <v>-730.62147919146298</v>
      </c>
      <c r="Q31" s="27">
        <f>'M-ATW'!$H$820</f>
        <v>0</v>
      </c>
      <c r="R31" s="27">
        <f>'M-ATW'!$H$821</f>
        <v>-1061.4195641470199</v>
      </c>
      <c r="S31" s="27">
        <f>'M-ATW'!$H$822</f>
        <v>96.215691691742563</v>
      </c>
      <c r="T31" s="27">
        <f>'M-ATW'!$H$823</f>
        <v>0</v>
      </c>
      <c r="U31" s="27">
        <f>'M-ATW'!$H$824</f>
        <v>0</v>
      </c>
      <c r="V31" s="27">
        <f>'M-ATW'!$H$825</f>
        <v>0</v>
      </c>
      <c r="W31" s="27">
        <f>'M-ATW'!$H$826</f>
        <v>0</v>
      </c>
      <c r="X31" s="27">
        <f>'M-ATW'!$H$827</f>
        <v>4.3072455921447697</v>
      </c>
      <c r="Y31" s="25">
        <f t="shared" si="0"/>
        <v>-13193.392672094495</v>
      </c>
      <c r="Z31" s="6"/>
    </row>
    <row r="32" spans="1:26" x14ac:dyDescent="0.2">
      <c r="A32" s="5" t="s">
        <v>75</v>
      </c>
      <c r="B32" s="27">
        <f>'M-ATW'!$E$839</f>
        <v>-77181.733206415855</v>
      </c>
      <c r="C32" s="27">
        <f>'M-ATW'!$E$840</f>
        <v>-71198.676242266185</v>
      </c>
      <c r="D32" s="27">
        <f>'M-ATW'!$E$841</f>
        <v>-108524.27797290611</v>
      </c>
      <c r="E32" s="27">
        <f>'M-ATW'!$E$842</f>
        <v>-57738.391213465293</v>
      </c>
      <c r="F32" s="27">
        <f>'M-ATW'!$E$843</f>
        <v>0</v>
      </c>
      <c r="G32" s="27">
        <f>'M-ATW'!$E$844</f>
        <v>297.94918175644591</v>
      </c>
      <c r="H32" s="27">
        <f>'M-ATW'!$E$845</f>
        <v>0</v>
      </c>
      <c r="I32" s="27">
        <f>'M-ATW'!$E$846</f>
        <v>0</v>
      </c>
      <c r="J32" s="27">
        <f>'M-ATW'!$E$847</f>
        <v>0</v>
      </c>
      <c r="K32" s="27">
        <f>'M-ATW'!$E$848</f>
        <v>0</v>
      </c>
      <c r="L32" s="27">
        <f>'M-ATW'!$E$849</f>
        <v>-53271.213355880966</v>
      </c>
      <c r="M32" s="27">
        <f>'M-ATW'!$E$850</f>
        <v>-25481.375008639297</v>
      </c>
      <c r="N32" s="27">
        <f>'M-ATW'!$E$851</f>
        <v>-23506.082256482299</v>
      </c>
      <c r="O32" s="27">
        <f>'M-ATW'!$E$852</f>
        <v>-35829.045418995076</v>
      </c>
      <c r="P32" s="27">
        <f>'M-ATW'!$E$853</f>
        <v>-44330.69659507215</v>
      </c>
      <c r="Q32" s="27">
        <f>'M-ATW'!$E$854</f>
        <v>0</v>
      </c>
      <c r="R32" s="27">
        <f>'M-ATW'!$E$855</f>
        <v>1092.9694427319528</v>
      </c>
      <c r="S32" s="27">
        <f>'M-ATW'!$E$856</f>
        <v>0</v>
      </c>
      <c r="T32" s="27">
        <f>'M-ATW'!$E$857</f>
        <v>0</v>
      </c>
      <c r="U32" s="27">
        <f>'M-ATW'!$E$858</f>
        <v>0</v>
      </c>
      <c r="V32" s="27">
        <f>'M-ATW'!$E$859</f>
        <v>766.33448632537147</v>
      </c>
      <c r="W32" s="27">
        <f>'M-ATW'!$E$860</f>
        <v>0</v>
      </c>
      <c r="X32" s="27">
        <f>'M-ATW'!$E$861</f>
        <v>-370.83839983877129</v>
      </c>
      <c r="Y32" s="25">
        <f t="shared" si="0"/>
        <v>-495275.07655914826</v>
      </c>
      <c r="Z32" s="6"/>
    </row>
    <row r="33" spans="1:26" x14ac:dyDescent="0.2">
      <c r="A33" s="5" t="s">
        <v>76</v>
      </c>
      <c r="B33" s="27">
        <f>'M-ATW'!$H$873</f>
        <v>-346331.90509774262</v>
      </c>
      <c r="C33" s="27">
        <f>'M-ATW'!$H$874</f>
        <v>-319463.2686049958</v>
      </c>
      <c r="D33" s="27">
        <f>'M-ATW'!$H$875</f>
        <v>-486203.89254783862</v>
      </c>
      <c r="E33" s="27">
        <f>'M-ATW'!$H$876</f>
        <v>-258812.2652239828</v>
      </c>
      <c r="F33" s="27">
        <f>'M-ATW'!$H$877</f>
        <v>0</v>
      </c>
      <c r="G33" s="27">
        <f>'M-ATW'!$H$878</f>
        <v>481.23051637403137</v>
      </c>
      <c r="H33" s="27">
        <f>'M-ATW'!$H$879</f>
        <v>0</v>
      </c>
      <c r="I33" s="27">
        <f>'M-ATW'!$H$880</f>
        <v>0</v>
      </c>
      <c r="J33" s="27">
        <f>'M-ATW'!$H$881</f>
        <v>0</v>
      </c>
      <c r="K33" s="27">
        <f>'M-ATW'!$H$882</f>
        <v>0</v>
      </c>
      <c r="L33" s="27">
        <f>'M-ATW'!$H$883</f>
        <v>-239424.65282905224</v>
      </c>
      <c r="M33" s="27">
        <f>'M-ATW'!$H$884</f>
        <v>-114340.69675074962</v>
      </c>
      <c r="N33" s="27">
        <f>'M-ATW'!$H$885</f>
        <v>-105470.07705876298</v>
      </c>
      <c r="O33" s="27">
        <f>'M-ATW'!$H$886</f>
        <v>-160519.11769768051</v>
      </c>
      <c r="P33" s="27">
        <f>'M-ATW'!$H$887</f>
        <v>-198712.29113934858</v>
      </c>
      <c r="Q33" s="27">
        <f>'M-ATW'!$H$888</f>
        <v>0</v>
      </c>
      <c r="R33" s="27">
        <f>'M-ATW'!$H$889</f>
        <v>1765.3018753274555</v>
      </c>
      <c r="S33" s="27">
        <f>'M-ATW'!$H$890</f>
        <v>0</v>
      </c>
      <c r="T33" s="27">
        <f>'M-ATW'!$H$891</f>
        <v>0</v>
      </c>
      <c r="U33" s="27">
        <f>'M-ATW'!$H$892</f>
        <v>0</v>
      </c>
      <c r="V33" s="27">
        <f>'M-ATW'!$H$893</f>
        <v>2252.558944653365</v>
      </c>
      <c r="W33" s="27">
        <f>'M-ATW'!$H$894</f>
        <v>0</v>
      </c>
      <c r="X33" s="27">
        <f>'M-ATW'!$H$895</f>
        <v>334.95694989460702</v>
      </c>
      <c r="Y33" s="25">
        <f t="shared" si="0"/>
        <v>-2224444.1186639043</v>
      </c>
      <c r="Z33" s="6"/>
    </row>
    <row r="34" spans="1:26" x14ac:dyDescent="0.2">
      <c r="A34" s="5" t="s">
        <v>77</v>
      </c>
      <c r="B34" s="27">
        <f>'M-ATW'!$E$907</f>
        <v>0</v>
      </c>
      <c r="C34" s="27">
        <f>'M-ATW'!$E$908</f>
        <v>0</v>
      </c>
      <c r="D34" s="27">
        <f>'M-ATW'!$E$909</f>
        <v>0</v>
      </c>
      <c r="E34" s="27">
        <f>'M-ATW'!$E$910</f>
        <v>0</v>
      </c>
      <c r="F34" s="27">
        <f>'M-ATW'!$E$911</f>
        <v>0</v>
      </c>
      <c r="G34" s="27">
        <f>'M-ATW'!$E$912</f>
        <v>0</v>
      </c>
      <c r="H34" s="27">
        <f>'M-ATW'!$E$913</f>
        <v>0</v>
      </c>
      <c r="I34" s="27">
        <f>'M-ATW'!$E$914</f>
        <v>0</v>
      </c>
      <c r="J34" s="27">
        <f>'M-ATW'!$E$915</f>
        <v>0</v>
      </c>
      <c r="K34" s="27">
        <f>'M-ATW'!$E$916</f>
        <v>0</v>
      </c>
      <c r="L34" s="27">
        <f>'M-ATW'!$E$917</f>
        <v>0</v>
      </c>
      <c r="M34" s="27">
        <f>'M-ATW'!$E$918</f>
        <v>0</v>
      </c>
      <c r="N34" s="27">
        <f>'M-ATW'!$E$919</f>
        <v>0</v>
      </c>
      <c r="O34" s="27">
        <f>'M-ATW'!$E$920</f>
        <v>0</v>
      </c>
      <c r="P34" s="27">
        <f>'M-ATW'!$E$921</f>
        <v>0</v>
      </c>
      <c r="Q34" s="27">
        <f>'M-ATW'!$E$922</f>
        <v>0</v>
      </c>
      <c r="R34" s="27">
        <f>'M-ATW'!$E$923</f>
        <v>0</v>
      </c>
      <c r="S34" s="27">
        <f>'M-ATW'!$E$924</f>
        <v>0</v>
      </c>
      <c r="T34" s="27">
        <f>'M-ATW'!$E$925</f>
        <v>0</v>
      </c>
      <c r="U34" s="27">
        <f>'M-ATW'!$E$926</f>
        <v>0</v>
      </c>
      <c r="V34" s="27">
        <f>'M-ATW'!$E$927</f>
        <v>0</v>
      </c>
      <c r="W34" s="27">
        <f>'M-ATW'!$E$928</f>
        <v>0</v>
      </c>
      <c r="X34" s="27">
        <f>'M-ATW'!$E$929</f>
        <v>0</v>
      </c>
      <c r="Y34" s="25">
        <f t="shared" si="0"/>
        <v>0</v>
      </c>
      <c r="Z34" s="6"/>
    </row>
    <row r="35" spans="1:26" x14ac:dyDescent="0.2">
      <c r="A35" s="5" t="s">
        <v>78</v>
      </c>
      <c r="B35" s="27">
        <f>'M-ATW'!$H$941</f>
        <v>0</v>
      </c>
      <c r="C35" s="27">
        <f>'M-ATW'!$H$942</f>
        <v>0</v>
      </c>
      <c r="D35" s="27">
        <f>'M-ATW'!$H$943</f>
        <v>0</v>
      </c>
      <c r="E35" s="27">
        <f>'M-ATW'!$H$944</f>
        <v>0</v>
      </c>
      <c r="F35" s="27">
        <f>'M-ATW'!$H$945</f>
        <v>0</v>
      </c>
      <c r="G35" s="27">
        <f>'M-ATW'!$H$946</f>
        <v>0</v>
      </c>
      <c r="H35" s="27">
        <f>'M-ATW'!$H$947</f>
        <v>0</v>
      </c>
      <c r="I35" s="27">
        <f>'M-ATW'!$H$948</f>
        <v>0</v>
      </c>
      <c r="J35" s="27">
        <f>'M-ATW'!$H$949</f>
        <v>0</v>
      </c>
      <c r="K35" s="27">
        <f>'M-ATW'!$H$950</f>
        <v>0</v>
      </c>
      <c r="L35" s="27">
        <f>'M-ATW'!$H$951</f>
        <v>0</v>
      </c>
      <c r="M35" s="27">
        <f>'M-ATW'!$H$952</f>
        <v>0</v>
      </c>
      <c r="N35" s="27">
        <f>'M-ATW'!$H$953</f>
        <v>0</v>
      </c>
      <c r="O35" s="27">
        <f>'M-ATW'!$H$954</f>
        <v>0</v>
      </c>
      <c r="P35" s="27">
        <f>'M-ATW'!$H$955</f>
        <v>0</v>
      </c>
      <c r="Q35" s="27">
        <f>'M-ATW'!$H$956</f>
        <v>0</v>
      </c>
      <c r="R35" s="27">
        <f>'M-ATW'!$H$957</f>
        <v>0</v>
      </c>
      <c r="S35" s="27">
        <f>'M-ATW'!$H$958</f>
        <v>0</v>
      </c>
      <c r="T35" s="27">
        <f>'M-ATW'!$H$959</f>
        <v>0</v>
      </c>
      <c r="U35" s="27">
        <f>'M-ATW'!$H$960</f>
        <v>0</v>
      </c>
      <c r="V35" s="27">
        <f>'M-ATW'!$H$961</f>
        <v>0</v>
      </c>
      <c r="W35" s="27">
        <f>'M-ATW'!$H$962</f>
        <v>0</v>
      </c>
      <c r="X35" s="27">
        <f>'M-ATW'!$H$963</f>
        <v>0</v>
      </c>
      <c r="Y35" s="25">
        <f t="shared" si="0"/>
        <v>0</v>
      </c>
      <c r="Z35" s="6"/>
    </row>
    <row r="37" spans="1:26" ht="16.5" x14ac:dyDescent="0.25">
      <c r="A37" s="3" t="s">
        <v>1515</v>
      </c>
    </row>
    <row r="39" spans="1:26" x14ac:dyDescent="0.2">
      <c r="B39" s="19" t="s">
        <v>1516</v>
      </c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</row>
    <row r="40" spans="1:26" ht="25.5" x14ac:dyDescent="0.2">
      <c r="B40" s="4" t="s">
        <v>191</v>
      </c>
      <c r="C40" s="4" t="s">
        <v>192</v>
      </c>
      <c r="D40" s="4" t="s">
        <v>193</v>
      </c>
      <c r="E40" s="4" t="s">
        <v>194</v>
      </c>
      <c r="F40" s="4" t="s">
        <v>195</v>
      </c>
      <c r="G40" s="4" t="s">
        <v>196</v>
      </c>
      <c r="H40" s="4" t="s">
        <v>197</v>
      </c>
      <c r="I40" s="4" t="s">
        <v>198</v>
      </c>
      <c r="J40" s="4" t="s">
        <v>350</v>
      </c>
      <c r="K40" s="4" t="s">
        <v>362</v>
      </c>
      <c r="L40" s="4" t="s">
        <v>179</v>
      </c>
      <c r="M40" s="4" t="s">
        <v>699</v>
      </c>
      <c r="N40" s="4" t="s">
        <v>700</v>
      </c>
      <c r="O40" s="4" t="s">
        <v>701</v>
      </c>
      <c r="P40" s="4" t="s">
        <v>702</v>
      </c>
      <c r="Q40" s="4" t="s">
        <v>703</v>
      </c>
      <c r="R40" s="4" t="s">
        <v>704</v>
      </c>
      <c r="S40" s="4" t="s">
        <v>705</v>
      </c>
      <c r="T40" s="4" t="s">
        <v>706</v>
      </c>
      <c r="U40" s="4" t="s">
        <v>707</v>
      </c>
      <c r="V40" s="4" t="s">
        <v>708</v>
      </c>
      <c r="W40" s="4" t="s">
        <v>1506</v>
      </c>
      <c r="X40" s="4" t="s">
        <v>1507</v>
      </c>
      <c r="Y40" s="4" t="s">
        <v>1517</v>
      </c>
    </row>
    <row r="41" spans="1:26" x14ac:dyDescent="0.2">
      <c r="A41" s="5" t="s">
        <v>1518</v>
      </c>
      <c r="B41" s="25">
        <f t="shared" ref="B41:X41" si="1">SUM(B$8:B$35)</f>
        <v>24631896.943332188</v>
      </c>
      <c r="C41" s="25">
        <f t="shared" si="1"/>
        <v>22719434.848927755</v>
      </c>
      <c r="D41" s="25">
        <f t="shared" si="1"/>
        <v>35829047.107487187</v>
      </c>
      <c r="E41" s="25">
        <f t="shared" si="1"/>
        <v>42126921.082524389</v>
      </c>
      <c r="F41" s="25">
        <f t="shared" si="1"/>
        <v>0</v>
      </c>
      <c r="G41" s="25">
        <f t="shared" si="1"/>
        <v>40284156.98928766</v>
      </c>
      <c r="H41" s="25">
        <f t="shared" si="1"/>
        <v>31933087.407242864</v>
      </c>
      <c r="I41" s="25">
        <f t="shared" si="1"/>
        <v>754094.2073319623</v>
      </c>
      <c r="J41" s="25">
        <f t="shared" si="1"/>
        <v>0</v>
      </c>
      <c r="K41" s="25">
        <f t="shared" si="1"/>
        <v>0</v>
      </c>
      <c r="L41" s="25">
        <f t="shared" si="1"/>
        <v>16999508.90885606</v>
      </c>
      <c r="M41" s="25">
        <f t="shared" si="1"/>
        <v>8132165.1783666946</v>
      </c>
      <c r="N41" s="25">
        <f t="shared" si="1"/>
        <v>7500770.1345809214</v>
      </c>
      <c r="O41" s="25">
        <f t="shared" si="1"/>
        <v>11828879.031602152</v>
      </c>
      <c r="P41" s="25">
        <f t="shared" si="1"/>
        <v>16581569.604094017</v>
      </c>
      <c r="Q41" s="25">
        <f t="shared" si="1"/>
        <v>0</v>
      </c>
      <c r="R41" s="25">
        <f t="shared" si="1"/>
        <v>23683484.258573193</v>
      </c>
      <c r="S41" s="25">
        <f t="shared" si="1"/>
        <v>16632355.600680297</v>
      </c>
      <c r="T41" s="25">
        <f t="shared" si="1"/>
        <v>8298750.0153170936</v>
      </c>
      <c r="U41" s="25">
        <f t="shared" si="1"/>
        <v>27809494.077299207</v>
      </c>
      <c r="V41" s="25">
        <f t="shared" si="1"/>
        <v>764365.37764793995</v>
      </c>
      <c r="W41" s="25">
        <f t="shared" si="1"/>
        <v>145322707.22053638</v>
      </c>
      <c r="X41" s="25">
        <f t="shared" si="1"/>
        <v>5731.2782652402993</v>
      </c>
      <c r="Y41" s="25">
        <f>SUM($B$8:$X$35)</f>
        <v>481838419.27195281</v>
      </c>
      <c r="Z41" s="6"/>
    </row>
  </sheetData>
  <sheetProtection sheet="1" objects="1"/>
  <pageMargins left="0.75" right="0.75" top="1" bottom="1" header="0.5" footer="0.5"/>
  <pageSetup paperSize="9" scale="23" fitToHeight="0" orientation="landscape" blackAndWhite="1" r:id="rId1"/>
  <headerFooter alignWithMargins="0">
    <oddHeader>&amp;L&amp;A&amp;Cr6140&amp;R&amp;P of &amp;N</oddHeader>
    <oddFooter>&amp;F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68"/>
  <sheetViews>
    <sheetView showGridLines="0" workbookViewId="0">
      <pane xSplit="1" ySplit="1" topLeftCell="F44" activePane="bottomRight" state="frozen"/>
      <selection pane="topRight"/>
      <selection pane="bottomLeft"/>
      <selection pane="bottomRight" activeCell="B78" sqref="B78:G78"/>
    </sheetView>
  </sheetViews>
  <sheetFormatPr defaultRowHeight="12.75" x14ac:dyDescent="0.2"/>
  <cols>
    <col min="1" max="1" width="50.7109375" customWidth="1"/>
    <col min="2" max="251" width="20.7109375" customWidth="1"/>
  </cols>
  <sheetData>
    <row r="1" spans="1:10" ht="19.5" x14ac:dyDescent="0.3">
      <c r="A1" s="15" t="str">
        <f>"r6140: Loss adjustment factors and network use matrices"&amp;" for "&amp;Input!B7&amp;" in "&amp;Input!C7&amp;" ("&amp;Input!D7&amp;")"</f>
        <v>r6140: Loss adjustment factors and network use matrices for Electricity North West  in 2013/14 (April 2013 Indicative)</v>
      </c>
    </row>
    <row r="2" spans="1:10" x14ac:dyDescent="0.2">
      <c r="A2" s="10" t="s">
        <v>235</v>
      </c>
    </row>
    <row r="3" spans="1:10" x14ac:dyDescent="0.2">
      <c r="A3" s="10" t="s">
        <v>236</v>
      </c>
    </row>
    <row r="5" spans="1:10" ht="16.5" x14ac:dyDescent="0.25">
      <c r="A5" s="3" t="s">
        <v>237</v>
      </c>
    </row>
    <row r="6" spans="1:10" x14ac:dyDescent="0.2">
      <c r="A6" s="10" t="s">
        <v>238</v>
      </c>
    </row>
    <row r="7" spans="1:10" x14ac:dyDescent="0.2">
      <c r="A7" s="11" t="s">
        <v>239</v>
      </c>
    </row>
    <row r="8" spans="1:10" x14ac:dyDescent="0.2">
      <c r="A8" s="11" t="s">
        <v>240</v>
      </c>
    </row>
    <row r="9" spans="1:10" ht="25.5" x14ac:dyDescent="0.2">
      <c r="A9" s="18" t="s">
        <v>241</v>
      </c>
      <c r="B9" s="10" t="s">
        <v>242</v>
      </c>
      <c r="C9" s="10"/>
      <c r="D9" s="10"/>
      <c r="E9" s="10"/>
      <c r="F9" s="10"/>
      <c r="G9" s="10"/>
      <c r="H9" s="10"/>
      <c r="I9" s="18" t="s">
        <v>243</v>
      </c>
    </row>
    <row r="10" spans="1:10" ht="25.5" x14ac:dyDescent="0.2">
      <c r="A10" s="18" t="s">
        <v>244</v>
      </c>
      <c r="B10" s="10" t="s">
        <v>245</v>
      </c>
      <c r="C10" s="10"/>
      <c r="D10" s="10"/>
      <c r="E10" s="10"/>
      <c r="F10" s="10"/>
      <c r="G10" s="10"/>
      <c r="H10" s="10"/>
      <c r="I10" s="18" t="s">
        <v>246</v>
      </c>
    </row>
    <row r="12" spans="1:10" x14ac:dyDescent="0.2">
      <c r="B12" s="19" t="s">
        <v>247</v>
      </c>
      <c r="C12" s="19"/>
      <c r="D12" s="19"/>
      <c r="E12" s="19"/>
      <c r="F12" s="19"/>
      <c r="G12" s="19"/>
      <c r="H12" s="19"/>
    </row>
    <row r="13" spans="1:10" ht="25.5" x14ac:dyDescent="0.2">
      <c r="B13" s="4" t="s">
        <v>22</v>
      </c>
      <c r="C13" s="4" t="s">
        <v>23</v>
      </c>
      <c r="D13" s="4" t="s">
        <v>24</v>
      </c>
      <c r="E13" s="4" t="s">
        <v>25</v>
      </c>
      <c r="F13" s="4" t="s">
        <v>26</v>
      </c>
      <c r="G13" s="4" t="s">
        <v>27</v>
      </c>
      <c r="H13" s="4" t="s">
        <v>28</v>
      </c>
      <c r="I13" s="4" t="s">
        <v>81</v>
      </c>
    </row>
    <row r="14" spans="1:10" x14ac:dyDescent="0.2">
      <c r="A14" s="5" t="s">
        <v>53</v>
      </c>
      <c r="B14" s="16">
        <v>0</v>
      </c>
      <c r="C14" s="16">
        <v>0</v>
      </c>
      <c r="D14" s="16">
        <v>0</v>
      </c>
      <c r="E14" s="16">
        <v>0</v>
      </c>
      <c r="F14" s="16">
        <v>0</v>
      </c>
      <c r="G14" s="16">
        <v>0</v>
      </c>
      <c r="H14" s="16">
        <v>1</v>
      </c>
      <c r="I14" s="17">
        <f>SUMPRODUCT($B14:$H14,Input!$B$105:$H$105)</f>
        <v>1.1020000000000001</v>
      </c>
      <c r="J14" s="6"/>
    </row>
    <row r="15" spans="1:10" x14ac:dyDescent="0.2">
      <c r="A15" s="5" t="s">
        <v>54</v>
      </c>
      <c r="B15" s="16">
        <v>0</v>
      </c>
      <c r="C15" s="16">
        <v>0</v>
      </c>
      <c r="D15" s="16">
        <v>0</v>
      </c>
      <c r="E15" s="16">
        <v>0</v>
      </c>
      <c r="F15" s="16">
        <v>0</v>
      </c>
      <c r="G15" s="16">
        <v>0</v>
      </c>
      <c r="H15" s="16">
        <v>1</v>
      </c>
      <c r="I15" s="17">
        <f>SUMPRODUCT($B15:$H15,Input!$B$105:$H$105)</f>
        <v>1.1020000000000001</v>
      </c>
      <c r="J15" s="6"/>
    </row>
    <row r="16" spans="1:10" x14ac:dyDescent="0.2">
      <c r="A16" s="5" t="s">
        <v>94</v>
      </c>
      <c r="B16" s="16">
        <v>0</v>
      </c>
      <c r="C16" s="16">
        <v>0</v>
      </c>
      <c r="D16" s="16">
        <v>0</v>
      </c>
      <c r="E16" s="16">
        <v>0</v>
      </c>
      <c r="F16" s="16">
        <v>0</v>
      </c>
      <c r="G16" s="16">
        <v>0</v>
      </c>
      <c r="H16" s="16">
        <v>1</v>
      </c>
      <c r="I16" s="17">
        <f>SUMPRODUCT($B16:$H16,Input!$B$105:$H$105)</f>
        <v>1.1020000000000001</v>
      </c>
      <c r="J16" s="6"/>
    </row>
    <row r="17" spans="1:10" x14ac:dyDescent="0.2">
      <c r="A17" s="5" t="s">
        <v>55</v>
      </c>
      <c r="B17" s="16">
        <v>0</v>
      </c>
      <c r="C17" s="16">
        <v>0</v>
      </c>
      <c r="D17" s="16">
        <v>0</v>
      </c>
      <c r="E17" s="16">
        <v>0</v>
      </c>
      <c r="F17" s="16">
        <v>0</v>
      </c>
      <c r="G17" s="16">
        <v>0</v>
      </c>
      <c r="H17" s="16">
        <v>1</v>
      </c>
      <c r="I17" s="17">
        <f>SUMPRODUCT($B17:$H17,Input!$B$105:$H$105)</f>
        <v>1.1020000000000001</v>
      </c>
      <c r="J17" s="6"/>
    </row>
    <row r="18" spans="1:10" x14ac:dyDescent="0.2">
      <c r="A18" s="5" t="s">
        <v>56</v>
      </c>
      <c r="B18" s="16">
        <v>0</v>
      </c>
      <c r="C18" s="16">
        <v>0</v>
      </c>
      <c r="D18" s="16">
        <v>0</v>
      </c>
      <c r="E18" s="16">
        <v>0</v>
      </c>
      <c r="F18" s="16">
        <v>0</v>
      </c>
      <c r="G18" s="16">
        <v>0</v>
      </c>
      <c r="H18" s="16">
        <v>1</v>
      </c>
      <c r="I18" s="17">
        <f>SUMPRODUCT($B18:$H18,Input!$B$105:$H$105)</f>
        <v>1.1020000000000001</v>
      </c>
      <c r="J18" s="6"/>
    </row>
    <row r="19" spans="1:10" x14ac:dyDescent="0.2">
      <c r="A19" s="5" t="s">
        <v>95</v>
      </c>
      <c r="B19" s="16">
        <v>0</v>
      </c>
      <c r="C19" s="16">
        <v>0</v>
      </c>
      <c r="D19" s="16">
        <v>0</v>
      </c>
      <c r="E19" s="16">
        <v>0</v>
      </c>
      <c r="F19" s="16">
        <v>0</v>
      </c>
      <c r="G19" s="16">
        <v>0</v>
      </c>
      <c r="H19" s="16">
        <v>1</v>
      </c>
      <c r="I19" s="17">
        <f>SUMPRODUCT($B19:$H19,Input!$B$105:$H$105)</f>
        <v>1.1020000000000001</v>
      </c>
      <c r="J19" s="6"/>
    </row>
    <row r="20" spans="1:10" x14ac:dyDescent="0.2">
      <c r="A20" s="5" t="s">
        <v>57</v>
      </c>
      <c r="B20" s="16">
        <v>0</v>
      </c>
      <c r="C20" s="16">
        <v>0</v>
      </c>
      <c r="D20" s="16">
        <v>0</v>
      </c>
      <c r="E20" s="16">
        <v>0</v>
      </c>
      <c r="F20" s="16">
        <v>0</v>
      </c>
      <c r="G20" s="16">
        <v>0</v>
      </c>
      <c r="H20" s="16">
        <v>1</v>
      </c>
      <c r="I20" s="17">
        <f>SUMPRODUCT($B20:$H20,Input!$B$105:$H$105)</f>
        <v>1.1020000000000001</v>
      </c>
      <c r="J20" s="6"/>
    </row>
    <row r="21" spans="1:10" x14ac:dyDescent="0.2">
      <c r="A21" s="5" t="s">
        <v>58</v>
      </c>
      <c r="B21" s="16">
        <v>0</v>
      </c>
      <c r="C21" s="16">
        <v>0</v>
      </c>
      <c r="D21" s="16">
        <v>0</v>
      </c>
      <c r="E21" s="16">
        <v>0</v>
      </c>
      <c r="F21" s="16">
        <v>0</v>
      </c>
      <c r="G21" s="16">
        <v>1</v>
      </c>
      <c r="H21" s="16">
        <v>0</v>
      </c>
      <c r="I21" s="17">
        <f>SUMPRODUCT($B21:$H21,Input!$B$105:$H$105)</f>
        <v>1.052</v>
      </c>
      <c r="J21" s="6"/>
    </row>
    <row r="22" spans="1:10" x14ac:dyDescent="0.2">
      <c r="A22" s="5" t="s">
        <v>72</v>
      </c>
      <c r="B22" s="16">
        <v>0</v>
      </c>
      <c r="C22" s="16">
        <v>0</v>
      </c>
      <c r="D22" s="16">
        <v>0</v>
      </c>
      <c r="E22" s="16">
        <v>0</v>
      </c>
      <c r="F22" s="16">
        <v>1</v>
      </c>
      <c r="G22" s="16">
        <v>0</v>
      </c>
      <c r="H22" s="16">
        <v>0</v>
      </c>
      <c r="I22" s="17">
        <f>SUMPRODUCT($B22:$H22,Input!$B$105:$H$105)</f>
        <v>1.0389999999999999</v>
      </c>
      <c r="J22" s="6"/>
    </row>
    <row r="23" spans="1:10" x14ac:dyDescent="0.2">
      <c r="A23" s="5" t="s">
        <v>59</v>
      </c>
      <c r="B23" s="16">
        <v>0</v>
      </c>
      <c r="C23" s="16">
        <v>0</v>
      </c>
      <c r="D23" s="16">
        <v>0</v>
      </c>
      <c r="E23" s="16">
        <v>0</v>
      </c>
      <c r="F23" s="16">
        <v>0</v>
      </c>
      <c r="G23" s="16">
        <v>0</v>
      </c>
      <c r="H23" s="16">
        <v>1</v>
      </c>
      <c r="I23" s="17">
        <f>SUMPRODUCT($B23:$H23,Input!$B$105:$H$105)</f>
        <v>1.1020000000000001</v>
      </c>
      <c r="J23" s="6"/>
    </row>
    <row r="24" spans="1:10" x14ac:dyDescent="0.2">
      <c r="A24" s="5" t="s">
        <v>60</v>
      </c>
      <c r="B24" s="16">
        <v>0</v>
      </c>
      <c r="C24" s="16">
        <v>0</v>
      </c>
      <c r="D24" s="16">
        <v>0</v>
      </c>
      <c r="E24" s="16">
        <v>0</v>
      </c>
      <c r="F24" s="16">
        <v>0</v>
      </c>
      <c r="G24" s="16">
        <v>1</v>
      </c>
      <c r="H24" s="16">
        <v>0</v>
      </c>
      <c r="I24" s="17">
        <f>SUMPRODUCT($B24:$H24,Input!$B$105:$H$105)</f>
        <v>1.052</v>
      </c>
      <c r="J24" s="6"/>
    </row>
    <row r="25" spans="1:10" x14ac:dyDescent="0.2">
      <c r="A25" s="5" t="s">
        <v>73</v>
      </c>
      <c r="B25" s="16">
        <v>0</v>
      </c>
      <c r="C25" s="16">
        <v>0</v>
      </c>
      <c r="D25" s="16">
        <v>0</v>
      </c>
      <c r="E25" s="16">
        <v>0</v>
      </c>
      <c r="F25" s="16">
        <v>1</v>
      </c>
      <c r="G25" s="16">
        <v>0</v>
      </c>
      <c r="H25" s="16">
        <v>0</v>
      </c>
      <c r="I25" s="17">
        <f>SUMPRODUCT($B25:$H25,Input!$B$105:$H$105)</f>
        <v>1.0389999999999999</v>
      </c>
      <c r="J25" s="6"/>
    </row>
    <row r="26" spans="1:10" x14ac:dyDescent="0.2">
      <c r="A26" s="5" t="s">
        <v>74</v>
      </c>
      <c r="B26" s="16">
        <v>0</v>
      </c>
      <c r="C26" s="16">
        <v>0</v>
      </c>
      <c r="D26" s="16">
        <v>0</v>
      </c>
      <c r="E26" s="16">
        <v>1</v>
      </c>
      <c r="F26" s="16">
        <v>0</v>
      </c>
      <c r="G26" s="16">
        <v>0</v>
      </c>
      <c r="H26" s="16">
        <v>0</v>
      </c>
      <c r="I26" s="17">
        <f>SUMPRODUCT($B26:$H26,Input!$B$105:$H$105)</f>
        <v>1.0269999999999999</v>
      </c>
      <c r="J26" s="6"/>
    </row>
    <row r="27" spans="1:10" x14ac:dyDescent="0.2">
      <c r="A27" s="5" t="s">
        <v>96</v>
      </c>
      <c r="B27" s="16">
        <v>0</v>
      </c>
      <c r="C27" s="16">
        <v>0</v>
      </c>
      <c r="D27" s="16">
        <v>0</v>
      </c>
      <c r="E27" s="16">
        <v>0</v>
      </c>
      <c r="F27" s="16">
        <v>0</v>
      </c>
      <c r="G27" s="16">
        <v>0</v>
      </c>
      <c r="H27" s="16">
        <v>1</v>
      </c>
      <c r="I27" s="17">
        <f>SUMPRODUCT($B27:$H27,Input!$B$105:$H$105)</f>
        <v>1.1020000000000001</v>
      </c>
      <c r="J27" s="6"/>
    </row>
    <row r="28" spans="1:10" x14ac:dyDescent="0.2">
      <c r="A28" s="5" t="s">
        <v>97</v>
      </c>
      <c r="B28" s="16">
        <v>0</v>
      </c>
      <c r="C28" s="16">
        <v>0</v>
      </c>
      <c r="D28" s="16">
        <v>0</v>
      </c>
      <c r="E28" s="16">
        <v>0</v>
      </c>
      <c r="F28" s="16">
        <v>0</v>
      </c>
      <c r="G28" s="16">
        <v>0</v>
      </c>
      <c r="H28" s="16">
        <v>1</v>
      </c>
      <c r="I28" s="17">
        <f>SUMPRODUCT($B28:$H28,Input!$B$105:$H$105)</f>
        <v>1.1020000000000001</v>
      </c>
      <c r="J28" s="6"/>
    </row>
    <row r="29" spans="1:10" x14ac:dyDescent="0.2">
      <c r="A29" s="5" t="s">
        <v>98</v>
      </c>
      <c r="B29" s="16">
        <v>0</v>
      </c>
      <c r="C29" s="16">
        <v>0</v>
      </c>
      <c r="D29" s="16">
        <v>0</v>
      </c>
      <c r="E29" s="16">
        <v>0</v>
      </c>
      <c r="F29" s="16">
        <v>0</v>
      </c>
      <c r="G29" s="16">
        <v>0</v>
      </c>
      <c r="H29" s="16">
        <v>1</v>
      </c>
      <c r="I29" s="17">
        <f>SUMPRODUCT($B29:$H29,Input!$B$105:$H$105)</f>
        <v>1.1020000000000001</v>
      </c>
      <c r="J29" s="6"/>
    </row>
    <row r="30" spans="1:10" x14ac:dyDescent="0.2">
      <c r="A30" s="5" t="s">
        <v>99</v>
      </c>
      <c r="B30" s="16">
        <v>0</v>
      </c>
      <c r="C30" s="16">
        <v>0</v>
      </c>
      <c r="D30" s="16">
        <v>0</v>
      </c>
      <c r="E30" s="16">
        <v>0</v>
      </c>
      <c r="F30" s="16">
        <v>0</v>
      </c>
      <c r="G30" s="16">
        <v>0</v>
      </c>
      <c r="H30" s="16">
        <v>1</v>
      </c>
      <c r="I30" s="17">
        <f>SUMPRODUCT($B30:$H30,Input!$B$105:$H$105)</f>
        <v>1.1020000000000001</v>
      </c>
      <c r="J30" s="6"/>
    </row>
    <row r="31" spans="1:10" x14ac:dyDescent="0.2">
      <c r="A31" s="5" t="s">
        <v>100</v>
      </c>
      <c r="B31" s="16">
        <v>0</v>
      </c>
      <c r="C31" s="16">
        <v>0</v>
      </c>
      <c r="D31" s="16">
        <v>0</v>
      </c>
      <c r="E31" s="16">
        <v>0</v>
      </c>
      <c r="F31" s="16">
        <v>0</v>
      </c>
      <c r="G31" s="16">
        <v>0</v>
      </c>
      <c r="H31" s="16">
        <v>1</v>
      </c>
      <c r="I31" s="17">
        <f>SUMPRODUCT($B31:$H31,Input!$B$105:$H$105)</f>
        <v>1.1020000000000001</v>
      </c>
      <c r="J31" s="6"/>
    </row>
    <row r="32" spans="1:10" x14ac:dyDescent="0.2">
      <c r="A32" s="5" t="s">
        <v>61</v>
      </c>
      <c r="B32" s="16">
        <v>0</v>
      </c>
      <c r="C32" s="16">
        <v>0</v>
      </c>
      <c r="D32" s="16">
        <v>0</v>
      </c>
      <c r="E32" s="16">
        <v>0</v>
      </c>
      <c r="F32" s="16">
        <v>0</v>
      </c>
      <c r="G32" s="16">
        <v>0</v>
      </c>
      <c r="H32" s="16">
        <v>1</v>
      </c>
      <c r="I32" s="17">
        <f>SUMPRODUCT($B32:$H32,Input!$B$105:$H$105)</f>
        <v>1.1020000000000001</v>
      </c>
      <c r="J32" s="6"/>
    </row>
    <row r="33" spans="1:10" x14ac:dyDescent="0.2">
      <c r="A33" s="5" t="s">
        <v>62</v>
      </c>
      <c r="B33" s="16">
        <v>0</v>
      </c>
      <c r="C33" s="16">
        <v>0</v>
      </c>
      <c r="D33" s="16">
        <v>0</v>
      </c>
      <c r="E33" s="16">
        <v>0</v>
      </c>
      <c r="F33" s="16">
        <v>0</v>
      </c>
      <c r="G33" s="16">
        <v>1</v>
      </c>
      <c r="H33" s="16">
        <v>0</v>
      </c>
      <c r="I33" s="17">
        <f>SUMPRODUCT($B33:$H33,Input!$B$105:$H$105)</f>
        <v>1.052</v>
      </c>
      <c r="J33" s="6"/>
    </row>
    <row r="34" spans="1:10" x14ac:dyDescent="0.2">
      <c r="A34" s="5" t="s">
        <v>63</v>
      </c>
      <c r="B34" s="16">
        <v>0</v>
      </c>
      <c r="C34" s="16">
        <v>0</v>
      </c>
      <c r="D34" s="16">
        <v>0</v>
      </c>
      <c r="E34" s="16">
        <v>0</v>
      </c>
      <c r="F34" s="16">
        <v>0</v>
      </c>
      <c r="G34" s="16">
        <v>0</v>
      </c>
      <c r="H34" s="16">
        <v>1</v>
      </c>
      <c r="I34" s="17">
        <f>SUMPRODUCT($B34:$H34,Input!$B$105:$H$105)</f>
        <v>1.1020000000000001</v>
      </c>
      <c r="J34" s="6"/>
    </row>
    <row r="35" spans="1:10" x14ac:dyDescent="0.2">
      <c r="A35" s="5" t="s">
        <v>64</v>
      </c>
      <c r="B35" s="16">
        <v>0</v>
      </c>
      <c r="C35" s="16">
        <v>0</v>
      </c>
      <c r="D35" s="16">
        <v>0</v>
      </c>
      <c r="E35" s="16">
        <v>0</v>
      </c>
      <c r="F35" s="16">
        <v>0</v>
      </c>
      <c r="G35" s="16">
        <v>0</v>
      </c>
      <c r="H35" s="16">
        <v>1</v>
      </c>
      <c r="I35" s="17">
        <f>SUMPRODUCT($B35:$H35,Input!$B$105:$H$105)</f>
        <v>1.1020000000000001</v>
      </c>
      <c r="J35" s="6"/>
    </row>
    <row r="36" spans="1:10" x14ac:dyDescent="0.2">
      <c r="A36" s="5" t="s">
        <v>65</v>
      </c>
      <c r="B36" s="16">
        <v>0</v>
      </c>
      <c r="C36" s="16">
        <v>0</v>
      </c>
      <c r="D36" s="16">
        <v>0</v>
      </c>
      <c r="E36" s="16">
        <v>0</v>
      </c>
      <c r="F36" s="16">
        <v>0</v>
      </c>
      <c r="G36" s="16">
        <v>1</v>
      </c>
      <c r="H36" s="16">
        <v>0</v>
      </c>
      <c r="I36" s="17">
        <f>SUMPRODUCT($B36:$H36,Input!$B$105:$H$105)</f>
        <v>1.052</v>
      </c>
      <c r="J36" s="6"/>
    </row>
    <row r="37" spans="1:10" x14ac:dyDescent="0.2">
      <c r="A37" s="5" t="s">
        <v>66</v>
      </c>
      <c r="B37" s="16">
        <v>0</v>
      </c>
      <c r="C37" s="16">
        <v>0</v>
      </c>
      <c r="D37" s="16">
        <v>0</v>
      </c>
      <c r="E37" s="16">
        <v>0</v>
      </c>
      <c r="F37" s="16">
        <v>0</v>
      </c>
      <c r="G37" s="16">
        <v>1</v>
      </c>
      <c r="H37" s="16">
        <v>0</v>
      </c>
      <c r="I37" s="17">
        <f>SUMPRODUCT($B37:$H37,Input!$B$105:$H$105)</f>
        <v>1.052</v>
      </c>
      <c r="J37" s="6"/>
    </row>
    <row r="38" spans="1:10" x14ac:dyDescent="0.2">
      <c r="A38" s="5" t="s">
        <v>75</v>
      </c>
      <c r="B38" s="16">
        <v>0</v>
      </c>
      <c r="C38" s="16">
        <v>0</v>
      </c>
      <c r="D38" s="16">
        <v>0</v>
      </c>
      <c r="E38" s="16">
        <v>0</v>
      </c>
      <c r="F38" s="16">
        <v>1</v>
      </c>
      <c r="G38" s="16">
        <v>0</v>
      </c>
      <c r="H38" s="16">
        <v>0</v>
      </c>
      <c r="I38" s="17">
        <f>SUMPRODUCT($B38:$H38,Input!$B$105:$H$105)</f>
        <v>1.0389999999999999</v>
      </c>
      <c r="J38" s="6"/>
    </row>
    <row r="39" spans="1:10" x14ac:dyDescent="0.2">
      <c r="A39" s="5" t="s">
        <v>76</v>
      </c>
      <c r="B39" s="16">
        <v>0</v>
      </c>
      <c r="C39" s="16">
        <v>0</v>
      </c>
      <c r="D39" s="16">
        <v>0</v>
      </c>
      <c r="E39" s="16">
        <v>0</v>
      </c>
      <c r="F39" s="16">
        <v>1</v>
      </c>
      <c r="G39" s="16">
        <v>0</v>
      </c>
      <c r="H39" s="16">
        <v>0</v>
      </c>
      <c r="I39" s="17">
        <f>SUMPRODUCT($B39:$H39,Input!$B$105:$H$105)</f>
        <v>1.0389999999999999</v>
      </c>
      <c r="J39" s="6"/>
    </row>
    <row r="40" spans="1:10" x14ac:dyDescent="0.2">
      <c r="A40" s="5" t="s">
        <v>77</v>
      </c>
      <c r="B40" s="16">
        <v>0</v>
      </c>
      <c r="C40" s="16">
        <v>0</v>
      </c>
      <c r="D40" s="16">
        <v>0</v>
      </c>
      <c r="E40" s="16">
        <v>1</v>
      </c>
      <c r="F40" s="16">
        <v>0</v>
      </c>
      <c r="G40" s="16">
        <v>0</v>
      </c>
      <c r="H40" s="16">
        <v>0</v>
      </c>
      <c r="I40" s="17">
        <f>SUMPRODUCT($B40:$H40,Input!$B$105:$H$105)</f>
        <v>1.0269999999999999</v>
      </c>
      <c r="J40" s="6"/>
    </row>
    <row r="41" spans="1:10" x14ac:dyDescent="0.2">
      <c r="A41" s="5" t="s">
        <v>78</v>
      </c>
      <c r="B41" s="16">
        <v>0</v>
      </c>
      <c r="C41" s="16">
        <v>0</v>
      </c>
      <c r="D41" s="16">
        <v>0</v>
      </c>
      <c r="E41" s="16">
        <v>1</v>
      </c>
      <c r="F41" s="16">
        <v>0</v>
      </c>
      <c r="G41" s="16">
        <v>0</v>
      </c>
      <c r="H41" s="16">
        <v>0</v>
      </c>
      <c r="I41" s="17">
        <f>SUMPRODUCT($B41:$H41,Input!$B$105:$H$105)</f>
        <v>1.0269999999999999</v>
      </c>
      <c r="J41" s="6"/>
    </row>
    <row r="43" spans="1:10" ht="16.5" x14ac:dyDescent="0.25">
      <c r="A43" s="3" t="s">
        <v>248</v>
      </c>
    </row>
    <row r="45" spans="1:10" x14ac:dyDescent="0.2">
      <c r="B45" s="4" t="s">
        <v>22</v>
      </c>
      <c r="C45" s="4" t="s">
        <v>23</v>
      </c>
      <c r="D45" s="4" t="s">
        <v>24</v>
      </c>
      <c r="E45" s="4" t="s">
        <v>25</v>
      </c>
      <c r="F45" s="4" t="s">
        <v>26</v>
      </c>
      <c r="G45" s="4" t="s">
        <v>27</v>
      </c>
      <c r="H45" s="4" t="s">
        <v>28</v>
      </c>
    </row>
    <row r="46" spans="1:10" x14ac:dyDescent="0.2">
      <c r="A46" s="5" t="s">
        <v>22</v>
      </c>
      <c r="B46" s="16">
        <v>1</v>
      </c>
      <c r="C46" s="16">
        <v>0</v>
      </c>
      <c r="D46" s="16">
        <v>0</v>
      </c>
      <c r="E46" s="16">
        <v>0</v>
      </c>
      <c r="F46" s="16">
        <v>0</v>
      </c>
      <c r="G46" s="16">
        <v>0</v>
      </c>
      <c r="H46" s="16">
        <v>0</v>
      </c>
      <c r="I46" s="6"/>
    </row>
    <row r="47" spans="1:10" x14ac:dyDescent="0.2">
      <c r="A47" s="5" t="s">
        <v>23</v>
      </c>
      <c r="B47" s="16">
        <v>0</v>
      </c>
      <c r="C47" s="16">
        <v>1</v>
      </c>
      <c r="D47" s="16">
        <v>0</v>
      </c>
      <c r="E47" s="16">
        <v>0</v>
      </c>
      <c r="F47" s="16">
        <v>0</v>
      </c>
      <c r="G47" s="16">
        <v>0</v>
      </c>
      <c r="H47" s="16">
        <v>0</v>
      </c>
      <c r="I47" s="6"/>
    </row>
    <row r="48" spans="1:10" x14ac:dyDescent="0.2">
      <c r="A48" s="5" t="s">
        <v>24</v>
      </c>
      <c r="B48" s="16">
        <v>0</v>
      </c>
      <c r="C48" s="16">
        <v>0</v>
      </c>
      <c r="D48" s="16">
        <v>1</v>
      </c>
      <c r="E48" s="16">
        <v>0</v>
      </c>
      <c r="F48" s="16">
        <v>0</v>
      </c>
      <c r="G48" s="16">
        <v>0</v>
      </c>
      <c r="H48" s="16">
        <v>0</v>
      </c>
      <c r="I48" s="6"/>
    </row>
    <row r="49" spans="1:9" x14ac:dyDescent="0.2">
      <c r="A49" s="5" t="s">
        <v>25</v>
      </c>
      <c r="B49" s="16">
        <v>0</v>
      </c>
      <c r="C49" s="16">
        <v>0</v>
      </c>
      <c r="D49" s="16">
        <v>0</v>
      </c>
      <c r="E49" s="16">
        <v>1</v>
      </c>
      <c r="F49" s="16">
        <v>0</v>
      </c>
      <c r="G49" s="16">
        <v>0</v>
      </c>
      <c r="H49" s="16">
        <v>0</v>
      </c>
      <c r="I49" s="6"/>
    </row>
    <row r="50" spans="1:9" x14ac:dyDescent="0.2">
      <c r="A50" s="5" t="s">
        <v>30</v>
      </c>
      <c r="B50" s="16">
        <v>0</v>
      </c>
      <c r="C50" s="16">
        <v>0</v>
      </c>
      <c r="D50" s="16">
        <v>0</v>
      </c>
      <c r="E50" s="16">
        <v>1</v>
      </c>
      <c r="F50" s="16">
        <v>0</v>
      </c>
      <c r="G50" s="16">
        <v>0</v>
      </c>
      <c r="H50" s="16">
        <v>0</v>
      </c>
      <c r="I50" s="6"/>
    </row>
    <row r="51" spans="1:9" x14ac:dyDescent="0.2">
      <c r="A51" s="5" t="s">
        <v>26</v>
      </c>
      <c r="B51" s="16">
        <v>0</v>
      </c>
      <c r="C51" s="16">
        <v>0</v>
      </c>
      <c r="D51" s="16">
        <v>0</v>
      </c>
      <c r="E51" s="16">
        <v>0</v>
      </c>
      <c r="F51" s="16">
        <v>1</v>
      </c>
      <c r="G51" s="16">
        <v>0</v>
      </c>
      <c r="H51" s="16">
        <v>0</v>
      </c>
      <c r="I51" s="6"/>
    </row>
    <row r="52" spans="1:9" x14ac:dyDescent="0.2">
      <c r="A52" s="5" t="s">
        <v>27</v>
      </c>
      <c r="B52" s="16">
        <v>0</v>
      </c>
      <c r="C52" s="16">
        <v>0</v>
      </c>
      <c r="D52" s="16">
        <v>0</v>
      </c>
      <c r="E52" s="16">
        <v>0</v>
      </c>
      <c r="F52" s="16">
        <v>0</v>
      </c>
      <c r="G52" s="16">
        <v>1</v>
      </c>
      <c r="H52" s="16">
        <v>0</v>
      </c>
      <c r="I52" s="6"/>
    </row>
    <row r="53" spans="1:9" x14ac:dyDescent="0.2">
      <c r="A53" s="5" t="s">
        <v>28</v>
      </c>
      <c r="B53" s="16">
        <v>0</v>
      </c>
      <c r="C53" s="16">
        <v>0</v>
      </c>
      <c r="D53" s="16">
        <v>0</v>
      </c>
      <c r="E53" s="16">
        <v>0</v>
      </c>
      <c r="F53" s="16">
        <v>0</v>
      </c>
      <c r="G53" s="16">
        <v>0</v>
      </c>
      <c r="H53" s="16">
        <v>1</v>
      </c>
      <c r="I53" s="6"/>
    </row>
    <row r="55" spans="1:9" ht="16.5" x14ac:dyDescent="0.25">
      <c r="A55" s="3" t="s">
        <v>249</v>
      </c>
    </row>
    <row r="56" spans="1:9" x14ac:dyDescent="0.2">
      <c r="A56" s="10" t="s">
        <v>238</v>
      </c>
    </row>
    <row r="57" spans="1:9" x14ac:dyDescent="0.2">
      <c r="A57" s="11" t="s">
        <v>250</v>
      </c>
    </row>
    <row r="58" spans="1:9" x14ac:dyDescent="0.2">
      <c r="A58" s="11" t="s">
        <v>240</v>
      </c>
    </row>
    <row r="59" spans="1:9" x14ac:dyDescent="0.2">
      <c r="A59" s="10" t="s">
        <v>251</v>
      </c>
    </row>
    <row r="61" spans="1:9" ht="51" x14ac:dyDescent="0.2">
      <c r="B61" s="4" t="s">
        <v>252</v>
      </c>
    </row>
    <row r="62" spans="1:9" x14ac:dyDescent="0.2">
      <c r="A62" s="5" t="s">
        <v>22</v>
      </c>
      <c r="B62" s="17">
        <f>SUMPRODUCT($B46:$H46,Input!$B$105:$H$105)</f>
        <v>1.01</v>
      </c>
      <c r="C62" s="6"/>
    </row>
    <row r="63" spans="1:9" x14ac:dyDescent="0.2">
      <c r="A63" s="5" t="s">
        <v>23</v>
      </c>
      <c r="B63" s="17">
        <f>SUMPRODUCT($B47:$H47,Input!$B$105:$H$105)</f>
        <v>1.0149999999999999</v>
      </c>
      <c r="C63" s="6"/>
    </row>
    <row r="64" spans="1:9" x14ac:dyDescent="0.2">
      <c r="A64" s="5" t="s">
        <v>24</v>
      </c>
      <c r="B64" s="17">
        <f>SUMPRODUCT($B48:$H48,Input!$B$105:$H$105)</f>
        <v>1.0209999999999999</v>
      </c>
      <c r="C64" s="6"/>
    </row>
    <row r="65" spans="1:11" x14ac:dyDescent="0.2">
      <c r="A65" s="5" t="s">
        <v>25</v>
      </c>
      <c r="B65" s="17">
        <f>SUMPRODUCT($B49:$H49,Input!$B$105:$H$105)</f>
        <v>1.0269999999999999</v>
      </c>
      <c r="C65" s="6"/>
    </row>
    <row r="66" spans="1:11" x14ac:dyDescent="0.2">
      <c r="A66" s="5" t="s">
        <v>30</v>
      </c>
      <c r="B66" s="17">
        <f>SUMPRODUCT($B50:$H50,Input!$B$105:$H$105)</f>
        <v>1.0269999999999999</v>
      </c>
      <c r="C66" s="6"/>
    </row>
    <row r="67" spans="1:11" x14ac:dyDescent="0.2">
      <c r="A67" s="5" t="s">
        <v>26</v>
      </c>
      <c r="B67" s="17">
        <f>SUMPRODUCT($B51:$H51,Input!$B$105:$H$105)</f>
        <v>1.0389999999999999</v>
      </c>
      <c r="C67" s="6"/>
    </row>
    <row r="68" spans="1:11" x14ac:dyDescent="0.2">
      <c r="A68" s="5" t="s">
        <v>27</v>
      </c>
      <c r="B68" s="17">
        <f>SUMPRODUCT($B52:$H52,Input!$B$105:$H$105)</f>
        <v>1.052</v>
      </c>
      <c r="C68" s="6"/>
    </row>
    <row r="69" spans="1:11" x14ac:dyDescent="0.2">
      <c r="A69" s="5" t="s">
        <v>28</v>
      </c>
      <c r="B69" s="17">
        <f>SUMPRODUCT($B53:$H53,Input!$B$105:$H$105)</f>
        <v>1.1020000000000001</v>
      </c>
      <c r="C69" s="6"/>
    </row>
    <row r="71" spans="1:11" ht="16.5" x14ac:dyDescent="0.25">
      <c r="A71" s="3" t="s">
        <v>253</v>
      </c>
    </row>
    <row r="72" spans="1:11" x14ac:dyDescent="0.2">
      <c r="A72" s="10" t="s">
        <v>238</v>
      </c>
    </row>
    <row r="73" spans="1:11" x14ac:dyDescent="0.2">
      <c r="A73" s="11" t="s">
        <v>254</v>
      </c>
    </row>
    <row r="74" spans="1:11" x14ac:dyDescent="0.2">
      <c r="A74" s="10" t="s">
        <v>255</v>
      </c>
    </row>
    <row r="75" spans="1:11" x14ac:dyDescent="0.2">
      <c r="A75" s="10" t="s">
        <v>256</v>
      </c>
    </row>
    <row r="77" spans="1:11" x14ac:dyDescent="0.2">
      <c r="B77" s="4" t="s">
        <v>21</v>
      </c>
      <c r="C77" s="4" t="s">
        <v>22</v>
      </c>
      <c r="D77" s="4" t="s">
        <v>23</v>
      </c>
      <c r="E77" s="4" t="s">
        <v>24</v>
      </c>
      <c r="F77" s="4" t="s">
        <v>25</v>
      </c>
      <c r="G77" s="4" t="s">
        <v>30</v>
      </c>
      <c r="H77" s="4" t="s">
        <v>26</v>
      </c>
      <c r="I77" s="4" t="s">
        <v>27</v>
      </c>
      <c r="J77" s="4" t="s">
        <v>28</v>
      </c>
    </row>
    <row r="78" spans="1:11" ht="25.5" x14ac:dyDescent="0.2">
      <c r="A78" s="5" t="s">
        <v>257</v>
      </c>
      <c r="B78" s="8">
        <v>1</v>
      </c>
      <c r="C78" s="20">
        <f>$B$62</f>
        <v>1.01</v>
      </c>
      <c r="D78" s="20">
        <f>$B$63</f>
        <v>1.0149999999999999</v>
      </c>
      <c r="E78" s="20">
        <f>$B$64</f>
        <v>1.0209999999999999</v>
      </c>
      <c r="F78" s="20">
        <f>$B$65</f>
        <v>1.0269999999999999</v>
      </c>
      <c r="G78" s="20">
        <f>$B$66</f>
        <v>1.0269999999999999</v>
      </c>
      <c r="H78" s="20">
        <f>$B$67</f>
        <v>1.0389999999999999</v>
      </c>
      <c r="I78" s="20">
        <f>$B$68</f>
        <v>1.052</v>
      </c>
      <c r="J78" s="20">
        <f>$B$69</f>
        <v>1.1020000000000001</v>
      </c>
      <c r="K78" s="6"/>
    </row>
    <row r="80" spans="1:11" ht="16.5" x14ac:dyDescent="0.25">
      <c r="A80" s="3" t="s">
        <v>258</v>
      </c>
    </row>
    <row r="81" spans="1:10" x14ac:dyDescent="0.2">
      <c r="A81" s="10" t="s">
        <v>259</v>
      </c>
    </row>
    <row r="82" spans="1:10" x14ac:dyDescent="0.2">
      <c r="A82" s="10" t="s">
        <v>260</v>
      </c>
    </row>
    <row r="83" spans="1:10" x14ac:dyDescent="0.2">
      <c r="A83" s="10" t="s">
        <v>261</v>
      </c>
    </row>
    <row r="85" spans="1:10" x14ac:dyDescent="0.2">
      <c r="B85" s="4" t="s">
        <v>21</v>
      </c>
      <c r="C85" s="4" t="s">
        <v>22</v>
      </c>
      <c r="D85" s="4" t="s">
        <v>23</v>
      </c>
      <c r="E85" s="4" t="s">
        <v>24</v>
      </c>
      <c r="F85" s="4" t="s">
        <v>25</v>
      </c>
      <c r="G85" s="4" t="s">
        <v>26</v>
      </c>
      <c r="H85" s="4" t="s">
        <v>27</v>
      </c>
      <c r="I85" s="4" t="s">
        <v>28</v>
      </c>
    </row>
    <row r="86" spans="1:10" x14ac:dyDescent="0.2">
      <c r="A86" s="5" t="s">
        <v>53</v>
      </c>
      <c r="B86" s="8">
        <v>1</v>
      </c>
      <c r="C86" s="8">
        <v>1</v>
      </c>
      <c r="D86" s="8">
        <v>1</v>
      </c>
      <c r="E86" s="8">
        <v>1</v>
      </c>
      <c r="F86" s="8">
        <v>1</v>
      </c>
      <c r="G86" s="8">
        <v>1</v>
      </c>
      <c r="H86" s="8">
        <v>1</v>
      </c>
      <c r="I86" s="8">
        <v>1</v>
      </c>
      <c r="J86" s="6"/>
    </row>
    <row r="87" spans="1:10" x14ac:dyDescent="0.2">
      <c r="A87" s="5" t="s">
        <v>54</v>
      </c>
      <c r="B87" s="8">
        <v>1</v>
      </c>
      <c r="C87" s="8">
        <v>1</v>
      </c>
      <c r="D87" s="8">
        <v>1</v>
      </c>
      <c r="E87" s="8">
        <v>1</v>
      </c>
      <c r="F87" s="8">
        <v>1</v>
      </c>
      <c r="G87" s="8">
        <v>1</v>
      </c>
      <c r="H87" s="8">
        <v>1</v>
      </c>
      <c r="I87" s="8">
        <v>1</v>
      </c>
      <c r="J87" s="6"/>
    </row>
    <row r="88" spans="1:10" x14ac:dyDescent="0.2">
      <c r="A88" s="5" t="s">
        <v>94</v>
      </c>
      <c r="B88" s="8">
        <v>1</v>
      </c>
      <c r="C88" s="8">
        <v>1</v>
      </c>
      <c r="D88" s="8">
        <v>1</v>
      </c>
      <c r="E88" s="8">
        <v>1</v>
      </c>
      <c r="F88" s="8">
        <v>1</v>
      </c>
      <c r="G88" s="8">
        <v>1</v>
      </c>
      <c r="H88" s="8">
        <v>1</v>
      </c>
      <c r="I88" s="8">
        <v>1</v>
      </c>
      <c r="J88" s="6"/>
    </row>
    <row r="89" spans="1:10" x14ac:dyDescent="0.2">
      <c r="A89" s="5" t="s">
        <v>55</v>
      </c>
      <c r="B89" s="8">
        <v>1</v>
      </c>
      <c r="C89" s="8">
        <v>1</v>
      </c>
      <c r="D89" s="8">
        <v>1</v>
      </c>
      <c r="E89" s="8">
        <v>1</v>
      </c>
      <c r="F89" s="8">
        <v>1</v>
      </c>
      <c r="G89" s="8">
        <v>1</v>
      </c>
      <c r="H89" s="8">
        <v>1</v>
      </c>
      <c r="I89" s="8">
        <v>1</v>
      </c>
      <c r="J89" s="6"/>
    </row>
    <row r="90" spans="1:10" x14ac:dyDescent="0.2">
      <c r="A90" s="5" t="s">
        <v>56</v>
      </c>
      <c r="B90" s="8">
        <v>1</v>
      </c>
      <c r="C90" s="8">
        <v>1</v>
      </c>
      <c r="D90" s="8">
        <v>1</v>
      </c>
      <c r="E90" s="8">
        <v>1</v>
      </c>
      <c r="F90" s="8">
        <v>1</v>
      </c>
      <c r="G90" s="8">
        <v>1</v>
      </c>
      <c r="H90" s="8">
        <v>1</v>
      </c>
      <c r="I90" s="8">
        <v>1</v>
      </c>
      <c r="J90" s="6"/>
    </row>
    <row r="91" spans="1:10" x14ac:dyDescent="0.2">
      <c r="A91" s="5" t="s">
        <v>95</v>
      </c>
      <c r="B91" s="8">
        <v>1</v>
      </c>
      <c r="C91" s="8">
        <v>1</v>
      </c>
      <c r="D91" s="8">
        <v>1</v>
      </c>
      <c r="E91" s="8">
        <v>1</v>
      </c>
      <c r="F91" s="8">
        <v>1</v>
      </c>
      <c r="G91" s="8">
        <v>1</v>
      </c>
      <c r="H91" s="8">
        <v>1</v>
      </c>
      <c r="I91" s="8">
        <v>1</v>
      </c>
      <c r="J91" s="6"/>
    </row>
    <row r="92" spans="1:10" x14ac:dyDescent="0.2">
      <c r="A92" s="5" t="s">
        <v>57</v>
      </c>
      <c r="B92" s="8">
        <v>1</v>
      </c>
      <c r="C92" s="8">
        <v>1</v>
      </c>
      <c r="D92" s="8">
        <v>1</v>
      </c>
      <c r="E92" s="8">
        <v>1</v>
      </c>
      <c r="F92" s="8">
        <v>1</v>
      </c>
      <c r="G92" s="8">
        <v>1</v>
      </c>
      <c r="H92" s="8">
        <v>1</v>
      </c>
      <c r="I92" s="8">
        <v>1</v>
      </c>
      <c r="J92" s="6"/>
    </row>
    <row r="93" spans="1:10" x14ac:dyDescent="0.2">
      <c r="A93" s="5" t="s">
        <v>58</v>
      </c>
      <c r="B93" s="8">
        <v>1</v>
      </c>
      <c r="C93" s="8">
        <v>1</v>
      </c>
      <c r="D93" s="8">
        <v>1</v>
      </c>
      <c r="E93" s="8">
        <v>1</v>
      </c>
      <c r="F93" s="8">
        <v>1</v>
      </c>
      <c r="G93" s="8">
        <v>1</v>
      </c>
      <c r="H93" s="8">
        <v>1</v>
      </c>
      <c r="I93" s="8">
        <v>0</v>
      </c>
      <c r="J93" s="6"/>
    </row>
    <row r="94" spans="1:10" x14ac:dyDescent="0.2">
      <c r="A94" s="5" t="s">
        <v>72</v>
      </c>
      <c r="B94" s="8">
        <v>1</v>
      </c>
      <c r="C94" s="8">
        <v>1</v>
      </c>
      <c r="D94" s="8">
        <v>1</v>
      </c>
      <c r="E94" s="8">
        <v>1</v>
      </c>
      <c r="F94" s="8">
        <v>1</v>
      </c>
      <c r="G94" s="8">
        <v>1</v>
      </c>
      <c r="H94" s="8">
        <v>0</v>
      </c>
      <c r="I94" s="8">
        <v>0</v>
      </c>
      <c r="J94" s="6"/>
    </row>
    <row r="95" spans="1:10" x14ac:dyDescent="0.2">
      <c r="A95" s="5" t="s">
        <v>59</v>
      </c>
      <c r="B95" s="8">
        <v>1</v>
      </c>
      <c r="C95" s="8">
        <v>1</v>
      </c>
      <c r="D95" s="8">
        <v>1</v>
      </c>
      <c r="E95" s="8">
        <v>1</v>
      </c>
      <c r="F95" s="8">
        <v>1</v>
      </c>
      <c r="G95" s="8">
        <v>1</v>
      </c>
      <c r="H95" s="8">
        <v>1</v>
      </c>
      <c r="I95" s="8">
        <v>1</v>
      </c>
      <c r="J95" s="6"/>
    </row>
    <row r="96" spans="1:10" x14ac:dyDescent="0.2">
      <c r="A96" s="5" t="s">
        <v>60</v>
      </c>
      <c r="B96" s="8">
        <v>1</v>
      </c>
      <c r="C96" s="8">
        <v>1</v>
      </c>
      <c r="D96" s="8">
        <v>1</v>
      </c>
      <c r="E96" s="8">
        <v>1</v>
      </c>
      <c r="F96" s="8">
        <v>1</v>
      </c>
      <c r="G96" s="8">
        <v>1</v>
      </c>
      <c r="H96" s="8">
        <v>1</v>
      </c>
      <c r="I96" s="8">
        <v>0</v>
      </c>
      <c r="J96" s="6"/>
    </row>
    <row r="97" spans="1:10" x14ac:dyDescent="0.2">
      <c r="A97" s="5" t="s">
        <v>73</v>
      </c>
      <c r="B97" s="8">
        <v>1</v>
      </c>
      <c r="C97" s="8">
        <v>1</v>
      </c>
      <c r="D97" s="8">
        <v>1</v>
      </c>
      <c r="E97" s="8">
        <v>1</v>
      </c>
      <c r="F97" s="8">
        <v>1</v>
      </c>
      <c r="G97" s="8">
        <v>1</v>
      </c>
      <c r="H97" s="8">
        <v>0</v>
      </c>
      <c r="I97" s="8">
        <v>0</v>
      </c>
      <c r="J97" s="6"/>
    </row>
    <row r="98" spans="1:10" x14ac:dyDescent="0.2">
      <c r="A98" s="5" t="s">
        <v>74</v>
      </c>
      <c r="B98" s="8">
        <v>1</v>
      </c>
      <c r="C98" s="8">
        <v>1</v>
      </c>
      <c r="D98" s="8">
        <v>1</v>
      </c>
      <c r="E98" s="8">
        <v>1</v>
      </c>
      <c r="F98" s="8">
        <v>1</v>
      </c>
      <c r="G98" s="8">
        <v>0</v>
      </c>
      <c r="H98" s="8">
        <v>0</v>
      </c>
      <c r="I98" s="8">
        <v>0</v>
      </c>
      <c r="J98" s="6"/>
    </row>
    <row r="99" spans="1:10" x14ac:dyDescent="0.2">
      <c r="A99" s="5" t="s">
        <v>96</v>
      </c>
      <c r="B99" s="8">
        <v>1</v>
      </c>
      <c r="C99" s="8">
        <v>1</v>
      </c>
      <c r="D99" s="8">
        <v>1</v>
      </c>
      <c r="E99" s="8">
        <v>1</v>
      </c>
      <c r="F99" s="8">
        <v>1</v>
      </c>
      <c r="G99" s="8">
        <v>1</v>
      </c>
      <c r="H99" s="8">
        <v>1</v>
      </c>
      <c r="I99" s="8">
        <v>1</v>
      </c>
      <c r="J99" s="6"/>
    </row>
    <row r="100" spans="1:10" x14ac:dyDescent="0.2">
      <c r="A100" s="5" t="s">
        <v>97</v>
      </c>
      <c r="B100" s="8">
        <v>1</v>
      </c>
      <c r="C100" s="8">
        <v>1</v>
      </c>
      <c r="D100" s="8">
        <v>1</v>
      </c>
      <c r="E100" s="8">
        <v>1</v>
      </c>
      <c r="F100" s="8">
        <v>1</v>
      </c>
      <c r="G100" s="8">
        <v>1</v>
      </c>
      <c r="H100" s="8">
        <v>1</v>
      </c>
      <c r="I100" s="8">
        <v>1</v>
      </c>
      <c r="J100" s="6"/>
    </row>
    <row r="101" spans="1:10" x14ac:dyDescent="0.2">
      <c r="A101" s="5" t="s">
        <v>98</v>
      </c>
      <c r="B101" s="8">
        <v>1</v>
      </c>
      <c r="C101" s="8">
        <v>1</v>
      </c>
      <c r="D101" s="8">
        <v>1</v>
      </c>
      <c r="E101" s="8">
        <v>1</v>
      </c>
      <c r="F101" s="8">
        <v>1</v>
      </c>
      <c r="G101" s="8">
        <v>1</v>
      </c>
      <c r="H101" s="8">
        <v>1</v>
      </c>
      <c r="I101" s="8">
        <v>1</v>
      </c>
      <c r="J101" s="6"/>
    </row>
    <row r="102" spans="1:10" x14ac:dyDescent="0.2">
      <c r="A102" s="5" t="s">
        <v>99</v>
      </c>
      <c r="B102" s="8">
        <v>1</v>
      </c>
      <c r="C102" s="8">
        <v>1</v>
      </c>
      <c r="D102" s="8">
        <v>1</v>
      </c>
      <c r="E102" s="8">
        <v>1</v>
      </c>
      <c r="F102" s="8">
        <v>1</v>
      </c>
      <c r="G102" s="8">
        <v>1</v>
      </c>
      <c r="H102" s="8">
        <v>1</v>
      </c>
      <c r="I102" s="8">
        <v>1</v>
      </c>
      <c r="J102" s="6"/>
    </row>
    <row r="103" spans="1:10" x14ac:dyDescent="0.2">
      <c r="A103" s="5" t="s">
        <v>100</v>
      </c>
      <c r="B103" s="8">
        <v>1</v>
      </c>
      <c r="C103" s="8">
        <v>1</v>
      </c>
      <c r="D103" s="8">
        <v>1</v>
      </c>
      <c r="E103" s="8">
        <v>1</v>
      </c>
      <c r="F103" s="8">
        <v>1</v>
      </c>
      <c r="G103" s="8">
        <v>1</v>
      </c>
      <c r="H103" s="8">
        <v>1</v>
      </c>
      <c r="I103" s="8">
        <v>1</v>
      </c>
      <c r="J103" s="6"/>
    </row>
    <row r="104" spans="1:10" x14ac:dyDescent="0.2">
      <c r="A104" s="5" t="s">
        <v>61</v>
      </c>
      <c r="B104" s="8">
        <v>1</v>
      </c>
      <c r="C104" s="8">
        <v>1</v>
      </c>
      <c r="D104" s="8">
        <v>1</v>
      </c>
      <c r="E104" s="8">
        <v>1</v>
      </c>
      <c r="F104" s="8">
        <v>1</v>
      </c>
      <c r="G104" s="8">
        <v>1</v>
      </c>
      <c r="H104" s="8">
        <v>1</v>
      </c>
      <c r="I104" s="8">
        <v>0</v>
      </c>
      <c r="J104" s="6"/>
    </row>
    <row r="105" spans="1:10" x14ac:dyDescent="0.2">
      <c r="A105" s="5" t="s">
        <v>62</v>
      </c>
      <c r="B105" s="8">
        <v>1</v>
      </c>
      <c r="C105" s="8">
        <v>1</v>
      </c>
      <c r="D105" s="8">
        <v>1</v>
      </c>
      <c r="E105" s="8">
        <v>1</v>
      </c>
      <c r="F105" s="8">
        <v>1</v>
      </c>
      <c r="G105" s="8">
        <v>1</v>
      </c>
      <c r="H105" s="8">
        <v>0</v>
      </c>
      <c r="I105" s="8">
        <v>0</v>
      </c>
      <c r="J105" s="6"/>
    </row>
    <row r="106" spans="1:10" x14ac:dyDescent="0.2">
      <c r="A106" s="5" t="s">
        <v>63</v>
      </c>
      <c r="B106" s="8">
        <v>1</v>
      </c>
      <c r="C106" s="8">
        <v>1</v>
      </c>
      <c r="D106" s="8">
        <v>1</v>
      </c>
      <c r="E106" s="8">
        <v>1</v>
      </c>
      <c r="F106" s="8">
        <v>1</v>
      </c>
      <c r="G106" s="8">
        <v>1</v>
      </c>
      <c r="H106" s="8">
        <v>1</v>
      </c>
      <c r="I106" s="8">
        <v>0</v>
      </c>
      <c r="J106" s="6"/>
    </row>
    <row r="107" spans="1:10" x14ac:dyDescent="0.2">
      <c r="A107" s="5" t="s">
        <v>64</v>
      </c>
      <c r="B107" s="8">
        <v>1</v>
      </c>
      <c r="C107" s="8">
        <v>1</v>
      </c>
      <c r="D107" s="8">
        <v>1</v>
      </c>
      <c r="E107" s="8">
        <v>1</v>
      </c>
      <c r="F107" s="8">
        <v>1</v>
      </c>
      <c r="G107" s="8">
        <v>1</v>
      </c>
      <c r="H107" s="8">
        <v>1</v>
      </c>
      <c r="I107" s="8">
        <v>0</v>
      </c>
      <c r="J107" s="6"/>
    </row>
    <row r="108" spans="1:10" x14ac:dyDescent="0.2">
      <c r="A108" s="5" t="s">
        <v>65</v>
      </c>
      <c r="B108" s="8">
        <v>1</v>
      </c>
      <c r="C108" s="8">
        <v>1</v>
      </c>
      <c r="D108" s="8">
        <v>1</v>
      </c>
      <c r="E108" s="8">
        <v>1</v>
      </c>
      <c r="F108" s="8">
        <v>1</v>
      </c>
      <c r="G108" s="8">
        <v>1</v>
      </c>
      <c r="H108" s="8">
        <v>0</v>
      </c>
      <c r="I108" s="8">
        <v>0</v>
      </c>
      <c r="J108" s="6"/>
    </row>
    <row r="109" spans="1:10" x14ac:dyDescent="0.2">
      <c r="A109" s="5" t="s">
        <v>66</v>
      </c>
      <c r="B109" s="8">
        <v>1</v>
      </c>
      <c r="C109" s="8">
        <v>1</v>
      </c>
      <c r="D109" s="8">
        <v>1</v>
      </c>
      <c r="E109" s="8">
        <v>1</v>
      </c>
      <c r="F109" s="8">
        <v>1</v>
      </c>
      <c r="G109" s="8">
        <v>1</v>
      </c>
      <c r="H109" s="8">
        <v>0</v>
      </c>
      <c r="I109" s="8">
        <v>0</v>
      </c>
      <c r="J109" s="6"/>
    </row>
    <row r="110" spans="1:10" x14ac:dyDescent="0.2">
      <c r="A110" s="5" t="s">
        <v>75</v>
      </c>
      <c r="B110" s="8">
        <v>1</v>
      </c>
      <c r="C110" s="8">
        <v>1</v>
      </c>
      <c r="D110" s="8">
        <v>1</v>
      </c>
      <c r="E110" s="8">
        <v>1</v>
      </c>
      <c r="F110" s="8">
        <v>1</v>
      </c>
      <c r="G110" s="8">
        <v>0</v>
      </c>
      <c r="H110" s="8">
        <v>0</v>
      </c>
      <c r="I110" s="8">
        <v>0</v>
      </c>
      <c r="J110" s="6"/>
    </row>
    <row r="111" spans="1:10" x14ac:dyDescent="0.2">
      <c r="A111" s="5" t="s">
        <v>76</v>
      </c>
      <c r="B111" s="8">
        <v>1</v>
      </c>
      <c r="C111" s="8">
        <v>1</v>
      </c>
      <c r="D111" s="8">
        <v>1</v>
      </c>
      <c r="E111" s="8">
        <v>1</v>
      </c>
      <c r="F111" s="8">
        <v>1</v>
      </c>
      <c r="G111" s="8">
        <v>0</v>
      </c>
      <c r="H111" s="8">
        <v>0</v>
      </c>
      <c r="I111" s="8">
        <v>0</v>
      </c>
      <c r="J111" s="6"/>
    </row>
    <row r="112" spans="1:10" x14ac:dyDescent="0.2">
      <c r="A112" s="5" t="s">
        <v>77</v>
      </c>
      <c r="B112" s="8">
        <v>1</v>
      </c>
      <c r="C112" s="8">
        <v>1</v>
      </c>
      <c r="D112" s="8">
        <v>1</v>
      </c>
      <c r="E112" s="8">
        <v>1</v>
      </c>
      <c r="F112" s="8">
        <v>0</v>
      </c>
      <c r="G112" s="8">
        <v>0</v>
      </c>
      <c r="H112" s="8">
        <v>0</v>
      </c>
      <c r="I112" s="8">
        <v>0</v>
      </c>
      <c r="J112" s="6"/>
    </row>
    <row r="113" spans="1:10" x14ac:dyDescent="0.2">
      <c r="A113" s="5" t="s">
        <v>78</v>
      </c>
      <c r="B113" s="8">
        <v>1</v>
      </c>
      <c r="C113" s="8">
        <v>1</v>
      </c>
      <c r="D113" s="8">
        <v>1</v>
      </c>
      <c r="E113" s="8">
        <v>1</v>
      </c>
      <c r="F113" s="8">
        <v>0</v>
      </c>
      <c r="G113" s="8">
        <v>0</v>
      </c>
      <c r="H113" s="8">
        <v>0</v>
      </c>
      <c r="I113" s="8">
        <v>0</v>
      </c>
      <c r="J113" s="6"/>
    </row>
    <row r="115" spans="1:10" ht="16.5" x14ac:dyDescent="0.25">
      <c r="A115" s="3" t="s">
        <v>262</v>
      </c>
    </row>
    <row r="116" spans="1:10" x14ac:dyDescent="0.2">
      <c r="A116" s="10" t="s">
        <v>238</v>
      </c>
    </row>
    <row r="117" spans="1:10" x14ac:dyDescent="0.2">
      <c r="A117" s="11" t="s">
        <v>263</v>
      </c>
    </row>
    <row r="118" spans="1:10" x14ac:dyDescent="0.2">
      <c r="A118" s="10" t="s">
        <v>264</v>
      </c>
    </row>
    <row r="120" spans="1:10" x14ac:dyDescent="0.2">
      <c r="B120" s="4" t="s">
        <v>23</v>
      </c>
    </row>
    <row r="121" spans="1:10" x14ac:dyDescent="0.2">
      <c r="A121" s="5" t="s">
        <v>23</v>
      </c>
      <c r="B121" s="22">
        <f>1-Input!$B$36</f>
        <v>1</v>
      </c>
      <c r="C121" s="6"/>
    </row>
    <row r="123" spans="1:10" ht="16.5" x14ac:dyDescent="0.25">
      <c r="A123" s="3" t="s">
        <v>265</v>
      </c>
    </row>
    <row r="124" spans="1:10" x14ac:dyDescent="0.2">
      <c r="A124" s="10" t="s">
        <v>238</v>
      </c>
    </row>
    <row r="125" spans="1:10" x14ac:dyDescent="0.2">
      <c r="A125" s="11" t="s">
        <v>263</v>
      </c>
    </row>
    <row r="126" spans="1:10" x14ac:dyDescent="0.2">
      <c r="A126" s="10" t="s">
        <v>264</v>
      </c>
    </row>
    <row r="128" spans="1:10" x14ac:dyDescent="0.2">
      <c r="B128" s="4" t="s">
        <v>24</v>
      </c>
    </row>
    <row r="129" spans="1:3" x14ac:dyDescent="0.2">
      <c r="A129" s="5" t="s">
        <v>24</v>
      </c>
      <c r="B129" s="22">
        <f>1-Input!$B$36</f>
        <v>1</v>
      </c>
      <c r="C129" s="6"/>
    </row>
    <row r="131" spans="1:3" ht="16.5" x14ac:dyDescent="0.25">
      <c r="A131" s="3" t="s">
        <v>266</v>
      </c>
    </row>
    <row r="132" spans="1:3" x14ac:dyDescent="0.2">
      <c r="A132" s="10" t="s">
        <v>238</v>
      </c>
    </row>
    <row r="133" spans="1:3" x14ac:dyDescent="0.2">
      <c r="A133" s="11" t="s">
        <v>263</v>
      </c>
    </row>
    <row r="134" spans="1:3" x14ac:dyDescent="0.2">
      <c r="A134" s="10" t="s">
        <v>264</v>
      </c>
    </row>
    <row r="136" spans="1:3" x14ac:dyDescent="0.2">
      <c r="B136" s="4" t="s">
        <v>25</v>
      </c>
    </row>
    <row r="137" spans="1:3" x14ac:dyDescent="0.2">
      <c r="A137" s="5" t="s">
        <v>25</v>
      </c>
      <c r="B137" s="22">
        <f>1-Input!$B$36</f>
        <v>1</v>
      </c>
      <c r="C137" s="6"/>
    </row>
    <row r="139" spans="1:3" ht="16.5" x14ac:dyDescent="0.25">
      <c r="A139" s="3" t="s">
        <v>267</v>
      </c>
    </row>
    <row r="140" spans="1:3" x14ac:dyDescent="0.2">
      <c r="A140" s="10" t="s">
        <v>238</v>
      </c>
    </row>
    <row r="141" spans="1:3" x14ac:dyDescent="0.2">
      <c r="A141" s="11" t="s">
        <v>263</v>
      </c>
    </row>
    <row r="142" spans="1:3" x14ac:dyDescent="0.2">
      <c r="A142" s="11" t="s">
        <v>268</v>
      </c>
    </row>
    <row r="143" spans="1:3" x14ac:dyDescent="0.2">
      <c r="A143" s="11" t="s">
        <v>269</v>
      </c>
    </row>
    <row r="144" spans="1:3" x14ac:dyDescent="0.2">
      <c r="A144" s="11" t="s">
        <v>270</v>
      </c>
    </row>
    <row r="145" spans="1:10" x14ac:dyDescent="0.2">
      <c r="A145" s="10" t="s">
        <v>271</v>
      </c>
    </row>
    <row r="146" spans="1:10" x14ac:dyDescent="0.2">
      <c r="A146" s="10" t="s">
        <v>272</v>
      </c>
    </row>
    <row r="147" spans="1:10" x14ac:dyDescent="0.2">
      <c r="A147" s="10" t="s">
        <v>273</v>
      </c>
    </row>
    <row r="149" spans="1:10" x14ac:dyDescent="0.2">
      <c r="B149" s="4" t="s">
        <v>21</v>
      </c>
      <c r="C149" s="4" t="s">
        <v>22</v>
      </c>
      <c r="D149" s="4" t="s">
        <v>23</v>
      </c>
      <c r="E149" s="4" t="s">
        <v>24</v>
      </c>
      <c r="F149" s="4" t="s">
        <v>25</v>
      </c>
      <c r="G149" s="4" t="s">
        <v>26</v>
      </c>
      <c r="H149" s="4" t="s">
        <v>27</v>
      </c>
      <c r="I149" s="4" t="s">
        <v>28</v>
      </c>
    </row>
    <row r="150" spans="1:10" x14ac:dyDescent="0.2">
      <c r="A150" s="5" t="s">
        <v>21</v>
      </c>
      <c r="B150" s="8">
        <v>1</v>
      </c>
      <c r="C150" s="21"/>
      <c r="D150" s="21"/>
      <c r="E150" s="21"/>
      <c r="F150" s="21"/>
      <c r="G150" s="21"/>
      <c r="H150" s="21"/>
      <c r="I150" s="21"/>
      <c r="J150" s="6"/>
    </row>
    <row r="151" spans="1:10" x14ac:dyDescent="0.2">
      <c r="A151" s="5" t="s">
        <v>22</v>
      </c>
      <c r="B151" s="21"/>
      <c r="C151" s="23">
        <v>1</v>
      </c>
      <c r="D151" s="23">
        <v>0</v>
      </c>
      <c r="E151" s="23">
        <v>0</v>
      </c>
      <c r="F151" s="23">
        <v>0</v>
      </c>
      <c r="G151" s="23">
        <v>0</v>
      </c>
      <c r="H151" s="23">
        <v>0</v>
      </c>
      <c r="I151" s="23">
        <v>0</v>
      </c>
      <c r="J151" s="6"/>
    </row>
    <row r="152" spans="1:10" x14ac:dyDescent="0.2">
      <c r="A152" s="5" t="s">
        <v>23</v>
      </c>
      <c r="B152" s="21"/>
      <c r="C152" s="23">
        <v>0</v>
      </c>
      <c r="D152" s="24">
        <f>$B$121</f>
        <v>1</v>
      </c>
      <c r="E152" s="23">
        <v>0</v>
      </c>
      <c r="F152" s="23">
        <v>0</v>
      </c>
      <c r="G152" s="23">
        <v>0</v>
      </c>
      <c r="H152" s="23">
        <v>0</v>
      </c>
      <c r="I152" s="23">
        <v>0</v>
      </c>
      <c r="J152" s="6"/>
    </row>
    <row r="153" spans="1:10" x14ac:dyDescent="0.2">
      <c r="A153" s="5" t="s">
        <v>24</v>
      </c>
      <c r="B153" s="21"/>
      <c r="C153" s="23">
        <v>0</v>
      </c>
      <c r="D153" s="23">
        <v>0</v>
      </c>
      <c r="E153" s="24">
        <f>$B$129</f>
        <v>1</v>
      </c>
      <c r="F153" s="23">
        <v>0</v>
      </c>
      <c r="G153" s="23">
        <v>0</v>
      </c>
      <c r="H153" s="23">
        <v>0</v>
      </c>
      <c r="I153" s="23">
        <v>0</v>
      </c>
      <c r="J153" s="6"/>
    </row>
    <row r="154" spans="1:10" x14ac:dyDescent="0.2">
      <c r="A154" s="5" t="s">
        <v>25</v>
      </c>
      <c r="B154" s="21"/>
      <c r="C154" s="23">
        <v>0</v>
      </c>
      <c r="D154" s="23">
        <v>0</v>
      </c>
      <c r="E154" s="23">
        <v>0</v>
      </c>
      <c r="F154" s="24">
        <f>$B$137</f>
        <v>1</v>
      </c>
      <c r="G154" s="23">
        <v>0</v>
      </c>
      <c r="H154" s="23">
        <v>0</v>
      </c>
      <c r="I154" s="23">
        <v>0</v>
      </c>
      <c r="J154" s="6"/>
    </row>
    <row r="155" spans="1:10" x14ac:dyDescent="0.2">
      <c r="A155" s="5" t="s">
        <v>30</v>
      </c>
      <c r="B155" s="21"/>
      <c r="C155" s="23">
        <v>0</v>
      </c>
      <c r="D155" s="23">
        <v>0</v>
      </c>
      <c r="E155" s="23">
        <v>0</v>
      </c>
      <c r="F155" s="24">
        <f>Input!$B$36</f>
        <v>0</v>
      </c>
      <c r="G155" s="23">
        <v>0</v>
      </c>
      <c r="H155" s="23">
        <v>0</v>
      </c>
      <c r="I155" s="23">
        <v>0</v>
      </c>
      <c r="J155" s="6"/>
    </row>
    <row r="156" spans="1:10" x14ac:dyDescent="0.2">
      <c r="A156" s="5" t="s">
        <v>26</v>
      </c>
      <c r="B156" s="21"/>
      <c r="C156" s="23">
        <v>0</v>
      </c>
      <c r="D156" s="23">
        <v>0</v>
      </c>
      <c r="E156" s="23">
        <v>0</v>
      </c>
      <c r="F156" s="23">
        <v>0</v>
      </c>
      <c r="G156" s="23">
        <v>1</v>
      </c>
      <c r="H156" s="23">
        <v>0</v>
      </c>
      <c r="I156" s="23">
        <v>0</v>
      </c>
      <c r="J156" s="6"/>
    </row>
    <row r="157" spans="1:10" x14ac:dyDescent="0.2">
      <c r="A157" s="5" t="s">
        <v>27</v>
      </c>
      <c r="B157" s="21"/>
      <c r="C157" s="23">
        <v>0</v>
      </c>
      <c r="D157" s="23">
        <v>0</v>
      </c>
      <c r="E157" s="23">
        <v>0</v>
      </c>
      <c r="F157" s="23">
        <v>0</v>
      </c>
      <c r="G157" s="23">
        <v>0</v>
      </c>
      <c r="H157" s="23">
        <v>1</v>
      </c>
      <c r="I157" s="23">
        <v>0</v>
      </c>
      <c r="J157" s="6"/>
    </row>
    <row r="158" spans="1:10" x14ac:dyDescent="0.2">
      <c r="A158" s="5" t="s">
        <v>28</v>
      </c>
      <c r="B158" s="21"/>
      <c r="C158" s="23">
        <v>0</v>
      </c>
      <c r="D158" s="23">
        <v>0</v>
      </c>
      <c r="E158" s="23">
        <v>0</v>
      </c>
      <c r="F158" s="23">
        <v>0</v>
      </c>
      <c r="G158" s="23">
        <v>0</v>
      </c>
      <c r="H158" s="23">
        <v>0</v>
      </c>
      <c r="I158" s="23">
        <v>1</v>
      </c>
      <c r="J158" s="6"/>
    </row>
    <row r="160" spans="1:10" ht="16.5" x14ac:dyDescent="0.25">
      <c r="A160" s="3" t="s">
        <v>274</v>
      </c>
    </row>
    <row r="161" spans="1:11" x14ac:dyDescent="0.2">
      <c r="A161" s="10" t="s">
        <v>238</v>
      </c>
    </row>
    <row r="162" spans="1:11" x14ac:dyDescent="0.2">
      <c r="A162" s="11" t="s">
        <v>275</v>
      </c>
    </row>
    <row r="163" spans="1:11" x14ac:dyDescent="0.2">
      <c r="A163" s="11" t="s">
        <v>276</v>
      </c>
    </row>
    <row r="164" spans="1:11" x14ac:dyDescent="0.2">
      <c r="A164" s="10" t="s">
        <v>251</v>
      </c>
    </row>
    <row r="166" spans="1:11" x14ac:dyDescent="0.2">
      <c r="B166" s="4" t="s">
        <v>21</v>
      </c>
      <c r="C166" s="4" t="s">
        <v>22</v>
      </c>
      <c r="D166" s="4" t="s">
        <v>23</v>
      </c>
      <c r="E166" s="4" t="s">
        <v>24</v>
      </c>
      <c r="F166" s="4" t="s">
        <v>25</v>
      </c>
      <c r="G166" s="4" t="s">
        <v>30</v>
      </c>
      <c r="H166" s="4" t="s">
        <v>26</v>
      </c>
      <c r="I166" s="4" t="s">
        <v>27</v>
      </c>
      <c r="J166" s="4" t="s">
        <v>28</v>
      </c>
    </row>
    <row r="167" spans="1:11" x14ac:dyDescent="0.2">
      <c r="A167" s="5" t="s">
        <v>53</v>
      </c>
      <c r="B167" s="17">
        <f t="shared" ref="B167:B194" si="0">SUMPRODUCT($B86:$I86,$B$150:$I$150)</f>
        <v>1</v>
      </c>
      <c r="C167" s="17">
        <f t="shared" ref="C167:C194" si="1">SUMPRODUCT($B86:$I86,$B$151:$I$151)</f>
        <v>1</v>
      </c>
      <c r="D167" s="17">
        <f t="shared" ref="D167:D194" si="2">SUMPRODUCT($B86:$I86,$B$152:$I$152)</f>
        <v>1</v>
      </c>
      <c r="E167" s="17">
        <f t="shared" ref="E167:E194" si="3">SUMPRODUCT($B86:$I86,$B$153:$I$153)</f>
        <v>1</v>
      </c>
      <c r="F167" s="17">
        <f t="shared" ref="F167:F194" si="4">SUMPRODUCT($B86:$I86,$B$154:$I$154)</f>
        <v>1</v>
      </c>
      <c r="G167" s="17">
        <f t="shared" ref="G167:G194" si="5">SUMPRODUCT($B86:$I86,$B$155:$I$155)</f>
        <v>0</v>
      </c>
      <c r="H167" s="17">
        <f t="shared" ref="H167:H194" si="6">SUMPRODUCT($B86:$I86,$B$156:$I$156)</f>
        <v>1</v>
      </c>
      <c r="I167" s="17">
        <f t="shared" ref="I167:I194" si="7">SUMPRODUCT($B86:$I86,$B$157:$I$157)</f>
        <v>1</v>
      </c>
      <c r="J167" s="17">
        <f t="shared" ref="J167:J194" si="8">SUMPRODUCT($B86:$I86,$B$158:$I$158)</f>
        <v>1</v>
      </c>
      <c r="K167" s="6"/>
    </row>
    <row r="168" spans="1:11" x14ac:dyDescent="0.2">
      <c r="A168" s="5" t="s">
        <v>54</v>
      </c>
      <c r="B168" s="17">
        <f t="shared" si="0"/>
        <v>1</v>
      </c>
      <c r="C168" s="17">
        <f t="shared" si="1"/>
        <v>1</v>
      </c>
      <c r="D168" s="17">
        <f t="shared" si="2"/>
        <v>1</v>
      </c>
      <c r="E168" s="17">
        <f t="shared" si="3"/>
        <v>1</v>
      </c>
      <c r="F168" s="17">
        <f t="shared" si="4"/>
        <v>1</v>
      </c>
      <c r="G168" s="17">
        <f t="shared" si="5"/>
        <v>0</v>
      </c>
      <c r="H168" s="17">
        <f t="shared" si="6"/>
        <v>1</v>
      </c>
      <c r="I168" s="17">
        <f t="shared" si="7"/>
        <v>1</v>
      </c>
      <c r="J168" s="17">
        <f t="shared" si="8"/>
        <v>1</v>
      </c>
      <c r="K168" s="6"/>
    </row>
    <row r="169" spans="1:11" x14ac:dyDescent="0.2">
      <c r="A169" s="5" t="s">
        <v>94</v>
      </c>
      <c r="B169" s="17">
        <f t="shared" si="0"/>
        <v>1</v>
      </c>
      <c r="C169" s="17">
        <f t="shared" si="1"/>
        <v>1</v>
      </c>
      <c r="D169" s="17">
        <f t="shared" si="2"/>
        <v>1</v>
      </c>
      <c r="E169" s="17">
        <f t="shared" si="3"/>
        <v>1</v>
      </c>
      <c r="F169" s="17">
        <f t="shared" si="4"/>
        <v>1</v>
      </c>
      <c r="G169" s="17">
        <f t="shared" si="5"/>
        <v>0</v>
      </c>
      <c r="H169" s="17">
        <f t="shared" si="6"/>
        <v>1</v>
      </c>
      <c r="I169" s="17">
        <f t="shared" si="7"/>
        <v>1</v>
      </c>
      <c r="J169" s="17">
        <f t="shared" si="8"/>
        <v>1</v>
      </c>
      <c r="K169" s="6"/>
    </row>
    <row r="170" spans="1:11" x14ac:dyDescent="0.2">
      <c r="A170" s="5" t="s">
        <v>55</v>
      </c>
      <c r="B170" s="17">
        <f t="shared" si="0"/>
        <v>1</v>
      </c>
      <c r="C170" s="17">
        <f t="shared" si="1"/>
        <v>1</v>
      </c>
      <c r="D170" s="17">
        <f t="shared" si="2"/>
        <v>1</v>
      </c>
      <c r="E170" s="17">
        <f t="shared" si="3"/>
        <v>1</v>
      </c>
      <c r="F170" s="17">
        <f t="shared" si="4"/>
        <v>1</v>
      </c>
      <c r="G170" s="17">
        <f t="shared" si="5"/>
        <v>0</v>
      </c>
      <c r="H170" s="17">
        <f t="shared" si="6"/>
        <v>1</v>
      </c>
      <c r="I170" s="17">
        <f t="shared" si="7"/>
        <v>1</v>
      </c>
      <c r="J170" s="17">
        <f t="shared" si="8"/>
        <v>1</v>
      </c>
      <c r="K170" s="6"/>
    </row>
    <row r="171" spans="1:11" x14ac:dyDescent="0.2">
      <c r="A171" s="5" t="s">
        <v>56</v>
      </c>
      <c r="B171" s="17">
        <f t="shared" si="0"/>
        <v>1</v>
      </c>
      <c r="C171" s="17">
        <f t="shared" si="1"/>
        <v>1</v>
      </c>
      <c r="D171" s="17">
        <f t="shared" si="2"/>
        <v>1</v>
      </c>
      <c r="E171" s="17">
        <f t="shared" si="3"/>
        <v>1</v>
      </c>
      <c r="F171" s="17">
        <f t="shared" si="4"/>
        <v>1</v>
      </c>
      <c r="G171" s="17">
        <f t="shared" si="5"/>
        <v>0</v>
      </c>
      <c r="H171" s="17">
        <f t="shared" si="6"/>
        <v>1</v>
      </c>
      <c r="I171" s="17">
        <f t="shared" si="7"/>
        <v>1</v>
      </c>
      <c r="J171" s="17">
        <f t="shared" si="8"/>
        <v>1</v>
      </c>
      <c r="K171" s="6"/>
    </row>
    <row r="172" spans="1:11" x14ac:dyDescent="0.2">
      <c r="A172" s="5" t="s">
        <v>95</v>
      </c>
      <c r="B172" s="17">
        <f t="shared" si="0"/>
        <v>1</v>
      </c>
      <c r="C172" s="17">
        <f t="shared" si="1"/>
        <v>1</v>
      </c>
      <c r="D172" s="17">
        <f t="shared" si="2"/>
        <v>1</v>
      </c>
      <c r="E172" s="17">
        <f t="shared" si="3"/>
        <v>1</v>
      </c>
      <c r="F172" s="17">
        <f t="shared" si="4"/>
        <v>1</v>
      </c>
      <c r="G172" s="17">
        <f t="shared" si="5"/>
        <v>0</v>
      </c>
      <c r="H172" s="17">
        <f t="shared" si="6"/>
        <v>1</v>
      </c>
      <c r="I172" s="17">
        <f t="shared" si="7"/>
        <v>1</v>
      </c>
      <c r="J172" s="17">
        <f t="shared" si="8"/>
        <v>1</v>
      </c>
      <c r="K172" s="6"/>
    </row>
    <row r="173" spans="1:11" x14ac:dyDescent="0.2">
      <c r="A173" s="5" t="s">
        <v>57</v>
      </c>
      <c r="B173" s="17">
        <f t="shared" si="0"/>
        <v>1</v>
      </c>
      <c r="C173" s="17">
        <f t="shared" si="1"/>
        <v>1</v>
      </c>
      <c r="D173" s="17">
        <f t="shared" si="2"/>
        <v>1</v>
      </c>
      <c r="E173" s="17">
        <f t="shared" si="3"/>
        <v>1</v>
      </c>
      <c r="F173" s="17">
        <f t="shared" si="4"/>
        <v>1</v>
      </c>
      <c r="G173" s="17">
        <f t="shared" si="5"/>
        <v>0</v>
      </c>
      <c r="H173" s="17">
        <f t="shared" si="6"/>
        <v>1</v>
      </c>
      <c r="I173" s="17">
        <f t="shared" si="7"/>
        <v>1</v>
      </c>
      <c r="J173" s="17">
        <f t="shared" si="8"/>
        <v>1</v>
      </c>
      <c r="K173" s="6"/>
    </row>
    <row r="174" spans="1:11" x14ac:dyDescent="0.2">
      <c r="A174" s="5" t="s">
        <v>58</v>
      </c>
      <c r="B174" s="17">
        <f t="shared" si="0"/>
        <v>1</v>
      </c>
      <c r="C174" s="17">
        <f t="shared" si="1"/>
        <v>1</v>
      </c>
      <c r="D174" s="17">
        <f t="shared" si="2"/>
        <v>1</v>
      </c>
      <c r="E174" s="17">
        <f t="shared" si="3"/>
        <v>1</v>
      </c>
      <c r="F174" s="17">
        <f t="shared" si="4"/>
        <v>1</v>
      </c>
      <c r="G174" s="17">
        <f t="shared" si="5"/>
        <v>0</v>
      </c>
      <c r="H174" s="17">
        <f t="shared" si="6"/>
        <v>1</v>
      </c>
      <c r="I174" s="17">
        <f t="shared" si="7"/>
        <v>1</v>
      </c>
      <c r="J174" s="17">
        <f t="shared" si="8"/>
        <v>0</v>
      </c>
      <c r="K174" s="6"/>
    </row>
    <row r="175" spans="1:11" x14ac:dyDescent="0.2">
      <c r="A175" s="5" t="s">
        <v>72</v>
      </c>
      <c r="B175" s="17">
        <f t="shared" si="0"/>
        <v>1</v>
      </c>
      <c r="C175" s="17">
        <f t="shared" si="1"/>
        <v>1</v>
      </c>
      <c r="D175" s="17">
        <f t="shared" si="2"/>
        <v>1</v>
      </c>
      <c r="E175" s="17">
        <f t="shared" si="3"/>
        <v>1</v>
      </c>
      <c r="F175" s="17">
        <f t="shared" si="4"/>
        <v>1</v>
      </c>
      <c r="G175" s="17">
        <f t="shared" si="5"/>
        <v>0</v>
      </c>
      <c r="H175" s="17">
        <f t="shared" si="6"/>
        <v>1</v>
      </c>
      <c r="I175" s="17">
        <f t="shared" si="7"/>
        <v>0</v>
      </c>
      <c r="J175" s="17">
        <f t="shared" si="8"/>
        <v>0</v>
      </c>
      <c r="K175" s="6"/>
    </row>
    <row r="176" spans="1:11" x14ac:dyDescent="0.2">
      <c r="A176" s="5" t="s">
        <v>59</v>
      </c>
      <c r="B176" s="17">
        <f t="shared" si="0"/>
        <v>1</v>
      </c>
      <c r="C176" s="17">
        <f t="shared" si="1"/>
        <v>1</v>
      </c>
      <c r="D176" s="17">
        <f t="shared" si="2"/>
        <v>1</v>
      </c>
      <c r="E176" s="17">
        <f t="shared" si="3"/>
        <v>1</v>
      </c>
      <c r="F176" s="17">
        <f t="shared" si="4"/>
        <v>1</v>
      </c>
      <c r="G176" s="17">
        <f t="shared" si="5"/>
        <v>0</v>
      </c>
      <c r="H176" s="17">
        <f t="shared" si="6"/>
        <v>1</v>
      </c>
      <c r="I176" s="17">
        <f t="shared" si="7"/>
        <v>1</v>
      </c>
      <c r="J176" s="17">
        <f t="shared" si="8"/>
        <v>1</v>
      </c>
      <c r="K176" s="6"/>
    </row>
    <row r="177" spans="1:11" x14ac:dyDescent="0.2">
      <c r="A177" s="5" t="s">
        <v>60</v>
      </c>
      <c r="B177" s="17">
        <f t="shared" si="0"/>
        <v>1</v>
      </c>
      <c r="C177" s="17">
        <f t="shared" si="1"/>
        <v>1</v>
      </c>
      <c r="D177" s="17">
        <f t="shared" si="2"/>
        <v>1</v>
      </c>
      <c r="E177" s="17">
        <f t="shared" si="3"/>
        <v>1</v>
      </c>
      <c r="F177" s="17">
        <f t="shared" si="4"/>
        <v>1</v>
      </c>
      <c r="G177" s="17">
        <f t="shared" si="5"/>
        <v>0</v>
      </c>
      <c r="H177" s="17">
        <f t="shared" si="6"/>
        <v>1</v>
      </c>
      <c r="I177" s="17">
        <f t="shared" si="7"/>
        <v>1</v>
      </c>
      <c r="J177" s="17">
        <f t="shared" si="8"/>
        <v>0</v>
      </c>
      <c r="K177" s="6"/>
    </row>
    <row r="178" spans="1:11" x14ac:dyDescent="0.2">
      <c r="A178" s="5" t="s">
        <v>73</v>
      </c>
      <c r="B178" s="17">
        <f t="shared" si="0"/>
        <v>1</v>
      </c>
      <c r="C178" s="17">
        <f t="shared" si="1"/>
        <v>1</v>
      </c>
      <c r="D178" s="17">
        <f t="shared" si="2"/>
        <v>1</v>
      </c>
      <c r="E178" s="17">
        <f t="shared" si="3"/>
        <v>1</v>
      </c>
      <c r="F178" s="17">
        <f t="shared" si="4"/>
        <v>1</v>
      </c>
      <c r="G178" s="17">
        <f t="shared" si="5"/>
        <v>0</v>
      </c>
      <c r="H178" s="17">
        <f t="shared" si="6"/>
        <v>1</v>
      </c>
      <c r="I178" s="17">
        <f t="shared" si="7"/>
        <v>0</v>
      </c>
      <c r="J178" s="17">
        <f t="shared" si="8"/>
        <v>0</v>
      </c>
      <c r="K178" s="6"/>
    </row>
    <row r="179" spans="1:11" x14ac:dyDescent="0.2">
      <c r="A179" s="5" t="s">
        <v>74</v>
      </c>
      <c r="B179" s="17">
        <f t="shared" si="0"/>
        <v>1</v>
      </c>
      <c r="C179" s="17">
        <f t="shared" si="1"/>
        <v>1</v>
      </c>
      <c r="D179" s="17">
        <f t="shared" si="2"/>
        <v>1</v>
      </c>
      <c r="E179" s="17">
        <f t="shared" si="3"/>
        <v>1</v>
      </c>
      <c r="F179" s="17">
        <f t="shared" si="4"/>
        <v>1</v>
      </c>
      <c r="G179" s="17">
        <f t="shared" si="5"/>
        <v>0</v>
      </c>
      <c r="H179" s="17">
        <f t="shared" si="6"/>
        <v>0</v>
      </c>
      <c r="I179" s="17">
        <f t="shared" si="7"/>
        <v>0</v>
      </c>
      <c r="J179" s="17">
        <f t="shared" si="8"/>
        <v>0</v>
      </c>
      <c r="K179" s="6"/>
    </row>
    <row r="180" spans="1:11" x14ac:dyDescent="0.2">
      <c r="A180" s="5" t="s">
        <v>96</v>
      </c>
      <c r="B180" s="17">
        <f t="shared" si="0"/>
        <v>1</v>
      </c>
      <c r="C180" s="17">
        <f t="shared" si="1"/>
        <v>1</v>
      </c>
      <c r="D180" s="17">
        <f t="shared" si="2"/>
        <v>1</v>
      </c>
      <c r="E180" s="17">
        <f t="shared" si="3"/>
        <v>1</v>
      </c>
      <c r="F180" s="17">
        <f t="shared" si="4"/>
        <v>1</v>
      </c>
      <c r="G180" s="17">
        <f t="shared" si="5"/>
        <v>0</v>
      </c>
      <c r="H180" s="17">
        <f t="shared" si="6"/>
        <v>1</v>
      </c>
      <c r="I180" s="17">
        <f t="shared" si="7"/>
        <v>1</v>
      </c>
      <c r="J180" s="17">
        <f t="shared" si="8"/>
        <v>1</v>
      </c>
      <c r="K180" s="6"/>
    </row>
    <row r="181" spans="1:11" x14ac:dyDescent="0.2">
      <c r="A181" s="5" t="s">
        <v>97</v>
      </c>
      <c r="B181" s="17">
        <f t="shared" si="0"/>
        <v>1</v>
      </c>
      <c r="C181" s="17">
        <f t="shared" si="1"/>
        <v>1</v>
      </c>
      <c r="D181" s="17">
        <f t="shared" si="2"/>
        <v>1</v>
      </c>
      <c r="E181" s="17">
        <f t="shared" si="3"/>
        <v>1</v>
      </c>
      <c r="F181" s="17">
        <f t="shared" si="4"/>
        <v>1</v>
      </c>
      <c r="G181" s="17">
        <f t="shared" si="5"/>
        <v>0</v>
      </c>
      <c r="H181" s="17">
        <f t="shared" si="6"/>
        <v>1</v>
      </c>
      <c r="I181" s="17">
        <f t="shared" si="7"/>
        <v>1</v>
      </c>
      <c r="J181" s="17">
        <f t="shared" si="8"/>
        <v>1</v>
      </c>
      <c r="K181" s="6"/>
    </row>
    <row r="182" spans="1:11" x14ac:dyDescent="0.2">
      <c r="A182" s="5" t="s">
        <v>98</v>
      </c>
      <c r="B182" s="17">
        <f t="shared" si="0"/>
        <v>1</v>
      </c>
      <c r="C182" s="17">
        <f t="shared" si="1"/>
        <v>1</v>
      </c>
      <c r="D182" s="17">
        <f t="shared" si="2"/>
        <v>1</v>
      </c>
      <c r="E182" s="17">
        <f t="shared" si="3"/>
        <v>1</v>
      </c>
      <c r="F182" s="17">
        <f t="shared" si="4"/>
        <v>1</v>
      </c>
      <c r="G182" s="17">
        <f t="shared" si="5"/>
        <v>0</v>
      </c>
      <c r="H182" s="17">
        <f t="shared" si="6"/>
        <v>1</v>
      </c>
      <c r="I182" s="17">
        <f t="shared" si="7"/>
        <v>1</v>
      </c>
      <c r="J182" s="17">
        <f t="shared" si="8"/>
        <v>1</v>
      </c>
      <c r="K182" s="6"/>
    </row>
    <row r="183" spans="1:11" x14ac:dyDescent="0.2">
      <c r="A183" s="5" t="s">
        <v>99</v>
      </c>
      <c r="B183" s="17">
        <f t="shared" si="0"/>
        <v>1</v>
      </c>
      <c r="C183" s="17">
        <f t="shared" si="1"/>
        <v>1</v>
      </c>
      <c r="D183" s="17">
        <f t="shared" si="2"/>
        <v>1</v>
      </c>
      <c r="E183" s="17">
        <f t="shared" si="3"/>
        <v>1</v>
      </c>
      <c r="F183" s="17">
        <f t="shared" si="4"/>
        <v>1</v>
      </c>
      <c r="G183" s="17">
        <f t="shared" si="5"/>
        <v>0</v>
      </c>
      <c r="H183" s="17">
        <f t="shared" si="6"/>
        <v>1</v>
      </c>
      <c r="I183" s="17">
        <f t="shared" si="7"/>
        <v>1</v>
      </c>
      <c r="J183" s="17">
        <f t="shared" si="8"/>
        <v>1</v>
      </c>
      <c r="K183" s="6"/>
    </row>
    <row r="184" spans="1:11" x14ac:dyDescent="0.2">
      <c r="A184" s="5" t="s">
        <v>100</v>
      </c>
      <c r="B184" s="17">
        <f t="shared" si="0"/>
        <v>1</v>
      </c>
      <c r="C184" s="17">
        <f t="shared" si="1"/>
        <v>1</v>
      </c>
      <c r="D184" s="17">
        <f t="shared" si="2"/>
        <v>1</v>
      </c>
      <c r="E184" s="17">
        <f t="shared" si="3"/>
        <v>1</v>
      </c>
      <c r="F184" s="17">
        <f t="shared" si="4"/>
        <v>1</v>
      </c>
      <c r="G184" s="17">
        <f t="shared" si="5"/>
        <v>0</v>
      </c>
      <c r="H184" s="17">
        <f t="shared" si="6"/>
        <v>1</v>
      </c>
      <c r="I184" s="17">
        <f t="shared" si="7"/>
        <v>1</v>
      </c>
      <c r="J184" s="17">
        <f t="shared" si="8"/>
        <v>1</v>
      </c>
      <c r="K184" s="6"/>
    </row>
    <row r="185" spans="1:11" x14ac:dyDescent="0.2">
      <c r="A185" s="5" t="s">
        <v>61</v>
      </c>
      <c r="B185" s="17">
        <f t="shared" si="0"/>
        <v>1</v>
      </c>
      <c r="C185" s="17">
        <f t="shared" si="1"/>
        <v>1</v>
      </c>
      <c r="D185" s="17">
        <f t="shared" si="2"/>
        <v>1</v>
      </c>
      <c r="E185" s="17">
        <f t="shared" si="3"/>
        <v>1</v>
      </c>
      <c r="F185" s="17">
        <f t="shared" si="4"/>
        <v>1</v>
      </c>
      <c r="G185" s="17">
        <f t="shared" si="5"/>
        <v>0</v>
      </c>
      <c r="H185" s="17">
        <f t="shared" si="6"/>
        <v>1</v>
      </c>
      <c r="I185" s="17">
        <f t="shared" si="7"/>
        <v>1</v>
      </c>
      <c r="J185" s="17">
        <f t="shared" si="8"/>
        <v>0</v>
      </c>
      <c r="K185" s="6"/>
    </row>
    <row r="186" spans="1:11" x14ac:dyDescent="0.2">
      <c r="A186" s="5" t="s">
        <v>62</v>
      </c>
      <c r="B186" s="17">
        <f t="shared" si="0"/>
        <v>1</v>
      </c>
      <c r="C186" s="17">
        <f t="shared" si="1"/>
        <v>1</v>
      </c>
      <c r="D186" s="17">
        <f t="shared" si="2"/>
        <v>1</v>
      </c>
      <c r="E186" s="17">
        <f t="shared" si="3"/>
        <v>1</v>
      </c>
      <c r="F186" s="17">
        <f t="shared" si="4"/>
        <v>1</v>
      </c>
      <c r="G186" s="17">
        <f t="shared" si="5"/>
        <v>0</v>
      </c>
      <c r="H186" s="17">
        <f t="shared" si="6"/>
        <v>1</v>
      </c>
      <c r="I186" s="17">
        <f t="shared" si="7"/>
        <v>0</v>
      </c>
      <c r="J186" s="17">
        <f t="shared" si="8"/>
        <v>0</v>
      </c>
      <c r="K186" s="6"/>
    </row>
    <row r="187" spans="1:11" x14ac:dyDescent="0.2">
      <c r="A187" s="5" t="s">
        <v>63</v>
      </c>
      <c r="B187" s="17">
        <f t="shared" si="0"/>
        <v>1</v>
      </c>
      <c r="C187" s="17">
        <f t="shared" si="1"/>
        <v>1</v>
      </c>
      <c r="D187" s="17">
        <f t="shared" si="2"/>
        <v>1</v>
      </c>
      <c r="E187" s="17">
        <f t="shared" si="3"/>
        <v>1</v>
      </c>
      <c r="F187" s="17">
        <f t="shared" si="4"/>
        <v>1</v>
      </c>
      <c r="G187" s="17">
        <f t="shared" si="5"/>
        <v>0</v>
      </c>
      <c r="H187" s="17">
        <f t="shared" si="6"/>
        <v>1</v>
      </c>
      <c r="I187" s="17">
        <f t="shared" si="7"/>
        <v>1</v>
      </c>
      <c r="J187" s="17">
        <f t="shared" si="8"/>
        <v>0</v>
      </c>
      <c r="K187" s="6"/>
    </row>
    <row r="188" spans="1:11" x14ac:dyDescent="0.2">
      <c r="A188" s="5" t="s">
        <v>64</v>
      </c>
      <c r="B188" s="17">
        <f t="shared" si="0"/>
        <v>1</v>
      </c>
      <c r="C188" s="17">
        <f t="shared" si="1"/>
        <v>1</v>
      </c>
      <c r="D188" s="17">
        <f t="shared" si="2"/>
        <v>1</v>
      </c>
      <c r="E188" s="17">
        <f t="shared" si="3"/>
        <v>1</v>
      </c>
      <c r="F188" s="17">
        <f t="shared" si="4"/>
        <v>1</v>
      </c>
      <c r="G188" s="17">
        <f t="shared" si="5"/>
        <v>0</v>
      </c>
      <c r="H188" s="17">
        <f t="shared" si="6"/>
        <v>1</v>
      </c>
      <c r="I188" s="17">
        <f t="shared" si="7"/>
        <v>1</v>
      </c>
      <c r="J188" s="17">
        <f t="shared" si="8"/>
        <v>0</v>
      </c>
      <c r="K188" s="6"/>
    </row>
    <row r="189" spans="1:11" x14ac:dyDescent="0.2">
      <c r="A189" s="5" t="s">
        <v>65</v>
      </c>
      <c r="B189" s="17">
        <f t="shared" si="0"/>
        <v>1</v>
      </c>
      <c r="C189" s="17">
        <f t="shared" si="1"/>
        <v>1</v>
      </c>
      <c r="D189" s="17">
        <f t="shared" si="2"/>
        <v>1</v>
      </c>
      <c r="E189" s="17">
        <f t="shared" si="3"/>
        <v>1</v>
      </c>
      <c r="F189" s="17">
        <f t="shared" si="4"/>
        <v>1</v>
      </c>
      <c r="G189" s="17">
        <f t="shared" si="5"/>
        <v>0</v>
      </c>
      <c r="H189" s="17">
        <f t="shared" si="6"/>
        <v>1</v>
      </c>
      <c r="I189" s="17">
        <f t="shared" si="7"/>
        <v>0</v>
      </c>
      <c r="J189" s="17">
        <f t="shared" si="8"/>
        <v>0</v>
      </c>
      <c r="K189" s="6"/>
    </row>
    <row r="190" spans="1:11" x14ac:dyDescent="0.2">
      <c r="A190" s="5" t="s">
        <v>66</v>
      </c>
      <c r="B190" s="17">
        <f t="shared" si="0"/>
        <v>1</v>
      </c>
      <c r="C190" s="17">
        <f t="shared" si="1"/>
        <v>1</v>
      </c>
      <c r="D190" s="17">
        <f t="shared" si="2"/>
        <v>1</v>
      </c>
      <c r="E190" s="17">
        <f t="shared" si="3"/>
        <v>1</v>
      </c>
      <c r="F190" s="17">
        <f t="shared" si="4"/>
        <v>1</v>
      </c>
      <c r="G190" s="17">
        <f t="shared" si="5"/>
        <v>0</v>
      </c>
      <c r="H190" s="17">
        <f t="shared" si="6"/>
        <v>1</v>
      </c>
      <c r="I190" s="17">
        <f t="shared" si="7"/>
        <v>0</v>
      </c>
      <c r="J190" s="17">
        <f t="shared" si="8"/>
        <v>0</v>
      </c>
      <c r="K190" s="6"/>
    </row>
    <row r="191" spans="1:11" x14ac:dyDescent="0.2">
      <c r="A191" s="5" t="s">
        <v>75</v>
      </c>
      <c r="B191" s="17">
        <f t="shared" si="0"/>
        <v>1</v>
      </c>
      <c r="C191" s="17">
        <f t="shared" si="1"/>
        <v>1</v>
      </c>
      <c r="D191" s="17">
        <f t="shared" si="2"/>
        <v>1</v>
      </c>
      <c r="E191" s="17">
        <f t="shared" si="3"/>
        <v>1</v>
      </c>
      <c r="F191" s="17">
        <f t="shared" si="4"/>
        <v>1</v>
      </c>
      <c r="G191" s="17">
        <f t="shared" si="5"/>
        <v>0</v>
      </c>
      <c r="H191" s="17">
        <f t="shared" si="6"/>
        <v>0</v>
      </c>
      <c r="I191" s="17">
        <f t="shared" si="7"/>
        <v>0</v>
      </c>
      <c r="J191" s="17">
        <f t="shared" si="8"/>
        <v>0</v>
      </c>
      <c r="K191" s="6"/>
    </row>
    <row r="192" spans="1:11" x14ac:dyDescent="0.2">
      <c r="A192" s="5" t="s">
        <v>76</v>
      </c>
      <c r="B192" s="17">
        <f t="shared" si="0"/>
        <v>1</v>
      </c>
      <c r="C192" s="17">
        <f t="shared" si="1"/>
        <v>1</v>
      </c>
      <c r="D192" s="17">
        <f t="shared" si="2"/>
        <v>1</v>
      </c>
      <c r="E192" s="17">
        <f t="shared" si="3"/>
        <v>1</v>
      </c>
      <c r="F192" s="17">
        <f t="shared" si="4"/>
        <v>1</v>
      </c>
      <c r="G192" s="17">
        <f t="shared" si="5"/>
        <v>0</v>
      </c>
      <c r="H192" s="17">
        <f t="shared" si="6"/>
        <v>0</v>
      </c>
      <c r="I192" s="17">
        <f t="shared" si="7"/>
        <v>0</v>
      </c>
      <c r="J192" s="17">
        <f t="shared" si="8"/>
        <v>0</v>
      </c>
      <c r="K192" s="6"/>
    </row>
    <row r="193" spans="1:11" x14ac:dyDescent="0.2">
      <c r="A193" s="5" t="s">
        <v>77</v>
      </c>
      <c r="B193" s="17">
        <f t="shared" si="0"/>
        <v>1</v>
      </c>
      <c r="C193" s="17">
        <f t="shared" si="1"/>
        <v>1</v>
      </c>
      <c r="D193" s="17">
        <f t="shared" si="2"/>
        <v>1</v>
      </c>
      <c r="E193" s="17">
        <f t="shared" si="3"/>
        <v>1</v>
      </c>
      <c r="F193" s="17">
        <f t="shared" si="4"/>
        <v>0</v>
      </c>
      <c r="G193" s="17">
        <f t="shared" si="5"/>
        <v>0</v>
      </c>
      <c r="H193" s="17">
        <f t="shared" si="6"/>
        <v>0</v>
      </c>
      <c r="I193" s="17">
        <f t="shared" si="7"/>
        <v>0</v>
      </c>
      <c r="J193" s="17">
        <f t="shared" si="8"/>
        <v>0</v>
      </c>
      <c r="K193" s="6"/>
    </row>
    <row r="194" spans="1:11" x14ac:dyDescent="0.2">
      <c r="A194" s="5" t="s">
        <v>78</v>
      </c>
      <c r="B194" s="17">
        <f t="shared" si="0"/>
        <v>1</v>
      </c>
      <c r="C194" s="17">
        <f t="shared" si="1"/>
        <v>1</v>
      </c>
      <c r="D194" s="17">
        <f t="shared" si="2"/>
        <v>1</v>
      </c>
      <c r="E194" s="17">
        <f t="shared" si="3"/>
        <v>1</v>
      </c>
      <c r="F194" s="17">
        <f t="shared" si="4"/>
        <v>0</v>
      </c>
      <c r="G194" s="17">
        <f t="shared" si="5"/>
        <v>0</v>
      </c>
      <c r="H194" s="17">
        <f t="shared" si="6"/>
        <v>0</v>
      </c>
      <c r="I194" s="17">
        <f t="shared" si="7"/>
        <v>0</v>
      </c>
      <c r="J194" s="17">
        <f t="shared" si="8"/>
        <v>0</v>
      </c>
      <c r="K194" s="6"/>
    </row>
    <row r="196" spans="1:11" ht="16.5" x14ac:dyDescent="0.25">
      <c r="A196" s="3" t="s">
        <v>277</v>
      </c>
    </row>
    <row r="197" spans="1:11" x14ac:dyDescent="0.2">
      <c r="A197" s="10" t="s">
        <v>238</v>
      </c>
    </row>
    <row r="198" spans="1:11" x14ac:dyDescent="0.2">
      <c r="A198" s="10" t="s">
        <v>278</v>
      </c>
    </row>
    <row r="199" spans="1:11" x14ac:dyDescent="0.2">
      <c r="A199" s="10" t="s">
        <v>279</v>
      </c>
    </row>
    <row r="200" spans="1:11" x14ac:dyDescent="0.2">
      <c r="A200" s="11" t="s">
        <v>280</v>
      </c>
    </row>
    <row r="201" spans="1:11" x14ac:dyDescent="0.2">
      <c r="A201" s="10" t="s">
        <v>281</v>
      </c>
    </row>
    <row r="203" spans="1:11" x14ac:dyDescent="0.2">
      <c r="B203" s="4" t="s">
        <v>21</v>
      </c>
      <c r="C203" s="4" t="s">
        <v>22</v>
      </c>
      <c r="D203" s="4" t="s">
        <v>23</v>
      </c>
      <c r="E203" s="4" t="s">
        <v>24</v>
      </c>
      <c r="F203" s="4" t="s">
        <v>25</v>
      </c>
      <c r="G203" s="4" t="s">
        <v>30</v>
      </c>
      <c r="H203" s="4" t="s">
        <v>26</v>
      </c>
      <c r="I203" s="4" t="s">
        <v>27</v>
      </c>
      <c r="J203" s="4" t="s">
        <v>28</v>
      </c>
    </row>
    <row r="204" spans="1:11" x14ac:dyDescent="0.2">
      <c r="A204" s="5" t="s">
        <v>53</v>
      </c>
      <c r="B204" s="20">
        <f t="shared" ref="B204:J204" si="9">B167</f>
        <v>1</v>
      </c>
      <c r="C204" s="20">
        <f t="shared" si="9"/>
        <v>1</v>
      </c>
      <c r="D204" s="20">
        <f t="shared" si="9"/>
        <v>1</v>
      </c>
      <c r="E204" s="20">
        <f t="shared" si="9"/>
        <v>1</v>
      </c>
      <c r="F204" s="20">
        <f t="shared" si="9"/>
        <v>1</v>
      </c>
      <c r="G204" s="20">
        <f t="shared" si="9"/>
        <v>0</v>
      </c>
      <c r="H204" s="20">
        <f t="shared" si="9"/>
        <v>1</v>
      </c>
      <c r="I204" s="20">
        <f t="shared" si="9"/>
        <v>1</v>
      </c>
      <c r="J204" s="20">
        <f t="shared" si="9"/>
        <v>1</v>
      </c>
      <c r="K204" s="6"/>
    </row>
    <row r="205" spans="1:11" x14ac:dyDescent="0.2">
      <c r="A205" s="5" t="s">
        <v>54</v>
      </c>
      <c r="B205" s="20">
        <f t="shared" ref="B205:J205" si="10">B168</f>
        <v>1</v>
      </c>
      <c r="C205" s="20">
        <f t="shared" si="10"/>
        <v>1</v>
      </c>
      <c r="D205" s="20">
        <f t="shared" si="10"/>
        <v>1</v>
      </c>
      <c r="E205" s="20">
        <f t="shared" si="10"/>
        <v>1</v>
      </c>
      <c r="F205" s="20">
        <f t="shared" si="10"/>
        <v>1</v>
      </c>
      <c r="G205" s="20">
        <f t="shared" si="10"/>
        <v>0</v>
      </c>
      <c r="H205" s="20">
        <f t="shared" si="10"/>
        <v>1</v>
      </c>
      <c r="I205" s="20">
        <f t="shared" si="10"/>
        <v>1</v>
      </c>
      <c r="J205" s="20">
        <f t="shared" si="10"/>
        <v>1</v>
      </c>
      <c r="K205" s="6"/>
    </row>
    <row r="206" spans="1:11" x14ac:dyDescent="0.2">
      <c r="A206" s="5" t="s">
        <v>94</v>
      </c>
      <c r="B206" s="20">
        <f t="shared" ref="B206:J206" si="11">B169</f>
        <v>1</v>
      </c>
      <c r="C206" s="20">
        <f t="shared" si="11"/>
        <v>1</v>
      </c>
      <c r="D206" s="20">
        <f t="shared" si="11"/>
        <v>1</v>
      </c>
      <c r="E206" s="20">
        <f t="shared" si="11"/>
        <v>1</v>
      </c>
      <c r="F206" s="20">
        <f t="shared" si="11"/>
        <v>1</v>
      </c>
      <c r="G206" s="20">
        <f t="shared" si="11"/>
        <v>0</v>
      </c>
      <c r="H206" s="20">
        <f t="shared" si="11"/>
        <v>1</v>
      </c>
      <c r="I206" s="20">
        <f t="shared" si="11"/>
        <v>1</v>
      </c>
      <c r="J206" s="20">
        <f t="shared" si="11"/>
        <v>1</v>
      </c>
      <c r="K206" s="6"/>
    </row>
    <row r="207" spans="1:11" x14ac:dyDescent="0.2">
      <c r="A207" s="5" t="s">
        <v>55</v>
      </c>
      <c r="B207" s="20">
        <f t="shared" ref="B207:J207" si="12">B170</f>
        <v>1</v>
      </c>
      <c r="C207" s="20">
        <f t="shared" si="12"/>
        <v>1</v>
      </c>
      <c r="D207" s="20">
        <f t="shared" si="12"/>
        <v>1</v>
      </c>
      <c r="E207" s="20">
        <f t="shared" si="12"/>
        <v>1</v>
      </c>
      <c r="F207" s="20">
        <f t="shared" si="12"/>
        <v>1</v>
      </c>
      <c r="G207" s="20">
        <f t="shared" si="12"/>
        <v>0</v>
      </c>
      <c r="H207" s="20">
        <f t="shared" si="12"/>
        <v>1</v>
      </c>
      <c r="I207" s="20">
        <f t="shared" si="12"/>
        <v>1</v>
      </c>
      <c r="J207" s="20">
        <f t="shared" si="12"/>
        <v>1</v>
      </c>
      <c r="K207" s="6"/>
    </row>
    <row r="208" spans="1:11" x14ac:dyDescent="0.2">
      <c r="A208" s="5" t="s">
        <v>56</v>
      </c>
      <c r="B208" s="20">
        <f t="shared" ref="B208:J208" si="13">B171</f>
        <v>1</v>
      </c>
      <c r="C208" s="20">
        <f t="shared" si="13"/>
        <v>1</v>
      </c>
      <c r="D208" s="20">
        <f t="shared" si="13"/>
        <v>1</v>
      </c>
      <c r="E208" s="20">
        <f t="shared" si="13"/>
        <v>1</v>
      </c>
      <c r="F208" s="20">
        <f t="shared" si="13"/>
        <v>1</v>
      </c>
      <c r="G208" s="20">
        <f t="shared" si="13"/>
        <v>0</v>
      </c>
      <c r="H208" s="20">
        <f t="shared" si="13"/>
        <v>1</v>
      </c>
      <c r="I208" s="20">
        <f t="shared" si="13"/>
        <v>1</v>
      </c>
      <c r="J208" s="20">
        <f t="shared" si="13"/>
        <v>1</v>
      </c>
      <c r="K208" s="6"/>
    </row>
    <row r="209" spans="1:11" x14ac:dyDescent="0.2">
      <c r="A209" s="5" t="s">
        <v>95</v>
      </c>
      <c r="B209" s="20">
        <f t="shared" ref="B209:J209" si="14">B172</f>
        <v>1</v>
      </c>
      <c r="C209" s="20">
        <f t="shared" si="14"/>
        <v>1</v>
      </c>
      <c r="D209" s="20">
        <f t="shared" si="14"/>
        <v>1</v>
      </c>
      <c r="E209" s="20">
        <f t="shared" si="14"/>
        <v>1</v>
      </c>
      <c r="F209" s="20">
        <f t="shared" si="14"/>
        <v>1</v>
      </c>
      <c r="G209" s="20">
        <f t="shared" si="14"/>
        <v>0</v>
      </c>
      <c r="H209" s="20">
        <f t="shared" si="14"/>
        <v>1</v>
      </c>
      <c r="I209" s="20">
        <f t="shared" si="14"/>
        <v>1</v>
      </c>
      <c r="J209" s="20">
        <f t="shared" si="14"/>
        <v>1</v>
      </c>
      <c r="K209" s="6"/>
    </row>
    <row r="210" spans="1:11" x14ac:dyDescent="0.2">
      <c r="A210" s="5" t="s">
        <v>57</v>
      </c>
      <c r="B210" s="20">
        <f t="shared" ref="B210:J210" si="15">B173</f>
        <v>1</v>
      </c>
      <c r="C210" s="20">
        <f t="shared" si="15"/>
        <v>1</v>
      </c>
      <c r="D210" s="20">
        <f t="shared" si="15"/>
        <v>1</v>
      </c>
      <c r="E210" s="20">
        <f t="shared" si="15"/>
        <v>1</v>
      </c>
      <c r="F210" s="20">
        <f t="shared" si="15"/>
        <v>1</v>
      </c>
      <c r="G210" s="20">
        <f t="shared" si="15"/>
        <v>0</v>
      </c>
      <c r="H210" s="20">
        <f t="shared" si="15"/>
        <v>1</v>
      </c>
      <c r="I210" s="20">
        <f t="shared" si="15"/>
        <v>1</v>
      </c>
      <c r="J210" s="20">
        <f t="shared" si="15"/>
        <v>1</v>
      </c>
      <c r="K210" s="6"/>
    </row>
    <row r="211" spans="1:11" x14ac:dyDescent="0.2">
      <c r="A211" s="5" t="s">
        <v>58</v>
      </c>
      <c r="B211" s="20">
        <f t="shared" ref="B211:J211" si="16">B174</f>
        <v>1</v>
      </c>
      <c r="C211" s="20">
        <f t="shared" si="16"/>
        <v>1</v>
      </c>
      <c r="D211" s="20">
        <f t="shared" si="16"/>
        <v>1</v>
      </c>
      <c r="E211" s="20">
        <f t="shared" si="16"/>
        <v>1</v>
      </c>
      <c r="F211" s="20">
        <f t="shared" si="16"/>
        <v>1</v>
      </c>
      <c r="G211" s="20">
        <f t="shared" si="16"/>
        <v>0</v>
      </c>
      <c r="H211" s="20">
        <f t="shared" si="16"/>
        <v>1</v>
      </c>
      <c r="I211" s="20">
        <f t="shared" si="16"/>
        <v>1</v>
      </c>
      <c r="J211" s="20">
        <f t="shared" si="16"/>
        <v>0</v>
      </c>
      <c r="K211" s="6"/>
    </row>
    <row r="212" spans="1:11" x14ac:dyDescent="0.2">
      <c r="A212" s="5" t="s">
        <v>72</v>
      </c>
      <c r="B212" s="20">
        <f t="shared" ref="B212:J212" si="17">B175</f>
        <v>1</v>
      </c>
      <c r="C212" s="20">
        <f t="shared" si="17"/>
        <v>1</v>
      </c>
      <c r="D212" s="20">
        <f t="shared" si="17"/>
        <v>1</v>
      </c>
      <c r="E212" s="20">
        <f t="shared" si="17"/>
        <v>1</v>
      </c>
      <c r="F212" s="20">
        <f t="shared" si="17"/>
        <v>1</v>
      </c>
      <c r="G212" s="20">
        <f t="shared" si="17"/>
        <v>0</v>
      </c>
      <c r="H212" s="20">
        <f t="shared" si="17"/>
        <v>1</v>
      </c>
      <c r="I212" s="20">
        <f t="shared" si="17"/>
        <v>0</v>
      </c>
      <c r="J212" s="20">
        <f t="shared" si="17"/>
        <v>0</v>
      </c>
      <c r="K212" s="6"/>
    </row>
    <row r="213" spans="1:11" x14ac:dyDescent="0.2">
      <c r="A213" s="5" t="s">
        <v>59</v>
      </c>
      <c r="B213" s="20">
        <f t="shared" ref="B213:J213" si="18">B176</f>
        <v>1</v>
      </c>
      <c r="C213" s="20">
        <f t="shared" si="18"/>
        <v>1</v>
      </c>
      <c r="D213" s="20">
        <f t="shared" si="18"/>
        <v>1</v>
      </c>
      <c r="E213" s="20">
        <f t="shared" si="18"/>
        <v>1</v>
      </c>
      <c r="F213" s="20">
        <f t="shared" si="18"/>
        <v>1</v>
      </c>
      <c r="G213" s="20">
        <f t="shared" si="18"/>
        <v>0</v>
      </c>
      <c r="H213" s="20">
        <f t="shared" si="18"/>
        <v>1</v>
      </c>
      <c r="I213" s="20">
        <f t="shared" si="18"/>
        <v>1</v>
      </c>
      <c r="J213" s="20">
        <f t="shared" si="18"/>
        <v>1</v>
      </c>
      <c r="K213" s="6"/>
    </row>
    <row r="214" spans="1:11" x14ac:dyDescent="0.2">
      <c r="A214" s="5" t="s">
        <v>60</v>
      </c>
      <c r="B214" s="20">
        <f t="shared" ref="B214:J214" si="19">B177</f>
        <v>1</v>
      </c>
      <c r="C214" s="20">
        <f t="shared" si="19"/>
        <v>1</v>
      </c>
      <c r="D214" s="20">
        <f t="shared" si="19"/>
        <v>1</v>
      </c>
      <c r="E214" s="20">
        <f t="shared" si="19"/>
        <v>1</v>
      </c>
      <c r="F214" s="20">
        <f t="shared" si="19"/>
        <v>1</v>
      </c>
      <c r="G214" s="20">
        <f t="shared" si="19"/>
        <v>0</v>
      </c>
      <c r="H214" s="20">
        <f t="shared" si="19"/>
        <v>1</v>
      </c>
      <c r="I214" s="20">
        <f t="shared" si="19"/>
        <v>1</v>
      </c>
      <c r="J214" s="20">
        <f t="shared" si="19"/>
        <v>0</v>
      </c>
      <c r="K214" s="6"/>
    </row>
    <row r="215" spans="1:11" x14ac:dyDescent="0.2">
      <c r="A215" s="5" t="s">
        <v>73</v>
      </c>
      <c r="B215" s="20">
        <f t="shared" ref="B215:J215" si="20">B178</f>
        <v>1</v>
      </c>
      <c r="C215" s="20">
        <f t="shared" si="20"/>
        <v>1</v>
      </c>
      <c r="D215" s="20">
        <f t="shared" si="20"/>
        <v>1</v>
      </c>
      <c r="E215" s="20">
        <f t="shared" si="20"/>
        <v>1</v>
      </c>
      <c r="F215" s="20">
        <f t="shared" si="20"/>
        <v>1</v>
      </c>
      <c r="G215" s="20">
        <f t="shared" si="20"/>
        <v>0</v>
      </c>
      <c r="H215" s="20">
        <f t="shared" si="20"/>
        <v>1</v>
      </c>
      <c r="I215" s="20">
        <f t="shared" si="20"/>
        <v>0</v>
      </c>
      <c r="J215" s="20">
        <f t="shared" si="20"/>
        <v>0</v>
      </c>
      <c r="K215" s="6"/>
    </row>
    <row r="216" spans="1:11" x14ac:dyDescent="0.2">
      <c r="A216" s="5" t="s">
        <v>74</v>
      </c>
      <c r="B216" s="8">
        <v>1</v>
      </c>
      <c r="C216" s="8">
        <v>1</v>
      </c>
      <c r="D216" s="8">
        <v>1</v>
      </c>
      <c r="E216" s="8">
        <v>1</v>
      </c>
      <c r="F216" s="8">
        <v>1</v>
      </c>
      <c r="G216" s="8">
        <v>0</v>
      </c>
      <c r="H216" s="8">
        <v>0</v>
      </c>
      <c r="I216" s="8">
        <v>0</v>
      </c>
      <c r="J216" s="8">
        <v>0</v>
      </c>
      <c r="K216" s="6"/>
    </row>
    <row r="217" spans="1:11" x14ac:dyDescent="0.2">
      <c r="A217" s="5" t="s">
        <v>96</v>
      </c>
      <c r="B217" s="20">
        <f t="shared" ref="B217:J217" si="21">B180</f>
        <v>1</v>
      </c>
      <c r="C217" s="20">
        <f t="shared" si="21"/>
        <v>1</v>
      </c>
      <c r="D217" s="20">
        <f t="shared" si="21"/>
        <v>1</v>
      </c>
      <c r="E217" s="20">
        <f t="shared" si="21"/>
        <v>1</v>
      </c>
      <c r="F217" s="20">
        <f t="shared" si="21"/>
        <v>1</v>
      </c>
      <c r="G217" s="20">
        <f t="shared" si="21"/>
        <v>0</v>
      </c>
      <c r="H217" s="20">
        <f t="shared" si="21"/>
        <v>1</v>
      </c>
      <c r="I217" s="20">
        <f t="shared" si="21"/>
        <v>1</v>
      </c>
      <c r="J217" s="20">
        <f t="shared" si="21"/>
        <v>1</v>
      </c>
      <c r="K217" s="6"/>
    </row>
    <row r="218" spans="1:11" x14ac:dyDescent="0.2">
      <c r="A218" s="5" t="s">
        <v>97</v>
      </c>
      <c r="B218" s="20">
        <f t="shared" ref="B218:J218" si="22">B181</f>
        <v>1</v>
      </c>
      <c r="C218" s="20">
        <f t="shared" si="22"/>
        <v>1</v>
      </c>
      <c r="D218" s="20">
        <f t="shared" si="22"/>
        <v>1</v>
      </c>
      <c r="E218" s="20">
        <f t="shared" si="22"/>
        <v>1</v>
      </c>
      <c r="F218" s="20">
        <f t="shared" si="22"/>
        <v>1</v>
      </c>
      <c r="G218" s="20">
        <f t="shared" si="22"/>
        <v>0</v>
      </c>
      <c r="H218" s="20">
        <f t="shared" si="22"/>
        <v>1</v>
      </c>
      <c r="I218" s="20">
        <f t="shared" si="22"/>
        <v>1</v>
      </c>
      <c r="J218" s="20">
        <f t="shared" si="22"/>
        <v>1</v>
      </c>
      <c r="K218" s="6"/>
    </row>
    <row r="219" spans="1:11" x14ac:dyDescent="0.2">
      <c r="A219" s="5" t="s">
        <v>98</v>
      </c>
      <c r="B219" s="20">
        <f t="shared" ref="B219:J219" si="23">B182</f>
        <v>1</v>
      </c>
      <c r="C219" s="20">
        <f t="shared" si="23"/>
        <v>1</v>
      </c>
      <c r="D219" s="20">
        <f t="shared" si="23"/>
        <v>1</v>
      </c>
      <c r="E219" s="20">
        <f t="shared" si="23"/>
        <v>1</v>
      </c>
      <c r="F219" s="20">
        <f t="shared" si="23"/>
        <v>1</v>
      </c>
      <c r="G219" s="20">
        <f t="shared" si="23"/>
        <v>0</v>
      </c>
      <c r="H219" s="20">
        <f t="shared" si="23"/>
        <v>1</v>
      </c>
      <c r="I219" s="20">
        <f t="shared" si="23"/>
        <v>1</v>
      </c>
      <c r="J219" s="20">
        <f t="shared" si="23"/>
        <v>1</v>
      </c>
      <c r="K219" s="6"/>
    </row>
    <row r="220" spans="1:11" x14ac:dyDescent="0.2">
      <c r="A220" s="5" t="s">
        <v>99</v>
      </c>
      <c r="B220" s="20">
        <f t="shared" ref="B220:J220" si="24">B183</f>
        <v>1</v>
      </c>
      <c r="C220" s="20">
        <f t="shared" si="24"/>
        <v>1</v>
      </c>
      <c r="D220" s="20">
        <f t="shared" si="24"/>
        <v>1</v>
      </c>
      <c r="E220" s="20">
        <f t="shared" si="24"/>
        <v>1</v>
      </c>
      <c r="F220" s="20">
        <f t="shared" si="24"/>
        <v>1</v>
      </c>
      <c r="G220" s="20">
        <f t="shared" si="24"/>
        <v>0</v>
      </c>
      <c r="H220" s="20">
        <f t="shared" si="24"/>
        <v>1</v>
      </c>
      <c r="I220" s="20">
        <f t="shared" si="24"/>
        <v>1</v>
      </c>
      <c r="J220" s="20">
        <f t="shared" si="24"/>
        <v>1</v>
      </c>
      <c r="K220" s="6"/>
    </row>
    <row r="221" spans="1:11" x14ac:dyDescent="0.2">
      <c r="A221" s="5" t="s">
        <v>100</v>
      </c>
      <c r="B221" s="20">
        <f t="shared" ref="B221:J221" si="25">B184</f>
        <v>1</v>
      </c>
      <c r="C221" s="20">
        <f t="shared" si="25"/>
        <v>1</v>
      </c>
      <c r="D221" s="20">
        <f t="shared" si="25"/>
        <v>1</v>
      </c>
      <c r="E221" s="20">
        <f t="shared" si="25"/>
        <v>1</v>
      </c>
      <c r="F221" s="20">
        <f t="shared" si="25"/>
        <v>1</v>
      </c>
      <c r="G221" s="20">
        <f t="shared" si="25"/>
        <v>0</v>
      </c>
      <c r="H221" s="20">
        <f t="shared" si="25"/>
        <v>1</v>
      </c>
      <c r="I221" s="20">
        <f t="shared" si="25"/>
        <v>1</v>
      </c>
      <c r="J221" s="20">
        <f t="shared" si="25"/>
        <v>1</v>
      </c>
      <c r="K221" s="6"/>
    </row>
    <row r="222" spans="1:11" x14ac:dyDescent="0.2">
      <c r="A222" s="5" t="s">
        <v>61</v>
      </c>
      <c r="B222" s="20">
        <f t="shared" ref="B222:J222" si="26">B185</f>
        <v>1</v>
      </c>
      <c r="C222" s="20">
        <f t="shared" si="26"/>
        <v>1</v>
      </c>
      <c r="D222" s="20">
        <f t="shared" si="26"/>
        <v>1</v>
      </c>
      <c r="E222" s="20">
        <f t="shared" si="26"/>
        <v>1</v>
      </c>
      <c r="F222" s="20">
        <f t="shared" si="26"/>
        <v>1</v>
      </c>
      <c r="G222" s="20">
        <f t="shared" si="26"/>
        <v>0</v>
      </c>
      <c r="H222" s="20">
        <f t="shared" si="26"/>
        <v>1</v>
      </c>
      <c r="I222" s="20">
        <f t="shared" si="26"/>
        <v>1</v>
      </c>
      <c r="J222" s="20">
        <f t="shared" si="26"/>
        <v>0</v>
      </c>
      <c r="K222" s="6"/>
    </row>
    <row r="223" spans="1:11" x14ac:dyDescent="0.2">
      <c r="A223" s="5" t="s">
        <v>62</v>
      </c>
      <c r="B223" s="20">
        <f t="shared" ref="B223:J223" si="27">B186</f>
        <v>1</v>
      </c>
      <c r="C223" s="20">
        <f t="shared" si="27"/>
        <v>1</v>
      </c>
      <c r="D223" s="20">
        <f t="shared" si="27"/>
        <v>1</v>
      </c>
      <c r="E223" s="20">
        <f t="shared" si="27"/>
        <v>1</v>
      </c>
      <c r="F223" s="20">
        <f t="shared" si="27"/>
        <v>1</v>
      </c>
      <c r="G223" s="20">
        <f t="shared" si="27"/>
        <v>0</v>
      </c>
      <c r="H223" s="20">
        <f t="shared" si="27"/>
        <v>1</v>
      </c>
      <c r="I223" s="20">
        <f t="shared" si="27"/>
        <v>0</v>
      </c>
      <c r="J223" s="20">
        <f t="shared" si="27"/>
        <v>0</v>
      </c>
      <c r="K223" s="6"/>
    </row>
    <row r="224" spans="1:11" x14ac:dyDescent="0.2">
      <c r="A224" s="5" t="s">
        <v>63</v>
      </c>
      <c r="B224" s="20">
        <f t="shared" ref="B224:J224" si="28">B187</f>
        <v>1</v>
      </c>
      <c r="C224" s="20">
        <f t="shared" si="28"/>
        <v>1</v>
      </c>
      <c r="D224" s="20">
        <f t="shared" si="28"/>
        <v>1</v>
      </c>
      <c r="E224" s="20">
        <f t="shared" si="28"/>
        <v>1</v>
      </c>
      <c r="F224" s="20">
        <f t="shared" si="28"/>
        <v>1</v>
      </c>
      <c r="G224" s="20">
        <f t="shared" si="28"/>
        <v>0</v>
      </c>
      <c r="H224" s="20">
        <f t="shared" si="28"/>
        <v>1</v>
      </c>
      <c r="I224" s="20">
        <f t="shared" si="28"/>
        <v>1</v>
      </c>
      <c r="J224" s="20">
        <f t="shared" si="28"/>
        <v>0</v>
      </c>
      <c r="K224" s="6"/>
    </row>
    <row r="225" spans="1:11" x14ac:dyDescent="0.2">
      <c r="A225" s="5" t="s">
        <v>64</v>
      </c>
      <c r="B225" s="20">
        <f t="shared" ref="B225:J225" si="29">B188</f>
        <v>1</v>
      </c>
      <c r="C225" s="20">
        <f t="shared" si="29"/>
        <v>1</v>
      </c>
      <c r="D225" s="20">
        <f t="shared" si="29"/>
        <v>1</v>
      </c>
      <c r="E225" s="20">
        <f t="shared" si="29"/>
        <v>1</v>
      </c>
      <c r="F225" s="20">
        <f t="shared" si="29"/>
        <v>1</v>
      </c>
      <c r="G225" s="20">
        <f t="shared" si="29"/>
        <v>0</v>
      </c>
      <c r="H225" s="20">
        <f t="shared" si="29"/>
        <v>1</v>
      </c>
      <c r="I225" s="20">
        <f t="shared" si="29"/>
        <v>1</v>
      </c>
      <c r="J225" s="20">
        <f t="shared" si="29"/>
        <v>0</v>
      </c>
      <c r="K225" s="6"/>
    </row>
    <row r="226" spans="1:11" x14ac:dyDescent="0.2">
      <c r="A226" s="5" t="s">
        <v>65</v>
      </c>
      <c r="B226" s="20">
        <f t="shared" ref="B226:J226" si="30">B189</f>
        <v>1</v>
      </c>
      <c r="C226" s="20">
        <f t="shared" si="30"/>
        <v>1</v>
      </c>
      <c r="D226" s="20">
        <f t="shared" si="30"/>
        <v>1</v>
      </c>
      <c r="E226" s="20">
        <f t="shared" si="30"/>
        <v>1</v>
      </c>
      <c r="F226" s="20">
        <f t="shared" si="30"/>
        <v>1</v>
      </c>
      <c r="G226" s="20">
        <f t="shared" si="30"/>
        <v>0</v>
      </c>
      <c r="H226" s="20">
        <f t="shared" si="30"/>
        <v>1</v>
      </c>
      <c r="I226" s="20">
        <f t="shared" si="30"/>
        <v>0</v>
      </c>
      <c r="J226" s="20">
        <f t="shared" si="30"/>
        <v>0</v>
      </c>
      <c r="K226" s="6"/>
    </row>
    <row r="227" spans="1:11" x14ac:dyDescent="0.2">
      <c r="A227" s="5" t="s">
        <v>66</v>
      </c>
      <c r="B227" s="20">
        <f t="shared" ref="B227:J227" si="31">B190</f>
        <v>1</v>
      </c>
      <c r="C227" s="20">
        <f t="shared" si="31"/>
        <v>1</v>
      </c>
      <c r="D227" s="20">
        <f t="shared" si="31"/>
        <v>1</v>
      </c>
      <c r="E227" s="20">
        <f t="shared" si="31"/>
        <v>1</v>
      </c>
      <c r="F227" s="20">
        <f t="shared" si="31"/>
        <v>1</v>
      </c>
      <c r="G227" s="20">
        <f t="shared" si="31"/>
        <v>0</v>
      </c>
      <c r="H227" s="20">
        <f t="shared" si="31"/>
        <v>1</v>
      </c>
      <c r="I227" s="20">
        <f t="shared" si="31"/>
        <v>0</v>
      </c>
      <c r="J227" s="20">
        <f t="shared" si="31"/>
        <v>0</v>
      </c>
      <c r="K227" s="6"/>
    </row>
    <row r="228" spans="1:11" x14ac:dyDescent="0.2">
      <c r="A228" s="5" t="s">
        <v>75</v>
      </c>
      <c r="B228" s="20">
        <f t="shared" ref="B228:J228" si="32">B191</f>
        <v>1</v>
      </c>
      <c r="C228" s="20">
        <f t="shared" si="32"/>
        <v>1</v>
      </c>
      <c r="D228" s="20">
        <f t="shared" si="32"/>
        <v>1</v>
      </c>
      <c r="E228" s="20">
        <f t="shared" si="32"/>
        <v>1</v>
      </c>
      <c r="F228" s="20">
        <f t="shared" si="32"/>
        <v>1</v>
      </c>
      <c r="G228" s="20">
        <f t="shared" si="32"/>
        <v>0</v>
      </c>
      <c r="H228" s="20">
        <f t="shared" si="32"/>
        <v>0</v>
      </c>
      <c r="I228" s="20">
        <f t="shared" si="32"/>
        <v>0</v>
      </c>
      <c r="J228" s="20">
        <f t="shared" si="32"/>
        <v>0</v>
      </c>
      <c r="K228" s="6"/>
    </row>
    <row r="229" spans="1:11" x14ac:dyDescent="0.2">
      <c r="A229" s="5" t="s">
        <v>76</v>
      </c>
      <c r="B229" s="20">
        <f t="shared" ref="B229:J229" si="33">B192</f>
        <v>1</v>
      </c>
      <c r="C229" s="20">
        <f t="shared" si="33"/>
        <v>1</v>
      </c>
      <c r="D229" s="20">
        <f t="shared" si="33"/>
        <v>1</v>
      </c>
      <c r="E229" s="20">
        <f t="shared" si="33"/>
        <v>1</v>
      </c>
      <c r="F229" s="20">
        <f t="shared" si="33"/>
        <v>1</v>
      </c>
      <c r="G229" s="20">
        <f t="shared" si="33"/>
        <v>0</v>
      </c>
      <c r="H229" s="20">
        <f t="shared" si="33"/>
        <v>0</v>
      </c>
      <c r="I229" s="20">
        <f t="shared" si="33"/>
        <v>0</v>
      </c>
      <c r="J229" s="20">
        <f t="shared" si="33"/>
        <v>0</v>
      </c>
      <c r="K229" s="6"/>
    </row>
    <row r="230" spans="1:11" x14ac:dyDescent="0.2">
      <c r="A230" s="5" t="s">
        <v>77</v>
      </c>
      <c r="B230" s="8">
        <v>1</v>
      </c>
      <c r="C230" s="8">
        <v>1</v>
      </c>
      <c r="D230" s="8">
        <v>1</v>
      </c>
      <c r="E230" s="8">
        <v>1</v>
      </c>
      <c r="F230" s="8">
        <v>0</v>
      </c>
      <c r="G230" s="8">
        <v>0</v>
      </c>
      <c r="H230" s="8">
        <v>0</v>
      </c>
      <c r="I230" s="8">
        <v>0</v>
      </c>
      <c r="J230" s="8">
        <v>0</v>
      </c>
      <c r="K230" s="6"/>
    </row>
    <row r="231" spans="1:11" x14ac:dyDescent="0.2">
      <c r="A231" s="5" t="s">
        <v>78</v>
      </c>
      <c r="B231" s="8">
        <v>1</v>
      </c>
      <c r="C231" s="8">
        <v>1</v>
      </c>
      <c r="D231" s="8">
        <v>1</v>
      </c>
      <c r="E231" s="8">
        <v>1</v>
      </c>
      <c r="F231" s="8">
        <v>0</v>
      </c>
      <c r="G231" s="8">
        <v>0</v>
      </c>
      <c r="H231" s="8">
        <v>0</v>
      </c>
      <c r="I231" s="8">
        <v>0</v>
      </c>
      <c r="J231" s="8">
        <v>0</v>
      </c>
      <c r="K231" s="6"/>
    </row>
    <row r="233" spans="1:11" ht="16.5" x14ac:dyDescent="0.25">
      <c r="A233" s="3" t="s">
        <v>282</v>
      </c>
    </row>
    <row r="234" spans="1:11" x14ac:dyDescent="0.2">
      <c r="A234" s="10" t="s">
        <v>238</v>
      </c>
    </row>
    <row r="235" spans="1:11" x14ac:dyDescent="0.2">
      <c r="A235" s="11" t="s">
        <v>283</v>
      </c>
    </row>
    <row r="236" spans="1:11" x14ac:dyDescent="0.2">
      <c r="A236" s="11" t="s">
        <v>284</v>
      </c>
    </row>
    <row r="237" spans="1:11" x14ac:dyDescent="0.2">
      <c r="A237" s="11" t="s">
        <v>285</v>
      </c>
    </row>
    <row r="238" spans="1:11" x14ac:dyDescent="0.2">
      <c r="A238" s="10" t="s">
        <v>286</v>
      </c>
    </row>
    <row r="240" spans="1:11" x14ac:dyDescent="0.2">
      <c r="B240" s="4" t="s">
        <v>21</v>
      </c>
      <c r="C240" s="4" t="s">
        <v>22</v>
      </c>
      <c r="D240" s="4" t="s">
        <v>23</v>
      </c>
      <c r="E240" s="4" t="s">
        <v>24</v>
      </c>
      <c r="F240" s="4" t="s">
        <v>25</v>
      </c>
      <c r="G240" s="4" t="s">
        <v>30</v>
      </c>
      <c r="H240" s="4" t="s">
        <v>26</v>
      </c>
      <c r="I240" s="4" t="s">
        <v>27</v>
      </c>
      <c r="J240" s="4" t="s">
        <v>28</v>
      </c>
    </row>
    <row r="241" spans="1:11" x14ac:dyDescent="0.2">
      <c r="A241" s="5" t="s">
        <v>53</v>
      </c>
      <c r="B241" s="17">
        <f t="shared" ref="B241:J241" si="34">IF(B$78="",B204,B204*$I14/B$78)</f>
        <v>1.1020000000000001</v>
      </c>
      <c r="C241" s="17">
        <f t="shared" si="34"/>
        <v>1.0910891089108912</v>
      </c>
      <c r="D241" s="17">
        <f t="shared" si="34"/>
        <v>1.0857142857142859</v>
      </c>
      <c r="E241" s="17">
        <f t="shared" si="34"/>
        <v>1.0793339862879532</v>
      </c>
      <c r="F241" s="17">
        <f t="shared" si="34"/>
        <v>1.0730282375851998</v>
      </c>
      <c r="G241" s="17">
        <f t="shared" si="34"/>
        <v>0</v>
      </c>
      <c r="H241" s="17">
        <f t="shared" si="34"/>
        <v>1.0606352261790184</v>
      </c>
      <c r="I241" s="17">
        <f t="shared" si="34"/>
        <v>1.0475285171102662</v>
      </c>
      <c r="J241" s="17">
        <f t="shared" si="34"/>
        <v>1</v>
      </c>
      <c r="K241" s="6"/>
    </row>
    <row r="242" spans="1:11" x14ac:dyDescent="0.2">
      <c r="A242" s="5" t="s">
        <v>54</v>
      </c>
      <c r="B242" s="17">
        <f t="shared" ref="B242:J242" si="35">IF(B$78="",B205,B205*$I15/B$78)</f>
        <v>1.1020000000000001</v>
      </c>
      <c r="C242" s="17">
        <f t="shared" si="35"/>
        <v>1.0910891089108912</v>
      </c>
      <c r="D242" s="17">
        <f t="shared" si="35"/>
        <v>1.0857142857142859</v>
      </c>
      <c r="E242" s="17">
        <f t="shared" si="35"/>
        <v>1.0793339862879532</v>
      </c>
      <c r="F242" s="17">
        <f t="shared" si="35"/>
        <v>1.0730282375851998</v>
      </c>
      <c r="G242" s="17">
        <f t="shared" si="35"/>
        <v>0</v>
      </c>
      <c r="H242" s="17">
        <f t="shared" si="35"/>
        <v>1.0606352261790184</v>
      </c>
      <c r="I242" s="17">
        <f t="shared" si="35"/>
        <v>1.0475285171102662</v>
      </c>
      <c r="J242" s="17">
        <f t="shared" si="35"/>
        <v>1</v>
      </c>
      <c r="K242" s="6"/>
    </row>
    <row r="243" spans="1:11" x14ac:dyDescent="0.2">
      <c r="A243" s="5" t="s">
        <v>94</v>
      </c>
      <c r="B243" s="17">
        <f t="shared" ref="B243:J243" si="36">IF(B$78="",B206,B206*$I16/B$78)</f>
        <v>1.1020000000000001</v>
      </c>
      <c r="C243" s="17">
        <f t="shared" si="36"/>
        <v>1.0910891089108912</v>
      </c>
      <c r="D243" s="17">
        <f t="shared" si="36"/>
        <v>1.0857142857142859</v>
      </c>
      <c r="E243" s="17">
        <f t="shared" si="36"/>
        <v>1.0793339862879532</v>
      </c>
      <c r="F243" s="17">
        <f t="shared" si="36"/>
        <v>1.0730282375851998</v>
      </c>
      <c r="G243" s="17">
        <f t="shared" si="36"/>
        <v>0</v>
      </c>
      <c r="H243" s="17">
        <f t="shared" si="36"/>
        <v>1.0606352261790184</v>
      </c>
      <c r="I243" s="17">
        <f t="shared" si="36"/>
        <v>1.0475285171102662</v>
      </c>
      <c r="J243" s="17">
        <f t="shared" si="36"/>
        <v>1</v>
      </c>
      <c r="K243" s="6"/>
    </row>
    <row r="244" spans="1:11" x14ac:dyDescent="0.2">
      <c r="A244" s="5" t="s">
        <v>55</v>
      </c>
      <c r="B244" s="17">
        <f t="shared" ref="B244:J244" si="37">IF(B$78="",B207,B207*$I17/B$78)</f>
        <v>1.1020000000000001</v>
      </c>
      <c r="C244" s="17">
        <f t="shared" si="37"/>
        <v>1.0910891089108912</v>
      </c>
      <c r="D244" s="17">
        <f t="shared" si="37"/>
        <v>1.0857142857142859</v>
      </c>
      <c r="E244" s="17">
        <f t="shared" si="37"/>
        <v>1.0793339862879532</v>
      </c>
      <c r="F244" s="17">
        <f t="shared" si="37"/>
        <v>1.0730282375851998</v>
      </c>
      <c r="G244" s="17">
        <f t="shared" si="37"/>
        <v>0</v>
      </c>
      <c r="H244" s="17">
        <f t="shared" si="37"/>
        <v>1.0606352261790184</v>
      </c>
      <c r="I244" s="17">
        <f t="shared" si="37"/>
        <v>1.0475285171102662</v>
      </c>
      <c r="J244" s="17">
        <f t="shared" si="37"/>
        <v>1</v>
      </c>
      <c r="K244" s="6"/>
    </row>
    <row r="245" spans="1:11" x14ac:dyDescent="0.2">
      <c r="A245" s="5" t="s">
        <v>56</v>
      </c>
      <c r="B245" s="17">
        <f t="shared" ref="B245:J245" si="38">IF(B$78="",B208,B208*$I18/B$78)</f>
        <v>1.1020000000000001</v>
      </c>
      <c r="C245" s="17">
        <f t="shared" si="38"/>
        <v>1.0910891089108912</v>
      </c>
      <c r="D245" s="17">
        <f t="shared" si="38"/>
        <v>1.0857142857142859</v>
      </c>
      <c r="E245" s="17">
        <f t="shared" si="38"/>
        <v>1.0793339862879532</v>
      </c>
      <c r="F245" s="17">
        <f t="shared" si="38"/>
        <v>1.0730282375851998</v>
      </c>
      <c r="G245" s="17">
        <f t="shared" si="38"/>
        <v>0</v>
      </c>
      <c r="H245" s="17">
        <f t="shared" si="38"/>
        <v>1.0606352261790184</v>
      </c>
      <c r="I245" s="17">
        <f t="shared" si="38"/>
        <v>1.0475285171102662</v>
      </c>
      <c r="J245" s="17">
        <f t="shared" si="38"/>
        <v>1</v>
      </c>
      <c r="K245" s="6"/>
    </row>
    <row r="246" spans="1:11" x14ac:dyDescent="0.2">
      <c r="A246" s="5" t="s">
        <v>95</v>
      </c>
      <c r="B246" s="17">
        <f t="shared" ref="B246:J246" si="39">IF(B$78="",B209,B209*$I19/B$78)</f>
        <v>1.1020000000000001</v>
      </c>
      <c r="C246" s="17">
        <f t="shared" si="39"/>
        <v>1.0910891089108912</v>
      </c>
      <c r="D246" s="17">
        <f t="shared" si="39"/>
        <v>1.0857142857142859</v>
      </c>
      <c r="E246" s="17">
        <f t="shared" si="39"/>
        <v>1.0793339862879532</v>
      </c>
      <c r="F246" s="17">
        <f t="shared" si="39"/>
        <v>1.0730282375851998</v>
      </c>
      <c r="G246" s="17">
        <f t="shared" si="39"/>
        <v>0</v>
      </c>
      <c r="H246" s="17">
        <f t="shared" si="39"/>
        <v>1.0606352261790184</v>
      </c>
      <c r="I246" s="17">
        <f t="shared" si="39"/>
        <v>1.0475285171102662</v>
      </c>
      <c r="J246" s="17">
        <f t="shared" si="39"/>
        <v>1</v>
      </c>
      <c r="K246" s="6"/>
    </row>
    <row r="247" spans="1:11" x14ac:dyDescent="0.2">
      <c r="A247" s="5" t="s">
        <v>57</v>
      </c>
      <c r="B247" s="17">
        <f t="shared" ref="B247:J247" si="40">IF(B$78="",B210,B210*$I20/B$78)</f>
        <v>1.1020000000000001</v>
      </c>
      <c r="C247" s="17">
        <f t="shared" si="40"/>
        <v>1.0910891089108912</v>
      </c>
      <c r="D247" s="17">
        <f t="shared" si="40"/>
        <v>1.0857142857142859</v>
      </c>
      <c r="E247" s="17">
        <f t="shared" si="40"/>
        <v>1.0793339862879532</v>
      </c>
      <c r="F247" s="17">
        <f t="shared" si="40"/>
        <v>1.0730282375851998</v>
      </c>
      <c r="G247" s="17">
        <f t="shared" si="40"/>
        <v>0</v>
      </c>
      <c r="H247" s="17">
        <f t="shared" si="40"/>
        <v>1.0606352261790184</v>
      </c>
      <c r="I247" s="17">
        <f t="shared" si="40"/>
        <v>1.0475285171102662</v>
      </c>
      <c r="J247" s="17">
        <f t="shared" si="40"/>
        <v>1</v>
      </c>
      <c r="K247" s="6"/>
    </row>
    <row r="248" spans="1:11" x14ac:dyDescent="0.2">
      <c r="A248" s="5" t="s">
        <v>58</v>
      </c>
      <c r="B248" s="17">
        <f t="shared" ref="B248:J248" si="41">IF(B$78="",B211,B211*$I21/B$78)</f>
        <v>1.052</v>
      </c>
      <c r="C248" s="17">
        <f t="shared" si="41"/>
        <v>1.0415841584158416</v>
      </c>
      <c r="D248" s="17">
        <f t="shared" si="41"/>
        <v>1.0364532019704435</v>
      </c>
      <c r="E248" s="17">
        <f t="shared" si="41"/>
        <v>1.030362389813908</v>
      </c>
      <c r="F248" s="17">
        <f t="shared" si="41"/>
        <v>1.0243427458617334</v>
      </c>
      <c r="G248" s="17">
        <f t="shared" si="41"/>
        <v>0</v>
      </c>
      <c r="H248" s="17">
        <f t="shared" si="41"/>
        <v>1.0125120307988451</v>
      </c>
      <c r="I248" s="17">
        <f t="shared" si="41"/>
        <v>1</v>
      </c>
      <c r="J248" s="17">
        <f t="shared" si="41"/>
        <v>0</v>
      </c>
      <c r="K248" s="6"/>
    </row>
    <row r="249" spans="1:11" x14ac:dyDescent="0.2">
      <c r="A249" s="5" t="s">
        <v>72</v>
      </c>
      <c r="B249" s="17">
        <f t="shared" ref="B249:J249" si="42">IF(B$78="",B212,B212*$I22/B$78)</f>
        <v>1.0389999999999999</v>
      </c>
      <c r="C249" s="17">
        <f t="shared" si="42"/>
        <v>1.0287128712871287</v>
      </c>
      <c r="D249" s="17">
        <f t="shared" si="42"/>
        <v>1.0236453201970444</v>
      </c>
      <c r="E249" s="17">
        <f t="shared" si="42"/>
        <v>1.0176297747306562</v>
      </c>
      <c r="F249" s="17">
        <f t="shared" si="42"/>
        <v>1.011684518013632</v>
      </c>
      <c r="G249" s="17">
        <f t="shared" si="42"/>
        <v>0</v>
      </c>
      <c r="H249" s="17">
        <f t="shared" si="42"/>
        <v>1</v>
      </c>
      <c r="I249" s="17">
        <f t="shared" si="42"/>
        <v>0</v>
      </c>
      <c r="J249" s="17">
        <f t="shared" si="42"/>
        <v>0</v>
      </c>
      <c r="K249" s="6"/>
    </row>
    <row r="250" spans="1:11" x14ac:dyDescent="0.2">
      <c r="A250" s="5" t="s">
        <v>59</v>
      </c>
      <c r="B250" s="17">
        <f t="shared" ref="B250:J250" si="43">IF(B$78="",B213,B213*$I23/B$78)</f>
        <v>1.1020000000000001</v>
      </c>
      <c r="C250" s="17">
        <f t="shared" si="43"/>
        <v>1.0910891089108912</v>
      </c>
      <c r="D250" s="17">
        <f t="shared" si="43"/>
        <v>1.0857142857142859</v>
      </c>
      <c r="E250" s="17">
        <f t="shared" si="43"/>
        <v>1.0793339862879532</v>
      </c>
      <c r="F250" s="17">
        <f t="shared" si="43"/>
        <v>1.0730282375851998</v>
      </c>
      <c r="G250" s="17">
        <f t="shared" si="43"/>
        <v>0</v>
      </c>
      <c r="H250" s="17">
        <f t="shared" si="43"/>
        <v>1.0606352261790184</v>
      </c>
      <c r="I250" s="17">
        <f t="shared" si="43"/>
        <v>1.0475285171102662</v>
      </c>
      <c r="J250" s="17">
        <f t="shared" si="43"/>
        <v>1</v>
      </c>
      <c r="K250" s="6"/>
    </row>
    <row r="251" spans="1:11" x14ac:dyDescent="0.2">
      <c r="A251" s="5" t="s">
        <v>60</v>
      </c>
      <c r="B251" s="17">
        <f t="shared" ref="B251:J251" si="44">IF(B$78="",B214,B214*$I24/B$78)</f>
        <v>1.052</v>
      </c>
      <c r="C251" s="17">
        <f t="shared" si="44"/>
        <v>1.0415841584158416</v>
      </c>
      <c r="D251" s="17">
        <f t="shared" si="44"/>
        <v>1.0364532019704435</v>
      </c>
      <c r="E251" s="17">
        <f t="shared" si="44"/>
        <v>1.030362389813908</v>
      </c>
      <c r="F251" s="17">
        <f t="shared" si="44"/>
        <v>1.0243427458617334</v>
      </c>
      <c r="G251" s="17">
        <f t="shared" si="44"/>
        <v>0</v>
      </c>
      <c r="H251" s="17">
        <f t="shared" si="44"/>
        <v>1.0125120307988451</v>
      </c>
      <c r="I251" s="17">
        <f t="shared" si="44"/>
        <v>1</v>
      </c>
      <c r="J251" s="17">
        <f t="shared" si="44"/>
        <v>0</v>
      </c>
      <c r="K251" s="6"/>
    </row>
    <row r="252" spans="1:11" x14ac:dyDescent="0.2">
      <c r="A252" s="5" t="s">
        <v>73</v>
      </c>
      <c r="B252" s="17">
        <f t="shared" ref="B252:J252" si="45">IF(B$78="",B215,B215*$I25/B$78)</f>
        <v>1.0389999999999999</v>
      </c>
      <c r="C252" s="17">
        <f t="shared" si="45"/>
        <v>1.0287128712871287</v>
      </c>
      <c r="D252" s="17">
        <f t="shared" si="45"/>
        <v>1.0236453201970444</v>
      </c>
      <c r="E252" s="17">
        <f t="shared" si="45"/>
        <v>1.0176297747306562</v>
      </c>
      <c r="F252" s="17">
        <f t="shared" si="45"/>
        <v>1.011684518013632</v>
      </c>
      <c r="G252" s="17">
        <f t="shared" si="45"/>
        <v>0</v>
      </c>
      <c r="H252" s="17">
        <f t="shared" si="45"/>
        <v>1</v>
      </c>
      <c r="I252" s="17">
        <f t="shared" si="45"/>
        <v>0</v>
      </c>
      <c r="J252" s="17">
        <f t="shared" si="45"/>
        <v>0</v>
      </c>
      <c r="K252" s="6"/>
    </row>
    <row r="253" spans="1:11" x14ac:dyDescent="0.2">
      <c r="A253" s="5" t="s">
        <v>74</v>
      </c>
      <c r="B253" s="17">
        <f t="shared" ref="B253:J253" si="46">IF(B$78="",B216,B216*$I26/B$78)</f>
        <v>1.0269999999999999</v>
      </c>
      <c r="C253" s="17">
        <f t="shared" si="46"/>
        <v>1.0168316831683168</v>
      </c>
      <c r="D253" s="17">
        <f t="shared" si="46"/>
        <v>1.0118226600985223</v>
      </c>
      <c r="E253" s="17">
        <f t="shared" si="46"/>
        <v>1.0058765915768855</v>
      </c>
      <c r="F253" s="17">
        <f t="shared" si="46"/>
        <v>1</v>
      </c>
      <c r="G253" s="17">
        <f t="shared" si="46"/>
        <v>0</v>
      </c>
      <c r="H253" s="17">
        <f t="shared" si="46"/>
        <v>0</v>
      </c>
      <c r="I253" s="17">
        <f t="shared" si="46"/>
        <v>0</v>
      </c>
      <c r="J253" s="17">
        <f t="shared" si="46"/>
        <v>0</v>
      </c>
      <c r="K253" s="6"/>
    </row>
    <row r="254" spans="1:11" x14ac:dyDescent="0.2">
      <c r="A254" s="5" t="s">
        <v>96</v>
      </c>
      <c r="B254" s="17">
        <f t="shared" ref="B254:J254" si="47">IF(B$78="",B217,B217*$I27/B$78)</f>
        <v>1.1020000000000001</v>
      </c>
      <c r="C254" s="17">
        <f t="shared" si="47"/>
        <v>1.0910891089108912</v>
      </c>
      <c r="D254" s="17">
        <f t="shared" si="47"/>
        <v>1.0857142857142859</v>
      </c>
      <c r="E254" s="17">
        <f t="shared" si="47"/>
        <v>1.0793339862879532</v>
      </c>
      <c r="F254" s="17">
        <f t="shared" si="47"/>
        <v>1.0730282375851998</v>
      </c>
      <c r="G254" s="17">
        <f t="shared" si="47"/>
        <v>0</v>
      </c>
      <c r="H254" s="17">
        <f t="shared" si="47"/>
        <v>1.0606352261790184</v>
      </c>
      <c r="I254" s="17">
        <f t="shared" si="47"/>
        <v>1.0475285171102662</v>
      </c>
      <c r="J254" s="17">
        <f t="shared" si="47"/>
        <v>1</v>
      </c>
      <c r="K254" s="6"/>
    </row>
    <row r="255" spans="1:11" x14ac:dyDescent="0.2">
      <c r="A255" s="5" t="s">
        <v>97</v>
      </c>
      <c r="B255" s="17">
        <f t="shared" ref="B255:J255" si="48">IF(B$78="",B218,B218*$I28/B$78)</f>
        <v>1.1020000000000001</v>
      </c>
      <c r="C255" s="17">
        <f t="shared" si="48"/>
        <v>1.0910891089108912</v>
      </c>
      <c r="D255" s="17">
        <f t="shared" si="48"/>
        <v>1.0857142857142859</v>
      </c>
      <c r="E255" s="17">
        <f t="shared" si="48"/>
        <v>1.0793339862879532</v>
      </c>
      <c r="F255" s="17">
        <f t="shared" si="48"/>
        <v>1.0730282375851998</v>
      </c>
      <c r="G255" s="17">
        <f t="shared" si="48"/>
        <v>0</v>
      </c>
      <c r="H255" s="17">
        <f t="shared" si="48"/>
        <v>1.0606352261790184</v>
      </c>
      <c r="I255" s="17">
        <f t="shared" si="48"/>
        <v>1.0475285171102662</v>
      </c>
      <c r="J255" s="17">
        <f t="shared" si="48"/>
        <v>1</v>
      </c>
      <c r="K255" s="6"/>
    </row>
    <row r="256" spans="1:11" x14ac:dyDescent="0.2">
      <c r="A256" s="5" t="s">
        <v>98</v>
      </c>
      <c r="B256" s="17">
        <f t="shared" ref="B256:J256" si="49">IF(B$78="",B219,B219*$I29/B$78)</f>
        <v>1.1020000000000001</v>
      </c>
      <c r="C256" s="17">
        <f t="shared" si="49"/>
        <v>1.0910891089108912</v>
      </c>
      <c r="D256" s="17">
        <f t="shared" si="49"/>
        <v>1.0857142857142859</v>
      </c>
      <c r="E256" s="17">
        <f t="shared" si="49"/>
        <v>1.0793339862879532</v>
      </c>
      <c r="F256" s="17">
        <f t="shared" si="49"/>
        <v>1.0730282375851998</v>
      </c>
      <c r="G256" s="17">
        <f t="shared" si="49"/>
        <v>0</v>
      </c>
      <c r="H256" s="17">
        <f t="shared" si="49"/>
        <v>1.0606352261790184</v>
      </c>
      <c r="I256" s="17">
        <f t="shared" si="49"/>
        <v>1.0475285171102662</v>
      </c>
      <c r="J256" s="17">
        <f t="shared" si="49"/>
        <v>1</v>
      </c>
      <c r="K256" s="6"/>
    </row>
    <row r="257" spans="1:11" x14ac:dyDescent="0.2">
      <c r="A257" s="5" t="s">
        <v>99</v>
      </c>
      <c r="B257" s="17">
        <f t="shared" ref="B257:J257" si="50">IF(B$78="",B220,B220*$I30/B$78)</f>
        <v>1.1020000000000001</v>
      </c>
      <c r="C257" s="17">
        <f t="shared" si="50"/>
        <v>1.0910891089108912</v>
      </c>
      <c r="D257" s="17">
        <f t="shared" si="50"/>
        <v>1.0857142857142859</v>
      </c>
      <c r="E257" s="17">
        <f t="shared" si="50"/>
        <v>1.0793339862879532</v>
      </c>
      <c r="F257" s="17">
        <f t="shared" si="50"/>
        <v>1.0730282375851998</v>
      </c>
      <c r="G257" s="17">
        <f t="shared" si="50"/>
        <v>0</v>
      </c>
      <c r="H257" s="17">
        <f t="shared" si="50"/>
        <v>1.0606352261790184</v>
      </c>
      <c r="I257" s="17">
        <f t="shared" si="50"/>
        <v>1.0475285171102662</v>
      </c>
      <c r="J257" s="17">
        <f t="shared" si="50"/>
        <v>1</v>
      </c>
      <c r="K257" s="6"/>
    </row>
    <row r="258" spans="1:11" x14ac:dyDescent="0.2">
      <c r="A258" s="5" t="s">
        <v>100</v>
      </c>
      <c r="B258" s="17">
        <f t="shared" ref="B258:J258" si="51">IF(B$78="",B221,B221*$I31/B$78)</f>
        <v>1.1020000000000001</v>
      </c>
      <c r="C258" s="17">
        <f t="shared" si="51"/>
        <v>1.0910891089108912</v>
      </c>
      <c r="D258" s="17">
        <f t="shared" si="51"/>
        <v>1.0857142857142859</v>
      </c>
      <c r="E258" s="17">
        <f t="shared" si="51"/>
        <v>1.0793339862879532</v>
      </c>
      <c r="F258" s="17">
        <f t="shared" si="51"/>
        <v>1.0730282375851998</v>
      </c>
      <c r="G258" s="17">
        <f t="shared" si="51"/>
        <v>0</v>
      </c>
      <c r="H258" s="17">
        <f t="shared" si="51"/>
        <v>1.0606352261790184</v>
      </c>
      <c r="I258" s="17">
        <f t="shared" si="51"/>
        <v>1.0475285171102662</v>
      </c>
      <c r="J258" s="17">
        <f t="shared" si="51"/>
        <v>1</v>
      </c>
      <c r="K258" s="6"/>
    </row>
    <row r="259" spans="1:11" x14ac:dyDescent="0.2">
      <c r="A259" s="5" t="s">
        <v>61</v>
      </c>
      <c r="B259" s="17">
        <f t="shared" ref="B259:J259" si="52">IF(B$78="",B222,B222*$I32/B$78)</f>
        <v>1.1020000000000001</v>
      </c>
      <c r="C259" s="17">
        <f t="shared" si="52"/>
        <v>1.0910891089108912</v>
      </c>
      <c r="D259" s="17">
        <f t="shared" si="52"/>
        <v>1.0857142857142859</v>
      </c>
      <c r="E259" s="17">
        <f t="shared" si="52"/>
        <v>1.0793339862879532</v>
      </c>
      <c r="F259" s="17">
        <f t="shared" si="52"/>
        <v>1.0730282375851998</v>
      </c>
      <c r="G259" s="17">
        <f t="shared" si="52"/>
        <v>0</v>
      </c>
      <c r="H259" s="17">
        <f t="shared" si="52"/>
        <v>1.0606352261790184</v>
      </c>
      <c r="I259" s="17">
        <f t="shared" si="52"/>
        <v>1.0475285171102662</v>
      </c>
      <c r="J259" s="17">
        <f t="shared" si="52"/>
        <v>0</v>
      </c>
      <c r="K259" s="6"/>
    </row>
    <row r="260" spans="1:11" x14ac:dyDescent="0.2">
      <c r="A260" s="5" t="s">
        <v>62</v>
      </c>
      <c r="B260" s="17">
        <f t="shared" ref="B260:J260" si="53">IF(B$78="",B223,B223*$I33/B$78)</f>
        <v>1.052</v>
      </c>
      <c r="C260" s="17">
        <f t="shared" si="53"/>
        <v>1.0415841584158416</v>
      </c>
      <c r="D260" s="17">
        <f t="shared" si="53"/>
        <v>1.0364532019704435</v>
      </c>
      <c r="E260" s="17">
        <f t="shared" si="53"/>
        <v>1.030362389813908</v>
      </c>
      <c r="F260" s="17">
        <f t="shared" si="53"/>
        <v>1.0243427458617334</v>
      </c>
      <c r="G260" s="17">
        <f t="shared" si="53"/>
        <v>0</v>
      </c>
      <c r="H260" s="17">
        <f t="shared" si="53"/>
        <v>1.0125120307988451</v>
      </c>
      <c r="I260" s="17">
        <f t="shared" si="53"/>
        <v>0</v>
      </c>
      <c r="J260" s="17">
        <f t="shared" si="53"/>
        <v>0</v>
      </c>
      <c r="K260" s="6"/>
    </row>
    <row r="261" spans="1:11" x14ac:dyDescent="0.2">
      <c r="A261" s="5" t="s">
        <v>63</v>
      </c>
      <c r="B261" s="17">
        <f t="shared" ref="B261:J261" si="54">IF(B$78="",B224,B224*$I34/B$78)</f>
        <v>1.1020000000000001</v>
      </c>
      <c r="C261" s="17">
        <f t="shared" si="54"/>
        <v>1.0910891089108912</v>
      </c>
      <c r="D261" s="17">
        <f t="shared" si="54"/>
        <v>1.0857142857142859</v>
      </c>
      <c r="E261" s="17">
        <f t="shared" si="54"/>
        <v>1.0793339862879532</v>
      </c>
      <c r="F261" s="17">
        <f t="shared" si="54"/>
        <v>1.0730282375851998</v>
      </c>
      <c r="G261" s="17">
        <f t="shared" si="54"/>
        <v>0</v>
      </c>
      <c r="H261" s="17">
        <f t="shared" si="54"/>
        <v>1.0606352261790184</v>
      </c>
      <c r="I261" s="17">
        <f t="shared" si="54"/>
        <v>1.0475285171102662</v>
      </c>
      <c r="J261" s="17">
        <f t="shared" si="54"/>
        <v>0</v>
      </c>
      <c r="K261" s="6"/>
    </row>
    <row r="262" spans="1:11" x14ac:dyDescent="0.2">
      <c r="A262" s="5" t="s">
        <v>64</v>
      </c>
      <c r="B262" s="17">
        <f t="shared" ref="B262:J262" si="55">IF(B$78="",B225,B225*$I35/B$78)</f>
        <v>1.1020000000000001</v>
      </c>
      <c r="C262" s="17">
        <f t="shared" si="55"/>
        <v>1.0910891089108912</v>
      </c>
      <c r="D262" s="17">
        <f t="shared" si="55"/>
        <v>1.0857142857142859</v>
      </c>
      <c r="E262" s="17">
        <f t="shared" si="55"/>
        <v>1.0793339862879532</v>
      </c>
      <c r="F262" s="17">
        <f t="shared" si="55"/>
        <v>1.0730282375851998</v>
      </c>
      <c r="G262" s="17">
        <f t="shared" si="55"/>
        <v>0</v>
      </c>
      <c r="H262" s="17">
        <f t="shared" si="55"/>
        <v>1.0606352261790184</v>
      </c>
      <c r="I262" s="17">
        <f t="shared" si="55"/>
        <v>1.0475285171102662</v>
      </c>
      <c r="J262" s="17">
        <f t="shared" si="55"/>
        <v>0</v>
      </c>
      <c r="K262" s="6"/>
    </row>
    <row r="263" spans="1:11" x14ac:dyDescent="0.2">
      <c r="A263" s="5" t="s">
        <v>65</v>
      </c>
      <c r="B263" s="17">
        <f t="shared" ref="B263:J263" si="56">IF(B$78="",B226,B226*$I36/B$78)</f>
        <v>1.052</v>
      </c>
      <c r="C263" s="17">
        <f t="shared" si="56"/>
        <v>1.0415841584158416</v>
      </c>
      <c r="D263" s="17">
        <f t="shared" si="56"/>
        <v>1.0364532019704435</v>
      </c>
      <c r="E263" s="17">
        <f t="shared" si="56"/>
        <v>1.030362389813908</v>
      </c>
      <c r="F263" s="17">
        <f t="shared" si="56"/>
        <v>1.0243427458617334</v>
      </c>
      <c r="G263" s="17">
        <f t="shared" si="56"/>
        <v>0</v>
      </c>
      <c r="H263" s="17">
        <f t="shared" si="56"/>
        <v>1.0125120307988451</v>
      </c>
      <c r="I263" s="17">
        <f t="shared" si="56"/>
        <v>0</v>
      </c>
      <c r="J263" s="17">
        <f t="shared" si="56"/>
        <v>0</v>
      </c>
      <c r="K263" s="6"/>
    </row>
    <row r="264" spans="1:11" x14ac:dyDescent="0.2">
      <c r="A264" s="5" t="s">
        <v>66</v>
      </c>
      <c r="B264" s="17">
        <f t="shared" ref="B264:J264" si="57">IF(B$78="",B227,B227*$I37/B$78)</f>
        <v>1.052</v>
      </c>
      <c r="C264" s="17">
        <f t="shared" si="57"/>
        <v>1.0415841584158416</v>
      </c>
      <c r="D264" s="17">
        <f t="shared" si="57"/>
        <v>1.0364532019704435</v>
      </c>
      <c r="E264" s="17">
        <f t="shared" si="57"/>
        <v>1.030362389813908</v>
      </c>
      <c r="F264" s="17">
        <f t="shared" si="57"/>
        <v>1.0243427458617334</v>
      </c>
      <c r="G264" s="17">
        <f t="shared" si="57"/>
        <v>0</v>
      </c>
      <c r="H264" s="17">
        <f t="shared" si="57"/>
        <v>1.0125120307988451</v>
      </c>
      <c r="I264" s="17">
        <f t="shared" si="57"/>
        <v>0</v>
      </c>
      <c r="J264" s="17">
        <f t="shared" si="57"/>
        <v>0</v>
      </c>
      <c r="K264" s="6"/>
    </row>
    <row r="265" spans="1:11" x14ac:dyDescent="0.2">
      <c r="A265" s="5" t="s">
        <v>75</v>
      </c>
      <c r="B265" s="17">
        <f t="shared" ref="B265:J265" si="58">IF(B$78="",B228,B228*$I38/B$78)</f>
        <v>1.0389999999999999</v>
      </c>
      <c r="C265" s="17">
        <f t="shared" si="58"/>
        <v>1.0287128712871287</v>
      </c>
      <c r="D265" s="17">
        <f t="shared" si="58"/>
        <v>1.0236453201970444</v>
      </c>
      <c r="E265" s="17">
        <f t="shared" si="58"/>
        <v>1.0176297747306562</v>
      </c>
      <c r="F265" s="17">
        <f t="shared" si="58"/>
        <v>1.011684518013632</v>
      </c>
      <c r="G265" s="17">
        <f t="shared" si="58"/>
        <v>0</v>
      </c>
      <c r="H265" s="17">
        <f t="shared" si="58"/>
        <v>0</v>
      </c>
      <c r="I265" s="17">
        <f t="shared" si="58"/>
        <v>0</v>
      </c>
      <c r="J265" s="17">
        <f t="shared" si="58"/>
        <v>0</v>
      </c>
      <c r="K265" s="6"/>
    </row>
    <row r="266" spans="1:11" x14ac:dyDescent="0.2">
      <c r="A266" s="5" t="s">
        <v>76</v>
      </c>
      <c r="B266" s="17">
        <f t="shared" ref="B266:J266" si="59">IF(B$78="",B229,B229*$I39/B$78)</f>
        <v>1.0389999999999999</v>
      </c>
      <c r="C266" s="17">
        <f t="shared" si="59"/>
        <v>1.0287128712871287</v>
      </c>
      <c r="D266" s="17">
        <f t="shared" si="59"/>
        <v>1.0236453201970444</v>
      </c>
      <c r="E266" s="17">
        <f t="shared" si="59"/>
        <v>1.0176297747306562</v>
      </c>
      <c r="F266" s="17">
        <f t="shared" si="59"/>
        <v>1.011684518013632</v>
      </c>
      <c r="G266" s="17">
        <f t="shared" si="59"/>
        <v>0</v>
      </c>
      <c r="H266" s="17">
        <f t="shared" si="59"/>
        <v>0</v>
      </c>
      <c r="I266" s="17">
        <f t="shared" si="59"/>
        <v>0</v>
      </c>
      <c r="J266" s="17">
        <f t="shared" si="59"/>
        <v>0</v>
      </c>
      <c r="K266" s="6"/>
    </row>
    <row r="267" spans="1:11" x14ac:dyDescent="0.2">
      <c r="A267" s="5" t="s">
        <v>77</v>
      </c>
      <c r="B267" s="17">
        <f t="shared" ref="B267:J267" si="60">IF(B$78="",B230,B230*$I40/B$78)</f>
        <v>1.0269999999999999</v>
      </c>
      <c r="C267" s="17">
        <f t="shared" si="60"/>
        <v>1.0168316831683168</v>
      </c>
      <c r="D267" s="17">
        <f t="shared" si="60"/>
        <v>1.0118226600985223</v>
      </c>
      <c r="E267" s="17">
        <f t="shared" si="60"/>
        <v>1.0058765915768855</v>
      </c>
      <c r="F267" s="17">
        <f t="shared" si="60"/>
        <v>0</v>
      </c>
      <c r="G267" s="17">
        <f t="shared" si="60"/>
        <v>0</v>
      </c>
      <c r="H267" s="17">
        <f t="shared" si="60"/>
        <v>0</v>
      </c>
      <c r="I267" s="17">
        <f t="shared" si="60"/>
        <v>0</v>
      </c>
      <c r="J267" s="17">
        <f t="shared" si="60"/>
        <v>0</v>
      </c>
      <c r="K267" s="6"/>
    </row>
    <row r="268" spans="1:11" x14ac:dyDescent="0.2">
      <c r="A268" s="5" t="s">
        <v>78</v>
      </c>
      <c r="B268" s="17">
        <f t="shared" ref="B268:J268" si="61">IF(B$78="",B231,B231*$I41/B$78)</f>
        <v>1.0269999999999999</v>
      </c>
      <c r="C268" s="17">
        <f t="shared" si="61"/>
        <v>1.0168316831683168</v>
      </c>
      <c r="D268" s="17">
        <f t="shared" si="61"/>
        <v>1.0118226600985223</v>
      </c>
      <c r="E268" s="17">
        <f t="shared" si="61"/>
        <v>1.0058765915768855</v>
      </c>
      <c r="F268" s="17">
        <f t="shared" si="61"/>
        <v>0</v>
      </c>
      <c r="G268" s="17">
        <f t="shared" si="61"/>
        <v>0</v>
      </c>
      <c r="H268" s="17">
        <f t="shared" si="61"/>
        <v>0</v>
      </c>
      <c r="I268" s="17">
        <f t="shared" si="61"/>
        <v>0</v>
      </c>
      <c r="J268" s="17">
        <f t="shared" si="61"/>
        <v>0</v>
      </c>
      <c r="K268" s="6"/>
    </row>
  </sheetData>
  <sheetProtection sheet="1" objects="1"/>
  <hyperlinks>
    <hyperlink ref="A7" location="'LAFs'!B14" display="'LAFs'!B14"/>
    <hyperlink ref="A8" location="'Input'!B105" display="'Input'!B105"/>
    <hyperlink ref="A57" location="'LAFs'!B46" display="'LAFs'!B46"/>
    <hyperlink ref="A58" location="'Input'!B105" display="'Input'!B105"/>
    <hyperlink ref="A73" location="'LAFs'!B62" display="'LAFs'!B62"/>
    <hyperlink ref="A117" location="'Input'!B36" display="'Input'!B36"/>
    <hyperlink ref="A125" location="'Input'!B36" display="'Input'!B36"/>
    <hyperlink ref="A133" location="'Input'!B36" display="'Input'!B36"/>
    <hyperlink ref="A141" location="'Input'!B36" display="'Input'!B36"/>
    <hyperlink ref="A142" location="'LAFs'!B121" display="'LAFs'!B121"/>
    <hyperlink ref="A143" location="'LAFs'!B129" display="'LAFs'!B129"/>
    <hyperlink ref="A144" location="'LAFs'!B137" display="'LAFs'!B137"/>
    <hyperlink ref="A162" location="'LAFs'!B86" display="'LAFs'!B86"/>
    <hyperlink ref="A163" location="'LAFs'!B150" display="'LAFs'!B150"/>
    <hyperlink ref="A200" location="'LAFs'!B167" display="'LAFs'!B167"/>
    <hyperlink ref="A235" location="'LAFs'!B78" display="'LAFs'!B78"/>
    <hyperlink ref="A236" location="'LAFs'!B204" display="'LAFs'!B204"/>
    <hyperlink ref="A237" location="'LAFs'!I14" display="'LAFs'!I14"/>
  </hyperlinks>
  <pageMargins left="0.75" right="0.75" top="1" bottom="1" header="0.5" footer="0.5"/>
  <pageSetup paperSize="9" scale="34" fitToHeight="0" orientation="portrait" blackAndWhite="1" r:id="rId1"/>
  <headerFooter alignWithMargins="0">
    <oddHeader>&amp;L&amp;A&amp;Cr6140&amp;R&amp;P of &amp;N</oddHeader>
    <oddFooter>&amp;F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37"/>
  <sheetViews>
    <sheetView showGridLines="0" workbookViewId="0">
      <pane ySplit="1" topLeftCell="A2" activePane="bottomLeft" state="frozen"/>
      <selection pane="bottomLeft"/>
    </sheetView>
  </sheetViews>
  <sheetFormatPr defaultRowHeight="12.75" x14ac:dyDescent="0.2"/>
  <cols>
    <col min="1" max="1" width="50.7109375" customWidth="1"/>
    <col min="2" max="251" width="24.7109375" customWidth="1"/>
  </cols>
  <sheetData>
    <row r="1" spans="1:3" ht="19.5" x14ac:dyDescent="0.3">
      <c r="A1" s="15" t="str">
        <f>"r6140: Network model"&amp;" for "&amp;Input!B7&amp;" in "&amp;Input!C7&amp;" ("&amp;Input!D7&amp;")"</f>
        <v>r6140: Network model for Electricity North West  in 2013/14 (April 2013 Indicative)</v>
      </c>
    </row>
    <row r="2" spans="1:3" x14ac:dyDescent="0.2">
      <c r="A2" s="10" t="s">
        <v>287</v>
      </c>
    </row>
    <row r="4" spans="1:3" ht="16.5" x14ac:dyDescent="0.25">
      <c r="A4" s="3" t="s">
        <v>288</v>
      </c>
    </row>
    <row r="5" spans="1:3" x14ac:dyDescent="0.2">
      <c r="A5" s="10" t="s">
        <v>238</v>
      </c>
    </row>
    <row r="6" spans="1:3" x14ac:dyDescent="0.2">
      <c r="A6" s="11" t="s">
        <v>289</v>
      </c>
    </row>
    <row r="7" spans="1:3" x14ac:dyDescent="0.2">
      <c r="A7" s="11" t="s">
        <v>290</v>
      </c>
    </row>
    <row r="8" spans="1:3" x14ac:dyDescent="0.2">
      <c r="A8" s="11" t="s">
        <v>291</v>
      </c>
    </row>
    <row r="9" spans="1:3" x14ac:dyDescent="0.2">
      <c r="A9" s="10" t="s">
        <v>292</v>
      </c>
    </row>
    <row r="11" spans="1:3" x14ac:dyDescent="0.2">
      <c r="B11" s="4" t="s">
        <v>293</v>
      </c>
    </row>
    <row r="12" spans="1:3" x14ac:dyDescent="0.2">
      <c r="A12" s="5" t="s">
        <v>293</v>
      </c>
      <c r="B12" s="22">
        <f>PMT(Input!B14,Input!C14,-1)*IF(OR(Input!F14&gt;366,Input!F14&lt;365),Input!F14/365.25,1)</f>
        <v>6.3140920184093619E-2</v>
      </c>
      <c r="C12" s="6"/>
    </row>
    <row r="14" spans="1:3" ht="16.5" x14ac:dyDescent="0.25">
      <c r="A14" s="3" t="s">
        <v>294</v>
      </c>
    </row>
    <row r="15" spans="1:3" x14ac:dyDescent="0.2">
      <c r="A15" s="10" t="s">
        <v>238</v>
      </c>
    </row>
    <row r="16" spans="1:3" x14ac:dyDescent="0.2">
      <c r="A16" s="11" t="s">
        <v>295</v>
      </c>
    </row>
    <row r="17" spans="1:10" x14ac:dyDescent="0.2">
      <c r="A17" s="10" t="s">
        <v>255</v>
      </c>
    </row>
    <row r="18" spans="1:10" x14ac:dyDescent="0.2">
      <c r="A18" s="10" t="s">
        <v>256</v>
      </c>
    </row>
    <row r="20" spans="1:10" x14ac:dyDescent="0.2">
      <c r="B20" s="4" t="s">
        <v>21</v>
      </c>
      <c r="C20" s="4" t="s">
        <v>22</v>
      </c>
      <c r="D20" s="4" t="s">
        <v>23</v>
      </c>
      <c r="E20" s="4" t="s">
        <v>24</v>
      </c>
      <c r="F20" s="4" t="s">
        <v>25</v>
      </c>
      <c r="G20" s="4" t="s">
        <v>26</v>
      </c>
      <c r="H20" s="4" t="s">
        <v>27</v>
      </c>
      <c r="I20" s="4" t="s">
        <v>28</v>
      </c>
    </row>
    <row r="21" spans="1:10" ht="25.5" x14ac:dyDescent="0.2">
      <c r="A21" s="5" t="s">
        <v>296</v>
      </c>
      <c r="B21" s="8">
        <v>1</v>
      </c>
      <c r="C21" s="20">
        <f>Input!$B105</f>
        <v>1.01</v>
      </c>
      <c r="D21" s="20">
        <f>Input!$C105</f>
        <v>1.0149999999999999</v>
      </c>
      <c r="E21" s="20">
        <f>Input!$D105</f>
        <v>1.0209999999999999</v>
      </c>
      <c r="F21" s="20">
        <f>Input!$E105</f>
        <v>1.0269999999999999</v>
      </c>
      <c r="G21" s="20">
        <f>Input!$F105</f>
        <v>1.0389999999999999</v>
      </c>
      <c r="H21" s="20">
        <f>Input!$G105</f>
        <v>1.052</v>
      </c>
      <c r="I21" s="20">
        <f>Input!$H105</f>
        <v>1.1020000000000001</v>
      </c>
      <c r="J21" s="6"/>
    </row>
    <row r="23" spans="1:10" ht="16.5" x14ac:dyDescent="0.25">
      <c r="A23" s="3" t="s">
        <v>297</v>
      </c>
    </row>
    <row r="24" spans="1:10" x14ac:dyDescent="0.2">
      <c r="A24" s="10" t="s">
        <v>238</v>
      </c>
    </row>
    <row r="25" spans="1:10" x14ac:dyDescent="0.2">
      <c r="A25" s="11" t="s">
        <v>298</v>
      </c>
    </row>
    <row r="26" spans="1:10" x14ac:dyDescent="0.2">
      <c r="A26" s="11" t="s">
        <v>299</v>
      </c>
    </row>
    <row r="27" spans="1:10" x14ac:dyDescent="0.2">
      <c r="A27" s="18" t="s">
        <v>241</v>
      </c>
      <c r="B27" s="18" t="s">
        <v>300</v>
      </c>
      <c r="C27" s="18" t="s">
        <v>301</v>
      </c>
    </row>
    <row r="28" spans="1:10" x14ac:dyDescent="0.2">
      <c r="A28" s="18" t="s">
        <v>244</v>
      </c>
      <c r="B28" s="18" t="s">
        <v>302</v>
      </c>
      <c r="C28" s="18" t="s">
        <v>303</v>
      </c>
    </row>
    <row r="30" spans="1:10" ht="38.25" x14ac:dyDescent="0.2">
      <c r="B30" s="4" t="s">
        <v>304</v>
      </c>
      <c r="C30" s="4" t="s">
        <v>305</v>
      </c>
    </row>
    <row r="31" spans="1:10" x14ac:dyDescent="0.2">
      <c r="A31" s="5" t="s">
        <v>21</v>
      </c>
      <c r="B31" s="17">
        <f>$B$21</f>
        <v>1</v>
      </c>
      <c r="C31" s="21"/>
      <c r="D31" s="6"/>
    </row>
    <row r="32" spans="1:10" x14ac:dyDescent="0.2">
      <c r="A32" s="5" t="s">
        <v>22</v>
      </c>
      <c r="B32" s="17">
        <f>$C$21</f>
        <v>1.01</v>
      </c>
      <c r="C32" s="17">
        <f t="shared" ref="C32:C38" si="0">B31</f>
        <v>1</v>
      </c>
      <c r="D32" s="6"/>
    </row>
    <row r="33" spans="1:5" x14ac:dyDescent="0.2">
      <c r="A33" s="5" t="s">
        <v>23</v>
      </c>
      <c r="B33" s="17">
        <f>$D$21</f>
        <v>1.0149999999999999</v>
      </c>
      <c r="C33" s="17">
        <f t="shared" si="0"/>
        <v>1.01</v>
      </c>
      <c r="D33" s="6"/>
    </row>
    <row r="34" spans="1:5" x14ac:dyDescent="0.2">
      <c r="A34" s="5" t="s">
        <v>24</v>
      </c>
      <c r="B34" s="17">
        <f>$E$21</f>
        <v>1.0209999999999999</v>
      </c>
      <c r="C34" s="17">
        <f t="shared" si="0"/>
        <v>1.0149999999999999</v>
      </c>
      <c r="D34" s="6"/>
    </row>
    <row r="35" spans="1:5" x14ac:dyDescent="0.2">
      <c r="A35" s="5" t="s">
        <v>25</v>
      </c>
      <c r="B35" s="17">
        <f>$F$21</f>
        <v>1.0269999999999999</v>
      </c>
      <c r="C35" s="17">
        <f t="shared" si="0"/>
        <v>1.0209999999999999</v>
      </c>
      <c r="D35" s="6"/>
    </row>
    <row r="36" spans="1:5" x14ac:dyDescent="0.2">
      <c r="A36" s="5" t="s">
        <v>26</v>
      </c>
      <c r="B36" s="17">
        <f>$G$21</f>
        <v>1.0389999999999999</v>
      </c>
      <c r="C36" s="17">
        <f t="shared" si="0"/>
        <v>1.0269999999999999</v>
      </c>
      <c r="D36" s="6"/>
    </row>
    <row r="37" spans="1:5" x14ac:dyDescent="0.2">
      <c r="A37" s="5" t="s">
        <v>27</v>
      </c>
      <c r="B37" s="17">
        <f>$H$21</f>
        <v>1.052</v>
      </c>
      <c r="C37" s="17">
        <f t="shared" si="0"/>
        <v>1.0389999999999999</v>
      </c>
      <c r="D37" s="6"/>
    </row>
    <row r="38" spans="1:5" x14ac:dyDescent="0.2">
      <c r="A38" s="5" t="s">
        <v>28</v>
      </c>
      <c r="B38" s="17">
        <f>$I$21</f>
        <v>1.1020000000000001</v>
      </c>
      <c r="C38" s="17">
        <f t="shared" si="0"/>
        <v>1.052</v>
      </c>
      <c r="D38" s="6"/>
    </row>
    <row r="40" spans="1:5" ht="16.5" x14ac:dyDescent="0.25">
      <c r="A40" s="3" t="s">
        <v>306</v>
      </c>
    </row>
    <row r="41" spans="1:5" x14ac:dyDescent="0.2">
      <c r="A41" s="10" t="s">
        <v>238</v>
      </c>
    </row>
    <row r="42" spans="1:5" x14ac:dyDescent="0.2">
      <c r="A42" s="11" t="s">
        <v>307</v>
      </c>
    </row>
    <row r="43" spans="1:5" x14ac:dyDescent="0.2">
      <c r="A43" s="11" t="s">
        <v>308</v>
      </c>
    </row>
    <row r="44" spans="1:5" x14ac:dyDescent="0.2">
      <c r="A44" s="18" t="s">
        <v>241</v>
      </c>
      <c r="B44" s="18" t="s">
        <v>309</v>
      </c>
      <c r="C44" s="18" t="s">
        <v>309</v>
      </c>
      <c r="D44" s="18" t="s">
        <v>309</v>
      </c>
    </row>
    <row r="45" spans="1:5" x14ac:dyDescent="0.2">
      <c r="A45" s="18" t="s">
        <v>244</v>
      </c>
      <c r="B45" s="18" t="s">
        <v>310</v>
      </c>
      <c r="C45" s="18" t="s">
        <v>310</v>
      </c>
      <c r="D45" s="18" t="s">
        <v>311</v>
      </c>
    </row>
    <row r="47" spans="1:5" ht="38.25" x14ac:dyDescent="0.2">
      <c r="B47" s="4" t="s">
        <v>312</v>
      </c>
      <c r="C47" s="4" t="s">
        <v>313</v>
      </c>
      <c r="D47" s="4" t="s">
        <v>314</v>
      </c>
    </row>
    <row r="48" spans="1:5" x14ac:dyDescent="0.2">
      <c r="A48" s="5" t="s">
        <v>21</v>
      </c>
      <c r="B48" s="21"/>
      <c r="C48" s="22">
        <f>1/(1+Input!B24)</f>
        <v>0.92184273047718124</v>
      </c>
      <c r="D48" s="22">
        <f t="shared" ref="D48:D54" si="1">1/C48-1</f>
        <v>8.4783734729199978E-2</v>
      </c>
      <c r="E48" s="6"/>
    </row>
    <row r="49" spans="1:5" x14ac:dyDescent="0.2">
      <c r="A49" s="5" t="s">
        <v>22</v>
      </c>
      <c r="B49" s="22">
        <f>1/(1+Input!B25)</f>
        <v>0.95869740271314141</v>
      </c>
      <c r="C49" s="22">
        <f>C48/(1+Input!B25)</f>
        <v>0.88376823141846406</v>
      </c>
      <c r="D49" s="22">
        <f t="shared" si="1"/>
        <v>0.13151838281738404</v>
      </c>
      <c r="E49" s="6"/>
    </row>
    <row r="50" spans="1:5" x14ac:dyDescent="0.2">
      <c r="A50" s="5" t="s">
        <v>23</v>
      </c>
      <c r="B50" s="22">
        <f>B49/(1+Input!B26)</f>
        <v>0.95869740271314141</v>
      </c>
      <c r="C50" s="22">
        <f>C49/(1+Input!B26)</f>
        <v>0.88376823141846406</v>
      </c>
      <c r="D50" s="22">
        <f t="shared" si="1"/>
        <v>0.13151838281738404</v>
      </c>
      <c r="E50" s="6"/>
    </row>
    <row r="51" spans="1:5" x14ac:dyDescent="0.2">
      <c r="A51" s="5" t="s">
        <v>24</v>
      </c>
      <c r="B51" s="22">
        <f>B50/(1+Input!B27)</f>
        <v>0.8835830846141598</v>
      </c>
      <c r="C51" s="22">
        <f>C50/(1+Input!B27)</f>
        <v>0.8145246433241673</v>
      </c>
      <c r="D51" s="22">
        <f t="shared" si="1"/>
        <v>0.22770993879189061</v>
      </c>
      <c r="E51" s="6"/>
    </row>
    <row r="52" spans="1:5" x14ac:dyDescent="0.2">
      <c r="A52" s="5" t="s">
        <v>25</v>
      </c>
      <c r="B52" s="22">
        <f>B51/(1+Input!B28)</f>
        <v>0.8835830846141598</v>
      </c>
      <c r="C52" s="22">
        <f>C51/(1+Input!B28)</f>
        <v>0.8145246433241673</v>
      </c>
      <c r="D52" s="22">
        <f t="shared" si="1"/>
        <v>0.22770993879189061</v>
      </c>
      <c r="E52" s="6"/>
    </row>
    <row r="53" spans="1:5" x14ac:dyDescent="0.2">
      <c r="A53" s="5" t="s">
        <v>26</v>
      </c>
      <c r="B53" s="22">
        <f>B52/(1+Input!B29)</f>
        <v>0.66230152282357513</v>
      </c>
      <c r="C53" s="22">
        <f>C52/(1+Input!B29)</f>
        <v>0.61053784419887969</v>
      </c>
      <c r="D53" s="22">
        <f t="shared" si="1"/>
        <v>0.63790010644164918</v>
      </c>
      <c r="E53" s="6"/>
    </row>
    <row r="54" spans="1:5" x14ac:dyDescent="0.2">
      <c r="A54" s="5" t="s">
        <v>27</v>
      </c>
      <c r="B54" s="22">
        <f>B53/(1+Input!B30)</f>
        <v>0.66230152282357513</v>
      </c>
      <c r="C54" s="22">
        <f>C53/(1+Input!B30)</f>
        <v>0.61053784419887969</v>
      </c>
      <c r="D54" s="22">
        <f t="shared" si="1"/>
        <v>0.63790010644164918</v>
      </c>
      <c r="E54" s="6"/>
    </row>
    <row r="55" spans="1:5" x14ac:dyDescent="0.2">
      <c r="A55" s="5" t="s">
        <v>28</v>
      </c>
      <c r="B55" s="22">
        <f>B54/(1+Input!B31)</f>
        <v>0.66230152282357513</v>
      </c>
      <c r="C55" s="22">
        <f>C54/(1+Input!B31)</f>
        <v>0.61053784419887969</v>
      </c>
      <c r="D55" s="21"/>
      <c r="E55" s="6"/>
    </row>
    <row r="57" spans="1:5" ht="16.5" x14ac:dyDescent="0.25">
      <c r="A57" s="3" t="s">
        <v>315</v>
      </c>
    </row>
    <row r="58" spans="1:5" x14ac:dyDescent="0.2">
      <c r="A58" s="10" t="s">
        <v>238</v>
      </c>
    </row>
    <row r="59" spans="1:5" x14ac:dyDescent="0.2">
      <c r="A59" s="11" t="s">
        <v>316</v>
      </c>
    </row>
    <row r="60" spans="1:5" x14ac:dyDescent="0.2">
      <c r="A60" s="11" t="s">
        <v>317</v>
      </c>
    </row>
    <row r="61" spans="1:5" x14ac:dyDescent="0.2">
      <c r="A61" s="10" t="s">
        <v>318</v>
      </c>
    </row>
    <row r="63" spans="1:5" ht="38.25" x14ac:dyDescent="0.2">
      <c r="B63" s="4" t="s">
        <v>319</v>
      </c>
    </row>
    <row r="64" spans="1:5" x14ac:dyDescent="0.2">
      <c r="A64" s="5" t="s">
        <v>22</v>
      </c>
      <c r="B64" s="17">
        <f>Input!B$41/B$49</f>
        <v>521.5409978007508</v>
      </c>
      <c r="C64" s="6"/>
    </row>
    <row r="65" spans="1:3" x14ac:dyDescent="0.2">
      <c r="A65" s="5" t="s">
        <v>23</v>
      </c>
      <c r="B65" s="17">
        <f>Input!B$41/B$50</f>
        <v>521.5409978007508</v>
      </c>
      <c r="C65" s="6"/>
    </row>
    <row r="66" spans="1:3" x14ac:dyDescent="0.2">
      <c r="A66" s="5" t="s">
        <v>24</v>
      </c>
      <c r="B66" s="17">
        <f>Input!B$41/B$51</f>
        <v>565.87774110494479</v>
      </c>
      <c r="C66" s="6"/>
    </row>
    <row r="67" spans="1:3" x14ac:dyDescent="0.2">
      <c r="A67" s="5" t="s">
        <v>25</v>
      </c>
      <c r="B67" s="17">
        <f>Input!B$41/B$52</f>
        <v>565.87774110494479</v>
      </c>
      <c r="C67" s="6"/>
    </row>
    <row r="68" spans="1:3" x14ac:dyDescent="0.2">
      <c r="A68" s="5" t="s">
        <v>26</v>
      </c>
      <c r="B68" s="17">
        <f>Input!B$41/B$53</f>
        <v>754.94315318551776</v>
      </c>
      <c r="C68" s="6"/>
    </row>
    <row r="69" spans="1:3" x14ac:dyDescent="0.2">
      <c r="A69" s="5" t="s">
        <v>27</v>
      </c>
      <c r="B69" s="17">
        <f>Input!B$41/B$54</f>
        <v>754.94315318551776</v>
      </c>
      <c r="C69" s="6"/>
    </row>
    <row r="70" spans="1:3" x14ac:dyDescent="0.2">
      <c r="A70" s="5" t="s">
        <v>28</v>
      </c>
      <c r="B70" s="17">
        <f>Input!B$41/B$55</f>
        <v>754.94315318551776</v>
      </c>
      <c r="C70" s="6"/>
    </row>
    <row r="72" spans="1:3" ht="16.5" x14ac:dyDescent="0.25">
      <c r="A72" s="3" t="s">
        <v>320</v>
      </c>
    </row>
    <row r="73" spans="1:3" x14ac:dyDescent="0.2">
      <c r="A73" s="10" t="s">
        <v>238</v>
      </c>
    </row>
    <row r="74" spans="1:3" x14ac:dyDescent="0.2">
      <c r="A74" s="11" t="s">
        <v>321</v>
      </c>
    </row>
    <row r="75" spans="1:3" x14ac:dyDescent="0.2">
      <c r="A75" s="11" t="s">
        <v>322</v>
      </c>
    </row>
    <row r="76" spans="1:3" x14ac:dyDescent="0.2">
      <c r="A76" s="11" t="s">
        <v>323</v>
      </c>
    </row>
    <row r="77" spans="1:3" x14ac:dyDescent="0.2">
      <c r="A77" s="10" t="s">
        <v>324</v>
      </c>
    </row>
    <row r="79" spans="1:3" ht="63.75" x14ac:dyDescent="0.2">
      <c r="B79" s="4" t="s">
        <v>325</v>
      </c>
    </row>
    <row r="80" spans="1:3" x14ac:dyDescent="0.2">
      <c r="A80" s="5" t="s">
        <v>22</v>
      </c>
      <c r="B80" s="17">
        <f>B64*C$49/B$32</f>
        <v>456.35778736494115</v>
      </c>
      <c r="C80" s="6"/>
    </row>
    <row r="81" spans="1:3" x14ac:dyDescent="0.2">
      <c r="A81" s="5" t="s">
        <v>23</v>
      </c>
      <c r="B81" s="17">
        <f>B65*C$50/B$33</f>
        <v>454.10971944688731</v>
      </c>
      <c r="C81" s="6"/>
    </row>
    <row r="82" spans="1:3" x14ac:dyDescent="0.2">
      <c r="A82" s="5" t="s">
        <v>24</v>
      </c>
      <c r="B82" s="17">
        <f>B66*C$51/B$34</f>
        <v>451.44110209460399</v>
      </c>
      <c r="C82" s="6"/>
    </row>
    <row r="83" spans="1:3" x14ac:dyDescent="0.2">
      <c r="A83" s="5" t="s">
        <v>25</v>
      </c>
      <c r="B83" s="17">
        <f>B67*C$52/B$35</f>
        <v>448.80366624984487</v>
      </c>
      <c r="C83" s="6"/>
    </row>
    <row r="84" spans="1:3" x14ac:dyDescent="0.2">
      <c r="A84" s="5" t="s">
        <v>26</v>
      </c>
      <c r="B84" s="17">
        <f>B68*C$53/B$36</f>
        <v>443.62017828545783</v>
      </c>
      <c r="C84" s="6"/>
    </row>
    <row r="85" spans="1:3" x14ac:dyDescent="0.2">
      <c r="A85" s="5" t="s">
        <v>27</v>
      </c>
      <c r="B85" s="17">
        <f>B69*C$54/B$37</f>
        <v>438.13817988459181</v>
      </c>
      <c r="C85" s="6"/>
    </row>
    <row r="86" spans="1:3" x14ac:dyDescent="0.2">
      <c r="A86" s="5" t="s">
        <v>28</v>
      </c>
      <c r="B86" s="17">
        <f>B70*C$55/B$38</f>
        <v>418.258952122133</v>
      </c>
      <c r="C86" s="6"/>
    </row>
    <row r="88" spans="1:3" ht="16.5" x14ac:dyDescent="0.25">
      <c r="A88" s="3" t="s">
        <v>326</v>
      </c>
    </row>
    <row r="89" spans="1:3" x14ac:dyDescent="0.2">
      <c r="A89" s="10" t="s">
        <v>238</v>
      </c>
    </row>
    <row r="90" spans="1:3" x14ac:dyDescent="0.2">
      <c r="A90" s="11" t="s">
        <v>263</v>
      </c>
    </row>
    <row r="91" spans="1:3" x14ac:dyDescent="0.2">
      <c r="A91" s="11" t="s">
        <v>268</v>
      </c>
    </row>
    <row r="92" spans="1:3" x14ac:dyDescent="0.2">
      <c r="A92" s="11" t="s">
        <v>269</v>
      </c>
    </row>
    <row r="93" spans="1:3" x14ac:dyDescent="0.2">
      <c r="A93" s="11" t="s">
        <v>270</v>
      </c>
    </row>
    <row r="94" spans="1:3" x14ac:dyDescent="0.2">
      <c r="A94" s="10" t="s">
        <v>271</v>
      </c>
    </row>
    <row r="95" spans="1:3" x14ac:dyDescent="0.2">
      <c r="A95" s="10" t="s">
        <v>327</v>
      </c>
    </row>
    <row r="97" spans="1:10" x14ac:dyDescent="0.2">
      <c r="B97" s="4" t="s">
        <v>22</v>
      </c>
      <c r="C97" s="4" t="s">
        <v>23</v>
      </c>
      <c r="D97" s="4" t="s">
        <v>24</v>
      </c>
      <c r="E97" s="4" t="s">
        <v>25</v>
      </c>
      <c r="F97" s="4" t="s">
        <v>30</v>
      </c>
      <c r="G97" s="4" t="s">
        <v>26</v>
      </c>
      <c r="H97" s="4" t="s">
        <v>27</v>
      </c>
      <c r="I97" s="4" t="s">
        <v>28</v>
      </c>
    </row>
    <row r="98" spans="1:10" x14ac:dyDescent="0.2">
      <c r="A98" s="5" t="s">
        <v>22</v>
      </c>
      <c r="B98" s="23">
        <v>1</v>
      </c>
      <c r="C98" s="23">
        <v>0</v>
      </c>
      <c r="D98" s="23">
        <v>0</v>
      </c>
      <c r="E98" s="23">
        <v>0</v>
      </c>
      <c r="F98" s="23">
        <v>0</v>
      </c>
      <c r="G98" s="23">
        <v>0</v>
      </c>
      <c r="H98" s="23">
        <v>0</v>
      </c>
      <c r="I98" s="23">
        <v>0</v>
      </c>
      <c r="J98" s="6"/>
    </row>
    <row r="99" spans="1:10" x14ac:dyDescent="0.2">
      <c r="A99" s="5" t="s">
        <v>23</v>
      </c>
      <c r="B99" s="23">
        <v>0</v>
      </c>
      <c r="C99" s="24">
        <f>LAFs!$B$121</f>
        <v>1</v>
      </c>
      <c r="D99" s="23">
        <v>0</v>
      </c>
      <c r="E99" s="23">
        <v>0</v>
      </c>
      <c r="F99" s="23">
        <v>0</v>
      </c>
      <c r="G99" s="23">
        <v>0</v>
      </c>
      <c r="H99" s="23">
        <v>0</v>
      </c>
      <c r="I99" s="23">
        <v>0</v>
      </c>
      <c r="J99" s="6"/>
    </row>
    <row r="100" spans="1:10" x14ac:dyDescent="0.2">
      <c r="A100" s="5" t="s">
        <v>24</v>
      </c>
      <c r="B100" s="23">
        <v>0</v>
      </c>
      <c r="C100" s="23">
        <v>0</v>
      </c>
      <c r="D100" s="24">
        <f>LAFs!$B$129</f>
        <v>1</v>
      </c>
      <c r="E100" s="23">
        <v>0</v>
      </c>
      <c r="F100" s="23">
        <v>0</v>
      </c>
      <c r="G100" s="23">
        <v>0</v>
      </c>
      <c r="H100" s="23">
        <v>0</v>
      </c>
      <c r="I100" s="23">
        <v>0</v>
      </c>
      <c r="J100" s="6"/>
    </row>
    <row r="101" spans="1:10" x14ac:dyDescent="0.2">
      <c r="A101" s="5" t="s">
        <v>25</v>
      </c>
      <c r="B101" s="23">
        <v>0</v>
      </c>
      <c r="C101" s="23">
        <v>0</v>
      </c>
      <c r="D101" s="23">
        <v>0</v>
      </c>
      <c r="E101" s="24">
        <f>LAFs!$B$137</f>
        <v>1</v>
      </c>
      <c r="F101" s="24">
        <f>Input!$B$36</f>
        <v>0</v>
      </c>
      <c r="G101" s="23">
        <v>0</v>
      </c>
      <c r="H101" s="23">
        <v>0</v>
      </c>
      <c r="I101" s="23">
        <v>0</v>
      </c>
      <c r="J101" s="6"/>
    </row>
    <row r="102" spans="1:10" x14ac:dyDescent="0.2">
      <c r="A102" s="5" t="s">
        <v>26</v>
      </c>
      <c r="B102" s="23">
        <v>0</v>
      </c>
      <c r="C102" s="23">
        <v>0</v>
      </c>
      <c r="D102" s="23">
        <v>0</v>
      </c>
      <c r="E102" s="23">
        <v>0</v>
      </c>
      <c r="F102" s="23">
        <v>0</v>
      </c>
      <c r="G102" s="23">
        <v>1</v>
      </c>
      <c r="H102" s="23">
        <v>0</v>
      </c>
      <c r="I102" s="23">
        <v>0</v>
      </c>
      <c r="J102" s="6"/>
    </row>
    <row r="103" spans="1:10" x14ac:dyDescent="0.2">
      <c r="A103" s="5" t="s">
        <v>27</v>
      </c>
      <c r="B103" s="23">
        <v>0</v>
      </c>
      <c r="C103" s="23">
        <v>0</v>
      </c>
      <c r="D103" s="23">
        <v>0</v>
      </c>
      <c r="E103" s="23">
        <v>0</v>
      </c>
      <c r="F103" s="23">
        <v>0</v>
      </c>
      <c r="G103" s="23">
        <v>0</v>
      </c>
      <c r="H103" s="23">
        <v>1</v>
      </c>
      <c r="I103" s="23">
        <v>0</v>
      </c>
      <c r="J103" s="6"/>
    </row>
    <row r="104" spans="1:10" x14ac:dyDescent="0.2">
      <c r="A104" s="5" t="s">
        <v>28</v>
      </c>
      <c r="B104" s="23">
        <v>0</v>
      </c>
      <c r="C104" s="23">
        <v>0</v>
      </c>
      <c r="D104" s="23">
        <v>0</v>
      </c>
      <c r="E104" s="23">
        <v>0</v>
      </c>
      <c r="F104" s="23">
        <v>0</v>
      </c>
      <c r="G104" s="23">
        <v>0</v>
      </c>
      <c r="H104" s="23">
        <v>0</v>
      </c>
      <c r="I104" s="23">
        <v>1</v>
      </c>
      <c r="J104" s="6"/>
    </row>
    <row r="106" spans="1:10" ht="16.5" x14ac:dyDescent="0.25">
      <c r="A106" s="3" t="s">
        <v>328</v>
      </c>
    </row>
    <row r="107" spans="1:10" x14ac:dyDescent="0.2">
      <c r="A107" s="10" t="s">
        <v>238</v>
      </c>
    </row>
    <row r="108" spans="1:10" x14ac:dyDescent="0.2">
      <c r="A108" s="11" t="s">
        <v>329</v>
      </c>
    </row>
    <row r="109" spans="1:10" x14ac:dyDescent="0.2">
      <c r="A109" s="11" t="s">
        <v>330</v>
      </c>
    </row>
    <row r="110" spans="1:10" x14ac:dyDescent="0.2">
      <c r="A110" s="10" t="s">
        <v>251</v>
      </c>
    </row>
    <row r="112" spans="1:10" ht="51" x14ac:dyDescent="0.2">
      <c r="B112" s="4" t="s">
        <v>331</v>
      </c>
    </row>
    <row r="113" spans="1:3" x14ac:dyDescent="0.2">
      <c r="A113" s="5" t="s">
        <v>22</v>
      </c>
      <c r="B113" s="17">
        <f>SUMPRODUCT(B$80:B$86,$B$98:$B$104)</f>
        <v>456.35778736494115</v>
      </c>
      <c r="C113" s="6"/>
    </row>
    <row r="114" spans="1:3" x14ac:dyDescent="0.2">
      <c r="A114" s="5" t="s">
        <v>23</v>
      </c>
      <c r="B114" s="17">
        <f>SUMPRODUCT(B$80:B$86,$C$98:$C$104)</f>
        <v>454.10971944688731</v>
      </c>
      <c r="C114" s="6"/>
    </row>
    <row r="115" spans="1:3" x14ac:dyDescent="0.2">
      <c r="A115" s="5" t="s">
        <v>24</v>
      </c>
      <c r="B115" s="17">
        <f>SUMPRODUCT(B$80:B$86,$D$98:$D$104)</f>
        <v>451.44110209460399</v>
      </c>
      <c r="C115" s="6"/>
    </row>
    <row r="116" spans="1:3" x14ac:dyDescent="0.2">
      <c r="A116" s="5" t="s">
        <v>25</v>
      </c>
      <c r="B116" s="17">
        <f>SUMPRODUCT(B$80:B$86,$E$98:$E$104)</f>
        <v>448.80366624984487</v>
      </c>
      <c r="C116" s="6"/>
    </row>
    <row r="117" spans="1:3" x14ac:dyDescent="0.2">
      <c r="A117" s="5" t="s">
        <v>30</v>
      </c>
      <c r="B117" s="17">
        <f>SUMPRODUCT(B$80:B$86,$F$98:$F$104)</f>
        <v>0</v>
      </c>
      <c r="C117" s="6"/>
    </row>
    <row r="118" spans="1:3" x14ac:dyDescent="0.2">
      <c r="A118" s="5" t="s">
        <v>26</v>
      </c>
      <c r="B118" s="17">
        <f>SUMPRODUCT(B$80:B$86,$G$98:$G$104)</f>
        <v>443.62017828545783</v>
      </c>
      <c r="C118" s="6"/>
    </row>
    <row r="119" spans="1:3" x14ac:dyDescent="0.2">
      <c r="A119" s="5" t="s">
        <v>27</v>
      </c>
      <c r="B119" s="17">
        <f>SUMPRODUCT(B$80:B$86,$H$98:$H$104)</f>
        <v>438.13817988459181</v>
      </c>
      <c r="C119" s="6"/>
    </row>
    <row r="120" spans="1:3" x14ac:dyDescent="0.2">
      <c r="A120" s="5" t="s">
        <v>28</v>
      </c>
      <c r="B120" s="17">
        <f>SUMPRODUCT(B$80:B$86,$I$98:$I$104)</f>
        <v>418.258952122133</v>
      </c>
      <c r="C120" s="6"/>
    </row>
    <row r="122" spans="1:3" ht="16.5" x14ac:dyDescent="0.25">
      <c r="A122" s="3" t="s">
        <v>332</v>
      </c>
    </row>
    <row r="123" spans="1:3" x14ac:dyDescent="0.2">
      <c r="A123" s="10" t="s">
        <v>238</v>
      </c>
    </row>
    <row r="124" spans="1:3" x14ac:dyDescent="0.2">
      <c r="A124" s="11" t="s">
        <v>333</v>
      </c>
    </row>
    <row r="125" spans="1:3" x14ac:dyDescent="0.2">
      <c r="A125" s="11" t="s">
        <v>334</v>
      </c>
    </row>
    <row r="126" spans="1:3" x14ac:dyDescent="0.2">
      <c r="A126" s="11" t="s">
        <v>335</v>
      </c>
    </row>
    <row r="127" spans="1:3" x14ac:dyDescent="0.2">
      <c r="A127" s="10" t="s">
        <v>336</v>
      </c>
    </row>
    <row r="129" spans="1:3" x14ac:dyDescent="0.2">
      <c r="B129" s="4" t="s">
        <v>337</v>
      </c>
    </row>
    <row r="130" spans="1:3" x14ac:dyDescent="0.2">
      <c r="A130" s="5" t="s">
        <v>338</v>
      </c>
      <c r="B130" s="17">
        <f>IF(B113,0.001*Input!B46*B$12/B113,0)</f>
        <v>5.8659809743350362</v>
      </c>
      <c r="C130" s="6"/>
    </row>
    <row r="131" spans="1:3" x14ac:dyDescent="0.2">
      <c r="A131" s="5" t="s">
        <v>339</v>
      </c>
      <c r="B131" s="17">
        <f>IF(B114,0.001*Input!B47*B$12/B114,0)</f>
        <v>5.4374773257315177</v>
      </c>
      <c r="C131" s="6"/>
    </row>
    <row r="132" spans="1:3" x14ac:dyDescent="0.2">
      <c r="A132" s="5" t="s">
        <v>340</v>
      </c>
      <c r="B132" s="17">
        <f>IF(B115,0.001*Input!B48*B$12/B115,0)</f>
        <v>8.3370449833453559</v>
      </c>
      <c r="C132" s="6"/>
    </row>
    <row r="133" spans="1:3" x14ac:dyDescent="0.2">
      <c r="A133" s="5" t="s">
        <v>341</v>
      </c>
      <c r="B133" s="17">
        <f>IF(B116,0.001*Input!B49*B$12/B116,0)</f>
        <v>10.384453856431474</v>
      </c>
      <c r="C133" s="6"/>
    </row>
    <row r="134" spans="1:3" x14ac:dyDescent="0.2">
      <c r="A134" s="5" t="s">
        <v>342</v>
      </c>
      <c r="B134" s="17">
        <f>IF(B117,0.001*Input!B50*B$12/B117,0)</f>
        <v>0</v>
      </c>
      <c r="C134" s="6"/>
    </row>
    <row r="135" spans="1:3" x14ac:dyDescent="0.2">
      <c r="A135" s="5" t="s">
        <v>343</v>
      </c>
      <c r="B135" s="17">
        <f>IF(B118,0.001*Input!B51*B$12/B118,0)</f>
        <v>15.262420594463675</v>
      </c>
      <c r="C135" s="6"/>
    </row>
    <row r="136" spans="1:3" x14ac:dyDescent="0.2">
      <c r="A136" s="5" t="s">
        <v>344</v>
      </c>
      <c r="B136" s="17">
        <f>IF(B119,0.001*Input!B52*B$12/B119,0)</f>
        <v>13.357172727154918</v>
      </c>
      <c r="C136" s="6"/>
    </row>
    <row r="137" spans="1:3" x14ac:dyDescent="0.2">
      <c r="A137" s="5" t="s">
        <v>345</v>
      </c>
      <c r="B137" s="17">
        <f>IF(B120,0.001*Input!B53*B$12/B120,0)</f>
        <v>8.3189350495489247</v>
      </c>
      <c r="C137" s="6"/>
    </row>
  </sheetData>
  <sheetProtection sheet="1" objects="1"/>
  <hyperlinks>
    <hyperlink ref="A6" location="'Input'!B14" display="'Input'!B14"/>
    <hyperlink ref="A7" location="'Input'!C14" display="'Input'!C14"/>
    <hyperlink ref="A8" location="'Input'!F14" display="'Input'!F14"/>
    <hyperlink ref="A16" location="'Input'!B105" display="'Input'!B105"/>
    <hyperlink ref="A25" location="'DRM'!B21" display="'DRM'!B21"/>
    <hyperlink ref="A26" location="'DRM'!B31" display="'DRM'!B31"/>
    <hyperlink ref="A42" location="'Input'!B24" display="'Input'!B24"/>
    <hyperlink ref="A43" location="'DRM'!C48" display="'DRM'!C48"/>
    <hyperlink ref="A59" location="'Input'!B41" display="'Input'!B41"/>
    <hyperlink ref="A60" location="'DRM'!B48" display="'DRM'!B48"/>
    <hyperlink ref="A74" location="'DRM'!B64" display="'DRM'!B64"/>
    <hyperlink ref="A75" location="'DRM'!C48" display="'DRM'!C48"/>
    <hyperlink ref="A76" location="'DRM'!B31" display="'DRM'!B31"/>
    <hyperlink ref="A90" location="'Input'!B36" display="'Input'!B36"/>
    <hyperlink ref="A91" location="'LAFs'!B121" display="'LAFs'!B121"/>
    <hyperlink ref="A92" location="'LAFs'!B129" display="'LAFs'!B129"/>
    <hyperlink ref="A93" location="'LAFs'!B137" display="'LAFs'!B137"/>
    <hyperlink ref="A108" location="'DRM'!B80" display="'DRM'!B80"/>
    <hyperlink ref="A109" location="'DRM'!B98" display="'DRM'!B98"/>
    <hyperlink ref="A124" location="'DRM'!B113" display="'DRM'!B113"/>
    <hyperlink ref="A125" location="'Input'!B46" display="'Input'!B46"/>
    <hyperlink ref="A126" location="'DRM'!B12" display="'DRM'!B12"/>
  </hyperlinks>
  <pageMargins left="0.75" right="0.75" top="1" bottom="1" header="0.5" footer="0.5"/>
  <pageSetup paperSize="9" scale="32" fitToHeight="0" orientation="portrait" blackAndWhite="1" r:id="rId1"/>
  <headerFooter alignWithMargins="0">
    <oddHeader>&amp;L&amp;A&amp;Cr6140&amp;R&amp;P of &amp;N</oddHeader>
    <oddFooter>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Worksheets</vt:lpstr>
      </vt:variant>
      <vt:variant>
        <vt:i4>26</vt:i4>
      </vt:variant>
      <vt:variant>
        <vt:lpstr>Named Ranges</vt:lpstr>
      </vt:variant>
      <vt:variant>
        <vt:i4>1</vt:i4>
      </vt:variant>
    </vt:vector>
  </HeadingPairs>
  <TitlesOfParts>
    <vt:vector size="27" baseType="lpstr">
      <vt:lpstr>Overview</vt:lpstr>
      <vt:lpstr>CDCM Revenues</vt:lpstr>
      <vt:lpstr>Input</vt:lpstr>
      <vt:lpstr>Tariffs</vt:lpstr>
      <vt:lpstr>Summary</vt:lpstr>
      <vt:lpstr>M-ATW</vt:lpstr>
      <vt:lpstr>M-Rev</vt:lpstr>
      <vt:lpstr>LAFs</vt:lpstr>
      <vt:lpstr>DRM</vt:lpstr>
      <vt:lpstr>SM</vt:lpstr>
      <vt:lpstr>Loads</vt:lpstr>
      <vt:lpstr>Multi</vt:lpstr>
      <vt:lpstr>SMD</vt:lpstr>
      <vt:lpstr>AMD</vt:lpstr>
      <vt:lpstr>Otex</vt:lpstr>
      <vt:lpstr>Contrib</vt:lpstr>
      <vt:lpstr>Yard</vt:lpstr>
      <vt:lpstr>Standing</vt:lpstr>
      <vt:lpstr>NHH</vt:lpstr>
      <vt:lpstr>Reactive</vt:lpstr>
      <vt:lpstr>Aggreg</vt:lpstr>
      <vt:lpstr>Revenue</vt:lpstr>
      <vt:lpstr>Scaler</vt:lpstr>
      <vt:lpstr>Adjust</vt:lpstr>
      <vt:lpstr>CData</vt:lpstr>
      <vt:lpstr>CTables</vt:lpstr>
      <vt:lpstr>Multi!Print_Area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Rosalind Timperley</dc:creator>
  <cp:lastModifiedBy>Hannah Greaves</cp:lastModifiedBy>
  <cp:lastPrinted>2012-11-30T11:42:30Z</cp:lastPrinted>
  <dcterms:created xsi:type="dcterms:W3CDTF">2012-10-17T13:17:45Z</dcterms:created>
  <dcterms:modified xsi:type="dcterms:W3CDTF">2017-06-07T10:58:22Z</dcterms:modified>
</cp:coreProperties>
</file>